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4.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omments2.xml" ContentType="application/vnd.openxmlformats-officedocument.spreadsheetml.comments+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drawings/drawing5.xml" ContentType="application/vnd.openxmlformats-officedocument.drawing+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drawings/drawing6.xml" ContentType="application/vnd.openxmlformats-officedocument.drawing+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drawings/drawing11.xml" ContentType="application/vnd.openxmlformats-officedocument.drawing+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updateLinks="never" codeName="ThisWorkbook" defaultThemeVersion="166925"/>
  <mc:AlternateContent xmlns:mc="http://schemas.openxmlformats.org/markup-compatibility/2006">
    <mc:Choice Requires="x15">
      <x15ac:absPath xmlns:x15ac="http://schemas.microsoft.com/office/spreadsheetml/2010/11/ac" url="https://d.docs.live.net/e9c999847fc8c592/MAIUMAS Group Work/DAI_F4J/AlBAWDER/"/>
    </mc:Choice>
  </mc:AlternateContent>
  <xr:revisionPtr revIDLastSave="13" documentId="13_ncr:1_{E9D3245E-DFE8-4126-A072-665745E24E7A}" xr6:coauthVersionLast="47" xr6:coauthVersionMax="47" xr10:uidLastSave="{6D6B55C0-F30E-489D-8A23-FB5C4E56DF87}"/>
  <bookViews>
    <workbookView xWindow="-120" yWindow="-120" windowWidth="20730" windowHeight="11160" tabRatio="897" activeTab="1" xr2:uid="{7354B203-B531-4A6B-A3BD-BE3D98E7618C}"/>
  </bookViews>
  <sheets>
    <sheet name="Contents" sheetId="23" r:id="rId1"/>
    <sheet name="Summary. Assumptions. Inputs" sheetId="1" r:id="rId2"/>
    <sheet name="Scenario Analysis" sheetId="26" r:id="rId3"/>
    <sheet name="Projected FS" sheetId="13" r:id="rId4"/>
    <sheet name="Graph" sheetId="31" r:id="rId5"/>
    <sheet name="Ratio Analysis" sheetId="9" r:id="rId6"/>
    <sheet name="Cashflow Projection &amp; Investme" sheetId="20" r:id="rId7"/>
    <sheet name="Sheet4" sheetId="35" state="hidden" r:id="rId8"/>
    <sheet name="Cashflow in Quarters" sheetId="36" r:id="rId9"/>
    <sheet name="BEP. &amp; Summary Results" sheetId="16" r:id="rId10"/>
    <sheet name="Sales Volume, Cost of Productio" sheetId="15" r:id="rId11"/>
    <sheet name="Capital Expenditures" sheetId="17" r:id="rId12"/>
    <sheet name="OPEREX, PAYROL" sheetId="22" r:id="rId13"/>
    <sheet name="Sales, Production, &amp; Other Assu" sheetId="21" r:id="rId14"/>
    <sheet name="Production Matrix" sheetId="4" r:id="rId15"/>
    <sheet name="WACC Calculation" sheetId="38" r:id="rId16"/>
    <sheet name="Country Risk Premium" sheetId="37" r:id="rId17"/>
    <sheet name="Beta" sheetId="39" r:id="rId18"/>
    <sheet name="Amortization Table 1" sheetId="24" r:id="rId19"/>
    <sheet name="Amortization Table 2" sheetId="27" state="veryHidden" r:id="rId20"/>
    <sheet name="Amortization Table 3" sheetId="29" state="veryHidden" r:id="rId21"/>
    <sheet name="Amortization Table 4" sheetId="30" state="veryHidden" r:id="rId22"/>
    <sheet name="Internmediate sheet" sheetId="19" state="hidden" r:id="rId23"/>
  </sheets>
  <externalReferences>
    <externalReference r:id="rId24"/>
    <externalReference r:id="rId25"/>
  </externalReferences>
  <definedNames>
    <definedName name="_xlnm._FilterDatabase" localSheetId="16" hidden="1">'Country Risk Premium'!$A$1:$F$1</definedName>
    <definedName name="_xlnm._FilterDatabase" localSheetId="12" hidden="1">'OPEREX, PAYROL'!$A$2:$CR$90</definedName>
    <definedName name="_xlnm._FilterDatabase" localSheetId="14" hidden="1">'Production Matrix'!$A$14:$L$14</definedName>
    <definedName name="_xlnm._FilterDatabase" localSheetId="3" hidden="1">'[1]Data&amp;Summary results'!$A$15:$B$37</definedName>
    <definedName name="_xlnm._FilterDatabase" localSheetId="10" hidden="1">'Sales Volume, Cost of Productio'!$A$5:$CP$17</definedName>
    <definedName name="_xlnm._FilterDatabase" localSheetId="13" hidden="1">'Sales, Production, &amp; Other Assu'!$A$18:$CP$48</definedName>
    <definedName name="_ftn1" localSheetId="13">'Sales, Production, &amp; Other Assu'!#REF!</definedName>
    <definedName name="_ftnref1" localSheetId="13">'Sales, Production, &amp; Other Assu'!#REF!</definedName>
    <definedName name="Actual">(PeriodInActual*('[2]Project Planner'!$E1&gt;0))*PeriodInPlan</definedName>
    <definedName name="ActualBeyond">PeriodInActual*('[2]Project Planner'!$E1&gt;0)</definedName>
    <definedName name="Anual_Sales_Incment">'[1]Data&amp;Summary results'!$B$31</definedName>
    <definedName name="Beg_Bal" localSheetId="19">'Amortization Table 2'!$D$17:$D$376</definedName>
    <definedName name="Beg_Bal" localSheetId="20">'Amortization Table 3'!$D$17:$D$376</definedName>
    <definedName name="Beg_Bal" localSheetId="21">'Amortization Table 4'!$D$17:$D$376</definedName>
    <definedName name="Beg_Bal">'Amortization Table 1'!$D$17:$D$376</definedName>
    <definedName name="Capacity">'Summary. Assumptions. Inputs'!$I$28</definedName>
    <definedName name="Chkn_Cost_Kg">'[1]Data&amp;Summary results'!$B$22</definedName>
    <definedName name="Cum_Int" localSheetId="19">'Amortization Table 2'!$K$17:$K$376</definedName>
    <definedName name="Cum_Int" localSheetId="20">'Amortization Table 3'!$K$17:$K$376</definedName>
    <definedName name="Cum_Int" localSheetId="21">'Amortization Table 4'!$K$17:$K$376</definedName>
    <definedName name="Cum_Int">'Amortization Table 1'!$K$17:$K$376</definedName>
    <definedName name="D_Cost_Table">'Sales Volume, Cost of Productio'!$A$100:$P$102</definedName>
    <definedName name="Data" localSheetId="19">'Amortization Table 2'!$A$17:$K$376</definedName>
    <definedName name="Data" localSheetId="20">'Amortization Table 3'!$A$17:$K$376</definedName>
    <definedName name="Data" localSheetId="21">'Amortization Table 4'!$A$17:$K$376</definedName>
    <definedName name="Data">'Amortization Table 1'!$A$17:$K$376</definedName>
    <definedName name="Debt_Financing">'Summary. Assumptions. Inputs'!$I$31</definedName>
    <definedName name="End_Bal" localSheetId="19">'Amortization Table 2'!$J$17:$J$376</definedName>
    <definedName name="End_Bal" localSheetId="20">'Amortization Table 3'!$J$17:$J$376</definedName>
    <definedName name="End_Bal" localSheetId="21">'Amortization Table 4'!$J$17:$J$376</definedName>
    <definedName name="End_Bal">'Amortization Table 1'!$J$17:$J$376</definedName>
    <definedName name="Equity">'Summary. Assumptions. Inputs'!$I$30</definedName>
    <definedName name="EX_Rate">'[1]Data&amp;Summary results'!$B$37</definedName>
    <definedName name="Extra_Pay" localSheetId="19">'Amortization Table 2'!$F$17:$F$376</definedName>
    <definedName name="Extra_Pay" localSheetId="20">'Amortization Table 3'!$F$17:$F$376</definedName>
    <definedName name="Extra_Pay" localSheetId="21">'Amortization Table 4'!$F$17:$F$376</definedName>
    <definedName name="Extra_Pay">'Amortization Table 1'!$F$17:$F$376</definedName>
    <definedName name="Full_Print" localSheetId="19">'Amortization Table 2'!$A$1:$K$376</definedName>
    <definedName name="Full_Print" localSheetId="20">'Amortization Table 3'!$A$1:$K$376</definedName>
    <definedName name="Full_Print" localSheetId="21">'Amortization Table 4'!$A$1:$K$376</definedName>
    <definedName name="Full_Print">'Amortization Table 1'!$A$1:$K$376</definedName>
    <definedName name="FX_RATE">'Summary. Assumptions. Inputs'!$F$31</definedName>
    <definedName name="Grant_fixed_assets">'Summary. Assumptions. Inputs'!$I$38</definedName>
    <definedName name="Grant_opex">'Summary. Assumptions. Inputs'!$I$39</definedName>
    <definedName name="Header_Row" localSheetId="19">ROW('Amortization Table 2'!$16:$16)</definedName>
    <definedName name="Header_Row" localSheetId="20">ROW('Amortization Table 3'!$16:$16)</definedName>
    <definedName name="Header_Row" localSheetId="21">ROW('Amortization Table 4'!$16:$16)</definedName>
    <definedName name="Header_Row">ROW('Amortization Table 1'!$16:$16)</definedName>
    <definedName name="Int" localSheetId="19">'Amortization Table 2'!$I$17:$I$376</definedName>
    <definedName name="Int" localSheetId="20">'Amortization Table 3'!$I$17:$I$376</definedName>
    <definedName name="Int" localSheetId="21">'Amortization Table 4'!$I$17:$I$376</definedName>
    <definedName name="Int">'Amortization Table 1'!$I$17:$I$376</definedName>
    <definedName name="Interest_Rate" localSheetId="19">'Amortization Table 2'!$E$7</definedName>
    <definedName name="Interest_Rate" localSheetId="20">'Amortization Table 3'!$E$7</definedName>
    <definedName name="Interest_Rate" localSheetId="21">'Amortization Table 4'!$E$7</definedName>
    <definedName name="Interest_Rate">'Amortization Table 1'!$E$7</definedName>
    <definedName name="Last_Row" localSheetId="19">IF('Amortization Table 2'!Values_Entered,'Amortization Table 2'!Header_Row+'Amortization Table 2'!Number_of_Payments,'Amortization Table 2'!Header_Row)</definedName>
    <definedName name="Last_Row" localSheetId="20">IF('Amortization Table 3'!Values_Entered,'Amortization Table 3'!Header_Row+'Amortization Table 3'!Number_of_Payments,'Amortization Table 3'!Header_Row)</definedName>
    <definedName name="Last_Row" localSheetId="21">IF('Amortization Table 4'!Values_Entered,'Amortization Table 4'!Header_Row+'Amortization Table 4'!Number_of_Payments,'Amortization Table 4'!Header_Row)</definedName>
    <definedName name="Last_Row">IF(Values_Entered,Header_Row+Number_of_Payments,Header_Row)</definedName>
    <definedName name="Loan_Amount" localSheetId="19">'Amortization Table 2'!$E$6</definedName>
    <definedName name="Loan_Amount" localSheetId="20">'Amortization Table 3'!$E$6</definedName>
    <definedName name="Loan_Amount" localSheetId="21">'Amortization Table 4'!$E$6</definedName>
    <definedName name="Loan_Amount">'Amortization Table 1'!$E$6</definedName>
    <definedName name="Loan_Start" localSheetId="19">'Amortization Table 2'!$E$10</definedName>
    <definedName name="Loan_Start" localSheetId="20">'Amortization Table 3'!$E$10</definedName>
    <definedName name="Loan_Start" localSheetId="21">'Amortization Table 4'!$E$10</definedName>
    <definedName name="Loan_Start">'Amortization Table 1'!$E$10</definedName>
    <definedName name="Loan_Years" localSheetId="19">'Amortization Table 2'!$E$8</definedName>
    <definedName name="Loan_Years" localSheetId="20">'Amortization Table 3'!$E$8</definedName>
    <definedName name="Loan_Years" localSheetId="21">'Amortization Table 4'!$E$8</definedName>
    <definedName name="Loan_Years">'Amortization Table 1'!$E$8</definedName>
    <definedName name="Num_Pmt_Per_Year" localSheetId="19">'Amortization Table 2'!$E$9</definedName>
    <definedName name="Num_Pmt_Per_Year" localSheetId="20">'Amortization Table 3'!$E$9</definedName>
    <definedName name="Num_Pmt_Per_Year" localSheetId="21">'Amortization Table 4'!$E$9</definedName>
    <definedName name="Num_Pmt_Per_Year">'Amortization Table 1'!$E$9</definedName>
    <definedName name="Number_of_Payments" localSheetId="19">MATCH(0.01,'Amortization Table 2'!End_Bal,-1)+1</definedName>
    <definedName name="Number_of_Payments" localSheetId="20">MATCH(0.01,'Amortization Table 3'!End_Bal,-1)+1</definedName>
    <definedName name="Number_of_Payments" localSheetId="21">MATCH(0.01,'Amortization Table 4'!End_Bal,-1)+1</definedName>
    <definedName name="Number_of_Payments">MATCH(0.01,End_Bal,-1)+1</definedName>
    <definedName name="Pay_Date" localSheetId="19">'Amortization Table 2'!$C$17:$C$376</definedName>
    <definedName name="Pay_Date" localSheetId="20">'Amortization Table 3'!$C$17:$C$376</definedName>
    <definedName name="Pay_Date" localSheetId="21">'Amortization Table 4'!$C$17:$C$376</definedName>
    <definedName name="Pay_Date">'Amortization Table 1'!$C$17:$C$376</definedName>
    <definedName name="Pay_Num" localSheetId="19">'Amortization Table 2'!$A$17:$A$376</definedName>
    <definedName name="Pay_Num" localSheetId="20">'Amortization Table 3'!$A$17:$A$376</definedName>
    <definedName name="Pay_Num" localSheetId="21">'Amortization Table 4'!$A$17:$A$376</definedName>
    <definedName name="Pay_Num">'Amortization Table 1'!$A$17:$A$376</definedName>
    <definedName name="Payment_Date" localSheetId="19">DATE(YEAR('Amortization Table 2'!Loan_Start),MONTH('Amortization Table 2'!Loan_Start)+Payment_Number,DAY('Amortization Table 2'!Loan_Start))</definedName>
    <definedName name="Payment_Date" localSheetId="20">DATE(YEAR('Amortization Table 3'!Loan_Start),MONTH('Amortization Table 3'!Loan_Start)+Payment_Number,DAY('Amortization Table 3'!Loan_Start))</definedName>
    <definedName name="Payment_Date" localSheetId="21">DATE(YEAR('Amortization Table 4'!Loan_Start),MONTH('Amortization Table 4'!Loan_Start)+Payment_Number,DAY('Amortization Table 4'!Loan_Start))</definedName>
    <definedName name="Payment_Date">DATE(YEAR(Loan_Start),MONTH(Loan_Start)+Payment_Number,DAY(Loan_Start))</definedName>
    <definedName name="PEPoint">'Ratio Analysis'!#REF!</definedName>
    <definedName name="PercentComplete">PercentCompleteBeyond*PeriodInPlan</definedName>
    <definedName name="PercentCompleteBeyond">('[2]Project Planner'!A$5=MEDIAN('[2]Project Planner'!A$5,'[2]Project Planner'!$E1,'[2]Project Planner'!$E1+'[2]Project Planner'!$F1)*('[2]Project Planner'!$E1&gt;0))*(('[2]Project Planner'!A$5&lt;(INT('[2]Project Planner'!$E1+'[2]Project Planner'!$F1*'[2]Project Planner'!$G1)))+('[2]Project Planner'!A$5='[2]Project Planner'!$E1))*('[2]Project Planner'!$G1&gt;0)</definedName>
    <definedName name="period_selected">'[2]Project Planner'!$H$3</definedName>
    <definedName name="PeriodInActual">'[2]Project Planner'!A$5=MEDIAN('[2]Project Planner'!A$5,'[2]Project Planner'!$E1,'[2]Project Planner'!$E1+'[2]Project Planner'!$F1-1)</definedName>
    <definedName name="PeriodInPlan">'[2]Project Planner'!A$5=MEDIAN('[2]Project Planner'!A$5,'[2]Project Planner'!$C1,'[2]Project Planner'!$C1+'[2]Project Planner'!$D1-1)</definedName>
    <definedName name="Plan">PeriodInPlan*('[2]Project Planner'!$C1&gt;0)</definedName>
    <definedName name="Princ" localSheetId="19">'Amortization Table 2'!$H$17:$H$376</definedName>
    <definedName name="Princ" localSheetId="20">'Amortization Table 3'!$H$17:$H$376</definedName>
    <definedName name="Princ" localSheetId="21">'Amortization Table 4'!$H$17:$H$376</definedName>
    <definedName name="Princ">'Amortization Table 1'!$H$17:$H$376</definedName>
    <definedName name="_xlnm.Print_Area" localSheetId="18">'Amortization Table 1'!$A$1:$K$168</definedName>
    <definedName name="_xlnm.Print_Area" localSheetId="19">'Amortization Table 2'!$A$1:$K$168</definedName>
    <definedName name="_xlnm.Print_Area" localSheetId="20">'Amortization Table 3'!$A$1:$K$168</definedName>
    <definedName name="_xlnm.Print_Area" localSheetId="21">'Amortization Table 4'!$A$1:$K$168</definedName>
    <definedName name="_xlnm.Print_Area" localSheetId="9">'BEP. &amp; Summary Results'!$A$2:$Q$37</definedName>
    <definedName name="_xlnm.Print_Area" localSheetId="11">'Capital Expenditures'!$A$1:$K$38</definedName>
    <definedName name="_xlnm.Print_Area" localSheetId="12">'OPEREX, PAYROL'!$A$2:$R$52</definedName>
    <definedName name="_xlnm.Print_Area" localSheetId="14">'Production Matrix'!$A:$J</definedName>
    <definedName name="_xlnm.Print_Area" localSheetId="3">'Projected FS'!$A$1:$H$81</definedName>
    <definedName name="_xlnm.Print_Area" localSheetId="5">'Ratio Analysis'!$A$3:$G$77</definedName>
    <definedName name="_xlnm.Print_Area" localSheetId="10">'Sales Volume, Cost of Productio'!$2:$190</definedName>
    <definedName name="Print_Area_Reset" localSheetId="19">OFFSET('Amortization Table 2'!Full_Print,0,0,'Amortization Table 2'!Last_Row)</definedName>
    <definedName name="Print_Area_Reset" localSheetId="20">OFFSET('Amortization Table 3'!Full_Print,0,0,'Amortization Table 3'!Last_Row)</definedName>
    <definedName name="Print_Area_Reset" localSheetId="21">OFFSET('Amortization Table 4'!Full_Print,0,0,'Amortization Table 4'!Last_Row)</definedName>
    <definedName name="Print_Area_Reset">OFFSET(Full_Print,0,0,Last_Row)</definedName>
    <definedName name="_xlnm.Print_Titles" localSheetId="18">'Amortization Table 1'!$15:$15</definedName>
    <definedName name="_xlnm.Print_Titles" localSheetId="19">'Amortization Table 2'!$15:$15</definedName>
    <definedName name="_xlnm.Print_Titles" localSheetId="20">'Amortization Table 3'!$15:$15</definedName>
    <definedName name="_xlnm.Print_Titles" localSheetId="21">'Amortization Table 4'!$15:$15</definedName>
    <definedName name="_xlnm.Print_Titles" localSheetId="12">'OPEREX, PAYROL'!$2:$2</definedName>
    <definedName name="_xlnm.Print_Titles" localSheetId="3">'Projected FS'!$1:$3</definedName>
    <definedName name="Sched_Pay" localSheetId="19">'Amortization Table 2'!$E$17:$E$376</definedName>
    <definedName name="Sched_Pay" localSheetId="20">'Amortization Table 3'!$E$17:$E$376</definedName>
    <definedName name="Sched_Pay" localSheetId="21">'Amortization Table 4'!$E$17:$E$376</definedName>
    <definedName name="Sched_Pay">'Amortization Table 1'!$E$17:$E$376</definedName>
    <definedName name="Scheduled_Extra_Payments" localSheetId="19">'Amortization Table 2'!$E$11</definedName>
    <definedName name="Scheduled_Extra_Payments" localSheetId="20">'Amortization Table 3'!$E$11</definedName>
    <definedName name="Scheduled_Extra_Payments" localSheetId="21">'Amortization Table 4'!$E$11</definedName>
    <definedName name="Scheduled_Extra_Payments">'Amortization Table 1'!$E$11</definedName>
    <definedName name="Scheduled_Interest_Rate" localSheetId="19">'Amortization Table 2'!$E$7</definedName>
    <definedName name="Scheduled_Interest_Rate" localSheetId="20">'Amortization Table 3'!$E$7</definedName>
    <definedName name="Scheduled_Interest_Rate" localSheetId="21">'Amortization Table 4'!$E$7</definedName>
    <definedName name="Scheduled_Interest_Rate">'Amortization Table 1'!$E$7</definedName>
    <definedName name="Scheduled_Monthly_Payment" localSheetId="19">'Amortization Table 2'!$I$6</definedName>
    <definedName name="Scheduled_Monthly_Payment" localSheetId="20">'Amortization Table 3'!$I$6</definedName>
    <definedName name="Scheduled_Monthly_Payment" localSheetId="21">'Amortization Table 4'!$I$6</definedName>
    <definedName name="Scheduled_Monthly_Payment">'Amortization Table 1'!$I$6</definedName>
    <definedName name="solver_eng" localSheetId="1" hidden="1">1</definedName>
    <definedName name="solver_neg" localSheetId="1" hidden="1">1</definedName>
    <definedName name="solver_num" localSheetId="1" hidden="1">0</definedName>
    <definedName name="solver_opt" localSheetId="1" hidden="1">'Summary. Assumptions. Inputs'!$H$43</definedName>
    <definedName name="solver_typ" localSheetId="1" hidden="1">1</definedName>
    <definedName name="solver_val" localSheetId="1" hidden="1">0</definedName>
    <definedName name="solver_ver" localSheetId="1" hidden="1">3</definedName>
    <definedName name="Total_Interest" localSheetId="19">'Amortization Table 2'!$I$10</definedName>
    <definedName name="Total_Interest" localSheetId="20">'Amortization Table 3'!$I$10</definedName>
    <definedName name="Total_Interest" localSheetId="21">'Amortization Table 4'!$I$10</definedName>
    <definedName name="Total_Interest">'Amortization Table 1'!$I$10</definedName>
    <definedName name="Total_Pay" localSheetId="19">'Amortization Table 2'!$G$17:$G$376</definedName>
    <definedName name="Total_Pay" localSheetId="20">'Amortization Table 3'!$G$17:$G$376</definedName>
    <definedName name="Total_Pay" localSheetId="21">'Amortization Table 4'!$G$17:$G$376</definedName>
    <definedName name="Total_Pay">'Amortization Table 1'!$G$17:$G$376</definedName>
    <definedName name="Total_Payment" localSheetId="19">Scheduled_Payment+Extra_Payment</definedName>
    <definedName name="Total_Payment" localSheetId="20">Scheduled_Payment+Extra_Payment</definedName>
    <definedName name="Total_Payment" localSheetId="21">Scheduled_Payment+Extra_Payment</definedName>
    <definedName name="Total_Payment">Scheduled_Payment+Extra_Payment</definedName>
    <definedName name="Total_Sales_Table">#REF!</definedName>
    <definedName name="USD_RATE">'Summary. Assumptions. Inputs'!$F$31</definedName>
    <definedName name="Values_Entered" localSheetId="19">IF('Amortization Table 2'!Loan_Amount*'Amortization Table 2'!Interest_Rate*'Amortization Table 2'!Loan_Years*'Amortization Table 2'!Loan_Start&gt;0,1,0)</definedName>
    <definedName name="Values_Entered" localSheetId="20">IF('Amortization Table 3'!Loan_Amount*'Amortization Table 3'!Interest_Rate*'Amortization Table 3'!Loan_Years*'Amortization Table 3'!Loan_Start&gt;0,1,0)</definedName>
    <definedName name="Values_Entered" localSheetId="21">IF('Amortization Table 4'!Loan_Amount*'Amortization Table 4'!Interest_Rate*'Amortization Table 4'!Loan_Years*'Amortization Table 4'!Loan_Start&gt;0,1,0)</definedName>
    <definedName name="Values_Entered">IF(Loan_Amount*Interest_Rate*Loan_Years*Loan_Start&gt;0,1,0)</definedName>
    <definedName name="المبيعات" localSheetId="19">Table17[]</definedName>
    <definedName name="المبيعات" localSheetId="20">Table17[]</definedName>
    <definedName name="المبيعات" localSheetId="21">Table17[]</definedName>
    <definedName name="المبيعات">Table17[]</definedName>
    <definedName name="فرضيات_الدراسة">'Summary. Assumptions. Inputs'!$A$28:$C$43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9" i="38" l="1"/>
  <c r="H5" i="21"/>
  <c r="H4" i="21"/>
  <c r="CO21" i="21" l="1"/>
  <c r="CN21" i="21"/>
  <c r="CM21" i="21"/>
  <c r="CL21" i="21"/>
  <c r="CK21" i="21"/>
  <c r="CJ21" i="21"/>
  <c r="CI21" i="21"/>
  <c r="CH21" i="21"/>
  <c r="CG21" i="21"/>
  <c r="CF21" i="21"/>
  <c r="CE21" i="21"/>
  <c r="CD21" i="21"/>
  <c r="CB21" i="21"/>
  <c r="CA21" i="21"/>
  <c r="BZ21" i="21"/>
  <c r="BY21" i="21"/>
  <c r="BX21" i="21"/>
  <c r="BW21" i="21"/>
  <c r="BV21" i="21"/>
  <c r="BU21" i="21"/>
  <c r="BT21" i="21"/>
  <c r="BS21" i="21"/>
  <c r="BR21" i="21"/>
  <c r="BQ21" i="21"/>
  <c r="BO21" i="21"/>
  <c r="BN21" i="21"/>
  <c r="BM21" i="21"/>
  <c r="BL21" i="21"/>
  <c r="BK21" i="21"/>
  <c r="BJ21" i="21"/>
  <c r="BI21" i="21"/>
  <c r="BH21" i="21"/>
  <c r="BG21" i="21"/>
  <c r="BF21" i="21"/>
  <c r="BE21" i="21"/>
  <c r="BD21" i="21"/>
  <c r="BB21" i="21"/>
  <c r="BA21" i="21"/>
  <c r="AZ21" i="21"/>
  <c r="AY21" i="21"/>
  <c r="AX21" i="21"/>
  <c r="AW21" i="21"/>
  <c r="AV21" i="21"/>
  <c r="AU21" i="21"/>
  <c r="AT21" i="21"/>
  <c r="AS21" i="21"/>
  <c r="AR21" i="21"/>
  <c r="AQ21" i="21"/>
  <c r="AO21" i="21"/>
  <c r="AN21" i="21"/>
  <c r="AM21" i="21"/>
  <c r="AL21" i="21"/>
  <c r="AK21" i="21"/>
  <c r="AJ21" i="21"/>
  <c r="AI21" i="21"/>
  <c r="AH21" i="21"/>
  <c r="AG21" i="21"/>
  <c r="AF21" i="21"/>
  <c r="AE21" i="21"/>
  <c r="AD21" i="21"/>
  <c r="AB21" i="21"/>
  <c r="AA21" i="21"/>
  <c r="Z21" i="21"/>
  <c r="Y21" i="21"/>
  <c r="X21" i="21"/>
  <c r="W21" i="21"/>
  <c r="V21" i="21"/>
  <c r="U21" i="21"/>
  <c r="T21" i="21"/>
  <c r="S21" i="21"/>
  <c r="R21" i="21"/>
  <c r="Q21" i="21"/>
  <c r="O21" i="21"/>
  <c r="N21" i="21"/>
  <c r="M21" i="21"/>
  <c r="L21" i="21"/>
  <c r="K21" i="21"/>
  <c r="J21" i="21"/>
  <c r="I21" i="21"/>
  <c r="H21" i="21"/>
  <c r="G21" i="21"/>
  <c r="F21" i="21"/>
  <c r="E21" i="21"/>
  <c r="D21" i="21"/>
  <c r="CO19" i="21"/>
  <c r="CN19" i="21"/>
  <c r="CM19" i="21"/>
  <c r="CL19" i="21"/>
  <c r="CK19" i="21"/>
  <c r="CJ19" i="21"/>
  <c r="CI19" i="21"/>
  <c r="CH19" i="21"/>
  <c r="CG19" i="21"/>
  <c r="CF19" i="21"/>
  <c r="CE19" i="21"/>
  <c r="CD19" i="21"/>
  <c r="CB19" i="21"/>
  <c r="CA19" i="21"/>
  <c r="BZ19" i="21"/>
  <c r="BY19" i="21"/>
  <c r="BX19" i="21"/>
  <c r="BW19" i="21"/>
  <c r="BV19" i="21"/>
  <c r="BU19" i="21"/>
  <c r="BT19" i="21"/>
  <c r="BS19" i="21"/>
  <c r="BR19" i="21"/>
  <c r="BQ19" i="21"/>
  <c r="BO19" i="21"/>
  <c r="BN19" i="21"/>
  <c r="BM19" i="21"/>
  <c r="BL19" i="21"/>
  <c r="BK19" i="21"/>
  <c r="BJ19" i="21"/>
  <c r="BI19" i="21"/>
  <c r="BH19" i="21"/>
  <c r="BG19" i="21"/>
  <c r="BF19" i="21"/>
  <c r="BE19" i="21"/>
  <c r="BD19" i="21"/>
  <c r="BB19" i="21"/>
  <c r="BA19" i="21"/>
  <c r="AZ19" i="21"/>
  <c r="AY19" i="21"/>
  <c r="AX19" i="21"/>
  <c r="AW19" i="21"/>
  <c r="AV19" i="21"/>
  <c r="AU19" i="21"/>
  <c r="AT19" i="21"/>
  <c r="AS19" i="21"/>
  <c r="AR19" i="21"/>
  <c r="AQ19" i="21"/>
  <c r="AO19" i="21"/>
  <c r="AN19" i="21"/>
  <c r="AM19" i="21"/>
  <c r="AL19" i="21"/>
  <c r="AK19" i="21"/>
  <c r="AJ19" i="21"/>
  <c r="AI19" i="21"/>
  <c r="AH19" i="21"/>
  <c r="AG19" i="21"/>
  <c r="AF19" i="21"/>
  <c r="AE19" i="21"/>
  <c r="AD19" i="21"/>
  <c r="AB19" i="21"/>
  <c r="AA19" i="21"/>
  <c r="Z19" i="21"/>
  <c r="Y19" i="21"/>
  <c r="X19" i="21"/>
  <c r="W19" i="21"/>
  <c r="V19" i="21"/>
  <c r="U19" i="21"/>
  <c r="T19" i="21"/>
  <c r="S19" i="21"/>
  <c r="R19" i="21"/>
  <c r="Q19" i="21"/>
  <c r="O19" i="21"/>
  <c r="N19" i="21"/>
  <c r="M19" i="21"/>
  <c r="L19" i="21"/>
  <c r="K19" i="21"/>
  <c r="J19" i="21"/>
  <c r="I19" i="21"/>
  <c r="H19" i="21"/>
  <c r="G19" i="21"/>
  <c r="F19" i="21"/>
  <c r="E19" i="21"/>
  <c r="D19" i="21"/>
  <c r="H7" i="21"/>
  <c r="CO20" i="21"/>
  <c r="CN20" i="21"/>
  <c r="CM20" i="21"/>
  <c r="CL20" i="21"/>
  <c r="CK20" i="21"/>
  <c r="CJ20" i="21"/>
  <c r="CI20" i="21"/>
  <c r="CH20" i="21"/>
  <c r="CG20" i="21"/>
  <c r="CF20" i="21"/>
  <c r="CE20" i="21"/>
  <c r="CD20" i="21"/>
  <c r="CB20" i="21"/>
  <c r="CA20" i="21"/>
  <c r="BZ20" i="21"/>
  <c r="BY20" i="21"/>
  <c r="BX20" i="21"/>
  <c r="BW20" i="21"/>
  <c r="BV20" i="21"/>
  <c r="BU20" i="21"/>
  <c r="BT20" i="21"/>
  <c r="BS20" i="21"/>
  <c r="BR20" i="21"/>
  <c r="BQ20" i="21"/>
  <c r="BO20" i="21"/>
  <c r="BN20" i="21"/>
  <c r="BM20" i="21"/>
  <c r="BL20" i="21"/>
  <c r="BK20" i="21"/>
  <c r="BJ20" i="21"/>
  <c r="BI20" i="21"/>
  <c r="BH20" i="21"/>
  <c r="BG20" i="21"/>
  <c r="BF20" i="21"/>
  <c r="BE20" i="21"/>
  <c r="BD20" i="21"/>
  <c r="BB20" i="21"/>
  <c r="BA20" i="21"/>
  <c r="AZ20" i="21"/>
  <c r="AY20" i="21"/>
  <c r="AX20" i="21"/>
  <c r="AW20" i="21"/>
  <c r="AV20" i="21"/>
  <c r="AU20" i="21"/>
  <c r="AT20" i="21"/>
  <c r="AS20" i="21"/>
  <c r="AR20" i="21"/>
  <c r="AQ20" i="21"/>
  <c r="AO20" i="21"/>
  <c r="AN20" i="21"/>
  <c r="AM20" i="21"/>
  <c r="AL20" i="21"/>
  <c r="AK20" i="21"/>
  <c r="AJ20" i="21"/>
  <c r="AI20" i="21"/>
  <c r="AH20" i="21"/>
  <c r="AG20" i="21"/>
  <c r="AF20" i="21"/>
  <c r="AE20" i="21"/>
  <c r="AD20" i="21"/>
  <c r="AB20" i="21"/>
  <c r="AA20" i="21"/>
  <c r="Z20" i="21"/>
  <c r="Y20" i="21"/>
  <c r="X20" i="21"/>
  <c r="W20" i="21"/>
  <c r="V20" i="21"/>
  <c r="U20" i="21"/>
  <c r="T20" i="21"/>
  <c r="S20" i="21"/>
  <c r="R20" i="21"/>
  <c r="Q20" i="21"/>
  <c r="O20" i="21"/>
  <c r="N20" i="21"/>
  <c r="M20" i="21"/>
  <c r="L20" i="21"/>
  <c r="K20" i="21"/>
  <c r="J20" i="21"/>
  <c r="I20" i="21"/>
  <c r="H20" i="21"/>
  <c r="G20" i="21"/>
  <c r="F20" i="21"/>
  <c r="E20" i="21"/>
  <c r="D20" i="21"/>
  <c r="F6" i="17"/>
  <c r="G6" i="17"/>
  <c r="B61" i="4"/>
  <c r="F14" i="21" l="1"/>
  <c r="F13" i="21"/>
  <c r="F12" i="21"/>
  <c r="F11" i="21"/>
  <c r="F10" i="21"/>
  <c r="F9" i="21"/>
  <c r="F8" i="21"/>
  <c r="F7" i="21"/>
  <c r="F6" i="21"/>
  <c r="F5" i="21"/>
  <c r="S14" i="21"/>
  <c r="S13" i="21"/>
  <c r="S12" i="21"/>
  <c r="S11" i="21"/>
  <c r="S10" i="21"/>
  <c r="S9" i="21"/>
  <c r="S8" i="21"/>
  <c r="S7" i="21"/>
  <c r="S6" i="21"/>
  <c r="S5" i="21"/>
  <c r="B6" i="21"/>
  <c r="C15" i="38"/>
  <c r="B11" i="38"/>
  <c r="C11" i="38" s="1"/>
  <c r="B45" i="22"/>
  <c r="C44" i="22"/>
  <c r="C43" i="22"/>
  <c r="B29" i="22"/>
  <c r="F39" i="1" s="1"/>
  <c r="B46" i="22" s="1"/>
  <c r="C36" i="22"/>
  <c r="C35" i="22"/>
  <c r="C34" i="22"/>
  <c r="C33" i="22"/>
  <c r="G55" i="17" l="1"/>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54"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73" i="17"/>
  <c r="A74" i="17"/>
  <c r="A75" i="17"/>
  <c r="A76" i="17"/>
  <c r="A77" i="17"/>
  <c r="A78" i="17"/>
  <c r="A79" i="17"/>
  <c r="A80" i="17"/>
  <c r="A50" i="17"/>
  <c r="A51" i="17"/>
  <c r="A52" i="17"/>
  <c r="A53" i="17"/>
  <c r="A54" i="17"/>
  <c r="A55" i="17"/>
  <c r="A56" i="17"/>
  <c r="A57" i="17"/>
  <c r="A58" i="17"/>
  <c r="A59" i="17"/>
  <c r="A60" i="17"/>
  <c r="A61" i="17"/>
  <c r="A62" i="17"/>
  <c r="A63" i="17"/>
  <c r="A64" i="17"/>
  <c r="A65" i="17"/>
  <c r="A66" i="17"/>
  <c r="A67" i="17"/>
  <c r="A68" i="17"/>
  <c r="A69" i="17"/>
  <c r="A70" i="17"/>
  <c r="A71" i="17"/>
  <c r="A72" i="17"/>
  <c r="A49" i="17"/>
  <c r="G36" i="17"/>
  <c r="G33" i="17"/>
  <c r="G32" i="17"/>
  <c r="G29" i="17"/>
  <c r="G28" i="17"/>
  <c r="G30" i="17"/>
  <c r="G31" i="17"/>
  <c r="G34" i="17"/>
  <c r="G26" i="17"/>
  <c r="G25" i="17"/>
  <c r="G27" i="17"/>
  <c r="G23" i="17"/>
  <c r="G11" i="17"/>
  <c r="G22" i="17"/>
  <c r="G16" i="17"/>
  <c r="G5" i="17"/>
  <c r="G7" i="17"/>
  <c r="G8" i="17"/>
  <c r="G9" i="17"/>
  <c r="G10" i="17"/>
  <c r="G12" i="17"/>
  <c r="G13" i="17"/>
  <c r="G14" i="17"/>
  <c r="G15" i="17"/>
  <c r="G17" i="17"/>
  <c r="G18" i="17"/>
  <c r="G19" i="17"/>
  <c r="G20" i="17"/>
  <c r="G21" i="17"/>
  <c r="G24" i="17"/>
  <c r="G35" i="17"/>
  <c r="G37" i="17"/>
  <c r="G100" i="17"/>
  <c r="I100" i="17"/>
  <c r="I101" i="17"/>
  <c r="I102" i="17"/>
  <c r="G102" i="17" l="1"/>
  <c r="G101" i="17"/>
  <c r="C46" i="4"/>
  <c r="B19" i="4"/>
  <c r="B18" i="4"/>
  <c r="B17" i="4"/>
  <c r="J12" i="38" l="1"/>
  <c r="J11" i="38"/>
  <c r="J10" i="38"/>
  <c r="F12" i="38"/>
  <c r="F11" i="38"/>
  <c r="F10" i="38"/>
  <c r="B12" i="38"/>
  <c r="B10" i="38"/>
  <c r="G53" i="17" l="1"/>
  <c r="G52" i="17"/>
  <c r="G51" i="17"/>
  <c r="G50" i="17"/>
  <c r="H6" i="26"/>
  <c r="C138" i="9"/>
  <c r="I201" i="9"/>
  <c r="I194" i="9"/>
  <c r="I126" i="9"/>
  <c r="I119" i="9"/>
  <c r="I50" i="9"/>
  <c r="I43" i="9"/>
  <c r="H201" i="9"/>
  <c r="H194" i="9"/>
  <c r="H126" i="9"/>
  <c r="H119" i="9"/>
  <c r="H50" i="9"/>
  <c r="H43" i="9"/>
  <c r="G18" i="38"/>
  <c r="K18" i="38" s="1"/>
  <c r="G16" i="38"/>
  <c r="K16" i="38" s="1"/>
  <c r="G15" i="38"/>
  <c r="G11" i="38"/>
  <c r="K11" i="38" s="1"/>
  <c r="G17" i="38" l="1"/>
  <c r="K15" i="38"/>
  <c r="K17" i="38" s="1"/>
  <c r="C10" i="38"/>
  <c r="G10" i="38" s="1"/>
  <c r="K10" i="38" s="1"/>
  <c r="C17" i="38"/>
  <c r="C14" i="26" l="1"/>
  <c r="D14" i="26" s="1"/>
  <c r="E14" i="26" s="1"/>
  <c r="D9" i="15" l="1"/>
  <c r="D12" i="15"/>
  <c r="D15" i="15"/>
  <c r="D18" i="15"/>
  <c r="D21" i="15"/>
  <c r="D24" i="15"/>
  <c r="D27" i="15"/>
  <c r="D30" i="15"/>
  <c r="D33" i="15"/>
  <c r="D36" i="15"/>
  <c r="D39" i="15"/>
  <c r="D42" i="15"/>
  <c r="D45" i="15"/>
  <c r="D48" i="15"/>
  <c r="D51" i="15"/>
  <c r="D54" i="15"/>
  <c r="D57" i="15"/>
  <c r="D60" i="15"/>
  <c r="D63" i="15"/>
  <c r="D66" i="15"/>
  <c r="D69" i="15"/>
  <c r="D72" i="15"/>
  <c r="D75" i="15"/>
  <c r="D78" i="15"/>
  <c r="D81" i="15"/>
  <c r="D84" i="15"/>
  <c r="D87" i="15"/>
  <c r="D90" i="15"/>
  <c r="D93" i="15"/>
  <c r="E6" i="15"/>
  <c r="E9" i="15"/>
  <c r="E12" i="15"/>
  <c r="E15" i="15"/>
  <c r="E18" i="15"/>
  <c r="E21" i="15"/>
  <c r="E24" i="15"/>
  <c r="E27" i="15"/>
  <c r="E30" i="15"/>
  <c r="E33" i="15"/>
  <c r="E36" i="15"/>
  <c r="E39" i="15"/>
  <c r="E42" i="15"/>
  <c r="E45" i="15"/>
  <c r="E48" i="15"/>
  <c r="E51" i="15"/>
  <c r="E54" i="15"/>
  <c r="E57" i="15"/>
  <c r="E60" i="15"/>
  <c r="E63" i="15"/>
  <c r="E66" i="15"/>
  <c r="E69" i="15"/>
  <c r="E72" i="15"/>
  <c r="E75" i="15"/>
  <c r="E78" i="15"/>
  <c r="E81" i="15"/>
  <c r="E84" i="15"/>
  <c r="E87" i="15"/>
  <c r="E90" i="15"/>
  <c r="E93" i="15"/>
  <c r="F6" i="15"/>
  <c r="F9" i="15"/>
  <c r="F12" i="15"/>
  <c r="F15" i="15"/>
  <c r="F18" i="15"/>
  <c r="F21" i="15"/>
  <c r="F24" i="15"/>
  <c r="F27" i="15"/>
  <c r="F30" i="15"/>
  <c r="F33" i="15"/>
  <c r="F36" i="15"/>
  <c r="F39" i="15"/>
  <c r="F42" i="15"/>
  <c r="F45" i="15"/>
  <c r="F48" i="15"/>
  <c r="F51" i="15"/>
  <c r="F54" i="15"/>
  <c r="F57" i="15"/>
  <c r="F60" i="15"/>
  <c r="F63" i="15"/>
  <c r="F66" i="15"/>
  <c r="F69" i="15"/>
  <c r="F72" i="15"/>
  <c r="F75" i="15"/>
  <c r="F78" i="15"/>
  <c r="F81" i="15"/>
  <c r="F84" i="15"/>
  <c r="F87" i="15"/>
  <c r="F90" i="15"/>
  <c r="F93" i="15"/>
  <c r="G6" i="15"/>
  <c r="G9" i="15"/>
  <c r="G12" i="15"/>
  <c r="G15" i="15"/>
  <c r="G18" i="15"/>
  <c r="G21" i="15"/>
  <c r="G24" i="15"/>
  <c r="G27" i="15"/>
  <c r="G30" i="15"/>
  <c r="G33" i="15"/>
  <c r="G36" i="15"/>
  <c r="G39" i="15"/>
  <c r="G42" i="15"/>
  <c r="G45" i="15"/>
  <c r="G48" i="15"/>
  <c r="G51" i="15"/>
  <c r="G54" i="15"/>
  <c r="G57" i="15"/>
  <c r="G60" i="15"/>
  <c r="G63" i="15"/>
  <c r="G66" i="15"/>
  <c r="G69" i="15"/>
  <c r="G72" i="15"/>
  <c r="G75" i="15"/>
  <c r="G78" i="15"/>
  <c r="G81" i="15"/>
  <c r="G84" i="15"/>
  <c r="G87" i="15"/>
  <c r="G90" i="15"/>
  <c r="G93" i="15"/>
  <c r="H6" i="15"/>
  <c r="H9" i="15"/>
  <c r="H12" i="15"/>
  <c r="H15" i="15"/>
  <c r="H18" i="15"/>
  <c r="H21" i="15"/>
  <c r="H24" i="15"/>
  <c r="H27" i="15"/>
  <c r="H30" i="15"/>
  <c r="H33" i="15"/>
  <c r="H36" i="15"/>
  <c r="H39" i="15"/>
  <c r="H42" i="15"/>
  <c r="H45" i="15"/>
  <c r="H48" i="15"/>
  <c r="H51" i="15"/>
  <c r="H54" i="15"/>
  <c r="H57" i="15"/>
  <c r="H60" i="15"/>
  <c r="H63" i="15"/>
  <c r="H66" i="15"/>
  <c r="H69" i="15"/>
  <c r="H72" i="15"/>
  <c r="H75" i="15"/>
  <c r="H78" i="15"/>
  <c r="H81" i="15"/>
  <c r="H84" i="15"/>
  <c r="H87" i="15"/>
  <c r="H90" i="15"/>
  <c r="H93" i="15"/>
  <c r="I6" i="15"/>
  <c r="I9" i="15"/>
  <c r="I12" i="15"/>
  <c r="I15" i="15"/>
  <c r="I18" i="15"/>
  <c r="I21" i="15"/>
  <c r="I24" i="15"/>
  <c r="I27" i="15"/>
  <c r="I30" i="15"/>
  <c r="I33" i="15"/>
  <c r="I36" i="15"/>
  <c r="I39" i="15"/>
  <c r="I42" i="15"/>
  <c r="I45" i="15"/>
  <c r="I48" i="15"/>
  <c r="I51" i="15"/>
  <c r="I54" i="15"/>
  <c r="I57" i="15"/>
  <c r="I60" i="15"/>
  <c r="I63" i="15"/>
  <c r="I66" i="15"/>
  <c r="I69" i="15"/>
  <c r="I72" i="15"/>
  <c r="I75" i="15"/>
  <c r="I78" i="15"/>
  <c r="I81" i="15"/>
  <c r="I84" i="15"/>
  <c r="I87" i="15"/>
  <c r="I90" i="15"/>
  <c r="I93" i="15"/>
  <c r="J6" i="15"/>
  <c r="J9" i="15"/>
  <c r="J12" i="15"/>
  <c r="J15" i="15"/>
  <c r="J18" i="15"/>
  <c r="J21" i="15"/>
  <c r="J24" i="15"/>
  <c r="J27" i="15"/>
  <c r="J30" i="15"/>
  <c r="J33" i="15"/>
  <c r="J36" i="15"/>
  <c r="J39" i="15"/>
  <c r="J42" i="15"/>
  <c r="J45" i="15"/>
  <c r="J48" i="15"/>
  <c r="J51" i="15"/>
  <c r="J54" i="15"/>
  <c r="J57" i="15"/>
  <c r="J60" i="15"/>
  <c r="J63" i="15"/>
  <c r="J66" i="15"/>
  <c r="J69" i="15"/>
  <c r="J72" i="15"/>
  <c r="J75" i="15"/>
  <c r="J78" i="15"/>
  <c r="J81" i="15"/>
  <c r="J84" i="15"/>
  <c r="J87" i="15"/>
  <c r="J90" i="15"/>
  <c r="J93" i="15"/>
  <c r="K6" i="15"/>
  <c r="K9" i="15"/>
  <c r="K12" i="15"/>
  <c r="K15" i="15"/>
  <c r="K18" i="15"/>
  <c r="K21" i="15"/>
  <c r="K24" i="15"/>
  <c r="K27" i="15"/>
  <c r="K30" i="15"/>
  <c r="K33" i="15"/>
  <c r="K36" i="15"/>
  <c r="K39" i="15"/>
  <c r="K42" i="15"/>
  <c r="K45" i="15"/>
  <c r="K48" i="15"/>
  <c r="K51" i="15"/>
  <c r="K54" i="15"/>
  <c r="K57" i="15"/>
  <c r="K60" i="15"/>
  <c r="K63" i="15"/>
  <c r="K66" i="15"/>
  <c r="K69" i="15"/>
  <c r="K72" i="15"/>
  <c r="K75" i="15"/>
  <c r="K78" i="15"/>
  <c r="K81" i="15"/>
  <c r="K84" i="15"/>
  <c r="K87" i="15"/>
  <c r="K90" i="15"/>
  <c r="K93" i="15"/>
  <c r="L6" i="15"/>
  <c r="L9" i="15"/>
  <c r="L12" i="15"/>
  <c r="L15" i="15"/>
  <c r="L18" i="15"/>
  <c r="L21" i="15"/>
  <c r="L24" i="15"/>
  <c r="L27" i="15"/>
  <c r="L30" i="15"/>
  <c r="L33" i="15"/>
  <c r="L36" i="15"/>
  <c r="L39" i="15"/>
  <c r="L42" i="15"/>
  <c r="L45" i="15"/>
  <c r="L48" i="15"/>
  <c r="L51" i="15"/>
  <c r="L54" i="15"/>
  <c r="L57" i="15"/>
  <c r="L60" i="15"/>
  <c r="L63" i="15"/>
  <c r="L66" i="15"/>
  <c r="L69" i="15"/>
  <c r="L72" i="15"/>
  <c r="L75" i="15"/>
  <c r="L78" i="15"/>
  <c r="L81" i="15"/>
  <c r="L84" i="15"/>
  <c r="L87" i="15"/>
  <c r="L90" i="15"/>
  <c r="L93" i="15"/>
  <c r="M6" i="15"/>
  <c r="M9" i="15"/>
  <c r="M12" i="15"/>
  <c r="M15" i="15"/>
  <c r="M18" i="15"/>
  <c r="M21" i="15"/>
  <c r="M24" i="15"/>
  <c r="M27" i="15"/>
  <c r="M30" i="15"/>
  <c r="M33" i="15"/>
  <c r="M36" i="15"/>
  <c r="M39" i="15"/>
  <c r="M42" i="15"/>
  <c r="M45" i="15"/>
  <c r="M48" i="15"/>
  <c r="M51" i="15"/>
  <c r="M54" i="15"/>
  <c r="M57" i="15"/>
  <c r="M60" i="15"/>
  <c r="M63" i="15"/>
  <c r="M66" i="15"/>
  <c r="M69" i="15"/>
  <c r="M72" i="15"/>
  <c r="M75" i="15"/>
  <c r="M78" i="15"/>
  <c r="M81" i="15"/>
  <c r="M84" i="15"/>
  <c r="M87" i="15"/>
  <c r="M90" i="15"/>
  <c r="M93" i="15"/>
  <c r="N6" i="15"/>
  <c r="N9" i="15"/>
  <c r="N12" i="15"/>
  <c r="N15" i="15"/>
  <c r="N18" i="15"/>
  <c r="N21" i="15"/>
  <c r="N24" i="15"/>
  <c r="N27" i="15"/>
  <c r="N30" i="15"/>
  <c r="N33" i="15"/>
  <c r="N36" i="15"/>
  <c r="N39" i="15"/>
  <c r="N42" i="15"/>
  <c r="N45" i="15"/>
  <c r="N48" i="15"/>
  <c r="N51" i="15"/>
  <c r="N54" i="15"/>
  <c r="N57" i="15"/>
  <c r="N60" i="15"/>
  <c r="N63" i="15"/>
  <c r="N66" i="15"/>
  <c r="N69" i="15"/>
  <c r="N72" i="15"/>
  <c r="N75" i="15"/>
  <c r="N78" i="15"/>
  <c r="N81" i="15"/>
  <c r="N84" i="15"/>
  <c r="N87" i="15"/>
  <c r="N90" i="15"/>
  <c r="N93" i="15"/>
  <c r="O6" i="15"/>
  <c r="O9" i="15"/>
  <c r="O12" i="15"/>
  <c r="O15" i="15"/>
  <c r="O18" i="15"/>
  <c r="O21" i="15"/>
  <c r="O24" i="15"/>
  <c r="O27" i="15"/>
  <c r="O30" i="15"/>
  <c r="O33" i="15"/>
  <c r="O36" i="15"/>
  <c r="O39" i="15"/>
  <c r="O42" i="15"/>
  <c r="O45" i="15"/>
  <c r="O48" i="15"/>
  <c r="O51" i="15"/>
  <c r="O54" i="15"/>
  <c r="O57" i="15"/>
  <c r="O60" i="15"/>
  <c r="O63" i="15"/>
  <c r="O66" i="15"/>
  <c r="O69" i="15"/>
  <c r="O72" i="15"/>
  <c r="O75" i="15"/>
  <c r="O78" i="15"/>
  <c r="O81" i="15"/>
  <c r="O84" i="15"/>
  <c r="O87" i="15"/>
  <c r="O90" i="15"/>
  <c r="O93" i="15"/>
  <c r="F31" i="1"/>
  <c r="AB22" i="21"/>
  <c r="AB58" i="21" s="1"/>
  <c r="AB109" i="15" s="1"/>
  <c r="AB23" i="21"/>
  <c r="AB24" i="21"/>
  <c r="AB25" i="21"/>
  <c r="AB26" i="21"/>
  <c r="AB27" i="21"/>
  <c r="AB63" i="21" s="1"/>
  <c r="AB124" i="15" s="1"/>
  <c r="AB28" i="21"/>
  <c r="AB29" i="21"/>
  <c r="AB30" i="21"/>
  <c r="AO30" i="21" s="1"/>
  <c r="BB30" i="21" s="1"/>
  <c r="BB66" i="21" s="1"/>
  <c r="BB133" i="15" s="1"/>
  <c r="AB31" i="21"/>
  <c r="AA67" i="21" s="1"/>
  <c r="AA136" i="15" s="1"/>
  <c r="AB32" i="21"/>
  <c r="AB33" i="21"/>
  <c r="AB34" i="21"/>
  <c r="AA70" i="21" s="1"/>
  <c r="AA145" i="15" s="1"/>
  <c r="AB35" i="21"/>
  <c r="AB71" i="21" s="1"/>
  <c r="AB148" i="15" s="1"/>
  <c r="AB36" i="21"/>
  <c r="AB72" i="21" s="1"/>
  <c r="AB151" i="15" s="1"/>
  <c r="AB37" i="21"/>
  <c r="AB38" i="21"/>
  <c r="AB39" i="21"/>
  <c r="AA75" i="21" s="1"/>
  <c r="AA160" i="15" s="1"/>
  <c r="AB40" i="21"/>
  <c r="AB41" i="21"/>
  <c r="AB42" i="21"/>
  <c r="AB43" i="21"/>
  <c r="AB44" i="21"/>
  <c r="AA80" i="21" s="1"/>
  <c r="AA175" i="15" s="1"/>
  <c r="AB45" i="21"/>
  <c r="AB46" i="21"/>
  <c r="AO46" i="21" s="1"/>
  <c r="AB47" i="21"/>
  <c r="CO93" i="15"/>
  <c r="AA22" i="21"/>
  <c r="AN22" i="21" s="1"/>
  <c r="AM58" i="21" s="1"/>
  <c r="AM109" i="15" s="1"/>
  <c r="AA23" i="21"/>
  <c r="AN23" i="21" s="1"/>
  <c r="BA23" i="21" s="1"/>
  <c r="AA24" i="21"/>
  <c r="AA25" i="21"/>
  <c r="AA26" i="21"/>
  <c r="AN26" i="21" s="1"/>
  <c r="BA26" i="21" s="1"/>
  <c r="BN26" i="21" s="1"/>
  <c r="CA26" i="21" s="1"/>
  <c r="CN26" i="21" s="1"/>
  <c r="CN27" i="15" s="1"/>
  <c r="AA27" i="21"/>
  <c r="AN27" i="21" s="1"/>
  <c r="AM63" i="21" s="1"/>
  <c r="AM124" i="15" s="1"/>
  <c r="AA28" i="21"/>
  <c r="AA29" i="21"/>
  <c r="AA30" i="21"/>
  <c r="AN30" i="21" s="1"/>
  <c r="BA30" i="21" s="1"/>
  <c r="BN30" i="21" s="1"/>
  <c r="CA30" i="21" s="1"/>
  <c r="CN30" i="21" s="1"/>
  <c r="CN39" i="15" s="1"/>
  <c r="AA31" i="21"/>
  <c r="AA42" i="15" s="1"/>
  <c r="AA32" i="21"/>
  <c r="AA33" i="21"/>
  <c r="AA34" i="21"/>
  <c r="AN34" i="21" s="1"/>
  <c r="AA35" i="21"/>
  <c r="AN35" i="21" s="1"/>
  <c r="AA36" i="21"/>
  <c r="AA37" i="21"/>
  <c r="Z73" i="21" s="1"/>
  <c r="Z154" i="15" s="1"/>
  <c r="AA38" i="21"/>
  <c r="AN38" i="21" s="1"/>
  <c r="AM74" i="21" s="1"/>
  <c r="AM157" i="15" s="1"/>
  <c r="AA39" i="21"/>
  <c r="Z75" i="21" s="1"/>
  <c r="Z160" i="15" s="1"/>
  <c r="AA40" i="21"/>
  <c r="AA41" i="21"/>
  <c r="AA42" i="21"/>
  <c r="AN42" i="21" s="1"/>
  <c r="AM78" i="21" s="1"/>
  <c r="AM169" i="15" s="1"/>
  <c r="AA43" i="21"/>
  <c r="AN43" i="21" s="1"/>
  <c r="BA43" i="21" s="1"/>
  <c r="AZ79" i="21" s="1"/>
  <c r="AZ172" i="15" s="1"/>
  <c r="AA44" i="21"/>
  <c r="AA45" i="21"/>
  <c r="AA46" i="21"/>
  <c r="AN46" i="21" s="1"/>
  <c r="AM82" i="21" s="1"/>
  <c r="AM181" i="15" s="1"/>
  <c r="AA47" i="21"/>
  <c r="AN47" i="21" s="1"/>
  <c r="BA47" i="21" s="1"/>
  <c r="BN47" i="21" s="1"/>
  <c r="CA47" i="21" s="1"/>
  <c r="CN47" i="21" s="1"/>
  <c r="CN90" i="15" s="1"/>
  <c r="CN93" i="15"/>
  <c r="Z12" i="15"/>
  <c r="Z22" i="21"/>
  <c r="Z23" i="21"/>
  <c r="Z24" i="21"/>
  <c r="Z25" i="21"/>
  <c r="Y61" i="21" s="1"/>
  <c r="Y118" i="15" s="1"/>
  <c r="Z26" i="21"/>
  <c r="Z27" i="21"/>
  <c r="AM27" i="21" s="1"/>
  <c r="AL63" i="21" s="1"/>
  <c r="AL124" i="15" s="1"/>
  <c r="Z28" i="21"/>
  <c r="Z29" i="21"/>
  <c r="Z30" i="21"/>
  <c r="Z31" i="21"/>
  <c r="AM31" i="21" s="1"/>
  <c r="AL67" i="21" s="1"/>
  <c r="AL136" i="15" s="1"/>
  <c r="Z32" i="21"/>
  <c r="Z33" i="21"/>
  <c r="Z34" i="21"/>
  <c r="Z35" i="21"/>
  <c r="AM35" i="21" s="1"/>
  <c r="AL71" i="21" s="1"/>
  <c r="AL148" i="15" s="1"/>
  <c r="Z36" i="21"/>
  <c r="Z37" i="21"/>
  <c r="Z38" i="21"/>
  <c r="Z39" i="21"/>
  <c r="AM39" i="21" s="1"/>
  <c r="AZ39" i="21" s="1"/>
  <c r="BM39" i="21" s="1"/>
  <c r="BL75" i="21" s="1"/>
  <c r="BL160" i="15" s="1"/>
  <c r="Z40" i="21"/>
  <c r="Z41" i="21"/>
  <c r="Z42" i="21"/>
  <c r="AM42" i="21" s="1"/>
  <c r="Z43" i="21"/>
  <c r="AM43" i="21" s="1"/>
  <c r="AL79" i="21" s="1"/>
  <c r="AL172" i="15" s="1"/>
  <c r="Z44" i="21"/>
  <c r="Z45" i="21"/>
  <c r="Z46" i="21"/>
  <c r="Y82" i="21" s="1"/>
  <c r="Y181" i="15" s="1"/>
  <c r="Z47" i="21"/>
  <c r="AM47" i="21" s="1"/>
  <c r="AZ47" i="21" s="1"/>
  <c r="BM47" i="21" s="1"/>
  <c r="BL83" i="21" s="1"/>
  <c r="BL184" i="15" s="1"/>
  <c r="CM93" i="15"/>
  <c r="AX57" i="21"/>
  <c r="AX106" i="15" s="1"/>
  <c r="Y22" i="21"/>
  <c r="AL22" i="21" s="1"/>
  <c r="AY22" i="21" s="1"/>
  <c r="Y23" i="21"/>
  <c r="Y24" i="21"/>
  <c r="X60" i="21" s="1"/>
  <c r="X115" i="15" s="1"/>
  <c r="Y25" i="21"/>
  <c r="AL25" i="21" s="1"/>
  <c r="AK61" i="21" s="1"/>
  <c r="AK118" i="15" s="1"/>
  <c r="Y26" i="21"/>
  <c r="AL26" i="21" s="1"/>
  <c r="Y27" i="21"/>
  <c r="Y28" i="21"/>
  <c r="Y29" i="21"/>
  <c r="AL29" i="21" s="1"/>
  <c r="AY29" i="21" s="1"/>
  <c r="BL29" i="21" s="1"/>
  <c r="BY29" i="21" s="1"/>
  <c r="CL29" i="21" s="1"/>
  <c r="CL36" i="15" s="1"/>
  <c r="Y30" i="21"/>
  <c r="AL30" i="21" s="1"/>
  <c r="Y31" i="21"/>
  <c r="Y32" i="21"/>
  <c r="Y33" i="21"/>
  <c r="AL33" i="21" s="1"/>
  <c r="Y34" i="21"/>
  <c r="AL34" i="21" s="1"/>
  <c r="Y35" i="21"/>
  <c r="Y36" i="21"/>
  <c r="Y37" i="21"/>
  <c r="AL37" i="21" s="1"/>
  <c r="Y38" i="21"/>
  <c r="AL38" i="21" s="1"/>
  <c r="Y39" i="21"/>
  <c r="Y40" i="21"/>
  <c r="Y41" i="21"/>
  <c r="AL41" i="21" s="1"/>
  <c r="AK77" i="21" s="1"/>
  <c r="AK166" i="15" s="1"/>
  <c r="Y42" i="21"/>
  <c r="AL42" i="21" s="1"/>
  <c r="Y43" i="21"/>
  <c r="Y44" i="21"/>
  <c r="Y45" i="21"/>
  <c r="AL45" i="21" s="1"/>
  <c r="AL84" i="15" s="1"/>
  <c r="Y46" i="21"/>
  <c r="AL46" i="21" s="1"/>
  <c r="AK82" i="21" s="1"/>
  <c r="AK181" i="15" s="1"/>
  <c r="Y47" i="21"/>
  <c r="CL93" i="15"/>
  <c r="X22" i="21"/>
  <c r="X23" i="21"/>
  <c r="AK23" i="21" s="1"/>
  <c r="AJ59" i="21" s="1"/>
  <c r="AJ112" i="15" s="1"/>
  <c r="X24" i="21"/>
  <c r="X25" i="21"/>
  <c r="X26" i="21"/>
  <c r="X27" i="15" s="1"/>
  <c r="X27" i="21"/>
  <c r="AK27" i="21" s="1"/>
  <c r="AX27" i="21" s="1"/>
  <c r="AW63" i="21" s="1"/>
  <c r="AW124" i="15" s="1"/>
  <c r="X28" i="21"/>
  <c r="X29" i="21"/>
  <c r="X30" i="21"/>
  <c r="X31" i="21"/>
  <c r="AK31" i="21" s="1"/>
  <c r="AX31" i="21" s="1"/>
  <c r="BK31" i="21" s="1"/>
  <c r="BX31" i="21" s="1"/>
  <c r="CK31" i="21" s="1"/>
  <c r="CK42" i="15" s="1"/>
  <c r="X32" i="21"/>
  <c r="W68" i="21" s="1"/>
  <c r="W139" i="15" s="1"/>
  <c r="X33" i="21"/>
  <c r="X34" i="21"/>
  <c r="W70" i="21" s="1"/>
  <c r="W145" i="15" s="1"/>
  <c r="X35" i="21"/>
  <c r="AK35" i="21" s="1"/>
  <c r="AJ71" i="21" s="1"/>
  <c r="AJ148" i="15" s="1"/>
  <c r="X36" i="21"/>
  <c r="X37" i="21"/>
  <c r="W73" i="21" s="1"/>
  <c r="W154" i="15" s="1"/>
  <c r="X38" i="21"/>
  <c r="AK38" i="21" s="1"/>
  <c r="AJ74" i="21" s="1"/>
  <c r="AJ157" i="15" s="1"/>
  <c r="X39" i="21"/>
  <c r="AK39" i="21" s="1"/>
  <c r="X40" i="21"/>
  <c r="X41" i="21"/>
  <c r="W77" i="21" s="1"/>
  <c r="W166" i="15" s="1"/>
  <c r="X42" i="21"/>
  <c r="X43" i="21"/>
  <c r="X44" i="21"/>
  <c r="X45" i="21"/>
  <c r="X46" i="21"/>
  <c r="X47" i="21"/>
  <c r="CK93" i="15"/>
  <c r="W22" i="21"/>
  <c r="V58" i="21" s="1"/>
  <c r="V109" i="15" s="1"/>
  <c r="W23" i="21"/>
  <c r="AJ23" i="21" s="1"/>
  <c r="AI59" i="21" s="1"/>
  <c r="AI112" i="15" s="1"/>
  <c r="W24" i="21"/>
  <c r="V60" i="21" s="1"/>
  <c r="V115" i="15" s="1"/>
  <c r="W25" i="21"/>
  <c r="V61" i="21" s="1"/>
  <c r="V118" i="15" s="1"/>
  <c r="W26" i="21"/>
  <c r="AJ26" i="21" s="1"/>
  <c r="AW26" i="21" s="1"/>
  <c r="W27" i="21"/>
  <c r="V63" i="21" s="1"/>
  <c r="V124" i="15" s="1"/>
  <c r="W28" i="21"/>
  <c r="W29" i="21"/>
  <c r="W30" i="21"/>
  <c r="AJ30" i="21" s="1"/>
  <c r="W31" i="21"/>
  <c r="AJ31" i="21" s="1"/>
  <c r="AI67" i="21" s="1"/>
  <c r="AI136" i="15" s="1"/>
  <c r="W32" i="21"/>
  <c r="W33" i="21"/>
  <c r="V69" i="21" s="1"/>
  <c r="V142" i="15" s="1"/>
  <c r="W34" i="21"/>
  <c r="V70" i="21" s="1"/>
  <c r="V145" i="15" s="1"/>
  <c r="W35" i="21"/>
  <c r="AJ35" i="21" s="1"/>
  <c r="W36" i="21"/>
  <c r="W37" i="21"/>
  <c r="W38" i="21"/>
  <c r="AJ38" i="21" s="1"/>
  <c r="AI74" i="21" s="1"/>
  <c r="AI157" i="15" s="1"/>
  <c r="W39" i="21"/>
  <c r="W40" i="21"/>
  <c r="W41" i="21"/>
  <c r="W42" i="21"/>
  <c r="AJ42" i="21" s="1"/>
  <c r="W43" i="21"/>
  <c r="AJ43" i="21" s="1"/>
  <c r="AW43" i="21" s="1"/>
  <c r="AV79" i="21" s="1"/>
  <c r="AV172" i="15" s="1"/>
  <c r="W44" i="21"/>
  <c r="W45" i="21"/>
  <c r="W46" i="21"/>
  <c r="W47" i="21"/>
  <c r="AJ47" i="21" s="1"/>
  <c r="AI83" i="21" s="1"/>
  <c r="AI184" i="15" s="1"/>
  <c r="CJ93" i="15"/>
  <c r="AH57" i="21"/>
  <c r="AH106" i="15" s="1"/>
  <c r="V22" i="21"/>
  <c r="V23" i="21"/>
  <c r="V24" i="21"/>
  <c r="V25" i="21"/>
  <c r="U61" i="21" s="1"/>
  <c r="U118" i="15" s="1"/>
  <c r="V26" i="21"/>
  <c r="U62" i="21" s="1"/>
  <c r="U121" i="15" s="1"/>
  <c r="V27" i="21"/>
  <c r="V28" i="21"/>
  <c r="AI28" i="21" s="1"/>
  <c r="AH64" i="21" s="1"/>
  <c r="AH127" i="15" s="1"/>
  <c r="V29" i="21"/>
  <c r="V30" i="21"/>
  <c r="V31" i="21"/>
  <c r="U67" i="21" s="1"/>
  <c r="U136" i="15" s="1"/>
  <c r="V32" i="21"/>
  <c r="AI32" i="21" s="1"/>
  <c r="AH68" i="21" s="1"/>
  <c r="AH139" i="15" s="1"/>
  <c r="V33" i="21"/>
  <c r="V34" i="21"/>
  <c r="V35" i="21"/>
  <c r="AI35" i="21" s="1"/>
  <c r="AV35" i="21" s="1"/>
  <c r="AU71" i="21" s="1"/>
  <c r="AU148" i="15" s="1"/>
  <c r="V36" i="21"/>
  <c r="U72" i="21" s="1"/>
  <c r="U151" i="15" s="1"/>
  <c r="V37" i="21"/>
  <c r="AI37" i="21" s="1"/>
  <c r="AV37" i="21" s="1"/>
  <c r="V38" i="21"/>
  <c r="V39" i="21"/>
  <c r="AI39" i="21" s="1"/>
  <c r="AH75" i="21" s="1"/>
  <c r="AH160" i="15" s="1"/>
  <c r="V40" i="21"/>
  <c r="AI40" i="21" s="1"/>
  <c r="AH76" i="21" s="1"/>
  <c r="V41" i="21"/>
  <c r="AI41" i="21" s="1"/>
  <c r="AH77" i="21" s="1"/>
  <c r="AH166" i="15" s="1"/>
  <c r="V42" i="21"/>
  <c r="V43" i="21"/>
  <c r="AI43" i="21" s="1"/>
  <c r="AV43" i="21" s="1"/>
  <c r="BI43" i="21" s="1"/>
  <c r="BH79" i="21" s="1"/>
  <c r="BH172" i="15" s="1"/>
  <c r="V44" i="21"/>
  <c r="V45" i="21"/>
  <c r="V46" i="21"/>
  <c r="V47" i="21"/>
  <c r="U83" i="21" s="1"/>
  <c r="U184" i="15" s="1"/>
  <c r="CI93" i="15"/>
  <c r="T57" i="21"/>
  <c r="T106" i="15" s="1"/>
  <c r="U22" i="21"/>
  <c r="U23" i="21"/>
  <c r="U24" i="21"/>
  <c r="U25" i="21"/>
  <c r="U26" i="21"/>
  <c r="AH26" i="21" s="1"/>
  <c r="U27" i="21"/>
  <c r="T63" i="21" s="1"/>
  <c r="T124" i="15" s="1"/>
  <c r="U28" i="21"/>
  <c r="U29" i="21"/>
  <c r="U30" i="21"/>
  <c r="AH30" i="21" s="1"/>
  <c r="U31" i="21"/>
  <c r="T67" i="21" s="1"/>
  <c r="T136" i="15" s="1"/>
  <c r="U32" i="21"/>
  <c r="U33" i="21"/>
  <c r="U34" i="21"/>
  <c r="T70" i="21" s="1"/>
  <c r="T145" i="15" s="1"/>
  <c r="U35" i="21"/>
  <c r="AH35" i="21" s="1"/>
  <c r="AG71" i="21" s="1"/>
  <c r="AG148" i="15" s="1"/>
  <c r="U36" i="21"/>
  <c r="U37" i="21"/>
  <c r="U38" i="21"/>
  <c r="AH38" i="21" s="1"/>
  <c r="U39" i="21"/>
  <c r="T75" i="21" s="1"/>
  <c r="T160" i="15" s="1"/>
  <c r="U40" i="21"/>
  <c r="U41" i="21"/>
  <c r="U42" i="21"/>
  <c r="AH42" i="21" s="1"/>
  <c r="U43" i="21"/>
  <c r="AH43" i="21" s="1"/>
  <c r="U44" i="21"/>
  <c r="U45" i="21"/>
  <c r="U46" i="21"/>
  <c r="AH46" i="21" s="1"/>
  <c r="U47" i="21"/>
  <c r="AH47" i="21" s="1"/>
  <c r="AG83" i="21" s="1"/>
  <c r="AG184" i="15" s="1"/>
  <c r="CH93" i="15"/>
  <c r="AF57" i="21"/>
  <c r="AF106" i="15" s="1"/>
  <c r="T22" i="21"/>
  <c r="T15" i="15" s="1"/>
  <c r="T23" i="21"/>
  <c r="T24" i="21"/>
  <c r="S60" i="21" s="1"/>
  <c r="S115" i="15" s="1"/>
  <c r="T25" i="21"/>
  <c r="S61" i="21" s="1"/>
  <c r="S118" i="15" s="1"/>
  <c r="T26" i="21"/>
  <c r="T27" i="21"/>
  <c r="T28" i="21"/>
  <c r="AG28" i="21" s="1"/>
  <c r="T29" i="21"/>
  <c r="S65" i="21" s="1"/>
  <c r="S130" i="15" s="1"/>
  <c r="T30" i="21"/>
  <c r="S66" i="21" s="1"/>
  <c r="S133" i="15" s="1"/>
  <c r="T31" i="21"/>
  <c r="T32" i="21"/>
  <c r="T33" i="21"/>
  <c r="S69" i="21" s="1"/>
  <c r="S142" i="15" s="1"/>
  <c r="T34" i="21"/>
  <c r="T35" i="21"/>
  <c r="T36" i="21"/>
  <c r="S72" i="21" s="1"/>
  <c r="S151" i="15" s="1"/>
  <c r="T37" i="21"/>
  <c r="S73" i="21" s="1"/>
  <c r="S154" i="15" s="1"/>
  <c r="T38" i="21"/>
  <c r="T39" i="21"/>
  <c r="T40" i="21"/>
  <c r="T41" i="21"/>
  <c r="S77" i="21" s="1"/>
  <c r="S166" i="15" s="1"/>
  <c r="T42" i="21"/>
  <c r="S78" i="21" s="1"/>
  <c r="S169" i="15" s="1"/>
  <c r="T43" i="21"/>
  <c r="AG43" i="21" s="1"/>
  <c r="AG78" i="15" s="1"/>
  <c r="T44" i="21"/>
  <c r="S80" i="21" s="1"/>
  <c r="S175" i="15" s="1"/>
  <c r="T45" i="21"/>
  <c r="S81" i="21" s="1"/>
  <c r="S178" i="15" s="1"/>
  <c r="T46" i="21"/>
  <c r="T47" i="21"/>
  <c r="CG93" i="15"/>
  <c r="S22" i="21"/>
  <c r="AF22" i="21" s="1"/>
  <c r="AE58" i="21" s="1"/>
  <c r="AE109" i="15" s="1"/>
  <c r="S23" i="21"/>
  <c r="AF23" i="21" s="1"/>
  <c r="AS23" i="21" s="1"/>
  <c r="AR59" i="21" s="1"/>
  <c r="AR112" i="15" s="1"/>
  <c r="S24" i="21"/>
  <c r="S25" i="21"/>
  <c r="S26" i="21"/>
  <c r="AF26" i="21" s="1"/>
  <c r="AS26" i="21" s="1"/>
  <c r="AR62" i="21" s="1"/>
  <c r="AR121" i="15" s="1"/>
  <c r="S27" i="21"/>
  <c r="R63" i="21" s="1"/>
  <c r="R124" i="15" s="1"/>
  <c r="S28" i="21"/>
  <c r="S29" i="21"/>
  <c r="S30" i="21"/>
  <c r="R66" i="21" s="1"/>
  <c r="R133" i="15" s="1"/>
  <c r="S31" i="21"/>
  <c r="R67" i="21" s="1"/>
  <c r="R136" i="15" s="1"/>
  <c r="S32" i="21"/>
  <c r="S33" i="21"/>
  <c r="S34" i="21"/>
  <c r="S35" i="21"/>
  <c r="AF35" i="21" s="1"/>
  <c r="AE71" i="21" s="1"/>
  <c r="AE148" i="15" s="1"/>
  <c r="S36" i="21"/>
  <c r="S37" i="21"/>
  <c r="S38" i="21"/>
  <c r="S39" i="21"/>
  <c r="R75" i="21" s="1"/>
  <c r="R160" i="15" s="1"/>
  <c r="S40" i="21"/>
  <c r="S69" i="15" s="1"/>
  <c r="S41" i="21"/>
  <c r="S42" i="21"/>
  <c r="AF42" i="21" s="1"/>
  <c r="AS42" i="21" s="1"/>
  <c r="S43" i="21"/>
  <c r="R79" i="21" s="1"/>
  <c r="R172" i="15" s="1"/>
  <c r="S44" i="21"/>
  <c r="S45" i="21"/>
  <c r="AF45" i="21" s="1"/>
  <c r="AE81" i="21" s="1"/>
  <c r="AE178" i="15" s="1"/>
  <c r="S46" i="21"/>
  <c r="AF46" i="21" s="1"/>
  <c r="AE82" i="21" s="1"/>
  <c r="AE181" i="15" s="1"/>
  <c r="S47" i="21"/>
  <c r="AF47" i="21" s="1"/>
  <c r="AS47" i="21" s="1"/>
  <c r="CF93" i="15"/>
  <c r="R22" i="21"/>
  <c r="R23" i="21"/>
  <c r="Q59" i="21" s="1"/>
  <c r="Q112" i="15" s="1"/>
  <c r="R24" i="21"/>
  <c r="R25" i="21"/>
  <c r="R26" i="21"/>
  <c r="R27" i="21"/>
  <c r="R28" i="21"/>
  <c r="AE28" i="21" s="1"/>
  <c r="R29" i="21"/>
  <c r="R30" i="21"/>
  <c r="R31" i="21"/>
  <c r="Q67" i="21" s="1"/>
  <c r="Q136" i="15" s="1"/>
  <c r="R32" i="21"/>
  <c r="R33" i="21"/>
  <c r="R34" i="21"/>
  <c r="R35" i="21"/>
  <c r="Q71" i="21" s="1"/>
  <c r="R36" i="21"/>
  <c r="AE36" i="21" s="1"/>
  <c r="AR36" i="21" s="1"/>
  <c r="AQ72" i="21" s="1"/>
  <c r="AQ151" i="15" s="1"/>
  <c r="R37" i="21"/>
  <c r="AE37" i="21" s="1"/>
  <c r="R38" i="21"/>
  <c r="R39" i="21"/>
  <c r="Q75" i="21" s="1"/>
  <c r="Q160" i="15" s="1"/>
  <c r="R40" i="21"/>
  <c r="AE40" i="21" s="1"/>
  <c r="R41" i="21"/>
  <c r="Q77" i="21" s="1"/>
  <c r="Q166" i="15" s="1"/>
  <c r="R42" i="21"/>
  <c r="Q78" i="21" s="1"/>
  <c r="R43" i="21"/>
  <c r="R44" i="21"/>
  <c r="AE44" i="21" s="1"/>
  <c r="AR44" i="21" s="1"/>
  <c r="AQ80" i="21" s="1"/>
  <c r="AQ175" i="15" s="1"/>
  <c r="R45" i="21"/>
  <c r="R46" i="21"/>
  <c r="R47" i="21"/>
  <c r="Q83" i="21" s="1"/>
  <c r="Q184" i="15" s="1"/>
  <c r="CE93" i="15"/>
  <c r="Q22" i="21"/>
  <c r="Q23" i="21"/>
  <c r="AD23" i="21" s="1"/>
  <c r="Q24" i="21"/>
  <c r="Q25" i="21"/>
  <c r="AD25" i="21" s="1"/>
  <c r="Q26" i="21"/>
  <c r="Q27" i="21"/>
  <c r="Q28" i="21"/>
  <c r="Q29" i="21"/>
  <c r="AD29" i="21" s="1"/>
  <c r="Q30" i="21"/>
  <c r="Q31" i="21"/>
  <c r="Q32" i="21"/>
  <c r="Q33" i="21"/>
  <c r="Q34" i="21"/>
  <c r="AD34" i="21" s="1"/>
  <c r="AQ34" i="21" s="1"/>
  <c r="AQ51" i="15" s="1"/>
  <c r="Q35" i="21"/>
  <c r="AD35" i="21" s="1"/>
  <c r="Q36" i="21"/>
  <c r="Q37" i="21"/>
  <c r="AD37" i="21" s="1"/>
  <c r="AQ37" i="21" s="1"/>
  <c r="BD37" i="21" s="1"/>
  <c r="BD60" i="15" s="1"/>
  <c r="Q38" i="21"/>
  <c r="AD38" i="21" s="1"/>
  <c r="Q39" i="21"/>
  <c r="AD39" i="21" s="1"/>
  <c r="Q40" i="21"/>
  <c r="Q41" i="21"/>
  <c r="Q42" i="21"/>
  <c r="Q43" i="21"/>
  <c r="Q44" i="21"/>
  <c r="Q45" i="21"/>
  <c r="AD45" i="21" s="1"/>
  <c r="AQ45" i="21" s="1"/>
  <c r="Q46" i="21"/>
  <c r="Q47" i="21"/>
  <c r="CD93" i="15"/>
  <c r="CB93" i="15"/>
  <c r="CA93" i="15"/>
  <c r="BZ93" i="15"/>
  <c r="BY36" i="15"/>
  <c r="BY93" i="15"/>
  <c r="BX93" i="15"/>
  <c r="BW93" i="15"/>
  <c r="BV93" i="15"/>
  <c r="BU93" i="15"/>
  <c r="BT93" i="15"/>
  <c r="BS93" i="15"/>
  <c r="BR93" i="15"/>
  <c r="BQ93" i="15"/>
  <c r="BO93" i="15"/>
  <c r="BN93" i="15"/>
  <c r="BM93" i="15"/>
  <c r="BL93" i="15"/>
  <c r="BK93" i="15"/>
  <c r="BJ93" i="15"/>
  <c r="BI93" i="15"/>
  <c r="BH93" i="15"/>
  <c r="BG93" i="15"/>
  <c r="BF93" i="15"/>
  <c r="BE93" i="15"/>
  <c r="BD93" i="15"/>
  <c r="BB93" i="15"/>
  <c r="BA93" i="15"/>
  <c r="AZ93" i="15"/>
  <c r="AY93" i="15"/>
  <c r="AX93" i="15"/>
  <c r="AW93" i="15"/>
  <c r="AV93" i="15"/>
  <c r="AU93" i="15"/>
  <c r="AT93" i="15"/>
  <c r="AS93" i="15"/>
  <c r="AR93" i="15"/>
  <c r="AQ93" i="15"/>
  <c r="AO93" i="15"/>
  <c r="AN93" i="15"/>
  <c r="AM93" i="15"/>
  <c r="AL93" i="15"/>
  <c r="AK93" i="15"/>
  <c r="AJ93" i="15"/>
  <c r="AI93" i="15"/>
  <c r="AH93" i="15"/>
  <c r="AG93" i="15"/>
  <c r="AF93" i="15"/>
  <c r="AE93" i="15"/>
  <c r="AD93" i="15"/>
  <c r="AB6" i="15"/>
  <c r="AB9" i="15"/>
  <c r="AB93" i="15"/>
  <c r="AA6" i="15"/>
  <c r="AA9" i="15"/>
  <c r="AA93" i="15"/>
  <c r="Z6" i="15"/>
  <c r="Z9" i="15"/>
  <c r="Z93" i="15"/>
  <c r="Y6" i="15"/>
  <c r="Y9" i="15"/>
  <c r="Y93" i="15"/>
  <c r="X6" i="15"/>
  <c r="X9" i="15"/>
  <c r="X93" i="15"/>
  <c r="W6" i="15"/>
  <c r="W9" i="15"/>
  <c r="W93" i="15"/>
  <c r="V6" i="15"/>
  <c r="V9" i="15"/>
  <c r="V93" i="15"/>
  <c r="U6" i="15"/>
  <c r="U9" i="15"/>
  <c r="U93" i="15"/>
  <c r="T6" i="15"/>
  <c r="T9" i="15"/>
  <c r="T93" i="15"/>
  <c r="S6" i="15"/>
  <c r="S9" i="15"/>
  <c r="S93" i="15"/>
  <c r="R6" i="15"/>
  <c r="R9" i="15"/>
  <c r="R93" i="15"/>
  <c r="Q6" i="15"/>
  <c r="Q9" i="15"/>
  <c r="Q63" i="15"/>
  <c r="Q93" i="15"/>
  <c r="E49" i="21"/>
  <c r="F49" i="21"/>
  <c r="G49" i="21"/>
  <c r="H49" i="21"/>
  <c r="I49" i="21"/>
  <c r="J49" i="21"/>
  <c r="K49" i="21"/>
  <c r="L49" i="21"/>
  <c r="M49" i="21"/>
  <c r="N49" i="21"/>
  <c r="O49" i="21"/>
  <c r="AB49" i="21"/>
  <c r="AA49" i="21"/>
  <c r="Z49" i="21"/>
  <c r="Y49" i="21"/>
  <c r="X49" i="21"/>
  <c r="W49" i="21"/>
  <c r="V49" i="21"/>
  <c r="U49" i="21"/>
  <c r="T49" i="21"/>
  <c r="S49" i="21"/>
  <c r="R49" i="21"/>
  <c r="Q49" i="21"/>
  <c r="Q56" i="21"/>
  <c r="Q103" i="15" s="1"/>
  <c r="R56" i="21"/>
  <c r="R103" i="15" s="1"/>
  <c r="S56" i="21"/>
  <c r="S103" i="15" s="1"/>
  <c r="T56" i="21"/>
  <c r="T103" i="15" s="1"/>
  <c r="U56" i="21"/>
  <c r="U103" i="15" s="1"/>
  <c r="V56" i="21"/>
  <c r="V103" i="15" s="1"/>
  <c r="W56" i="21"/>
  <c r="W103" i="15" s="1"/>
  <c r="X56" i="21"/>
  <c r="X103" i="15" s="1"/>
  <c r="Y56" i="21"/>
  <c r="Y103" i="15" s="1"/>
  <c r="Z56" i="21"/>
  <c r="Z103" i="15" s="1"/>
  <c r="AA56" i="21"/>
  <c r="AA103" i="15" s="1"/>
  <c r="AB56" i="21"/>
  <c r="AB103" i="15" s="1"/>
  <c r="Q55" i="21"/>
  <c r="Q100" i="15" s="1"/>
  <c r="R55" i="21"/>
  <c r="R100" i="15" s="1"/>
  <c r="S55" i="21"/>
  <c r="S100" i="15" s="1"/>
  <c r="T55" i="21"/>
  <c r="U55" i="21"/>
  <c r="U100" i="15" s="1"/>
  <c r="V55" i="21"/>
  <c r="V100" i="15" s="1"/>
  <c r="W55" i="21"/>
  <c r="W100" i="15" s="1"/>
  <c r="X55" i="21"/>
  <c r="X100" i="15" s="1"/>
  <c r="Y55" i="21"/>
  <c r="Y100" i="15" s="1"/>
  <c r="Z55" i="21"/>
  <c r="Z100" i="15" s="1"/>
  <c r="AA55" i="21"/>
  <c r="AA100" i="15" s="1"/>
  <c r="AB55" i="21"/>
  <c r="AB100" i="15" s="1"/>
  <c r="AC20" i="21"/>
  <c r="AC19" i="21"/>
  <c r="P20" i="21"/>
  <c r="F7" i="16" s="1"/>
  <c r="AD34" i="22"/>
  <c r="AQ34" i="22" s="1"/>
  <c r="BD34" i="22" s="1"/>
  <c r="BQ34" i="22" s="1"/>
  <c r="CD34" i="22" s="1"/>
  <c r="CQ34" i="22" s="1"/>
  <c r="AC34" i="22"/>
  <c r="AB34" i="22"/>
  <c r="AO34" i="22" s="1"/>
  <c r="BB34" i="22" s="1"/>
  <c r="BO34" i="22" s="1"/>
  <c r="CB34" i="22" s="1"/>
  <c r="CO34" i="22" s="1"/>
  <c r="AA34" i="22"/>
  <c r="AN34" i="22" s="1"/>
  <c r="BA34" i="22" s="1"/>
  <c r="BN34" i="22" s="1"/>
  <c r="CA34" i="22" s="1"/>
  <c r="CN34" i="22" s="1"/>
  <c r="Z34" i="22"/>
  <c r="AM34" i="22" s="1"/>
  <c r="AZ34" i="22" s="1"/>
  <c r="BM34" i="22" s="1"/>
  <c r="BZ34" i="22" s="1"/>
  <c r="CM34" i="22" s="1"/>
  <c r="Y34" i="22"/>
  <c r="AL34" i="22" s="1"/>
  <c r="AY34" i="22" s="1"/>
  <c r="BL34" i="22" s="1"/>
  <c r="BY34" i="22" s="1"/>
  <c r="CL34" i="22" s="1"/>
  <c r="X34" i="22"/>
  <c r="AK34" i="22" s="1"/>
  <c r="AX34" i="22" s="1"/>
  <c r="BK34" i="22" s="1"/>
  <c r="BX34" i="22" s="1"/>
  <c r="CK34" i="22" s="1"/>
  <c r="W34" i="22"/>
  <c r="AJ34" i="22" s="1"/>
  <c r="AW34" i="22" s="1"/>
  <c r="BJ34" i="22" s="1"/>
  <c r="BW34" i="22" s="1"/>
  <c r="CJ34" i="22" s="1"/>
  <c r="V34" i="22"/>
  <c r="AI34" i="22" s="1"/>
  <c r="AV34" i="22" s="1"/>
  <c r="BI34" i="22" s="1"/>
  <c r="BV34" i="22" s="1"/>
  <c r="CI34" i="22" s="1"/>
  <c r="U34" i="22"/>
  <c r="AH34" i="22" s="1"/>
  <c r="AU34" i="22" s="1"/>
  <c r="BH34" i="22" s="1"/>
  <c r="BU34" i="22" s="1"/>
  <c r="CH34" i="22" s="1"/>
  <c r="S34" i="22"/>
  <c r="AF34" i="22" s="1"/>
  <c r="AS34" i="22" s="1"/>
  <c r="BF34" i="22" s="1"/>
  <c r="BS34" i="22" s="1"/>
  <c r="CF34" i="22" s="1"/>
  <c r="W20" i="22"/>
  <c r="AK20" i="22" s="1"/>
  <c r="AY20" i="22" s="1"/>
  <c r="BM20" i="22" s="1"/>
  <c r="CA20" i="22" s="1"/>
  <c r="CO20" i="22" s="1"/>
  <c r="E10" i="24"/>
  <c r="C67" i="21"/>
  <c r="C136" i="15" s="1"/>
  <c r="D67" i="21"/>
  <c r="D136" i="15" s="1"/>
  <c r="E67" i="21"/>
  <c r="E136" i="15" s="1"/>
  <c r="F67" i="21"/>
  <c r="F136" i="15" s="1"/>
  <c r="G67" i="21"/>
  <c r="G136" i="15" s="1"/>
  <c r="H67" i="21"/>
  <c r="H136" i="15" s="1"/>
  <c r="I67" i="21"/>
  <c r="I136" i="15" s="1"/>
  <c r="J67" i="21"/>
  <c r="J136" i="15" s="1"/>
  <c r="K67" i="21"/>
  <c r="K136" i="15" s="1"/>
  <c r="L67" i="21"/>
  <c r="L136" i="15" s="1"/>
  <c r="M67" i="21"/>
  <c r="M136" i="15" s="1"/>
  <c r="N67" i="21"/>
  <c r="N136" i="15" s="1"/>
  <c r="O67" i="21"/>
  <c r="O136" i="15" s="1"/>
  <c r="C68" i="21"/>
  <c r="C139" i="15" s="1"/>
  <c r="D68" i="21"/>
  <c r="E68" i="21"/>
  <c r="E139" i="15" s="1"/>
  <c r="F68" i="21"/>
  <c r="F139" i="15" s="1"/>
  <c r="G68" i="21"/>
  <c r="G139" i="15" s="1"/>
  <c r="H68" i="21"/>
  <c r="H139" i="15" s="1"/>
  <c r="I68" i="21"/>
  <c r="I139" i="15" s="1"/>
  <c r="J68" i="21"/>
  <c r="J139" i="15" s="1"/>
  <c r="K68" i="21"/>
  <c r="K139" i="15" s="1"/>
  <c r="L68" i="21"/>
  <c r="L139" i="15" s="1"/>
  <c r="M68" i="21"/>
  <c r="M139" i="15" s="1"/>
  <c r="N68" i="21"/>
  <c r="N139" i="15" s="1"/>
  <c r="O68" i="21"/>
  <c r="O139" i="15" s="1"/>
  <c r="C69" i="21"/>
  <c r="C142" i="15" s="1"/>
  <c r="D69" i="21"/>
  <c r="D142" i="15" s="1"/>
  <c r="E69" i="21"/>
  <c r="E142" i="15" s="1"/>
  <c r="F69" i="21"/>
  <c r="F142" i="15" s="1"/>
  <c r="G69" i="21"/>
  <c r="G142" i="15" s="1"/>
  <c r="H69" i="21"/>
  <c r="H142" i="15" s="1"/>
  <c r="I69" i="21"/>
  <c r="I142" i="15" s="1"/>
  <c r="J69" i="21"/>
  <c r="J142" i="15" s="1"/>
  <c r="K69" i="21"/>
  <c r="K142" i="15" s="1"/>
  <c r="L69" i="21"/>
  <c r="L142" i="15" s="1"/>
  <c r="M69" i="21"/>
  <c r="M142" i="15" s="1"/>
  <c r="N69" i="21"/>
  <c r="N142" i="15" s="1"/>
  <c r="O69" i="21"/>
  <c r="O142" i="15" s="1"/>
  <c r="C70" i="21"/>
  <c r="C145" i="15" s="1"/>
  <c r="D70" i="21"/>
  <c r="D145" i="15" s="1"/>
  <c r="E70" i="21"/>
  <c r="E145" i="15" s="1"/>
  <c r="F70" i="21"/>
  <c r="F145" i="15" s="1"/>
  <c r="G70" i="21"/>
  <c r="G145" i="15" s="1"/>
  <c r="H70" i="21"/>
  <c r="H145" i="15" s="1"/>
  <c r="I70" i="21"/>
  <c r="I145" i="15" s="1"/>
  <c r="J70" i="21"/>
  <c r="J145" i="15" s="1"/>
  <c r="K70" i="21"/>
  <c r="K145" i="15" s="1"/>
  <c r="L70" i="21"/>
  <c r="L145" i="15" s="1"/>
  <c r="M70" i="21"/>
  <c r="M145" i="15" s="1"/>
  <c r="N70" i="21"/>
  <c r="N145" i="15" s="1"/>
  <c r="O70" i="21"/>
  <c r="O145" i="15" s="1"/>
  <c r="C71" i="21"/>
  <c r="C148" i="15" s="1"/>
  <c r="D71" i="21"/>
  <c r="D148" i="15" s="1"/>
  <c r="E71" i="21"/>
  <c r="E148" i="15" s="1"/>
  <c r="F71" i="21"/>
  <c r="F148" i="15" s="1"/>
  <c r="G71" i="21"/>
  <c r="G148" i="15" s="1"/>
  <c r="H71" i="21"/>
  <c r="H148" i="15" s="1"/>
  <c r="I71" i="21"/>
  <c r="I148" i="15" s="1"/>
  <c r="J71" i="21"/>
  <c r="K71" i="21"/>
  <c r="K148" i="15" s="1"/>
  <c r="L71" i="21"/>
  <c r="L148" i="15" s="1"/>
  <c r="M71" i="21"/>
  <c r="M148" i="15" s="1"/>
  <c r="N71" i="21"/>
  <c r="N148" i="15" s="1"/>
  <c r="O71" i="21"/>
  <c r="O148" i="15" s="1"/>
  <c r="C72" i="21"/>
  <c r="C151" i="15" s="1"/>
  <c r="D72" i="21"/>
  <c r="D151" i="15" s="1"/>
  <c r="E72" i="21"/>
  <c r="E151" i="15" s="1"/>
  <c r="F72" i="21"/>
  <c r="F151" i="15" s="1"/>
  <c r="G72" i="21"/>
  <c r="G151" i="15" s="1"/>
  <c r="H72" i="21"/>
  <c r="H151" i="15" s="1"/>
  <c r="I72" i="21"/>
  <c r="I151" i="15" s="1"/>
  <c r="J72" i="21"/>
  <c r="J151" i="15" s="1"/>
  <c r="K72" i="21"/>
  <c r="K151" i="15" s="1"/>
  <c r="L72" i="21"/>
  <c r="L151" i="15" s="1"/>
  <c r="M72" i="21"/>
  <c r="M151" i="15" s="1"/>
  <c r="N72" i="21"/>
  <c r="N151" i="15" s="1"/>
  <c r="O72" i="21"/>
  <c r="O151" i="15" s="1"/>
  <c r="C73" i="21"/>
  <c r="C154" i="15" s="1"/>
  <c r="D73" i="21"/>
  <c r="D154" i="15" s="1"/>
  <c r="E73" i="21"/>
  <c r="E154" i="15" s="1"/>
  <c r="F73" i="21"/>
  <c r="F154" i="15" s="1"/>
  <c r="G73" i="21"/>
  <c r="G154" i="15" s="1"/>
  <c r="H73" i="21"/>
  <c r="H154" i="15" s="1"/>
  <c r="I73" i="21"/>
  <c r="I154" i="15" s="1"/>
  <c r="J73" i="21"/>
  <c r="J154" i="15" s="1"/>
  <c r="K73" i="21"/>
  <c r="K154" i="15" s="1"/>
  <c r="L73" i="21"/>
  <c r="L154" i="15" s="1"/>
  <c r="M73" i="21"/>
  <c r="M154" i="15" s="1"/>
  <c r="N73" i="21"/>
  <c r="N154" i="15" s="1"/>
  <c r="O73" i="21"/>
  <c r="O154" i="15" s="1"/>
  <c r="C74" i="21"/>
  <c r="C157" i="15" s="1"/>
  <c r="D74" i="21"/>
  <c r="D157" i="15" s="1"/>
  <c r="E74" i="21"/>
  <c r="E157" i="15" s="1"/>
  <c r="F74" i="21"/>
  <c r="F157" i="15" s="1"/>
  <c r="G74" i="21"/>
  <c r="G157" i="15" s="1"/>
  <c r="H74" i="21"/>
  <c r="H157" i="15" s="1"/>
  <c r="I74" i="21"/>
  <c r="I157" i="15" s="1"/>
  <c r="J74" i="21"/>
  <c r="J157" i="15" s="1"/>
  <c r="K74" i="21"/>
  <c r="K157" i="15" s="1"/>
  <c r="L74" i="21"/>
  <c r="L157" i="15" s="1"/>
  <c r="M74" i="21"/>
  <c r="M157" i="15" s="1"/>
  <c r="N74" i="21"/>
  <c r="N157" i="15" s="1"/>
  <c r="O74" i="21"/>
  <c r="O157" i="15" s="1"/>
  <c r="C75" i="21"/>
  <c r="C160" i="15" s="1"/>
  <c r="D75" i="21"/>
  <c r="D160" i="15" s="1"/>
  <c r="E75" i="21"/>
  <c r="E160" i="15" s="1"/>
  <c r="F75" i="21"/>
  <c r="F160" i="15" s="1"/>
  <c r="G75" i="21"/>
  <c r="G160" i="15" s="1"/>
  <c r="H75" i="21"/>
  <c r="H160" i="15" s="1"/>
  <c r="I75" i="21"/>
  <c r="I160" i="15" s="1"/>
  <c r="J75" i="21"/>
  <c r="J160" i="15" s="1"/>
  <c r="K75" i="21"/>
  <c r="K160" i="15" s="1"/>
  <c r="L75" i="21"/>
  <c r="L160" i="15" s="1"/>
  <c r="M75" i="21"/>
  <c r="M160" i="15" s="1"/>
  <c r="N75" i="21"/>
  <c r="N160" i="15" s="1"/>
  <c r="O75" i="21"/>
  <c r="O160" i="15" s="1"/>
  <c r="C76" i="21"/>
  <c r="C163" i="15" s="1"/>
  <c r="D76" i="21"/>
  <c r="D163" i="15" s="1"/>
  <c r="E76" i="21"/>
  <c r="E163" i="15" s="1"/>
  <c r="F76" i="21"/>
  <c r="F163" i="15" s="1"/>
  <c r="G76" i="21"/>
  <c r="G163" i="15" s="1"/>
  <c r="H76" i="21"/>
  <c r="H163" i="15" s="1"/>
  <c r="I76" i="21"/>
  <c r="J76" i="21"/>
  <c r="J163" i="15" s="1"/>
  <c r="K76" i="21"/>
  <c r="K163" i="15" s="1"/>
  <c r="L76" i="21"/>
  <c r="L163" i="15" s="1"/>
  <c r="M76" i="21"/>
  <c r="M163" i="15" s="1"/>
  <c r="N76" i="21"/>
  <c r="N163" i="15" s="1"/>
  <c r="O76" i="21"/>
  <c r="O163" i="15" s="1"/>
  <c r="C77" i="21"/>
  <c r="C166" i="15" s="1"/>
  <c r="D77" i="21"/>
  <c r="D166" i="15" s="1"/>
  <c r="E77" i="21"/>
  <c r="E166" i="15" s="1"/>
  <c r="F77" i="21"/>
  <c r="F166" i="15" s="1"/>
  <c r="G77" i="21"/>
  <c r="G166" i="15" s="1"/>
  <c r="H77" i="21"/>
  <c r="H166" i="15" s="1"/>
  <c r="I77" i="21"/>
  <c r="I166" i="15" s="1"/>
  <c r="J77" i="21"/>
  <c r="J166" i="15" s="1"/>
  <c r="K77" i="21"/>
  <c r="K166" i="15" s="1"/>
  <c r="L77" i="21"/>
  <c r="L166" i="15" s="1"/>
  <c r="M77" i="21"/>
  <c r="M166" i="15" s="1"/>
  <c r="N77" i="21"/>
  <c r="N166" i="15" s="1"/>
  <c r="O77" i="21"/>
  <c r="O166" i="15" s="1"/>
  <c r="C78" i="21"/>
  <c r="C169" i="15" s="1"/>
  <c r="D78" i="21"/>
  <c r="D169" i="15" s="1"/>
  <c r="E78" i="21"/>
  <c r="E169" i="15" s="1"/>
  <c r="F78" i="21"/>
  <c r="F169" i="15" s="1"/>
  <c r="G78" i="21"/>
  <c r="G169" i="15" s="1"/>
  <c r="H78" i="21"/>
  <c r="H169" i="15" s="1"/>
  <c r="I78" i="21"/>
  <c r="I169" i="15" s="1"/>
  <c r="J78" i="21"/>
  <c r="J169" i="15" s="1"/>
  <c r="K78" i="21"/>
  <c r="K169" i="15" s="1"/>
  <c r="L78" i="21"/>
  <c r="L169" i="15" s="1"/>
  <c r="M78" i="21"/>
  <c r="M169" i="15" s="1"/>
  <c r="N78" i="21"/>
  <c r="N169" i="15" s="1"/>
  <c r="O78" i="21"/>
  <c r="O169" i="15" s="1"/>
  <c r="C79" i="21"/>
  <c r="C172" i="15" s="1"/>
  <c r="D79" i="21"/>
  <c r="D172" i="15" s="1"/>
  <c r="E79" i="21"/>
  <c r="E172" i="15" s="1"/>
  <c r="F79" i="21"/>
  <c r="F172" i="15" s="1"/>
  <c r="G79" i="21"/>
  <c r="G172" i="15" s="1"/>
  <c r="H79" i="21"/>
  <c r="H172" i="15" s="1"/>
  <c r="I79" i="21"/>
  <c r="I172" i="15" s="1"/>
  <c r="J79" i="21"/>
  <c r="J172" i="15" s="1"/>
  <c r="K79" i="21"/>
  <c r="K172" i="15" s="1"/>
  <c r="L79" i="21"/>
  <c r="L172" i="15" s="1"/>
  <c r="M79" i="21"/>
  <c r="M172" i="15" s="1"/>
  <c r="N79" i="21"/>
  <c r="N172" i="15" s="1"/>
  <c r="O79" i="21"/>
  <c r="O172" i="15" s="1"/>
  <c r="C80" i="21"/>
  <c r="C175" i="15" s="1"/>
  <c r="D80" i="21"/>
  <c r="D175" i="15" s="1"/>
  <c r="E80" i="21"/>
  <c r="E175" i="15" s="1"/>
  <c r="F80" i="21"/>
  <c r="F175" i="15" s="1"/>
  <c r="G80" i="21"/>
  <c r="G175" i="15" s="1"/>
  <c r="H80" i="21"/>
  <c r="H175" i="15" s="1"/>
  <c r="I80" i="21"/>
  <c r="I175" i="15" s="1"/>
  <c r="J80" i="21"/>
  <c r="J175" i="15" s="1"/>
  <c r="K80" i="21"/>
  <c r="K175" i="15" s="1"/>
  <c r="L80" i="21"/>
  <c r="L175" i="15" s="1"/>
  <c r="M80" i="21"/>
  <c r="M175" i="15" s="1"/>
  <c r="N80" i="21"/>
  <c r="N175" i="15" s="1"/>
  <c r="O80" i="21"/>
  <c r="O175" i="15" s="1"/>
  <c r="C81" i="21"/>
  <c r="C178" i="15" s="1"/>
  <c r="D81" i="21"/>
  <c r="D178" i="15" s="1"/>
  <c r="E81" i="21"/>
  <c r="E178" i="15" s="1"/>
  <c r="F81" i="21"/>
  <c r="F178" i="15" s="1"/>
  <c r="G81" i="21"/>
  <c r="G178" i="15" s="1"/>
  <c r="H81" i="21"/>
  <c r="H178" i="15" s="1"/>
  <c r="I81" i="21"/>
  <c r="I178" i="15" s="1"/>
  <c r="J81" i="21"/>
  <c r="J178" i="15" s="1"/>
  <c r="K81" i="21"/>
  <c r="K178" i="15" s="1"/>
  <c r="L81" i="21"/>
  <c r="L178" i="15" s="1"/>
  <c r="M81" i="21"/>
  <c r="M178" i="15" s="1"/>
  <c r="N81" i="21"/>
  <c r="N178" i="15" s="1"/>
  <c r="O81" i="21"/>
  <c r="O178" i="15" s="1"/>
  <c r="C82" i="21"/>
  <c r="C181" i="15" s="1"/>
  <c r="D82" i="21"/>
  <c r="D181" i="15" s="1"/>
  <c r="E82" i="21"/>
  <c r="E181" i="15" s="1"/>
  <c r="F82" i="21"/>
  <c r="F181" i="15" s="1"/>
  <c r="G82" i="21"/>
  <c r="G181" i="15" s="1"/>
  <c r="H82" i="21"/>
  <c r="H181" i="15" s="1"/>
  <c r="I82" i="21"/>
  <c r="I181" i="15" s="1"/>
  <c r="J82" i="21"/>
  <c r="J181" i="15" s="1"/>
  <c r="K82" i="21"/>
  <c r="K181" i="15" s="1"/>
  <c r="L82" i="21"/>
  <c r="L181" i="15" s="1"/>
  <c r="M82" i="21"/>
  <c r="M181" i="15" s="1"/>
  <c r="N82" i="21"/>
  <c r="N181" i="15" s="1"/>
  <c r="O82" i="21"/>
  <c r="O181" i="15" s="1"/>
  <c r="C83" i="21"/>
  <c r="C184" i="15" s="1"/>
  <c r="D83" i="21"/>
  <c r="D184" i="15" s="1"/>
  <c r="E83" i="21"/>
  <c r="E184" i="15" s="1"/>
  <c r="F83" i="21"/>
  <c r="F184" i="15" s="1"/>
  <c r="G83" i="21"/>
  <c r="G184" i="15" s="1"/>
  <c r="H83" i="21"/>
  <c r="H184" i="15" s="1"/>
  <c r="I83" i="21"/>
  <c r="I184" i="15" s="1"/>
  <c r="J83" i="21"/>
  <c r="J184" i="15" s="1"/>
  <c r="K83" i="21"/>
  <c r="K184" i="15" s="1"/>
  <c r="L83" i="21"/>
  <c r="L184" i="15" s="1"/>
  <c r="M83" i="21"/>
  <c r="M184" i="15" s="1"/>
  <c r="N83" i="21"/>
  <c r="N184" i="15" s="1"/>
  <c r="O83" i="21"/>
  <c r="O184" i="15" s="1"/>
  <c r="C84" i="21"/>
  <c r="C187" i="15" s="1"/>
  <c r="D84" i="21"/>
  <c r="E84" i="21"/>
  <c r="E187" i="15" s="1"/>
  <c r="F84" i="21"/>
  <c r="F187" i="15" s="1"/>
  <c r="G84" i="21"/>
  <c r="G187" i="15" s="1"/>
  <c r="H84" i="21"/>
  <c r="H187" i="15" s="1"/>
  <c r="I84" i="21"/>
  <c r="I187" i="15" s="1"/>
  <c r="J84" i="21"/>
  <c r="J187" i="15" s="1"/>
  <c r="K84" i="21"/>
  <c r="K187" i="15" s="1"/>
  <c r="L84" i="21"/>
  <c r="L187" i="15" s="1"/>
  <c r="M84" i="21"/>
  <c r="M187" i="15" s="1"/>
  <c r="N84" i="21"/>
  <c r="O84" i="21" s="1"/>
  <c r="B68" i="36"/>
  <c r="B69" i="36" s="1"/>
  <c r="B39" i="36"/>
  <c r="B40" i="36" s="1"/>
  <c r="B9" i="36"/>
  <c r="B10" i="36" s="1"/>
  <c r="A2" i="36"/>
  <c r="BO55" i="20"/>
  <c r="AB55" i="20"/>
  <c r="AB56" i="20" s="1"/>
  <c r="AB57" i="20" s="1"/>
  <c r="AB58" i="20" s="1"/>
  <c r="AB59" i="20" s="1"/>
  <c r="AB60" i="20" s="1"/>
  <c r="AB53" i="20"/>
  <c r="CB55" i="20"/>
  <c r="CB86" i="20"/>
  <c r="CO78" i="20"/>
  <c r="CO77" i="20"/>
  <c r="CO49" i="20"/>
  <c r="CO48" i="20"/>
  <c r="CO27" i="20"/>
  <c r="CO19" i="20"/>
  <c r="CO18" i="20"/>
  <c r="CB78" i="20"/>
  <c r="CB77" i="20"/>
  <c r="CB49" i="20"/>
  <c r="CB27" i="20"/>
  <c r="CB19" i="20"/>
  <c r="CB18" i="20"/>
  <c r="CN84" i="21"/>
  <c r="CM84" i="21"/>
  <c r="CL84" i="21"/>
  <c r="CK84" i="21"/>
  <c r="CJ84" i="21"/>
  <c r="CI84" i="21"/>
  <c r="CH84" i="21"/>
  <c r="CG84" i="21"/>
  <c r="CF84" i="21"/>
  <c r="CE84" i="21"/>
  <c r="CD84" i="21"/>
  <c r="CA84" i="21"/>
  <c r="BZ84" i="21"/>
  <c r="BY84" i="21"/>
  <c r="BX84" i="21"/>
  <c r="BW84" i="21"/>
  <c r="BV84" i="21"/>
  <c r="BU84" i="21"/>
  <c r="BT84" i="21"/>
  <c r="BS84" i="21"/>
  <c r="BR84" i="21"/>
  <c r="BQ84" i="21"/>
  <c r="CR122" i="22"/>
  <c r="CR96" i="22"/>
  <c r="CR57" i="22"/>
  <c r="CE122" i="22"/>
  <c r="CE96" i="22"/>
  <c r="CE57" i="22"/>
  <c r="BO27" i="20"/>
  <c r="BB27" i="20"/>
  <c r="AO27" i="20"/>
  <c r="AB27" i="20"/>
  <c r="AQ84" i="21"/>
  <c r="AR84" i="21"/>
  <c r="AS84" i="21"/>
  <c r="AT84" i="21"/>
  <c r="AU84" i="21"/>
  <c r="AV84" i="21"/>
  <c r="AW84" i="21"/>
  <c r="AX84" i="21"/>
  <c r="AY84" i="21"/>
  <c r="AZ84" i="21"/>
  <c r="BA84" i="21"/>
  <c r="BD84" i="21"/>
  <c r="BE84" i="21"/>
  <c r="BF84" i="21"/>
  <c r="BG84" i="21"/>
  <c r="BH84" i="21"/>
  <c r="BI84" i="21"/>
  <c r="BJ84" i="21"/>
  <c r="BK84" i="21"/>
  <c r="BL84" i="21"/>
  <c r="BM84" i="21"/>
  <c r="BN84" i="21"/>
  <c r="BO78" i="20"/>
  <c r="BO77" i="20"/>
  <c r="BO49" i="20"/>
  <c r="BO48" i="20"/>
  <c r="BO19" i="20"/>
  <c r="BO18" i="20"/>
  <c r="BR122" i="22"/>
  <c r="BR96" i="22"/>
  <c r="BR57" i="22"/>
  <c r="BE122" i="22"/>
  <c r="BE96" i="22"/>
  <c r="BE57" i="22"/>
  <c r="BB78" i="20"/>
  <c r="BB77" i="20"/>
  <c r="BB49" i="20"/>
  <c r="BB48" i="20"/>
  <c r="AO78" i="20"/>
  <c r="AO77" i="20"/>
  <c r="AO49" i="20"/>
  <c r="AO48" i="20"/>
  <c r="BB19" i="20"/>
  <c r="BB18" i="20"/>
  <c r="AO19" i="20"/>
  <c r="AO18" i="20"/>
  <c r="AN84" i="21"/>
  <c r="AM84" i="21"/>
  <c r="AL84" i="21"/>
  <c r="AK84" i="21"/>
  <c r="AJ84" i="21"/>
  <c r="AI84" i="21"/>
  <c r="AH84" i="21"/>
  <c r="AG84" i="21"/>
  <c r="AF84" i="21"/>
  <c r="AE84" i="21"/>
  <c r="AD84" i="21"/>
  <c r="AA84" i="21"/>
  <c r="AB84" i="21" s="1"/>
  <c r="Z84" i="21"/>
  <c r="Z187" i="15" s="1"/>
  <c r="Y84" i="21"/>
  <c r="Y187" i="15" s="1"/>
  <c r="X84" i="21"/>
  <c r="X187" i="15" s="1"/>
  <c r="W84" i="21"/>
  <c r="W187" i="15" s="1"/>
  <c r="V84" i="21"/>
  <c r="V187" i="15" s="1"/>
  <c r="U84" i="21"/>
  <c r="U187" i="15" s="1"/>
  <c r="T84" i="21"/>
  <c r="T187" i="15" s="1"/>
  <c r="S84" i="21"/>
  <c r="S187" i="15" s="1"/>
  <c r="R84" i="21"/>
  <c r="R187" i="15" s="1"/>
  <c r="Q84" i="21"/>
  <c r="Q187" i="15" s="1"/>
  <c r="AR122" i="22"/>
  <c r="AR96" i="22"/>
  <c r="AR57" i="22"/>
  <c r="AE122" i="22"/>
  <c r="AE96" i="22"/>
  <c r="AE57" i="22"/>
  <c r="AB78" i="20"/>
  <c r="AB77" i="20"/>
  <c r="AB49" i="20"/>
  <c r="AB48" i="20"/>
  <c r="AB19" i="20"/>
  <c r="AB18" i="20"/>
  <c r="B9" i="20"/>
  <c r="B10" i="20" s="1"/>
  <c r="O19" i="20"/>
  <c r="A23" i="20"/>
  <c r="A25" i="20"/>
  <c r="A27" i="20"/>
  <c r="A29" i="20"/>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E29" i="22"/>
  <c r="B43" i="20" s="1"/>
  <c r="T78" i="21"/>
  <c r="T169" i="15" s="1"/>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P107" i="16"/>
  <c r="P106" i="16"/>
  <c r="P105" i="16"/>
  <c r="P104" i="16"/>
  <c r="P103" i="16"/>
  <c r="P102" i="16"/>
  <c r="P101" i="16"/>
  <c r="P100" i="16"/>
  <c r="P99" i="16"/>
  <c r="P98" i="16"/>
  <c r="P97" i="16"/>
  <c r="P96" i="16"/>
  <c r="P95" i="16"/>
  <c r="P94" i="16"/>
  <c r="P93" i="16"/>
  <c r="P92" i="16"/>
  <c r="P91" i="16"/>
  <c r="P90" i="16"/>
  <c r="P89" i="16"/>
  <c r="P88" i="16"/>
  <c r="P87" i="16"/>
  <c r="P86" i="16"/>
  <c r="P85" i="16"/>
  <c r="P84" i="16"/>
  <c r="P83" i="16"/>
  <c r="P82" i="16"/>
  <c r="V62" i="21"/>
  <c r="V121" i="15" s="1"/>
  <c r="V74" i="21"/>
  <c r="V157" i="15" s="1"/>
  <c r="V82" i="21"/>
  <c r="V181" i="15" s="1"/>
  <c r="AI66" i="21"/>
  <c r="AI133" i="15" s="1"/>
  <c r="AI62" i="21"/>
  <c r="AI121" i="15" s="1"/>
  <c r="D25" i="26" a="1"/>
  <c r="D25" i="26" s="1"/>
  <c r="F4" i="26"/>
  <c r="F5" i="26"/>
  <c r="C11" i="26"/>
  <c r="B4" i="26"/>
  <c r="B5" i="26" s="1"/>
  <c r="E9" i="26"/>
  <c r="D9" i="26"/>
  <c r="C9" i="26"/>
  <c r="C10" i="26"/>
  <c r="E25" i="26" a="1"/>
  <c r="E25" i="26" s="1"/>
  <c r="C24" i="26"/>
  <c r="C23" i="26"/>
  <c r="C22" i="26"/>
  <c r="C21" i="26"/>
  <c r="C20" i="26"/>
  <c r="C18" i="26"/>
  <c r="D18" i="26" s="1"/>
  <c r="E18" i="26" s="1"/>
  <c r="C17" i="26"/>
  <c r="D17" i="26" s="1"/>
  <c r="E17" i="26" s="1"/>
  <c r="C16" i="26"/>
  <c r="D16" i="26" s="1"/>
  <c r="C15" i="26"/>
  <c r="D15" i="26" s="1"/>
  <c r="E15" i="26" s="1"/>
  <c r="C12" i="26"/>
  <c r="O62" i="21"/>
  <c r="O121" i="15" s="1"/>
  <c r="O65" i="21"/>
  <c r="O130" i="15" s="1"/>
  <c r="O63" i="21"/>
  <c r="O124" i="15" s="1"/>
  <c r="O61" i="21"/>
  <c r="O118" i="15" s="1"/>
  <c r="O56" i="21"/>
  <c r="O103" i="15" s="1"/>
  <c r="O66" i="21"/>
  <c r="O133" i="15" s="1"/>
  <c r="O58" i="21"/>
  <c r="O109" i="15" s="1"/>
  <c r="Z62" i="21"/>
  <c r="Z121" i="15" s="1"/>
  <c r="O57" i="21"/>
  <c r="O106" i="15" s="1"/>
  <c r="O55" i="21"/>
  <c r="O100" i="15" s="1"/>
  <c r="O59" i="21"/>
  <c r="O112" i="15" s="1"/>
  <c r="Z82" i="21"/>
  <c r="Z181" i="15" s="1"/>
  <c r="O60" i="21"/>
  <c r="O115" i="15" s="1"/>
  <c r="O64" i="21"/>
  <c r="O127" i="15" s="1"/>
  <c r="A54" i="26"/>
  <c r="A59" i="26" s="1"/>
  <c r="A55" i="26"/>
  <c r="A60" i="26" s="1"/>
  <c r="A53" i="26"/>
  <c r="A58" i="26" s="1"/>
  <c r="C141" i="22"/>
  <c r="B141" i="22"/>
  <c r="C140" i="22"/>
  <c r="B140" i="22"/>
  <c r="C139" i="22"/>
  <c r="B139" i="22"/>
  <c r="C138" i="22"/>
  <c r="B138" i="22"/>
  <c r="C137" i="22"/>
  <c r="B137" i="22"/>
  <c r="C136" i="22"/>
  <c r="B136" i="22"/>
  <c r="C135" i="22"/>
  <c r="B135" i="22"/>
  <c r="C134" i="22"/>
  <c r="B134" i="22"/>
  <c r="C133" i="22"/>
  <c r="B133" i="22"/>
  <c r="C132" i="22"/>
  <c r="B132" i="22"/>
  <c r="C131" i="22"/>
  <c r="B131" i="22"/>
  <c r="C130" i="22"/>
  <c r="B130" i="22"/>
  <c r="C129" i="22"/>
  <c r="B129" i="22"/>
  <c r="C128" i="22"/>
  <c r="B128" i="22"/>
  <c r="C127" i="22"/>
  <c r="B127" i="22"/>
  <c r="C126" i="22"/>
  <c r="B126" i="22"/>
  <c r="C125" i="22"/>
  <c r="B125" i="22"/>
  <c r="C124" i="22"/>
  <c r="B124" i="22"/>
  <c r="A123" i="22"/>
  <c r="A124" i="22"/>
  <c r="A125" i="22"/>
  <c r="A126" i="22"/>
  <c r="A127" i="22"/>
  <c r="A128" i="22"/>
  <c r="A129" i="22"/>
  <c r="A130" i="22"/>
  <c r="A131" i="22"/>
  <c r="A132" i="22"/>
  <c r="A133" i="22"/>
  <c r="A134" i="22"/>
  <c r="A135" i="22"/>
  <c r="A136" i="22"/>
  <c r="A137" i="22"/>
  <c r="A138" i="22"/>
  <c r="A139" i="22"/>
  <c r="A140" i="22"/>
  <c r="A141" i="22"/>
  <c r="A122" i="22"/>
  <c r="C115" i="22"/>
  <c r="B115" i="22"/>
  <c r="C114" i="22"/>
  <c r="B114" i="22"/>
  <c r="C113" i="22"/>
  <c r="B113" i="22"/>
  <c r="C112" i="22"/>
  <c r="B112" i="22"/>
  <c r="C111" i="22"/>
  <c r="B111" i="22"/>
  <c r="C110" i="22"/>
  <c r="B110" i="22"/>
  <c r="C109" i="22"/>
  <c r="B109" i="22"/>
  <c r="C108" i="22"/>
  <c r="B108" i="22"/>
  <c r="C107" i="22"/>
  <c r="B107" i="22"/>
  <c r="C106" i="22"/>
  <c r="B106" i="22"/>
  <c r="C105" i="22"/>
  <c r="B105" i="22"/>
  <c r="C104" i="22"/>
  <c r="B104" i="22"/>
  <c r="C103" i="22"/>
  <c r="B103" i="22"/>
  <c r="C102" i="22"/>
  <c r="B102" i="22"/>
  <c r="C101" i="22"/>
  <c r="B101" i="22"/>
  <c r="C100" i="22"/>
  <c r="B100" i="22"/>
  <c r="C99" i="22"/>
  <c r="B99" i="22"/>
  <c r="C98" i="22"/>
  <c r="B98" i="22"/>
  <c r="C97" i="22"/>
  <c r="B97" i="22"/>
  <c r="A112" i="22"/>
  <c r="A113" i="22"/>
  <c r="A114" i="22"/>
  <c r="A115" i="22"/>
  <c r="E142" i="22"/>
  <c r="B74" i="20" s="1"/>
  <c r="R122" i="22"/>
  <c r="A120" i="22"/>
  <c r="G115" i="17"/>
  <c r="A89" i="17"/>
  <c r="A90" i="17"/>
  <c r="E116" i="22"/>
  <c r="B45" i="20" s="1"/>
  <c r="R96" i="22"/>
  <c r="A94" i="22"/>
  <c r="A46" i="17"/>
  <c r="A47" i="17"/>
  <c r="AM66" i="21"/>
  <c r="G128" i="17"/>
  <c r="G86" i="17"/>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77" i="16"/>
  <c r="A75" i="16"/>
  <c r="P81" i="16"/>
  <c r="P80" i="16"/>
  <c r="P79" i="16"/>
  <c r="P78" i="16"/>
  <c r="P77" i="16"/>
  <c r="G42" i="16"/>
  <c r="G6"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42" i="16"/>
  <c r="A40"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42" i="16"/>
  <c r="A4" i="16"/>
  <c r="G129" i="17"/>
  <c r="A230" i="9"/>
  <c r="G201" i="9"/>
  <c r="F201" i="9"/>
  <c r="E201" i="9"/>
  <c r="D201" i="9"/>
  <c r="G194" i="9"/>
  <c r="F194" i="9"/>
  <c r="E194" i="9"/>
  <c r="A155" i="9"/>
  <c r="G126" i="9"/>
  <c r="F126" i="9"/>
  <c r="E126" i="9"/>
  <c r="D126" i="9"/>
  <c r="G119" i="9"/>
  <c r="F119" i="9"/>
  <c r="E119" i="9"/>
  <c r="A80" i="9"/>
  <c r="A4" i="9"/>
  <c r="BZ66" i="21"/>
  <c r="BZ133" i="15" s="1"/>
  <c r="A187" i="13"/>
  <c r="C216" i="13"/>
  <c r="B239" i="13"/>
  <c r="B243" i="13"/>
  <c r="A96" i="13"/>
  <c r="B148" i="13"/>
  <c r="B152" i="13"/>
  <c r="A4" i="13"/>
  <c r="B242" i="13"/>
  <c r="D40" i="26"/>
  <c r="C130" i="4"/>
  <c r="F130" i="4" s="1"/>
  <c r="B130" i="4"/>
  <c r="C129" i="4"/>
  <c r="F129" i="4" s="1"/>
  <c r="B129" i="4"/>
  <c r="C128" i="4"/>
  <c r="F128" i="4" s="1"/>
  <c r="B128" i="4"/>
  <c r="C127" i="4"/>
  <c r="F127" i="4" s="1"/>
  <c r="B127" i="4"/>
  <c r="C126" i="4"/>
  <c r="F126" i="4" s="1"/>
  <c r="B126" i="4"/>
  <c r="C125" i="4"/>
  <c r="F125" i="4" s="1"/>
  <c r="B125" i="4"/>
  <c r="C124" i="4"/>
  <c r="F124" i="4" s="1"/>
  <c r="B124" i="4"/>
  <c r="C123" i="4"/>
  <c r="F123" i="4" s="1"/>
  <c r="B123" i="4"/>
  <c r="C122" i="4"/>
  <c r="F122" i="4" s="1"/>
  <c r="B122" i="4"/>
  <c r="C121" i="4"/>
  <c r="F121" i="4" s="1"/>
  <c r="B121" i="4"/>
  <c r="C120" i="4"/>
  <c r="F120" i="4" s="1"/>
  <c r="B120" i="4"/>
  <c r="C119" i="4"/>
  <c r="F119" i="4" s="1"/>
  <c r="B119" i="4"/>
  <c r="C118" i="4"/>
  <c r="F118" i="4" s="1"/>
  <c r="B118" i="4"/>
  <c r="C117" i="4"/>
  <c r="F117" i="4" s="1"/>
  <c r="B117" i="4"/>
  <c r="C116" i="4"/>
  <c r="F116" i="4" s="1"/>
  <c r="B116" i="4"/>
  <c r="B115" i="4"/>
  <c r="B114" i="4"/>
  <c r="B113" i="4"/>
  <c r="B112" i="4"/>
  <c r="B111" i="4"/>
  <c r="B110" i="4"/>
  <c r="B109" i="4"/>
  <c r="B108" i="4"/>
  <c r="B107" i="4"/>
  <c r="B106" i="4"/>
  <c r="B105" i="4"/>
  <c r="B104" i="4"/>
  <c r="B103" i="4"/>
  <c r="B102" i="4"/>
  <c r="B101" i="4"/>
  <c r="G91" i="4"/>
  <c r="D91" i="4"/>
  <c r="H127" i="4" s="1"/>
  <c r="C91" i="4"/>
  <c r="B91" i="4"/>
  <c r="C88" i="4"/>
  <c r="F88" i="4" s="1"/>
  <c r="B88" i="4"/>
  <c r="C87" i="4"/>
  <c r="F87" i="4" s="1"/>
  <c r="B87" i="4"/>
  <c r="C86" i="4"/>
  <c r="F86" i="4" s="1"/>
  <c r="B86" i="4"/>
  <c r="C85" i="4"/>
  <c r="F85" i="4" s="1"/>
  <c r="B85" i="4"/>
  <c r="C84" i="4"/>
  <c r="F84" i="4" s="1"/>
  <c r="B84" i="4"/>
  <c r="C83" i="4"/>
  <c r="F83" i="4" s="1"/>
  <c r="B83" i="4"/>
  <c r="C82" i="4"/>
  <c r="F82" i="4" s="1"/>
  <c r="B82" i="4"/>
  <c r="C81" i="4"/>
  <c r="F81" i="4" s="1"/>
  <c r="B81" i="4"/>
  <c r="C80" i="4"/>
  <c r="F80" i="4" s="1"/>
  <c r="B80" i="4"/>
  <c r="C79" i="4"/>
  <c r="F79" i="4" s="1"/>
  <c r="B79" i="4"/>
  <c r="C78" i="4"/>
  <c r="F78" i="4" s="1"/>
  <c r="B78" i="4"/>
  <c r="C77" i="4"/>
  <c r="F77" i="4" s="1"/>
  <c r="B77" i="4"/>
  <c r="C76" i="4"/>
  <c r="F76" i="4" s="1"/>
  <c r="B76" i="4"/>
  <c r="C75" i="4"/>
  <c r="F75" i="4" s="1"/>
  <c r="B75" i="4"/>
  <c r="C74" i="4"/>
  <c r="F74" i="4" s="1"/>
  <c r="B74" i="4"/>
  <c r="C73" i="4"/>
  <c r="F73" i="4" s="1"/>
  <c r="B73" i="4"/>
  <c r="C72" i="4"/>
  <c r="F72" i="4" s="1"/>
  <c r="B72" i="4"/>
  <c r="C71" i="4"/>
  <c r="F71" i="4" s="1"/>
  <c r="B71" i="4"/>
  <c r="C70" i="4"/>
  <c r="F70" i="4" s="1"/>
  <c r="B70" i="4"/>
  <c r="C69" i="4"/>
  <c r="F69" i="4" s="1"/>
  <c r="B69" i="4"/>
  <c r="C68" i="4"/>
  <c r="F68" i="4" s="1"/>
  <c r="B68" i="4"/>
  <c r="B67" i="4"/>
  <c r="B66" i="4"/>
  <c r="B65" i="4"/>
  <c r="B64" i="4"/>
  <c r="B63" i="4"/>
  <c r="B62" i="4"/>
  <c r="B60" i="4"/>
  <c r="B59" i="4"/>
  <c r="G49" i="4"/>
  <c r="D49" i="4"/>
  <c r="C49" i="4"/>
  <c r="B49" i="4"/>
  <c r="D13" i="30"/>
  <c r="E9" i="30"/>
  <c r="E8" i="30"/>
  <c r="E7" i="30"/>
  <c r="D13" i="29"/>
  <c r="E9" i="29"/>
  <c r="E8" i="29"/>
  <c r="E7" i="29"/>
  <c r="D13" i="27"/>
  <c r="E9" i="27"/>
  <c r="E8" i="27"/>
  <c r="E7" i="27"/>
  <c r="G5" i="26"/>
  <c r="D11" i="26" s="1"/>
  <c r="G4" i="26"/>
  <c r="H5" i="26"/>
  <c r="H4" i="26"/>
  <c r="A88" i="20"/>
  <c r="A86" i="20"/>
  <c r="A84" i="20"/>
  <c r="A82" i="20"/>
  <c r="O78" i="20"/>
  <c r="B68" i="20"/>
  <c r="B69" i="20" s="1"/>
  <c r="A62" i="20"/>
  <c r="A59" i="20"/>
  <c r="A57" i="20"/>
  <c r="A55" i="20"/>
  <c r="A53" i="20"/>
  <c r="O49" i="20"/>
  <c r="B39" i="20"/>
  <c r="B40" i="20" s="1"/>
  <c r="A33" i="20"/>
  <c r="C40" i="26"/>
  <c r="B40" i="26"/>
  <c r="B16" i="13"/>
  <c r="A187" i="15"/>
  <c r="A184" i="15"/>
  <c r="A181" i="15"/>
  <c r="A178" i="15"/>
  <c r="A175" i="15"/>
  <c r="A172" i="15"/>
  <c r="A169" i="15"/>
  <c r="A166" i="15"/>
  <c r="A163" i="15"/>
  <c r="A160" i="15"/>
  <c r="A157" i="15"/>
  <c r="A154" i="15"/>
  <c r="A151" i="15"/>
  <c r="A148" i="15"/>
  <c r="A145" i="15"/>
  <c r="A142" i="15"/>
  <c r="A139" i="15"/>
  <c r="A136" i="15"/>
  <c r="A133" i="15"/>
  <c r="A130" i="15"/>
  <c r="A127" i="15"/>
  <c r="A124" i="15"/>
  <c r="A121" i="15"/>
  <c r="D5" i="4"/>
  <c r="H19" i="4" s="1"/>
  <c r="C5" i="4"/>
  <c r="A3" i="13"/>
  <c r="A3" i="16"/>
  <c r="A4" i="20"/>
  <c r="A3" i="17"/>
  <c r="A54" i="22"/>
  <c r="A31" i="22"/>
  <c r="A4" i="22"/>
  <c r="A4" i="15"/>
  <c r="C43" i="1" a="1"/>
  <c r="C43" i="1" s="1"/>
  <c r="C25" i="26" s="1"/>
  <c r="C115" i="4"/>
  <c r="F115" i="4" s="1"/>
  <c r="B46" i="4"/>
  <c r="F46" i="4"/>
  <c r="H128" i="17"/>
  <c r="J128" i="17"/>
  <c r="H129" i="17"/>
  <c r="B86" i="36" s="1"/>
  <c r="B43" i="4"/>
  <c r="B44" i="4"/>
  <c r="B45" i="4"/>
  <c r="C43" i="4"/>
  <c r="F43" i="4" s="1"/>
  <c r="C44" i="4"/>
  <c r="F44" i="4" s="1"/>
  <c r="C45" i="4"/>
  <c r="F45" i="4" s="1"/>
  <c r="J129" i="17"/>
  <c r="C205" i="13" s="1"/>
  <c r="D205" i="13" s="1"/>
  <c r="E205" i="13" s="1"/>
  <c r="B35" i="4"/>
  <c r="B36" i="4"/>
  <c r="B37" i="4"/>
  <c r="B38" i="4"/>
  <c r="B39" i="4"/>
  <c r="B40" i="4"/>
  <c r="B41" i="4"/>
  <c r="B42" i="4"/>
  <c r="C35" i="4"/>
  <c r="F35" i="4" s="1"/>
  <c r="C36" i="4"/>
  <c r="F36" i="4" s="1"/>
  <c r="C37" i="4"/>
  <c r="F37" i="4" s="1"/>
  <c r="C38" i="4"/>
  <c r="F38" i="4" s="1"/>
  <c r="C39" i="4"/>
  <c r="F39" i="4" s="1"/>
  <c r="C40" i="4"/>
  <c r="F40" i="4" s="1"/>
  <c r="C41" i="4"/>
  <c r="F41" i="4" s="1"/>
  <c r="C42" i="4"/>
  <c r="F42" i="4" s="1"/>
  <c r="B32" i="4"/>
  <c r="C32" i="4"/>
  <c r="F32" i="4" s="1"/>
  <c r="B33" i="4"/>
  <c r="C33" i="4"/>
  <c r="F33" i="4" s="1"/>
  <c r="C28" i="4"/>
  <c r="F28" i="4" s="1"/>
  <c r="B28" i="4"/>
  <c r="B31" i="4"/>
  <c r="C31" i="4"/>
  <c r="F31" i="4" s="1"/>
  <c r="B30" i="4"/>
  <c r="C30" i="4"/>
  <c r="F30" i="4" s="1"/>
  <c r="B29" i="4"/>
  <c r="C29" i="4"/>
  <c r="F29" i="4" s="1"/>
  <c r="B27" i="4"/>
  <c r="C27" i="4"/>
  <c r="F27" i="4" s="1"/>
  <c r="A51" i="9"/>
  <c r="G50" i="9"/>
  <c r="F50" i="9"/>
  <c r="E50" i="9"/>
  <c r="D50" i="9"/>
  <c r="A50" i="9"/>
  <c r="A49" i="9"/>
  <c r="A48" i="9"/>
  <c r="A47" i="9"/>
  <c r="A46" i="9"/>
  <c r="A45" i="9"/>
  <c r="A44" i="9"/>
  <c r="A42" i="9"/>
  <c r="A43" i="9"/>
  <c r="E43" i="9"/>
  <c r="F43" i="9"/>
  <c r="G43" i="9"/>
  <c r="A41" i="9"/>
  <c r="A39" i="9"/>
  <c r="A38" i="9"/>
  <c r="A37" i="9"/>
  <c r="A36" i="9"/>
  <c r="A33" i="9"/>
  <c r="A34" i="9"/>
  <c r="A35" i="9"/>
  <c r="A32" i="9"/>
  <c r="A31" i="9"/>
  <c r="A30" i="9"/>
  <c r="A27" i="9"/>
  <c r="A26" i="9"/>
  <c r="A25" i="9"/>
  <c r="A24" i="9"/>
  <c r="A23" i="9"/>
  <c r="A22" i="9"/>
  <c r="A21" i="9"/>
  <c r="A20" i="9"/>
  <c r="A19" i="9"/>
  <c r="A18" i="9"/>
  <c r="A17" i="9"/>
  <c r="A16" i="9"/>
  <c r="A15" i="9"/>
  <c r="A14" i="9"/>
  <c r="A13" i="9"/>
  <c r="A12" i="9"/>
  <c r="A11" i="9"/>
  <c r="A10" i="9"/>
  <c r="A9" i="9"/>
  <c r="A7" i="9"/>
  <c r="A8" i="9"/>
  <c r="A6" i="9"/>
  <c r="H85" i="17"/>
  <c r="G85" i="17"/>
  <c r="G84" i="17"/>
  <c r="G81" i="17"/>
  <c r="E90" i="22"/>
  <c r="B15" i="20" s="1"/>
  <c r="B57" i="13"/>
  <c r="B37" i="13"/>
  <c r="C24" i="4"/>
  <c r="F24" i="4" s="1"/>
  <c r="C25" i="4"/>
  <c r="F25" i="4" s="1"/>
  <c r="C26" i="4"/>
  <c r="F26" i="4" s="1"/>
  <c r="C34" i="4"/>
  <c r="F34" i="4" s="1"/>
  <c r="D13" i="24"/>
  <c r="E8" i="24"/>
  <c r="I36" i="1"/>
  <c r="E9" i="24"/>
  <c r="E7" i="24"/>
  <c r="A2" i="9"/>
  <c r="C37" i="1"/>
  <c r="C19" i="26" s="1"/>
  <c r="D55" i="21"/>
  <c r="D100" i="15" s="1"/>
  <c r="D56" i="21"/>
  <c r="D103" i="15" s="1"/>
  <c r="D57" i="21"/>
  <c r="D106" i="15" s="1"/>
  <c r="D58" i="21"/>
  <c r="D109" i="15" s="1"/>
  <c r="D59" i="21"/>
  <c r="D112" i="15" s="1"/>
  <c r="D60" i="21"/>
  <c r="D115" i="15" s="1"/>
  <c r="D61" i="21"/>
  <c r="D118" i="15" s="1"/>
  <c r="D62" i="21"/>
  <c r="D121" i="15" s="1"/>
  <c r="D63" i="21"/>
  <c r="D64" i="21"/>
  <c r="D127" i="15" s="1"/>
  <c r="D65" i="21"/>
  <c r="D130" i="15" s="1"/>
  <c r="D66" i="21"/>
  <c r="E55" i="21"/>
  <c r="E100" i="15" s="1"/>
  <c r="E56" i="21"/>
  <c r="E103" i="15" s="1"/>
  <c r="E57" i="21"/>
  <c r="E106" i="15" s="1"/>
  <c r="E58" i="21"/>
  <c r="E109" i="15" s="1"/>
  <c r="E59" i="21"/>
  <c r="E112" i="15" s="1"/>
  <c r="E60" i="21"/>
  <c r="E115" i="15" s="1"/>
  <c r="E61" i="21"/>
  <c r="E118" i="15" s="1"/>
  <c r="E62" i="21"/>
  <c r="E121" i="15" s="1"/>
  <c r="E63" i="21"/>
  <c r="E124" i="15" s="1"/>
  <c r="E64" i="21"/>
  <c r="E127" i="15" s="1"/>
  <c r="E65" i="21"/>
  <c r="E130" i="15" s="1"/>
  <c r="E66" i="21"/>
  <c r="E133" i="15" s="1"/>
  <c r="F55" i="21"/>
  <c r="F100" i="15" s="1"/>
  <c r="F56" i="21"/>
  <c r="F103" i="15" s="1"/>
  <c r="F57" i="21"/>
  <c r="F106" i="15" s="1"/>
  <c r="F58" i="21"/>
  <c r="F109" i="15" s="1"/>
  <c r="F59" i="21"/>
  <c r="F112" i="15" s="1"/>
  <c r="F60" i="21"/>
  <c r="F115" i="15" s="1"/>
  <c r="F61" i="21"/>
  <c r="F118" i="15" s="1"/>
  <c r="F62" i="21"/>
  <c r="F121" i="15" s="1"/>
  <c r="F63" i="21"/>
  <c r="F124" i="15" s="1"/>
  <c r="F64" i="21"/>
  <c r="F127" i="15" s="1"/>
  <c r="F65" i="21"/>
  <c r="F130" i="15" s="1"/>
  <c r="F66" i="21"/>
  <c r="F133" i="15" s="1"/>
  <c r="G55" i="21"/>
  <c r="G100" i="15" s="1"/>
  <c r="G56" i="21"/>
  <c r="G103" i="15" s="1"/>
  <c r="G57" i="21"/>
  <c r="G106" i="15" s="1"/>
  <c r="G58" i="21"/>
  <c r="G109" i="15" s="1"/>
  <c r="G59" i="21"/>
  <c r="G112" i="15" s="1"/>
  <c r="G60" i="21"/>
  <c r="G115" i="15" s="1"/>
  <c r="G61" i="21"/>
  <c r="G118" i="15" s="1"/>
  <c r="G62" i="21"/>
  <c r="G121" i="15" s="1"/>
  <c r="G63" i="21"/>
  <c r="G124" i="15" s="1"/>
  <c r="G64" i="21"/>
  <c r="G127" i="15" s="1"/>
  <c r="G65" i="21"/>
  <c r="G130" i="15" s="1"/>
  <c r="G66" i="21"/>
  <c r="G133" i="15" s="1"/>
  <c r="H55" i="21"/>
  <c r="H100" i="15" s="1"/>
  <c r="H56" i="21"/>
  <c r="H103" i="15" s="1"/>
  <c r="H57" i="21"/>
  <c r="H106" i="15" s="1"/>
  <c r="H58" i="21"/>
  <c r="H109" i="15" s="1"/>
  <c r="H59" i="21"/>
  <c r="H112" i="15" s="1"/>
  <c r="H60" i="21"/>
  <c r="H115" i="15" s="1"/>
  <c r="H61" i="21"/>
  <c r="H118" i="15" s="1"/>
  <c r="H62" i="21"/>
  <c r="H121" i="15" s="1"/>
  <c r="H63" i="21"/>
  <c r="H124" i="15" s="1"/>
  <c r="H64" i="21"/>
  <c r="H127" i="15" s="1"/>
  <c r="H65" i="21"/>
  <c r="H130" i="15" s="1"/>
  <c r="H66" i="21"/>
  <c r="H133" i="15" s="1"/>
  <c r="I55" i="21"/>
  <c r="I100" i="15" s="1"/>
  <c r="I56" i="21"/>
  <c r="I103" i="15" s="1"/>
  <c r="I57" i="21"/>
  <c r="I106" i="15" s="1"/>
  <c r="I58" i="21"/>
  <c r="I109" i="15" s="1"/>
  <c r="I59" i="21"/>
  <c r="I112" i="15" s="1"/>
  <c r="I60" i="21"/>
  <c r="I115" i="15" s="1"/>
  <c r="I61" i="21"/>
  <c r="I118" i="15" s="1"/>
  <c r="I62" i="21"/>
  <c r="I121" i="15" s="1"/>
  <c r="I63" i="21"/>
  <c r="I124" i="15" s="1"/>
  <c r="I64" i="21"/>
  <c r="I127" i="15" s="1"/>
  <c r="I65" i="21"/>
  <c r="I130" i="15" s="1"/>
  <c r="I66" i="21"/>
  <c r="I133" i="15" s="1"/>
  <c r="I163" i="15"/>
  <c r="J55" i="21"/>
  <c r="J100" i="15" s="1"/>
  <c r="J56" i="21"/>
  <c r="J103" i="15" s="1"/>
  <c r="J57" i="21"/>
  <c r="J106" i="15" s="1"/>
  <c r="J58" i="21"/>
  <c r="J109" i="15" s="1"/>
  <c r="J59" i="21"/>
  <c r="J112" i="15" s="1"/>
  <c r="J60" i="21"/>
  <c r="J115" i="15" s="1"/>
  <c r="J61" i="21"/>
  <c r="J118" i="15" s="1"/>
  <c r="J62" i="21"/>
  <c r="J121" i="15" s="1"/>
  <c r="J63" i="21"/>
  <c r="J124" i="15" s="1"/>
  <c r="J64" i="21"/>
  <c r="J127" i="15" s="1"/>
  <c r="J65" i="21"/>
  <c r="J130" i="15" s="1"/>
  <c r="J66" i="21"/>
  <c r="J133" i="15" s="1"/>
  <c r="J148" i="15"/>
  <c r="K55" i="21"/>
  <c r="K100" i="15" s="1"/>
  <c r="K56" i="21"/>
  <c r="K103" i="15" s="1"/>
  <c r="K57" i="21"/>
  <c r="K106" i="15" s="1"/>
  <c r="K58" i="21"/>
  <c r="K109" i="15" s="1"/>
  <c r="K59" i="21"/>
  <c r="K112" i="15" s="1"/>
  <c r="K60" i="21"/>
  <c r="K115" i="15" s="1"/>
  <c r="K61" i="21"/>
  <c r="K118" i="15" s="1"/>
  <c r="K62" i="21"/>
  <c r="K121" i="15" s="1"/>
  <c r="K63" i="21"/>
  <c r="K124" i="15" s="1"/>
  <c r="K64" i="21"/>
  <c r="K127" i="15" s="1"/>
  <c r="K65" i="21"/>
  <c r="K130" i="15" s="1"/>
  <c r="K66" i="21"/>
  <c r="K133" i="15" s="1"/>
  <c r="L55" i="21"/>
  <c r="L100" i="15" s="1"/>
  <c r="L56" i="21"/>
  <c r="L103" i="15" s="1"/>
  <c r="L57" i="21"/>
  <c r="L106" i="15" s="1"/>
  <c r="L58" i="21"/>
  <c r="L109" i="15" s="1"/>
  <c r="L59" i="21"/>
  <c r="L112" i="15" s="1"/>
  <c r="L60" i="21"/>
  <c r="L115" i="15" s="1"/>
  <c r="L61" i="21"/>
  <c r="L118" i="15" s="1"/>
  <c r="L62" i="21"/>
  <c r="L121" i="15" s="1"/>
  <c r="L63" i="21"/>
  <c r="L124" i="15" s="1"/>
  <c r="L64" i="21"/>
  <c r="L127" i="15" s="1"/>
  <c r="L65" i="21"/>
  <c r="L130" i="15" s="1"/>
  <c r="L66" i="21"/>
  <c r="L133" i="15" s="1"/>
  <c r="M55" i="21"/>
  <c r="M100" i="15" s="1"/>
  <c r="M56" i="21"/>
  <c r="M103" i="15" s="1"/>
  <c r="M57" i="21"/>
  <c r="M106" i="15" s="1"/>
  <c r="M58" i="21"/>
  <c r="M109" i="15" s="1"/>
  <c r="M59" i="21"/>
  <c r="M112" i="15" s="1"/>
  <c r="M60" i="21"/>
  <c r="M115" i="15" s="1"/>
  <c r="M61" i="21"/>
  <c r="M118" i="15" s="1"/>
  <c r="M62" i="21"/>
  <c r="M121" i="15" s="1"/>
  <c r="M63" i="21"/>
  <c r="M124" i="15" s="1"/>
  <c r="M64" i="21"/>
  <c r="M127" i="15" s="1"/>
  <c r="M65" i="21"/>
  <c r="M130" i="15" s="1"/>
  <c r="M66" i="21"/>
  <c r="M133" i="15" s="1"/>
  <c r="N55" i="21"/>
  <c r="N100" i="15" s="1"/>
  <c r="N56" i="21"/>
  <c r="N103" i="15" s="1"/>
  <c r="N57" i="21"/>
  <c r="N106" i="15" s="1"/>
  <c r="N58" i="21"/>
  <c r="N109" i="15" s="1"/>
  <c r="N59" i="21"/>
  <c r="N112" i="15" s="1"/>
  <c r="N60" i="21"/>
  <c r="N115" i="15" s="1"/>
  <c r="N61" i="21"/>
  <c r="N118" i="15" s="1"/>
  <c r="N62" i="21"/>
  <c r="N121" i="15" s="1"/>
  <c r="N63" i="21"/>
  <c r="N124" i="15" s="1"/>
  <c r="N64" i="21"/>
  <c r="N127" i="15" s="1"/>
  <c r="N65" i="21"/>
  <c r="N130" i="15" s="1"/>
  <c r="N66" i="21"/>
  <c r="N133" i="15" s="1"/>
  <c r="C56" i="21"/>
  <c r="C57" i="21"/>
  <c r="C58" i="21"/>
  <c r="C109" i="15" s="1"/>
  <c r="C59" i="21"/>
  <c r="C112" i="15" s="1"/>
  <c r="C60" i="21"/>
  <c r="C115" i="15" s="1"/>
  <c r="C61" i="21"/>
  <c r="C62" i="21"/>
  <c r="C121" i="15" s="1"/>
  <c r="C63" i="21"/>
  <c r="C124" i="15" s="1"/>
  <c r="C64" i="21"/>
  <c r="C65" i="21"/>
  <c r="C130" i="15" s="1"/>
  <c r="C66" i="21"/>
  <c r="C133" i="15" s="1"/>
  <c r="D139" i="15"/>
  <c r="C102" i="4"/>
  <c r="F102" i="4" s="1"/>
  <c r="C9" i="19"/>
  <c r="C10" i="19"/>
  <c r="C12" i="19"/>
  <c r="C13" i="19"/>
  <c r="C14" i="19"/>
  <c r="C15" i="19"/>
  <c r="C16" i="19"/>
  <c r="C17" i="19"/>
  <c r="C18" i="19"/>
  <c r="C19" i="19"/>
  <c r="C20" i="19"/>
  <c r="C21" i="19"/>
  <c r="C22" i="19"/>
  <c r="C23" i="19"/>
  <c r="C24" i="19"/>
  <c r="C25" i="19"/>
  <c r="C26" i="19"/>
  <c r="C27" i="19"/>
  <c r="C28" i="19"/>
  <c r="C29" i="19"/>
  <c r="C30" i="19"/>
  <c r="C31" i="19"/>
  <c r="C44" i="19"/>
  <c r="C45" i="19"/>
  <c r="C46" i="19"/>
  <c r="C57" i="19"/>
  <c r="C58" i="19"/>
  <c r="C59" i="19"/>
  <c r="C60" i="19"/>
  <c r="C73" i="19"/>
  <c r="C74" i="19"/>
  <c r="C75" i="19"/>
  <c r="C87" i="19"/>
  <c r="C88" i="19"/>
  <c r="C89" i="19"/>
  <c r="C90" i="19"/>
  <c r="C103" i="19"/>
  <c r="C104" i="19"/>
  <c r="C105" i="19"/>
  <c r="C117" i="19"/>
  <c r="C118" i="19"/>
  <c r="C119" i="19"/>
  <c r="C120" i="19"/>
  <c r="C133" i="19"/>
  <c r="C147" i="19"/>
  <c r="C148" i="19"/>
  <c r="C149" i="19"/>
  <c r="C150" i="19"/>
  <c r="C163" i="19"/>
  <c r="C164" i="19"/>
  <c r="C165" i="19"/>
  <c r="C193" i="19"/>
  <c r="C194" i="19"/>
  <c r="C195" i="19"/>
  <c r="C207" i="19"/>
  <c r="C208" i="19"/>
  <c r="C209" i="19"/>
  <c r="C210" i="19"/>
  <c r="C224" i="19"/>
  <c r="C225" i="19"/>
  <c r="C237" i="19"/>
  <c r="C238" i="19"/>
  <c r="C239" i="19"/>
  <c r="C240" i="19"/>
  <c r="C241" i="19"/>
  <c r="C242" i="19"/>
  <c r="C243" i="19"/>
  <c r="C244" i="19"/>
  <c r="C254" i="19"/>
  <c r="C255" i="19"/>
  <c r="C256" i="19"/>
  <c r="C257" i="19"/>
  <c r="C258" i="19"/>
  <c r="C259" i="19"/>
  <c r="C268" i="19"/>
  <c r="C269" i="19"/>
  <c r="C270" i="19"/>
  <c r="C271" i="19"/>
  <c r="C272" i="19"/>
  <c r="C273" i="19"/>
  <c r="C274" i="19"/>
  <c r="C275" i="19"/>
  <c r="C276" i="19"/>
  <c r="C277" i="19"/>
  <c r="C278" i="19"/>
  <c r="C279" i="19"/>
  <c r="C280" i="19"/>
  <c r="C281" i="19"/>
  <c r="C282" i="19"/>
  <c r="C285" i="19"/>
  <c r="C286" i="19"/>
  <c r="C287" i="19"/>
  <c r="C288" i="19"/>
  <c r="C289" i="19"/>
  <c r="C290" i="19"/>
  <c r="C299" i="19"/>
  <c r="C300" i="19"/>
  <c r="C301"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797" i="19"/>
  <c r="C798" i="19"/>
  <c r="C799" i="19"/>
  <c r="C800" i="19"/>
  <c r="C801" i="19"/>
  <c r="C802" i="19"/>
  <c r="C803" i="19"/>
  <c r="C804" i="19"/>
  <c r="C805" i="19"/>
  <c r="C812" i="19"/>
  <c r="C813" i="19"/>
  <c r="C814" i="19"/>
  <c r="C815" i="19"/>
  <c r="C816" i="19"/>
  <c r="C817" i="19"/>
  <c r="C818" i="19"/>
  <c r="C819" i="19"/>
  <c r="C820" i="19"/>
  <c r="C821" i="19"/>
  <c r="C822" i="19"/>
  <c r="C823" i="19"/>
  <c r="C824" i="19"/>
  <c r="C825" i="19"/>
  <c r="C826" i="19"/>
  <c r="C827" i="19"/>
  <c r="C828" i="19"/>
  <c r="C829" i="19"/>
  <c r="C830" i="19"/>
  <c r="C831" i="19"/>
  <c r="C832" i="19"/>
  <c r="C833" i="19"/>
  <c r="C834" i="19"/>
  <c r="C835" i="19"/>
  <c r="C836" i="19"/>
  <c r="C837" i="19"/>
  <c r="C838" i="19"/>
  <c r="C839" i="19"/>
  <c r="C840" i="19"/>
  <c r="C841" i="19"/>
  <c r="C842" i="19"/>
  <c r="C843" i="19"/>
  <c r="C844" i="19"/>
  <c r="C845" i="19"/>
  <c r="C846" i="19"/>
  <c r="C847" i="19"/>
  <c r="C854" i="19"/>
  <c r="C855" i="19"/>
  <c r="C856" i="19"/>
  <c r="C857" i="19"/>
  <c r="C858" i="19"/>
  <c r="C859" i="19"/>
  <c r="C860" i="19"/>
  <c r="C861" i="19"/>
  <c r="C862" i="19"/>
  <c r="C863" i="19"/>
  <c r="C864" i="19"/>
  <c r="C865" i="19"/>
  <c r="C866" i="19"/>
  <c r="C867" i="19"/>
  <c r="C868" i="19"/>
  <c r="C869" i="19"/>
  <c r="C870" i="19"/>
  <c r="C871" i="19"/>
  <c r="C872" i="19"/>
  <c r="C873" i="19"/>
  <c r="C874" i="19"/>
  <c r="C875" i="19"/>
  <c r="C876" i="19"/>
  <c r="C877" i="19"/>
  <c r="C878" i="19"/>
  <c r="C879" i="19"/>
  <c r="C880" i="19"/>
  <c r="C881" i="19"/>
  <c r="C882" i="19"/>
  <c r="C883" i="19"/>
  <c r="C884" i="19"/>
  <c r="C885" i="19"/>
  <c r="C886" i="19"/>
  <c r="C887" i="19"/>
  <c r="C888" i="19"/>
  <c r="C889" i="19"/>
  <c r="C896" i="19"/>
  <c r="C897" i="19"/>
  <c r="C898" i="19"/>
  <c r="C899" i="19"/>
  <c r="C900" i="19"/>
  <c r="C901" i="19"/>
  <c r="C902" i="19"/>
  <c r="C903" i="19"/>
  <c r="C904" i="19"/>
  <c r="C905" i="19"/>
  <c r="C906" i="19"/>
  <c r="C907" i="19"/>
  <c r="C908" i="19"/>
  <c r="C909" i="19"/>
  <c r="C910" i="19"/>
  <c r="C911" i="19"/>
  <c r="C912" i="19"/>
  <c r="C913" i="19"/>
  <c r="C914" i="19"/>
  <c r="C915" i="19"/>
  <c r="C916" i="19"/>
  <c r="C917" i="19"/>
  <c r="C918" i="19"/>
  <c r="C919" i="19"/>
  <c r="C920" i="19"/>
  <c r="C921" i="19"/>
  <c r="C922" i="19"/>
  <c r="C923" i="19"/>
  <c r="C924" i="19"/>
  <c r="C925" i="19"/>
  <c r="C926" i="19"/>
  <c r="C927" i="19"/>
  <c r="C928" i="19"/>
  <c r="C929" i="19"/>
  <c r="C930" i="19"/>
  <c r="C931" i="19"/>
  <c r="C938" i="19"/>
  <c r="C939" i="19"/>
  <c r="C940" i="19"/>
  <c r="C941" i="19"/>
  <c r="C942" i="19"/>
  <c r="C943" i="19"/>
  <c r="C944" i="19"/>
  <c r="C945" i="19"/>
  <c r="C946" i="19"/>
  <c r="C947" i="19"/>
  <c r="C948" i="19"/>
  <c r="C949" i="19"/>
  <c r="C950" i="19"/>
  <c r="C951" i="19"/>
  <c r="C952" i="19"/>
  <c r="C953" i="19"/>
  <c r="C954" i="19"/>
  <c r="C955" i="19"/>
  <c r="C956" i="19"/>
  <c r="C957" i="19"/>
  <c r="C958" i="19"/>
  <c r="C959" i="19"/>
  <c r="C960" i="19"/>
  <c r="C961" i="19"/>
  <c r="C962" i="19"/>
  <c r="C963" i="19"/>
  <c r="C964" i="19"/>
  <c r="C965" i="19"/>
  <c r="C966" i="19"/>
  <c r="C967" i="19"/>
  <c r="C968" i="19"/>
  <c r="C969" i="19"/>
  <c r="C970" i="19"/>
  <c r="C971" i="19"/>
  <c r="C972" i="19"/>
  <c r="C973" i="19"/>
  <c r="C980" i="19"/>
  <c r="C981" i="19"/>
  <c r="C982" i="19"/>
  <c r="C983" i="19"/>
  <c r="C984" i="19"/>
  <c r="C985" i="19"/>
  <c r="C986" i="19"/>
  <c r="C987" i="19"/>
  <c r="C988" i="19"/>
  <c r="C989" i="19"/>
  <c r="C990" i="19"/>
  <c r="C991" i="19"/>
  <c r="C992" i="19"/>
  <c r="C993" i="19"/>
  <c r="C994" i="19"/>
  <c r="C995" i="19"/>
  <c r="C996" i="19"/>
  <c r="C997" i="19"/>
  <c r="C998" i="19"/>
  <c r="C999" i="19"/>
  <c r="C1000" i="19"/>
  <c r="C1001" i="19"/>
  <c r="C1002" i="19"/>
  <c r="C1003" i="19"/>
  <c r="C1004" i="19"/>
  <c r="C1005" i="19"/>
  <c r="C1006" i="19"/>
  <c r="C1007" i="19"/>
  <c r="C1008" i="19"/>
  <c r="C1009" i="19"/>
  <c r="C1010" i="19"/>
  <c r="C1011" i="19"/>
  <c r="C1012" i="19"/>
  <c r="C1013" i="19"/>
  <c r="C1014" i="19"/>
  <c r="C1015" i="19"/>
  <c r="C1022"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C1052" i="19"/>
  <c r="C1053" i="19"/>
  <c r="C1054" i="19"/>
  <c r="C1055" i="19"/>
  <c r="C1056" i="19"/>
  <c r="C1057" i="19"/>
  <c r="C1064" i="19"/>
  <c r="C1065" i="19"/>
  <c r="C1066" i="19"/>
  <c r="C1067" i="19"/>
  <c r="C1068" i="19"/>
  <c r="C1069" i="19"/>
  <c r="C1070" i="19"/>
  <c r="C1071" i="19"/>
  <c r="C1072" i="19"/>
  <c r="C1073" i="19"/>
  <c r="C1074" i="19"/>
  <c r="C1075" i="19"/>
  <c r="C1076" i="19"/>
  <c r="C1077" i="19"/>
  <c r="C1078" i="19"/>
  <c r="C1079" i="19"/>
  <c r="C1080" i="19"/>
  <c r="C1081" i="19"/>
  <c r="C1082" i="19"/>
  <c r="C1083" i="19"/>
  <c r="C1084" i="19"/>
  <c r="C1085" i="19"/>
  <c r="C1086" i="19"/>
  <c r="C1087" i="19"/>
  <c r="C1088" i="19"/>
  <c r="C1089" i="19"/>
  <c r="C1090" i="19"/>
  <c r="C1091" i="19"/>
  <c r="C1092" i="19"/>
  <c r="C1093" i="19"/>
  <c r="C1094" i="19"/>
  <c r="C1095" i="19"/>
  <c r="C1096" i="19"/>
  <c r="C1097" i="19"/>
  <c r="C1098" i="19"/>
  <c r="C1099" i="19"/>
  <c r="C1106" i="19"/>
  <c r="C1107" i="19"/>
  <c r="C1108" i="19"/>
  <c r="C1109" i="19"/>
  <c r="C1110" i="19"/>
  <c r="C1111" i="19"/>
  <c r="C1112" i="19"/>
  <c r="C1113" i="19"/>
  <c r="C1114" i="19"/>
  <c r="C1115" i="19"/>
  <c r="C1116" i="19"/>
  <c r="C1117" i="19"/>
  <c r="C1118" i="19"/>
  <c r="C1119" i="19"/>
  <c r="C1120" i="19"/>
  <c r="C1121" i="19"/>
  <c r="C1122" i="19"/>
  <c r="C1123" i="19"/>
  <c r="C1124" i="19"/>
  <c r="C1125" i="19"/>
  <c r="C1126" i="19"/>
  <c r="C1127" i="19"/>
  <c r="C1128" i="19"/>
  <c r="C1129" i="19"/>
  <c r="C1130" i="19"/>
  <c r="C1131" i="19"/>
  <c r="C1132" i="19"/>
  <c r="C1133" i="19"/>
  <c r="C1134" i="19"/>
  <c r="C1135" i="19"/>
  <c r="C1136" i="19"/>
  <c r="C1137" i="19"/>
  <c r="C1138" i="19"/>
  <c r="C1139" i="19"/>
  <c r="C1140" i="19"/>
  <c r="C1141" i="19"/>
  <c r="C1148" i="19"/>
  <c r="C1149" i="19"/>
  <c r="C1150" i="19"/>
  <c r="C1151" i="19"/>
  <c r="C1152" i="19"/>
  <c r="C1153" i="19"/>
  <c r="C1154" i="19"/>
  <c r="C1155" i="19"/>
  <c r="C1156" i="19"/>
  <c r="C1157" i="19"/>
  <c r="C1158" i="19"/>
  <c r="C1159" i="19"/>
  <c r="C1160" i="19"/>
  <c r="C1161" i="19"/>
  <c r="C1162" i="19"/>
  <c r="C1163" i="19"/>
  <c r="C1164" i="19"/>
  <c r="C1165" i="19"/>
  <c r="C1166" i="19"/>
  <c r="C1167" i="19"/>
  <c r="C1168" i="19"/>
  <c r="C1169" i="19"/>
  <c r="C1170" i="19"/>
  <c r="C1171" i="19"/>
  <c r="C1172" i="19"/>
  <c r="C1173" i="19"/>
  <c r="C1174" i="19"/>
  <c r="C1175" i="19"/>
  <c r="C1176" i="19"/>
  <c r="C1177" i="19"/>
  <c r="C1178" i="19"/>
  <c r="C1179" i="19"/>
  <c r="C1180" i="19"/>
  <c r="C1181" i="19"/>
  <c r="C1182" i="19"/>
  <c r="C1183" i="19"/>
  <c r="C1190" i="19"/>
  <c r="C1191" i="19"/>
  <c r="C1192" i="19"/>
  <c r="C1193" i="19"/>
  <c r="C1194" i="19"/>
  <c r="C1195" i="19"/>
  <c r="C1196" i="19"/>
  <c r="C1197" i="19"/>
  <c r="C1198" i="19"/>
  <c r="C1199" i="19"/>
  <c r="C1200" i="19"/>
  <c r="C1201" i="19"/>
  <c r="C1202" i="19"/>
  <c r="C1203" i="19"/>
  <c r="C1204" i="19"/>
  <c r="C1205" i="19"/>
  <c r="C1206" i="19"/>
  <c r="C1207" i="19"/>
  <c r="C1208" i="19"/>
  <c r="C1209" i="19"/>
  <c r="C1210" i="19"/>
  <c r="C1211" i="19"/>
  <c r="C1212" i="19"/>
  <c r="C1213" i="19"/>
  <c r="C1214" i="19"/>
  <c r="C1215" i="19"/>
  <c r="C1216" i="19"/>
  <c r="C1217" i="19"/>
  <c r="C1218" i="19"/>
  <c r="C1219" i="19"/>
  <c r="C1220" i="19"/>
  <c r="C1221" i="19"/>
  <c r="C1222" i="19"/>
  <c r="C1223" i="19"/>
  <c r="C1224" i="19"/>
  <c r="C1225" i="19"/>
  <c r="C1227" i="19"/>
  <c r="C1228" i="19"/>
  <c r="C1230" i="19"/>
  <c r="C1231" i="19"/>
  <c r="C1232" i="19"/>
  <c r="C1233" i="19"/>
  <c r="C1234" i="19"/>
  <c r="C1235" i="19"/>
  <c r="C1236" i="19"/>
  <c r="C1237" i="19"/>
  <c r="C1238" i="19"/>
  <c r="C1239" i="19"/>
  <c r="C1240" i="19"/>
  <c r="C1241" i="19"/>
  <c r="C1242" i="19"/>
  <c r="C1243" i="19"/>
  <c r="C1244" i="19"/>
  <c r="C1245" i="19"/>
  <c r="C1246" i="19"/>
  <c r="C1247" i="19"/>
  <c r="C1248" i="19"/>
  <c r="C1249" i="19"/>
  <c r="C1250" i="19"/>
  <c r="C1251" i="19"/>
  <c r="C1252" i="19"/>
  <c r="C1253" i="19"/>
  <c r="C1254" i="19"/>
  <c r="C1255" i="19"/>
  <c r="C1256" i="19"/>
  <c r="C1257" i="19"/>
  <c r="C1258" i="19"/>
  <c r="C1259" i="19"/>
  <c r="C1260" i="19"/>
  <c r="C1261" i="19"/>
  <c r="C1262" i="19"/>
  <c r="C1263" i="19"/>
  <c r="C1264" i="19"/>
  <c r="C1265" i="19"/>
  <c r="C1266" i="19"/>
  <c r="C1267" i="19"/>
  <c r="C1268" i="19"/>
  <c r="C1269" i="19"/>
  <c r="C1270" i="19"/>
  <c r="C1271" i="19"/>
  <c r="C1272" i="19"/>
  <c r="C1273" i="19"/>
  <c r="C1274" i="19"/>
  <c r="C1275" i="19"/>
  <c r="C1276" i="19"/>
  <c r="C1277" i="19"/>
  <c r="C1278" i="19"/>
  <c r="C1279" i="19"/>
  <c r="C1280" i="19"/>
  <c r="C1281" i="19"/>
  <c r="C1282" i="19"/>
  <c r="C1283" i="19"/>
  <c r="C1284" i="19"/>
  <c r="C1285" i="19"/>
  <c r="C1286" i="19"/>
  <c r="C1287" i="19"/>
  <c r="C1288" i="19"/>
  <c r="C1289" i="19"/>
  <c r="C1290" i="19"/>
  <c r="C1291" i="19"/>
  <c r="C1292" i="19"/>
  <c r="C1293" i="19"/>
  <c r="C1294" i="19"/>
  <c r="C1295" i="19"/>
  <c r="C1296" i="19"/>
  <c r="C1297" i="19"/>
  <c r="C1298" i="19"/>
  <c r="C1299" i="19"/>
  <c r="C1300" i="19"/>
  <c r="C1301" i="19"/>
  <c r="C1302" i="19"/>
  <c r="C1303" i="19"/>
  <c r="C1304" i="19"/>
  <c r="C1305" i="19"/>
  <c r="C1306" i="19"/>
  <c r="C1307" i="19"/>
  <c r="C1308" i="19"/>
  <c r="C1309" i="19"/>
  <c r="C1310" i="19"/>
  <c r="C1311" i="19"/>
  <c r="C1312" i="19"/>
  <c r="C1313" i="19"/>
  <c r="C1314" i="19"/>
  <c r="C1315" i="19"/>
  <c r="C1316" i="19"/>
  <c r="C1317" i="19"/>
  <c r="C1318" i="19"/>
  <c r="C1319" i="19"/>
  <c r="C1320" i="19"/>
  <c r="C1321" i="19"/>
  <c r="C1322" i="19"/>
  <c r="C1323" i="19"/>
  <c r="C1324" i="19"/>
  <c r="C1325" i="19"/>
  <c r="C1326" i="19"/>
  <c r="C1327" i="19"/>
  <c r="C1328" i="19"/>
  <c r="C1329" i="19"/>
  <c r="C1330" i="19"/>
  <c r="C1331" i="19"/>
  <c r="C1332" i="19"/>
  <c r="C1333" i="19"/>
  <c r="C1334" i="19"/>
  <c r="C1335" i="19"/>
  <c r="C1336" i="19"/>
  <c r="C1337" i="19"/>
  <c r="C1338" i="19"/>
  <c r="C1339" i="19"/>
  <c r="C1340" i="19"/>
  <c r="C1341" i="19"/>
  <c r="C1342" i="19"/>
  <c r="C1343" i="19"/>
  <c r="C1344" i="19"/>
  <c r="C1345" i="19"/>
  <c r="C1346" i="19"/>
  <c r="C1347" i="19"/>
  <c r="C1348" i="19"/>
  <c r="C1349" i="19"/>
  <c r="C1350" i="19"/>
  <c r="C1351" i="19"/>
  <c r="C1352" i="19"/>
  <c r="C1353" i="19"/>
  <c r="C1354" i="19"/>
  <c r="C1355" i="19"/>
  <c r="C1356" i="19"/>
  <c r="C1357" i="19"/>
  <c r="C1358" i="19"/>
  <c r="C1359" i="19"/>
  <c r="C1360" i="19"/>
  <c r="C1361" i="19"/>
  <c r="C1362" i="19"/>
  <c r="C1363" i="19"/>
  <c r="C1364" i="19"/>
  <c r="C1365" i="19"/>
  <c r="C1366" i="19"/>
  <c r="C1367" i="19"/>
  <c r="C1368" i="19"/>
  <c r="C1369" i="19"/>
  <c r="C1370" i="19"/>
  <c r="C1371" i="19"/>
  <c r="C1372" i="19"/>
  <c r="C1373" i="19"/>
  <c r="C1374" i="19"/>
  <c r="C1375" i="19"/>
  <c r="C1376" i="19"/>
  <c r="C1377" i="19"/>
  <c r="C1378" i="19"/>
  <c r="C1379" i="19"/>
  <c r="C1380" i="19"/>
  <c r="C1381" i="19"/>
  <c r="C1382" i="19"/>
  <c r="C1383" i="19"/>
  <c r="C1384" i="19"/>
  <c r="C1385" i="19"/>
  <c r="C1386" i="19"/>
  <c r="C1387" i="19"/>
  <c r="C1388" i="19"/>
  <c r="C1389" i="19"/>
  <c r="C1390" i="19"/>
  <c r="C1391" i="19"/>
  <c r="C1392" i="19"/>
  <c r="C1393" i="19"/>
  <c r="C1394" i="19"/>
  <c r="C1395" i="19"/>
  <c r="C1396" i="19"/>
  <c r="C1397" i="19"/>
  <c r="C1398" i="19"/>
  <c r="C1399" i="19"/>
  <c r="C1400" i="19"/>
  <c r="C1401" i="19"/>
  <c r="C1402" i="19"/>
  <c r="C1403" i="19"/>
  <c r="C1404" i="19"/>
  <c r="C1405" i="19"/>
  <c r="C1406" i="19"/>
  <c r="C1407" i="19"/>
  <c r="C1408" i="19"/>
  <c r="C1409" i="19"/>
  <c r="C1410" i="19"/>
  <c r="C1411" i="19"/>
  <c r="C1412" i="19"/>
  <c r="C1413" i="19"/>
  <c r="C1414" i="19"/>
  <c r="C1415" i="19"/>
  <c r="C1416" i="19"/>
  <c r="C1417" i="19"/>
  <c r="C1418" i="19"/>
  <c r="C1419" i="19"/>
  <c r="C1420" i="19"/>
  <c r="C1421" i="19"/>
  <c r="C1422" i="19"/>
  <c r="C1423" i="19"/>
  <c r="C1424" i="19"/>
  <c r="C1425" i="19"/>
  <c r="C1426" i="19"/>
  <c r="C1427" i="19"/>
  <c r="C1428" i="19"/>
  <c r="C1429" i="19"/>
  <c r="C1430" i="19"/>
  <c r="C1431" i="19"/>
  <c r="C1432" i="19"/>
  <c r="C1433" i="19"/>
  <c r="C1434" i="19"/>
  <c r="C1435" i="19"/>
  <c r="C1436" i="19"/>
  <c r="C1437" i="19"/>
  <c r="C1438" i="19"/>
  <c r="C1439" i="19"/>
  <c r="C1440" i="19"/>
  <c r="C1441" i="19"/>
  <c r="C1442" i="19"/>
  <c r="C1443" i="19"/>
  <c r="C1444" i="19"/>
  <c r="C1445" i="19"/>
  <c r="C1446" i="19"/>
  <c r="C1447" i="19"/>
  <c r="C1448" i="19"/>
  <c r="C1449" i="19"/>
  <c r="C1450" i="19"/>
  <c r="C1451" i="19"/>
  <c r="C1452" i="19"/>
  <c r="C1453" i="19"/>
  <c r="C1454" i="19"/>
  <c r="C1455" i="19"/>
  <c r="C1456" i="19"/>
  <c r="C1457" i="19"/>
  <c r="C1458" i="19"/>
  <c r="C1459" i="19"/>
  <c r="C1460" i="19"/>
  <c r="C1461" i="19"/>
  <c r="C1462" i="19"/>
  <c r="C1463" i="19"/>
  <c r="C1464" i="19"/>
  <c r="C1465" i="19"/>
  <c r="C1466" i="19"/>
  <c r="C1467" i="19"/>
  <c r="C1468" i="19"/>
  <c r="C1469" i="19"/>
  <c r="C1470" i="19"/>
  <c r="C1471" i="19"/>
  <c r="C1472" i="19"/>
  <c r="C1473" i="19"/>
  <c r="C1474" i="19"/>
  <c r="C1475" i="19"/>
  <c r="C1476" i="19"/>
  <c r="C1477" i="19"/>
  <c r="C1478" i="19"/>
  <c r="C1479" i="19"/>
  <c r="C1480" i="19"/>
  <c r="C1481" i="19"/>
  <c r="C1482" i="19"/>
  <c r="C1483" i="19"/>
  <c r="C1484" i="19"/>
  <c r="C1485" i="19"/>
  <c r="C1486" i="19"/>
  <c r="C1487" i="19"/>
  <c r="C1488" i="19"/>
  <c r="C1489" i="19"/>
  <c r="C1490" i="19"/>
  <c r="C1491" i="19"/>
  <c r="C1492" i="19"/>
  <c r="C1493" i="19"/>
  <c r="C1494" i="19"/>
  <c r="C1495" i="19"/>
  <c r="C1496" i="19"/>
  <c r="C1497" i="19"/>
  <c r="C1498" i="19"/>
  <c r="C1499" i="19"/>
  <c r="C1500" i="19"/>
  <c r="C1501" i="19"/>
  <c r="C1502" i="19"/>
  <c r="C1503" i="19"/>
  <c r="C1504" i="19"/>
  <c r="C1505" i="19"/>
  <c r="C1506" i="19"/>
  <c r="C1507" i="19"/>
  <c r="C1508" i="19"/>
  <c r="C1509" i="19"/>
  <c r="C1510" i="19"/>
  <c r="C1511" i="19"/>
  <c r="C1512" i="19"/>
  <c r="C1513" i="19"/>
  <c r="C1514" i="19"/>
  <c r="C1515" i="19"/>
  <c r="C1516" i="19"/>
  <c r="C1517" i="19"/>
  <c r="C1518" i="19"/>
  <c r="C1519" i="19"/>
  <c r="C1520" i="19"/>
  <c r="C1521" i="19"/>
  <c r="C1522" i="19"/>
  <c r="C1523" i="19"/>
  <c r="C1524" i="19"/>
  <c r="C1525" i="19"/>
  <c r="C1526" i="19"/>
  <c r="C1527" i="19"/>
  <c r="C1528" i="19"/>
  <c r="C1529" i="19"/>
  <c r="C1530" i="19"/>
  <c r="C1531" i="19"/>
  <c r="C1532" i="19"/>
  <c r="C1533" i="19"/>
  <c r="C1534" i="19"/>
  <c r="C1535" i="19"/>
  <c r="C1536" i="19"/>
  <c r="C1537" i="19"/>
  <c r="C1538" i="19"/>
  <c r="C1539" i="19"/>
  <c r="C1540" i="19"/>
  <c r="C1541" i="19"/>
  <c r="C1542" i="19"/>
  <c r="C1543" i="19"/>
  <c r="C1544" i="19"/>
  <c r="C1545" i="19"/>
  <c r="C1546" i="19"/>
  <c r="C1547" i="19"/>
  <c r="C1548" i="19"/>
  <c r="C1549" i="19"/>
  <c r="C1550" i="19"/>
  <c r="C1551" i="19"/>
  <c r="C1552" i="19"/>
  <c r="C1553" i="19"/>
  <c r="C1554" i="19"/>
  <c r="C1555" i="19"/>
  <c r="C1556" i="19"/>
  <c r="C1557" i="19"/>
  <c r="C1558" i="19"/>
  <c r="C1559" i="19"/>
  <c r="C1560" i="19"/>
  <c r="C1561" i="19"/>
  <c r="C1562" i="19"/>
  <c r="C1563" i="19"/>
  <c r="C1564" i="19"/>
  <c r="C1565" i="19"/>
  <c r="C1566" i="19"/>
  <c r="C1567" i="19"/>
  <c r="C1568" i="19"/>
  <c r="C1569" i="19"/>
  <c r="C1570" i="19"/>
  <c r="C1571" i="19"/>
  <c r="C1572" i="19"/>
  <c r="C1573" i="19"/>
  <c r="C1574" i="19"/>
  <c r="C1575" i="19"/>
  <c r="C1576" i="19"/>
  <c r="C1577" i="19"/>
  <c r="C1578" i="19"/>
  <c r="C1579" i="19"/>
  <c r="C1580" i="19"/>
  <c r="C1581" i="19"/>
  <c r="C1582" i="19"/>
  <c r="C1583" i="19"/>
  <c r="C1584" i="19"/>
  <c r="C1585" i="19"/>
  <c r="C1586" i="19"/>
  <c r="C1587" i="19"/>
  <c r="C1588" i="19"/>
  <c r="C1589" i="19"/>
  <c r="C1590" i="19"/>
  <c r="C1591" i="19"/>
  <c r="C1592" i="19"/>
  <c r="C1593" i="19"/>
  <c r="C1594" i="19"/>
  <c r="C1595" i="19"/>
  <c r="C1596" i="19"/>
  <c r="C1597" i="19"/>
  <c r="C1598" i="19"/>
  <c r="C1599" i="19"/>
  <c r="C1600" i="19"/>
  <c r="C1601" i="19"/>
  <c r="C1602" i="19"/>
  <c r="C1603" i="19"/>
  <c r="C1604" i="19"/>
  <c r="C1605" i="19"/>
  <c r="C1606" i="19"/>
  <c r="C1607" i="19"/>
  <c r="C1608" i="19"/>
  <c r="C1609" i="19"/>
  <c r="C1610" i="19"/>
  <c r="C1611" i="19"/>
  <c r="C1612" i="19"/>
  <c r="C1613" i="19"/>
  <c r="C1614" i="19"/>
  <c r="C1615" i="19"/>
  <c r="C1616" i="19"/>
  <c r="C1617" i="19"/>
  <c r="C1618" i="19"/>
  <c r="C1619" i="19"/>
  <c r="C1620" i="19"/>
  <c r="C1621" i="19"/>
  <c r="C1622" i="19"/>
  <c r="C1623" i="19"/>
  <c r="C1624" i="19"/>
  <c r="C1625" i="19"/>
  <c r="C1626" i="19"/>
  <c r="C1627" i="19"/>
  <c r="C1628" i="19"/>
  <c r="C1629" i="19"/>
  <c r="C1630" i="19"/>
  <c r="C1631" i="19"/>
  <c r="C1632" i="19"/>
  <c r="C1633" i="19"/>
  <c r="C1634" i="19"/>
  <c r="C1635" i="19"/>
  <c r="C1636" i="19"/>
  <c r="C1637" i="19"/>
  <c r="C1638" i="19"/>
  <c r="C1639" i="19"/>
  <c r="C1640" i="19"/>
  <c r="C1641" i="19"/>
  <c r="C1642" i="19"/>
  <c r="C1643" i="19"/>
  <c r="C1644" i="19"/>
  <c r="C1645" i="19"/>
  <c r="C1646" i="19"/>
  <c r="C1647" i="19"/>
  <c r="C1648" i="19"/>
  <c r="C1649" i="19"/>
  <c r="C1650" i="19"/>
  <c r="C1651" i="19"/>
  <c r="C1652" i="19"/>
  <c r="C1653" i="19"/>
  <c r="C1654" i="19"/>
  <c r="C1655" i="19"/>
  <c r="C1656" i="19"/>
  <c r="C1657" i="19"/>
  <c r="C1658" i="19"/>
  <c r="C1659" i="19"/>
  <c r="C1660" i="19"/>
  <c r="C1661" i="19"/>
  <c r="C1662" i="19"/>
  <c r="C1663" i="19"/>
  <c r="C1664" i="19"/>
  <c r="C1665" i="19"/>
  <c r="C1666" i="19"/>
  <c r="C1667" i="19"/>
  <c r="C1668" i="19"/>
  <c r="C1669" i="19"/>
  <c r="C1670" i="19"/>
  <c r="C1671" i="19"/>
  <c r="C1672" i="19"/>
  <c r="C1673" i="19"/>
  <c r="C1674" i="19"/>
  <c r="C1675" i="19"/>
  <c r="C1676" i="19"/>
  <c r="C1677" i="19"/>
  <c r="C1678" i="19"/>
  <c r="C1679" i="19"/>
  <c r="C1680" i="19"/>
  <c r="C1681" i="19"/>
  <c r="C1682" i="19"/>
  <c r="C1683" i="19"/>
  <c r="C1684" i="19"/>
  <c r="C1685" i="19"/>
  <c r="C1686" i="19"/>
  <c r="C1687" i="19"/>
  <c r="C1688" i="19"/>
  <c r="C1689" i="19"/>
  <c r="C1690" i="19"/>
  <c r="C1691" i="19"/>
  <c r="C1692" i="19"/>
  <c r="C1693" i="19"/>
  <c r="C1694" i="19"/>
  <c r="C1695" i="19"/>
  <c r="C1696" i="19"/>
  <c r="C1697" i="19"/>
  <c r="C1698" i="19"/>
  <c r="C1699" i="19"/>
  <c r="C1700" i="19"/>
  <c r="C1701" i="19"/>
  <c r="C1702" i="19"/>
  <c r="C1703" i="19"/>
  <c r="C1704" i="19"/>
  <c r="C1705" i="19"/>
  <c r="C1706" i="19"/>
  <c r="C1707" i="19"/>
  <c r="C1708" i="19"/>
  <c r="C1709" i="19"/>
  <c r="C1710" i="19"/>
  <c r="C1711" i="19"/>
  <c r="C1712" i="19"/>
  <c r="C1713" i="19"/>
  <c r="C1714" i="19"/>
  <c r="C1715" i="19"/>
  <c r="C1716" i="19"/>
  <c r="C1717" i="19"/>
  <c r="C1718" i="19"/>
  <c r="C1719" i="19"/>
  <c r="C1720" i="19"/>
  <c r="C1721" i="19"/>
  <c r="C1722" i="19"/>
  <c r="C1723" i="19"/>
  <c r="C1724" i="19"/>
  <c r="C1725" i="19"/>
  <c r="C1726" i="19"/>
  <c r="C1727" i="19"/>
  <c r="C1728" i="19"/>
  <c r="C1729" i="19"/>
  <c r="C1730" i="19"/>
  <c r="C1731" i="19"/>
  <c r="C1732" i="19"/>
  <c r="C1733" i="19"/>
  <c r="C1734" i="19"/>
  <c r="C1735" i="19"/>
  <c r="C1736" i="19"/>
  <c r="C1737" i="19"/>
  <c r="C1738" i="19"/>
  <c r="C1739" i="19"/>
  <c r="C1740" i="19"/>
  <c r="C1741" i="19"/>
  <c r="C1742" i="19"/>
  <c r="C1743" i="19"/>
  <c r="C1744" i="19"/>
  <c r="C1745" i="19"/>
  <c r="C1746" i="19"/>
  <c r="C1747" i="19"/>
  <c r="C1748" i="19"/>
  <c r="C1749" i="19"/>
  <c r="C1750" i="19"/>
  <c r="C1751" i="19"/>
  <c r="C1752" i="19"/>
  <c r="C1753" i="19"/>
  <c r="C1754" i="19"/>
  <c r="C1755" i="19"/>
  <c r="C1756" i="19"/>
  <c r="C1757" i="19"/>
  <c r="C1758" i="19"/>
  <c r="C1759" i="19"/>
  <c r="C1760" i="19"/>
  <c r="C1761" i="19"/>
  <c r="C1762" i="19"/>
  <c r="C1763" i="19"/>
  <c r="C1764" i="19"/>
  <c r="C1765" i="19"/>
  <c r="C1766" i="19"/>
  <c r="C1767" i="19"/>
  <c r="C1768" i="19"/>
  <c r="C1769" i="19"/>
  <c r="C1770" i="19"/>
  <c r="C1771" i="19"/>
  <c r="C1772" i="19"/>
  <c r="C1773" i="19"/>
  <c r="C1774" i="19"/>
  <c r="C1775" i="19"/>
  <c r="C1776" i="19"/>
  <c r="C1777" i="19"/>
  <c r="C1778" i="19"/>
  <c r="C1779" i="19"/>
  <c r="C1780" i="19"/>
  <c r="C1781" i="19"/>
  <c r="C1782" i="19"/>
  <c r="C1783" i="19"/>
  <c r="C1784" i="19"/>
  <c r="C1785" i="19"/>
  <c r="C1786" i="19"/>
  <c r="C1787" i="19"/>
  <c r="C1788" i="19"/>
  <c r="C1789" i="19"/>
  <c r="C1790" i="19"/>
  <c r="C1791" i="19"/>
  <c r="C1792" i="19"/>
  <c r="C1793" i="19"/>
  <c r="C1794" i="19"/>
  <c r="C1795" i="19"/>
  <c r="C1796" i="19"/>
  <c r="C1797" i="19"/>
  <c r="C1798" i="19"/>
  <c r="C1799" i="19"/>
  <c r="C1800" i="19"/>
  <c r="C1801" i="19"/>
  <c r="C1802" i="19"/>
  <c r="C1803" i="19"/>
  <c r="C1804" i="19"/>
  <c r="C1805" i="19"/>
  <c r="C1806" i="19"/>
  <c r="C1807" i="19"/>
  <c r="C1808" i="19"/>
  <c r="C1809" i="19"/>
  <c r="C1810" i="19"/>
  <c r="C1811" i="19"/>
  <c r="C1812" i="19"/>
  <c r="C1813" i="19"/>
  <c r="C1814" i="19"/>
  <c r="C1815" i="19"/>
  <c r="C1816" i="19"/>
  <c r="C1817" i="19"/>
  <c r="C1818" i="19"/>
  <c r="C1819" i="19"/>
  <c r="C1820" i="19"/>
  <c r="C1821" i="19"/>
  <c r="C1822" i="19"/>
  <c r="C1823" i="19"/>
  <c r="C1824" i="19"/>
  <c r="C1825" i="19"/>
  <c r="C1826" i="19"/>
  <c r="C1827" i="19"/>
  <c r="C1828" i="19"/>
  <c r="C1829" i="19"/>
  <c r="C1830" i="19"/>
  <c r="C1831" i="19"/>
  <c r="C1832" i="19"/>
  <c r="C1833" i="19"/>
  <c r="C1834" i="19"/>
  <c r="C1835" i="19"/>
  <c r="C1836" i="19"/>
  <c r="C1837" i="19"/>
  <c r="C1838" i="19"/>
  <c r="C1839" i="19"/>
  <c r="C1840" i="19"/>
  <c r="C1841" i="19"/>
  <c r="C1842" i="19"/>
  <c r="C1843" i="19"/>
  <c r="C1844" i="19"/>
  <c r="C1845" i="19"/>
  <c r="C1846" i="19"/>
  <c r="C1847" i="19"/>
  <c r="C1848" i="19"/>
  <c r="C1849" i="19"/>
  <c r="C1850" i="19"/>
  <c r="C1851" i="19"/>
  <c r="C1852" i="19"/>
  <c r="C1853" i="19"/>
  <c r="C1854" i="19"/>
  <c r="C1855" i="19"/>
  <c r="C1856" i="19"/>
  <c r="C1857" i="19"/>
  <c r="C1858" i="19"/>
  <c r="C1859" i="19"/>
  <c r="C1860" i="19"/>
  <c r="C1861" i="19"/>
  <c r="C1862" i="19"/>
  <c r="C1863" i="19"/>
  <c r="C1864" i="19"/>
  <c r="C1865" i="19"/>
  <c r="C1866" i="19"/>
  <c r="C1867" i="19"/>
  <c r="C1868" i="19"/>
  <c r="C1869" i="19"/>
  <c r="C1870" i="19"/>
  <c r="C1871" i="19"/>
  <c r="C1872" i="19"/>
  <c r="C1873" i="19"/>
  <c r="C1874" i="19"/>
  <c r="C1875" i="19"/>
  <c r="C1876" i="19"/>
  <c r="C1877" i="19"/>
  <c r="C1878" i="19"/>
  <c r="C1879" i="19"/>
  <c r="C1880" i="19"/>
  <c r="C1881" i="19"/>
  <c r="C1882" i="19"/>
  <c r="C1883" i="19"/>
  <c r="C1884" i="19"/>
  <c r="C1885" i="19"/>
  <c r="C1886" i="19"/>
  <c r="C1887" i="19"/>
  <c r="C1888" i="19"/>
  <c r="C1889" i="19"/>
  <c r="C1890" i="19"/>
  <c r="C1891" i="19"/>
  <c r="C1892" i="19"/>
  <c r="C1893" i="19"/>
  <c r="C1894" i="19"/>
  <c r="C1895" i="19"/>
  <c r="C1896" i="19"/>
  <c r="C1897" i="19"/>
  <c r="C1898" i="19"/>
  <c r="C1899" i="19"/>
  <c r="C1900" i="19"/>
  <c r="C1901" i="19"/>
  <c r="C1902" i="19"/>
  <c r="C1903" i="19"/>
  <c r="C1904" i="19"/>
  <c r="C1905" i="19"/>
  <c r="C1906" i="19"/>
  <c r="C1907" i="19"/>
  <c r="C1908" i="19"/>
  <c r="C1909" i="19"/>
  <c r="C1910" i="19"/>
  <c r="C1911" i="19"/>
  <c r="C1912" i="19"/>
  <c r="C1913" i="19"/>
  <c r="C1914" i="19"/>
  <c r="C1915" i="19"/>
  <c r="C1916" i="19"/>
  <c r="C1917" i="19"/>
  <c r="C1918" i="19"/>
  <c r="C1919" i="19"/>
  <c r="C1920" i="19"/>
  <c r="C1921" i="19"/>
  <c r="C1922" i="19"/>
  <c r="C1923" i="19"/>
  <c r="C1924" i="19"/>
  <c r="C1925" i="19"/>
  <c r="C1926" i="19"/>
  <c r="C1927" i="19"/>
  <c r="C1928" i="19"/>
  <c r="C1929" i="19"/>
  <c r="C1930" i="19"/>
  <c r="C1931" i="19"/>
  <c r="C1932" i="19"/>
  <c r="C1933" i="19"/>
  <c r="C1934" i="19"/>
  <c r="C1935" i="19"/>
  <c r="C1936" i="19"/>
  <c r="C1937" i="19"/>
  <c r="C1938" i="19"/>
  <c r="C1939" i="19"/>
  <c r="C1940" i="19"/>
  <c r="C1941" i="19"/>
  <c r="C1942" i="19"/>
  <c r="C1943" i="19"/>
  <c r="C1944" i="19"/>
  <c r="C1945" i="19"/>
  <c r="C1946" i="19"/>
  <c r="C1947" i="19"/>
  <c r="C1948" i="19"/>
  <c r="C1949" i="19"/>
  <c r="C1950" i="19"/>
  <c r="C1951" i="19"/>
  <c r="C1952" i="19"/>
  <c r="C1953" i="19"/>
  <c r="C1954" i="19"/>
  <c r="C1955" i="19"/>
  <c r="C1956" i="19"/>
  <c r="C1957" i="19"/>
  <c r="C1958" i="19"/>
  <c r="C1959" i="19"/>
  <c r="C1960" i="19"/>
  <c r="C1961" i="19"/>
  <c r="C1962" i="19"/>
  <c r="C1963" i="19"/>
  <c r="C1964" i="19"/>
  <c r="C1965" i="19"/>
  <c r="C1966" i="19"/>
  <c r="C1967" i="19"/>
  <c r="C1968" i="19"/>
  <c r="C1969" i="19"/>
  <c r="C1970" i="19"/>
  <c r="C1971" i="19"/>
  <c r="C1972" i="19"/>
  <c r="C1973" i="19"/>
  <c r="C1974" i="19"/>
  <c r="C1975" i="19"/>
  <c r="C1976" i="19"/>
  <c r="C1977" i="19"/>
  <c r="C1978" i="19"/>
  <c r="C1979" i="19"/>
  <c r="C1980" i="19"/>
  <c r="C1981" i="19"/>
  <c r="C1982" i="19"/>
  <c r="C1983" i="19"/>
  <c r="C1984" i="19"/>
  <c r="C1985" i="19"/>
  <c r="C1986" i="19"/>
  <c r="C1987" i="19"/>
  <c r="C1988" i="19"/>
  <c r="C1989" i="19"/>
  <c r="C1990" i="19"/>
  <c r="C1991" i="19"/>
  <c r="C1992" i="19"/>
  <c r="C1993" i="19"/>
  <c r="C1994" i="19"/>
  <c r="C1995" i="19"/>
  <c r="C1996" i="19"/>
  <c r="C1997" i="19"/>
  <c r="C1998" i="19"/>
  <c r="C1999" i="19"/>
  <c r="C2000" i="19"/>
  <c r="B34" i="4"/>
  <c r="B26" i="4"/>
  <c r="B24" i="4"/>
  <c r="B25" i="4"/>
  <c r="B23" i="4"/>
  <c r="C110" i="4"/>
  <c r="F110" i="4" s="1"/>
  <c r="C108" i="4"/>
  <c r="F108" i="4" s="1"/>
  <c r="C111" i="4"/>
  <c r="F111" i="4" s="1"/>
  <c r="C106" i="4"/>
  <c r="F106" i="4" s="1"/>
  <c r="C113" i="4"/>
  <c r="F113" i="4" s="1"/>
  <c r="C104" i="4"/>
  <c r="F104" i="4" s="1"/>
  <c r="C107" i="4"/>
  <c r="F107" i="4" s="1"/>
  <c r="C109" i="4"/>
  <c r="F109" i="4" s="1"/>
  <c r="C103" i="4"/>
  <c r="F103" i="4" s="1"/>
  <c r="C114" i="4"/>
  <c r="F114" i="4" s="1"/>
  <c r="C105" i="4"/>
  <c r="F105" i="4" s="1"/>
  <c r="C112" i="4"/>
  <c r="F112" i="4" s="1"/>
  <c r="G43" i="17"/>
  <c r="H38" i="1" s="1"/>
  <c r="C5" i="19"/>
  <c r="C6" i="19"/>
  <c r="C7"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P48" i="21"/>
  <c r="G75" i="1" s="1"/>
  <c r="P47" i="21"/>
  <c r="G74" i="1" s="1"/>
  <c r="P46" i="21"/>
  <c r="G73" i="1" s="1"/>
  <c r="P45" i="21"/>
  <c r="G72" i="1" s="1"/>
  <c r="P44" i="21"/>
  <c r="F31" i="16" s="1"/>
  <c r="P43" i="21"/>
  <c r="F30" i="16" s="1"/>
  <c r="P42" i="21"/>
  <c r="P41" i="21"/>
  <c r="G68" i="1" s="1"/>
  <c r="P40" i="21"/>
  <c r="F27" i="16" s="1"/>
  <c r="P39" i="21"/>
  <c r="F26" i="16" s="1"/>
  <c r="P38" i="21"/>
  <c r="G65" i="1" s="1"/>
  <c r="P37" i="21"/>
  <c r="P36" i="21"/>
  <c r="F23" i="16" s="1"/>
  <c r="P35" i="21"/>
  <c r="F22" i="16" s="1"/>
  <c r="P34" i="21"/>
  <c r="P33" i="21"/>
  <c r="F20" i="16" s="1"/>
  <c r="P32" i="21"/>
  <c r="G59" i="1" s="1"/>
  <c r="P31" i="21"/>
  <c r="G58" i="1" s="1"/>
  <c r="P30" i="21"/>
  <c r="G57" i="1" s="1"/>
  <c r="P29" i="21"/>
  <c r="P28" i="21"/>
  <c r="G55" i="1" s="1"/>
  <c r="P27" i="21"/>
  <c r="P26" i="21"/>
  <c r="G53" i="1" s="1"/>
  <c r="P25" i="21"/>
  <c r="G52" i="1" s="1"/>
  <c r="P24" i="21"/>
  <c r="P23" i="21"/>
  <c r="G50" i="1" s="1"/>
  <c r="P22" i="21"/>
  <c r="G49" i="1" s="1"/>
  <c r="P21" i="21"/>
  <c r="R57" i="22"/>
  <c r="C4" i="19"/>
  <c r="B5" i="4"/>
  <c r="B16" i="4"/>
  <c r="G5" i="4"/>
  <c r="B21" i="4"/>
  <c r="B22" i="4"/>
  <c r="C1226" i="19"/>
  <c r="B20" i="4"/>
  <c r="A118" i="15"/>
  <c r="A115" i="15"/>
  <c r="A112" i="15"/>
  <c r="A109" i="15"/>
  <c r="A106" i="15"/>
  <c r="A1" i="13"/>
  <c r="A2" i="22"/>
  <c r="A2" i="20"/>
  <c r="A1" i="17"/>
  <c r="B82"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3" i="21"/>
  <c r="B84"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A1" i="4"/>
  <c r="P35" i="16"/>
  <c r="G35" i="16"/>
  <c r="A35"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B210" i="1"/>
  <c r="B76" i="1"/>
  <c r="A2" i="15"/>
  <c r="A34" i="16"/>
  <c r="A33" i="16"/>
  <c r="A32" i="16"/>
  <c r="A31" i="16"/>
  <c r="A30" i="16"/>
  <c r="A29" i="16"/>
  <c r="A28" i="16"/>
  <c r="A27" i="16"/>
  <c r="A26" i="16"/>
  <c r="A25" i="16"/>
  <c r="A24" i="16"/>
  <c r="A23" i="16"/>
  <c r="A22" i="16"/>
  <c r="A21" i="16"/>
  <c r="A20" i="16"/>
  <c r="A19" i="16"/>
  <c r="A18" i="16"/>
  <c r="A93" i="15"/>
  <c r="A90" i="15"/>
  <c r="A87" i="15"/>
  <c r="A84" i="15"/>
  <c r="A81" i="15"/>
  <c r="A78" i="15"/>
  <c r="A75" i="15"/>
  <c r="A72" i="15"/>
  <c r="A69" i="15"/>
  <c r="A66" i="15"/>
  <c r="A63" i="15"/>
  <c r="A60" i="15"/>
  <c r="A57" i="15"/>
  <c r="A54" i="15"/>
  <c r="A51" i="15"/>
  <c r="A48" i="15"/>
  <c r="A45" i="15"/>
  <c r="A42" i="15"/>
  <c r="A39" i="15"/>
  <c r="A36" i="15"/>
  <c r="A33" i="15"/>
  <c r="A30" i="15"/>
  <c r="A27" i="15"/>
  <c r="A24" i="15"/>
  <c r="A21" i="15"/>
  <c r="A18" i="15"/>
  <c r="A15" i="15"/>
  <c r="A12" i="15"/>
  <c r="A55"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C78" i="19"/>
  <c r="C49" i="19"/>
  <c r="C108" i="19"/>
  <c r="C168" i="19"/>
  <c r="C47" i="19"/>
  <c r="C48" i="19"/>
  <c r="C106" i="19"/>
  <c r="C107" i="19"/>
  <c r="C76" i="19"/>
  <c r="C77" i="19"/>
  <c r="C166" i="19"/>
  <c r="C167" i="19"/>
  <c r="C62" i="19"/>
  <c r="C63" i="19"/>
  <c r="C152" i="19"/>
  <c r="C153" i="19"/>
  <c r="C33" i="19"/>
  <c r="C34" i="19"/>
  <c r="C122" i="19"/>
  <c r="C123" i="19"/>
  <c r="C121" i="19"/>
  <c r="C32" i="19"/>
  <c r="C91" i="19"/>
  <c r="C151" i="19"/>
  <c r="C227" i="19"/>
  <c r="C228" i="19"/>
  <c r="C197" i="19"/>
  <c r="C198" i="19"/>
  <c r="C213" i="19"/>
  <c r="C226" i="19"/>
  <c r="C183" i="19"/>
  <c r="C196" i="19"/>
  <c r="C212" i="19"/>
  <c r="C182" i="19"/>
  <c r="C211" i="19"/>
  <c r="C61" i="19"/>
  <c r="A17" i="16"/>
  <c r="A16" i="16"/>
  <c r="A15" i="16"/>
  <c r="A14" i="16"/>
  <c r="A13" i="16"/>
  <c r="A12" i="16"/>
  <c r="A11" i="16"/>
  <c r="A10" i="16"/>
  <c r="A9" i="16"/>
  <c r="A8" i="16"/>
  <c r="C293" i="19"/>
  <c r="C291" i="19"/>
  <c r="C292" i="19"/>
  <c r="C283" i="19"/>
  <c r="C284" i="19"/>
  <c r="A7" i="16"/>
  <c r="A6" i="16"/>
  <c r="A103" i="15"/>
  <c r="A100" i="15"/>
  <c r="A9" i="15"/>
  <c r="A6" i="15"/>
  <c r="V1" i="19"/>
  <c r="Z1" i="19" s="1"/>
  <c r="AD1" i="19" s="1"/>
  <c r="AH1" i="19" s="1"/>
  <c r="AL1" i="19" s="1"/>
  <c r="AP1" i="19" s="1"/>
  <c r="AT1" i="19" s="1"/>
  <c r="AX1" i="19" s="1"/>
  <c r="BB1" i="19" s="1"/>
  <c r="BF1" i="19" s="1"/>
  <c r="BJ1" i="19" s="1"/>
  <c r="BN1" i="19" s="1"/>
  <c r="BR1" i="19" s="1"/>
  <c r="BV1" i="19" s="1"/>
  <c r="BZ1" i="19" s="1"/>
  <c r="CD1" i="19" s="1"/>
  <c r="CH1" i="19" s="1"/>
  <c r="CL1" i="19" s="1"/>
  <c r="CP1" i="19" s="1"/>
  <c r="CT1" i="19" s="1"/>
  <c r="CX1" i="19" s="1"/>
  <c r="DB1" i="19" s="1"/>
  <c r="DF1" i="19" s="1"/>
  <c r="DJ1" i="19" s="1"/>
  <c r="DN1" i="19" s="1"/>
  <c r="DR1" i="19" s="1"/>
  <c r="DV1" i="19" s="1"/>
  <c r="DZ1" i="19" s="1"/>
  <c r="ED1" i="19" s="1"/>
  <c r="EH1" i="19" s="1"/>
  <c r="EL1" i="19" s="1"/>
  <c r="EP1" i="19" s="1"/>
  <c r="ET1" i="19" s="1"/>
  <c r="EX1" i="19" s="1"/>
  <c r="FB1" i="19" s="1"/>
  <c r="FF1" i="19" s="1"/>
  <c r="FJ1" i="19" s="1"/>
  <c r="FN1" i="19" s="1"/>
  <c r="FR1" i="19" s="1"/>
  <c r="FV1" i="19" s="1"/>
  <c r="FZ1" i="19" s="1"/>
  <c r="GD1" i="19" s="1"/>
  <c r="GH1" i="19" s="1"/>
  <c r="GL1" i="19" s="1"/>
  <c r="GP1" i="19" s="1"/>
  <c r="GT1" i="19" s="1"/>
  <c r="GX1" i="19" s="1"/>
  <c r="HB1" i="19" s="1"/>
  <c r="B15" i="4"/>
  <c r="A1" i="9"/>
  <c r="C253" i="19"/>
  <c r="C251" i="19"/>
  <c r="C252" i="19"/>
  <c r="C249" i="19"/>
  <c r="C250" i="19"/>
  <c r="C247" i="19"/>
  <c r="C248" i="19"/>
  <c r="C245" i="19"/>
  <c r="C246" i="19"/>
  <c r="B61" i="13"/>
  <c r="C56" i="19"/>
  <c r="C1229" i="19"/>
  <c r="C205" i="19"/>
  <c r="C206" i="19"/>
  <c r="C203" i="19"/>
  <c r="C204" i="19"/>
  <c r="C298" i="19"/>
  <c r="C267" i="19"/>
  <c r="C201" i="19"/>
  <c r="C202" i="19"/>
  <c r="C199" i="19"/>
  <c r="C200" i="19"/>
  <c r="C191" i="19"/>
  <c r="C192" i="19"/>
  <c r="C42" i="19"/>
  <c r="C43" i="19"/>
  <c r="C40" i="19"/>
  <c r="C41" i="19"/>
  <c r="C189" i="19"/>
  <c r="C190" i="19"/>
  <c r="C187" i="19"/>
  <c r="C188" i="19"/>
  <c r="C38" i="19"/>
  <c r="C39" i="19"/>
  <c r="C185" i="19"/>
  <c r="C186" i="19"/>
  <c r="C36" i="19"/>
  <c r="C37" i="19"/>
  <c r="C236" i="19"/>
  <c r="C146" i="19"/>
  <c r="C116" i="19"/>
  <c r="C86" i="19"/>
  <c r="C184" i="19"/>
  <c r="C35" i="19"/>
  <c r="C234" i="19"/>
  <c r="C235" i="19"/>
  <c r="C84" i="19"/>
  <c r="C85" i="19"/>
  <c r="C266" i="19"/>
  <c r="C144" i="19"/>
  <c r="C145" i="19"/>
  <c r="C296" i="19"/>
  <c r="C297" i="19"/>
  <c r="C114" i="19"/>
  <c r="C115" i="19"/>
  <c r="C174" i="19"/>
  <c r="C175" i="19"/>
  <c r="C142" i="19"/>
  <c r="C143" i="19"/>
  <c r="C82" i="19"/>
  <c r="C83" i="19"/>
  <c r="C232" i="19"/>
  <c r="C233" i="19"/>
  <c r="C294" i="19"/>
  <c r="C295" i="19"/>
  <c r="C112" i="19"/>
  <c r="C113" i="19"/>
  <c r="C172" i="19"/>
  <c r="C173" i="19"/>
  <c r="C170" i="19"/>
  <c r="C171" i="19"/>
  <c r="C140" i="19"/>
  <c r="C141" i="19"/>
  <c r="C230" i="19"/>
  <c r="C231" i="19"/>
  <c r="C110" i="19"/>
  <c r="C111" i="19"/>
  <c r="C80" i="19"/>
  <c r="C81" i="19"/>
  <c r="C229" i="19"/>
  <c r="C102" i="19"/>
  <c r="C109" i="19"/>
  <c r="C162" i="19"/>
  <c r="C169" i="19"/>
  <c r="C132" i="19"/>
  <c r="C72" i="19"/>
  <c r="C79" i="19"/>
  <c r="C100" i="19"/>
  <c r="C101" i="19"/>
  <c r="C160" i="19"/>
  <c r="C161" i="19"/>
  <c r="C130" i="19"/>
  <c r="C131" i="19"/>
  <c r="C70" i="19"/>
  <c r="C71" i="19"/>
  <c r="C98" i="19"/>
  <c r="C99" i="19"/>
  <c r="C128" i="19"/>
  <c r="C129" i="19"/>
  <c r="C158" i="19"/>
  <c r="C159" i="19"/>
  <c r="C68" i="19"/>
  <c r="C69" i="19"/>
  <c r="C66" i="19"/>
  <c r="C67" i="19"/>
  <c r="C156" i="19"/>
  <c r="C157" i="19"/>
  <c r="C126" i="19"/>
  <c r="C127" i="19"/>
  <c r="C216" i="19"/>
  <c r="C217" i="19"/>
  <c r="C154" i="19"/>
  <c r="C155" i="19"/>
  <c r="C124" i="19"/>
  <c r="C125" i="19"/>
  <c r="C214" i="19"/>
  <c r="C215" i="19"/>
  <c r="C64" i="19"/>
  <c r="C65" i="19"/>
  <c r="D22" i="19"/>
  <c r="E22" i="19" s="1"/>
  <c r="F22" i="19" s="1"/>
  <c r="D38" i="19"/>
  <c r="E38" i="19" s="1"/>
  <c r="F38" i="19" s="1"/>
  <c r="D54" i="19"/>
  <c r="E54" i="19" s="1"/>
  <c r="F54" i="19" s="1"/>
  <c r="D70" i="19"/>
  <c r="E70" i="19" s="1"/>
  <c r="F70" i="19" s="1"/>
  <c r="D86" i="19"/>
  <c r="E86" i="19" s="1"/>
  <c r="F86" i="19" s="1"/>
  <c r="D102" i="19"/>
  <c r="E102" i="19" s="1"/>
  <c r="F102" i="19" s="1"/>
  <c r="D118" i="19"/>
  <c r="E118" i="19" s="1"/>
  <c r="F118" i="19" s="1"/>
  <c r="D130" i="19"/>
  <c r="E130" i="19" s="1"/>
  <c r="F130" i="19" s="1"/>
  <c r="D140" i="19"/>
  <c r="E140" i="19" s="1"/>
  <c r="F140" i="19" s="1"/>
  <c r="D151" i="19"/>
  <c r="E151" i="19" s="1"/>
  <c r="F151" i="19" s="1"/>
  <c r="D162" i="19"/>
  <c r="E162" i="19" s="1"/>
  <c r="F162" i="19" s="1"/>
  <c r="D172" i="19"/>
  <c r="E172" i="19" s="1"/>
  <c r="F172" i="19" s="1"/>
  <c r="D190" i="19"/>
  <c r="E190" i="19" s="1"/>
  <c r="F190" i="19" s="1"/>
  <c r="D25" i="19"/>
  <c r="E25" i="19" s="1"/>
  <c r="F25" i="19" s="1"/>
  <c r="D41" i="19"/>
  <c r="E41" i="19" s="1"/>
  <c r="F41" i="19" s="1"/>
  <c r="D57" i="19"/>
  <c r="E57" i="19" s="1"/>
  <c r="F57" i="19" s="1"/>
  <c r="D30" i="19"/>
  <c r="E30" i="19" s="1"/>
  <c r="F30" i="19" s="1"/>
  <c r="D46" i="19"/>
  <c r="E46" i="19" s="1"/>
  <c r="F46" i="19" s="1"/>
  <c r="D62" i="19"/>
  <c r="E62" i="19" s="1"/>
  <c r="F62" i="19" s="1"/>
  <c r="D82" i="19"/>
  <c r="E82" i="19" s="1"/>
  <c r="F82" i="19" s="1"/>
  <c r="D97" i="19"/>
  <c r="E97" i="19" s="1"/>
  <c r="F97" i="19" s="1"/>
  <c r="D124" i="19"/>
  <c r="E124" i="19" s="1"/>
  <c r="F124" i="19" s="1"/>
  <c r="D149" i="19"/>
  <c r="E149" i="19" s="1"/>
  <c r="F149" i="19" s="1"/>
  <c r="D177" i="19"/>
  <c r="E177" i="19" s="1"/>
  <c r="F177" i="19" s="1"/>
  <c r="D193" i="19"/>
  <c r="E193" i="19" s="1"/>
  <c r="F193" i="19" s="1"/>
  <c r="D71" i="19"/>
  <c r="E71" i="19" s="1"/>
  <c r="F71" i="19" s="1"/>
  <c r="D91" i="19"/>
  <c r="E91" i="19" s="1"/>
  <c r="F91" i="19" s="1"/>
  <c r="D110" i="19"/>
  <c r="E110" i="19" s="1"/>
  <c r="F110" i="19" s="1"/>
  <c r="D128" i="19"/>
  <c r="E128" i="19" s="1"/>
  <c r="F128" i="19" s="1"/>
  <c r="D157" i="19"/>
  <c r="E157" i="19" s="1"/>
  <c r="F157" i="19" s="1"/>
  <c r="D23" i="19"/>
  <c r="E23" i="19" s="1"/>
  <c r="F23" i="19" s="1"/>
  <c r="D68" i="19"/>
  <c r="E68" i="19" s="1"/>
  <c r="F68" i="19" s="1"/>
  <c r="D95" i="19"/>
  <c r="E95" i="19" s="1"/>
  <c r="F95" i="19" s="1"/>
  <c r="D117" i="19"/>
  <c r="E117" i="19" s="1"/>
  <c r="F117" i="19" s="1"/>
  <c r="D133" i="19"/>
  <c r="E133" i="19" s="1"/>
  <c r="F133" i="19" s="1"/>
  <c r="D161" i="19"/>
  <c r="E161" i="19" s="1"/>
  <c r="F161" i="19" s="1"/>
  <c r="D183" i="19"/>
  <c r="E183" i="19" s="1"/>
  <c r="F183" i="19" s="1"/>
  <c r="D155" i="19"/>
  <c r="E155" i="19" s="1"/>
  <c r="F155" i="19" s="1"/>
  <c r="D81" i="19"/>
  <c r="E81" i="19" s="1"/>
  <c r="F81" i="19" s="1"/>
  <c r="D121" i="19"/>
  <c r="E121" i="19" s="1"/>
  <c r="F121" i="19" s="1"/>
  <c r="D24" i="19"/>
  <c r="E24" i="19" s="1"/>
  <c r="F24" i="19" s="1"/>
  <c r="D40" i="19"/>
  <c r="E40" i="19" s="1"/>
  <c r="F40" i="19" s="1"/>
  <c r="D56" i="19"/>
  <c r="E56" i="19" s="1"/>
  <c r="F56" i="19" s="1"/>
  <c r="D72" i="19"/>
  <c r="E72" i="19" s="1"/>
  <c r="F72" i="19" s="1"/>
  <c r="D88" i="19"/>
  <c r="E88" i="19" s="1"/>
  <c r="F88" i="19" s="1"/>
  <c r="D104" i="19"/>
  <c r="E104" i="19" s="1"/>
  <c r="F104" i="19" s="1"/>
  <c r="D120" i="19"/>
  <c r="E120" i="19" s="1"/>
  <c r="F120" i="19" s="1"/>
  <c r="D132" i="19"/>
  <c r="E132" i="19" s="1"/>
  <c r="F132" i="19" s="1"/>
  <c r="D143" i="19"/>
  <c r="E143" i="19" s="1"/>
  <c r="F143" i="19" s="1"/>
  <c r="D154" i="19"/>
  <c r="E154" i="19" s="1"/>
  <c r="F154" i="19" s="1"/>
  <c r="D164" i="19"/>
  <c r="E164" i="19" s="1"/>
  <c r="F164" i="19" s="1"/>
  <c r="D175" i="19"/>
  <c r="E175" i="19" s="1"/>
  <c r="F175" i="19" s="1"/>
  <c r="D192" i="19"/>
  <c r="E192" i="19" s="1"/>
  <c r="F192" i="19" s="1"/>
  <c r="D31" i="19"/>
  <c r="E31" i="19" s="1"/>
  <c r="F31" i="19" s="1"/>
  <c r="D47" i="19"/>
  <c r="E47" i="19" s="1"/>
  <c r="F47" i="19" s="1"/>
  <c r="D63" i="19"/>
  <c r="E63" i="19" s="1"/>
  <c r="F63" i="19" s="1"/>
  <c r="D32" i="19"/>
  <c r="E32" i="19" s="1"/>
  <c r="F32" i="19" s="1"/>
  <c r="D48" i="19"/>
  <c r="E48" i="19" s="1"/>
  <c r="F48" i="19" s="1"/>
  <c r="D64" i="19"/>
  <c r="E64" i="19" s="1"/>
  <c r="F64" i="19" s="1"/>
  <c r="D28" i="19"/>
  <c r="E28" i="19" s="1"/>
  <c r="F28" i="19" s="1"/>
  <c r="D85" i="19"/>
  <c r="E85" i="19" s="1"/>
  <c r="F85" i="19" s="1"/>
  <c r="D100" i="19"/>
  <c r="E100" i="19" s="1"/>
  <c r="F100" i="19" s="1"/>
  <c r="D131" i="19"/>
  <c r="E131" i="19" s="1"/>
  <c r="F131" i="19" s="1"/>
  <c r="D152" i="19"/>
  <c r="E152" i="19" s="1"/>
  <c r="F152" i="19" s="1"/>
  <c r="D182" i="19"/>
  <c r="E182" i="19" s="1"/>
  <c r="F182" i="19" s="1"/>
  <c r="D39" i="19"/>
  <c r="E39" i="19" s="1"/>
  <c r="F39" i="19" s="1"/>
  <c r="D76" i="19"/>
  <c r="E76" i="19" s="1"/>
  <c r="F76" i="19" s="1"/>
  <c r="D98" i="19"/>
  <c r="E98" i="19" s="1"/>
  <c r="F98" i="19" s="1"/>
  <c r="D113" i="19"/>
  <c r="E113" i="19" s="1"/>
  <c r="F113" i="19" s="1"/>
  <c r="D139" i="19"/>
  <c r="E139" i="19" s="1"/>
  <c r="F139" i="19" s="1"/>
  <c r="D160" i="19"/>
  <c r="E160" i="19" s="1"/>
  <c r="F160" i="19" s="1"/>
  <c r="D33" i="19"/>
  <c r="E33" i="19" s="1"/>
  <c r="F33" i="19" s="1"/>
  <c r="D73" i="19"/>
  <c r="E73" i="19" s="1"/>
  <c r="F73" i="19" s="1"/>
  <c r="D105" i="19"/>
  <c r="E105" i="19" s="1"/>
  <c r="F105" i="19" s="1"/>
  <c r="D119" i="19"/>
  <c r="E119" i="19" s="1"/>
  <c r="F119" i="19" s="1"/>
  <c r="D136" i="19"/>
  <c r="E136" i="19" s="1"/>
  <c r="F136" i="19" s="1"/>
  <c r="D165" i="19"/>
  <c r="E165" i="19" s="1"/>
  <c r="F165" i="19" s="1"/>
  <c r="D187" i="19"/>
  <c r="E187" i="19" s="1"/>
  <c r="F187" i="19" s="1"/>
  <c r="D78" i="19"/>
  <c r="E78" i="19" s="1"/>
  <c r="F78" i="19" s="1"/>
  <c r="D169" i="19"/>
  <c r="E169" i="19" s="1"/>
  <c r="F169" i="19" s="1"/>
  <c r="D144" i="19"/>
  <c r="E144" i="19" s="1"/>
  <c r="F144" i="19" s="1"/>
  <c r="D84" i="19"/>
  <c r="E84" i="19" s="1"/>
  <c r="F84" i="19" s="1"/>
  <c r="D134" i="19"/>
  <c r="E134" i="19" s="1"/>
  <c r="F134" i="19" s="1"/>
  <c r="D13" i="19"/>
  <c r="E13" i="19" s="1"/>
  <c r="F13" i="19" s="1"/>
  <c r="D29" i="19"/>
  <c r="E29" i="19" s="1"/>
  <c r="F29" i="19" s="1"/>
  <c r="D45" i="19"/>
  <c r="E45" i="19" s="1"/>
  <c r="F45" i="19" s="1"/>
  <c r="D61" i="19"/>
  <c r="E61" i="19" s="1"/>
  <c r="F61" i="19" s="1"/>
  <c r="D77" i="19"/>
  <c r="E77" i="19" s="1"/>
  <c r="F77" i="19" s="1"/>
  <c r="D93" i="19"/>
  <c r="E93" i="19" s="1"/>
  <c r="F93" i="19" s="1"/>
  <c r="D109" i="19"/>
  <c r="E109" i="19" s="1"/>
  <c r="F109" i="19" s="1"/>
  <c r="D125" i="19"/>
  <c r="E125" i="19" s="1"/>
  <c r="F125" i="19" s="1"/>
  <c r="D135" i="19"/>
  <c r="E135" i="19" s="1"/>
  <c r="F135" i="19" s="1"/>
  <c r="D146" i="19"/>
  <c r="E146" i="19" s="1"/>
  <c r="F146" i="19" s="1"/>
  <c r="D156" i="19"/>
  <c r="E156" i="19" s="1"/>
  <c r="F156" i="19" s="1"/>
  <c r="D167" i="19"/>
  <c r="E167" i="19" s="1"/>
  <c r="F167" i="19" s="1"/>
  <c r="D178" i="19"/>
  <c r="E178" i="19" s="1"/>
  <c r="F178" i="19" s="1"/>
  <c r="D34" i="19"/>
  <c r="E34" i="19" s="1"/>
  <c r="F34" i="19" s="1"/>
  <c r="D50" i="19"/>
  <c r="E50" i="19" s="1"/>
  <c r="F50" i="19" s="1"/>
  <c r="D66" i="19"/>
  <c r="E66" i="19" s="1"/>
  <c r="F66" i="19" s="1"/>
  <c r="D37" i="19"/>
  <c r="E37" i="19" s="1"/>
  <c r="F37" i="19" s="1"/>
  <c r="D53" i="19"/>
  <c r="E53" i="19" s="1"/>
  <c r="F53" i="19" s="1"/>
  <c r="D69" i="19"/>
  <c r="E69" i="19" s="1"/>
  <c r="F69" i="19" s="1"/>
  <c r="D55" i="19"/>
  <c r="E55" i="19" s="1"/>
  <c r="F55" i="19" s="1"/>
  <c r="D87" i="19"/>
  <c r="E87" i="19" s="1"/>
  <c r="F87" i="19" s="1"/>
  <c r="D106" i="19"/>
  <c r="E106" i="19" s="1"/>
  <c r="F106" i="19" s="1"/>
  <c r="D142" i="19"/>
  <c r="E142" i="19" s="1"/>
  <c r="F142" i="19" s="1"/>
  <c r="D163" i="19"/>
  <c r="E163" i="19" s="1"/>
  <c r="F163" i="19" s="1"/>
  <c r="D185" i="19"/>
  <c r="E185" i="19" s="1"/>
  <c r="F185" i="19" s="1"/>
  <c r="D49" i="19"/>
  <c r="E49" i="19" s="1"/>
  <c r="F49" i="19" s="1"/>
  <c r="D79" i="19"/>
  <c r="E79" i="19" s="1"/>
  <c r="F79" i="19" s="1"/>
  <c r="D101" i="19"/>
  <c r="E101" i="19" s="1"/>
  <c r="F101" i="19" s="1"/>
  <c r="D116" i="19"/>
  <c r="E116" i="19" s="1"/>
  <c r="F116" i="19" s="1"/>
  <c r="D150" i="19"/>
  <c r="E150" i="19" s="1"/>
  <c r="F150" i="19" s="1"/>
  <c r="D171" i="19"/>
  <c r="E171" i="19" s="1"/>
  <c r="F171" i="19" s="1"/>
  <c r="D42" i="19"/>
  <c r="E42" i="19" s="1"/>
  <c r="F42" i="19" s="1"/>
  <c r="D80" i="19"/>
  <c r="E80" i="19" s="1"/>
  <c r="F80" i="19" s="1"/>
  <c r="D107" i="19"/>
  <c r="E107" i="19" s="1"/>
  <c r="F107" i="19" s="1"/>
  <c r="D126" i="19"/>
  <c r="E126" i="19" s="1"/>
  <c r="F126" i="19" s="1"/>
  <c r="D147" i="19"/>
  <c r="E147" i="19" s="1"/>
  <c r="F147" i="19" s="1"/>
  <c r="D168" i="19"/>
  <c r="E168" i="19" s="1"/>
  <c r="F168" i="19" s="1"/>
  <c r="D191" i="19"/>
  <c r="E191" i="19" s="1"/>
  <c r="F191" i="19" s="1"/>
  <c r="D90" i="19"/>
  <c r="E90" i="19" s="1"/>
  <c r="F90" i="19" s="1"/>
  <c r="D184" i="19"/>
  <c r="E184" i="19" s="1"/>
  <c r="F184" i="19" s="1"/>
  <c r="D173" i="19"/>
  <c r="E173" i="19" s="1"/>
  <c r="F173" i="19" s="1"/>
  <c r="D96" i="19"/>
  <c r="E96" i="19" s="1"/>
  <c r="F96" i="19" s="1"/>
  <c r="D176" i="19"/>
  <c r="E176" i="19" s="1"/>
  <c r="F176" i="19" s="1"/>
  <c r="D83" i="19"/>
  <c r="E83" i="19" s="1"/>
  <c r="F83" i="19" s="1"/>
  <c r="D138" i="19"/>
  <c r="E138" i="19" s="1"/>
  <c r="F138" i="19" s="1"/>
  <c r="D181" i="19"/>
  <c r="E181" i="19" s="1"/>
  <c r="F181" i="19" s="1"/>
  <c r="D36" i="19"/>
  <c r="E36" i="19" s="1"/>
  <c r="F36" i="19" s="1"/>
  <c r="D43" i="19"/>
  <c r="E43" i="19" s="1"/>
  <c r="F43" i="19" s="1"/>
  <c r="D94" i="19"/>
  <c r="E94" i="19" s="1"/>
  <c r="F94" i="19" s="1"/>
  <c r="D189" i="19"/>
  <c r="E189" i="19" s="1"/>
  <c r="F189" i="19" s="1"/>
  <c r="D103" i="19"/>
  <c r="E103" i="19" s="1"/>
  <c r="F103" i="19" s="1"/>
  <c r="D129" i="19"/>
  <c r="E129" i="19" s="1"/>
  <c r="F129" i="19" s="1"/>
  <c r="D141" i="19"/>
  <c r="E141" i="19" s="1"/>
  <c r="F141" i="19" s="1"/>
  <c r="D44" i="19"/>
  <c r="E44" i="19" s="1"/>
  <c r="F44" i="19" s="1"/>
  <c r="D35" i="19"/>
  <c r="E35" i="19" s="1"/>
  <c r="F35" i="19" s="1"/>
  <c r="D99" i="19"/>
  <c r="E99" i="19" s="1"/>
  <c r="F99" i="19" s="1"/>
  <c r="D148" i="19"/>
  <c r="E148" i="19" s="1"/>
  <c r="F148" i="19" s="1"/>
  <c r="D52" i="19"/>
  <c r="E52" i="19" s="1"/>
  <c r="F52" i="19" s="1"/>
  <c r="D59" i="19"/>
  <c r="E59" i="19" s="1"/>
  <c r="F59" i="19" s="1"/>
  <c r="D112" i="19"/>
  <c r="E112" i="19" s="1"/>
  <c r="F112" i="19" s="1"/>
  <c r="D122" i="19"/>
  <c r="E122" i="19" s="1"/>
  <c r="F122" i="19" s="1"/>
  <c r="D60" i="19"/>
  <c r="E60" i="19" s="1"/>
  <c r="F60" i="19" s="1"/>
  <c r="D158" i="19"/>
  <c r="E158" i="19" s="1"/>
  <c r="F158" i="19" s="1"/>
  <c r="D26" i="19"/>
  <c r="E26" i="19" s="1"/>
  <c r="F26" i="19" s="1"/>
  <c r="D111" i="19"/>
  <c r="E111" i="19" s="1"/>
  <c r="F111" i="19" s="1"/>
  <c r="D74" i="19"/>
  <c r="E74" i="19" s="1"/>
  <c r="F74" i="19" s="1"/>
  <c r="D51" i="19"/>
  <c r="E51" i="19" s="1"/>
  <c r="F51" i="19" s="1"/>
  <c r="D115" i="19"/>
  <c r="E115" i="19" s="1"/>
  <c r="F115" i="19" s="1"/>
  <c r="D159" i="19"/>
  <c r="E159" i="19" s="1"/>
  <c r="F159" i="19" s="1"/>
  <c r="D75" i="19"/>
  <c r="E75" i="19" s="1"/>
  <c r="F75" i="19" s="1"/>
  <c r="D145" i="19"/>
  <c r="E145" i="19" s="1"/>
  <c r="F145" i="19" s="1"/>
  <c r="D58" i="19"/>
  <c r="E58" i="19" s="1"/>
  <c r="F58" i="19" s="1"/>
  <c r="D153" i="19"/>
  <c r="E153" i="19" s="1"/>
  <c r="F153" i="19" s="1"/>
  <c r="D92" i="19"/>
  <c r="E92" i="19" s="1"/>
  <c r="F92" i="19" s="1"/>
  <c r="D179" i="19"/>
  <c r="E179" i="19" s="1"/>
  <c r="F179" i="19" s="1"/>
  <c r="D188" i="19"/>
  <c r="E188" i="19" s="1"/>
  <c r="F188" i="19" s="1"/>
  <c r="D166" i="19"/>
  <c r="E166" i="19" s="1"/>
  <c r="F166" i="19" s="1"/>
  <c r="D123" i="19"/>
  <c r="E123" i="19" s="1"/>
  <c r="F123" i="19" s="1"/>
  <c r="D137" i="19"/>
  <c r="E137" i="19" s="1"/>
  <c r="F137" i="19" s="1"/>
  <c r="D67" i="19"/>
  <c r="E67" i="19" s="1"/>
  <c r="F67" i="19" s="1"/>
  <c r="D27" i="19"/>
  <c r="E27" i="19" s="1"/>
  <c r="F27" i="19" s="1"/>
  <c r="D186" i="19"/>
  <c r="E186" i="19" s="1"/>
  <c r="F186" i="19" s="1"/>
  <c r="D180" i="19"/>
  <c r="E180" i="19" s="1"/>
  <c r="F180" i="19" s="1"/>
  <c r="D127" i="19"/>
  <c r="E127" i="19" s="1"/>
  <c r="F127" i="19" s="1"/>
  <c r="D65" i="19"/>
  <c r="E65" i="19" s="1"/>
  <c r="F65" i="19" s="1"/>
  <c r="D114" i="19"/>
  <c r="E114" i="19" s="1"/>
  <c r="F114" i="19" s="1"/>
  <c r="D170" i="19"/>
  <c r="E170" i="19" s="1"/>
  <c r="F170" i="19" s="1"/>
  <c r="D174" i="19"/>
  <c r="E174" i="19" s="1"/>
  <c r="F174" i="19" s="1"/>
  <c r="D108" i="19"/>
  <c r="E108" i="19" s="1"/>
  <c r="F108" i="19" s="1"/>
  <c r="D89" i="19"/>
  <c r="E89" i="19" s="1"/>
  <c r="F89" i="19" s="1"/>
  <c r="E5" i="22"/>
  <c r="E32" i="22" s="1"/>
  <c r="E55" i="22" s="1"/>
  <c r="E95" i="22" s="1"/>
  <c r="E121" i="22" s="1"/>
  <c r="D355" i="19"/>
  <c r="E355" i="19" s="1"/>
  <c r="F355" i="19" s="1"/>
  <c r="D254" i="19"/>
  <c r="E254" i="19" s="1"/>
  <c r="F254" i="19" s="1"/>
  <c r="D245" i="19"/>
  <c r="E245" i="19" s="1"/>
  <c r="F245" i="19" s="1"/>
  <c r="D273" i="19"/>
  <c r="E273" i="19" s="1"/>
  <c r="F273" i="19" s="1"/>
  <c r="D633" i="19"/>
  <c r="E633" i="19" s="1"/>
  <c r="F633" i="19" s="1"/>
  <c r="D685" i="19"/>
  <c r="E685" i="19" s="1"/>
  <c r="F685" i="19" s="1"/>
  <c r="D687" i="19"/>
  <c r="E687" i="19" s="1"/>
  <c r="F687" i="19" s="1"/>
  <c r="D511" i="19"/>
  <c r="E511" i="19" s="1"/>
  <c r="F511" i="19" s="1"/>
  <c r="D561" i="19"/>
  <c r="E561" i="19" s="1"/>
  <c r="F561" i="19" s="1"/>
  <c r="D1193" i="19"/>
  <c r="E1193" i="19" s="1"/>
  <c r="F1193" i="19" s="1"/>
  <c r="D1869" i="19"/>
  <c r="E1869" i="19" s="1"/>
  <c r="F1869" i="19" s="1"/>
  <c r="D442" i="19"/>
  <c r="E442" i="19" s="1"/>
  <c r="F442" i="19" s="1"/>
  <c r="D260" i="19"/>
  <c r="E260" i="19" s="1"/>
  <c r="F260" i="19" s="1"/>
  <c r="D282" i="19"/>
  <c r="E282" i="19" s="1"/>
  <c r="F282" i="19" s="1"/>
  <c r="D692" i="19"/>
  <c r="E692" i="19" s="1"/>
  <c r="F692" i="19" s="1"/>
  <c r="D679" i="19"/>
  <c r="E679" i="19" s="1"/>
  <c r="F679" i="19" s="1"/>
  <c r="D631" i="19"/>
  <c r="E631" i="19" s="1"/>
  <c r="F631" i="19" s="1"/>
  <c r="D219" i="19"/>
  <c r="E219" i="19" s="1"/>
  <c r="F219" i="19" s="1"/>
  <c r="D878" i="19"/>
  <c r="E878" i="19" s="1"/>
  <c r="F878" i="19" s="1"/>
  <c r="D624" i="19"/>
  <c r="E624" i="19" s="1"/>
  <c r="F624" i="19" s="1"/>
  <c r="D402" i="19"/>
  <c r="E402" i="19" s="1"/>
  <c r="F402" i="19" s="1"/>
  <c r="D567" i="19"/>
  <c r="E567" i="19" s="1"/>
  <c r="F567" i="19" s="1"/>
  <c r="D634" i="19"/>
  <c r="E634" i="19" s="1"/>
  <c r="F634" i="19" s="1"/>
  <c r="D1572" i="19"/>
  <c r="E1572" i="19" s="1"/>
  <c r="F1572" i="19" s="1"/>
  <c r="D598" i="19"/>
  <c r="E598" i="19" s="1"/>
  <c r="F598" i="19" s="1"/>
  <c r="D375" i="19"/>
  <c r="E375" i="19" s="1"/>
  <c r="F375" i="19" s="1"/>
  <c r="D668" i="19"/>
  <c r="E668" i="19" s="1"/>
  <c r="F668" i="19" s="1"/>
  <c r="D334" i="19"/>
  <c r="E334" i="19" s="1"/>
  <c r="F334" i="19" s="1"/>
  <c r="D428" i="19"/>
  <c r="E428" i="19" s="1"/>
  <c r="F428" i="19" s="1"/>
  <c r="D537" i="19"/>
  <c r="E537" i="19" s="1"/>
  <c r="F537" i="19" s="1"/>
  <c r="D309" i="19"/>
  <c r="E309" i="19" s="1"/>
  <c r="F309" i="19" s="1"/>
  <c r="D967" i="19"/>
  <c r="E967" i="19" s="1"/>
  <c r="F967" i="19" s="1"/>
  <c r="D716" i="19"/>
  <c r="E716" i="19" s="1"/>
  <c r="F716" i="19" s="1"/>
  <c r="D457" i="19"/>
  <c r="E457" i="19" s="1"/>
  <c r="F457" i="19" s="1"/>
  <c r="D341" i="19"/>
  <c r="E341" i="19" s="1"/>
  <c r="F341" i="19" s="1"/>
  <c r="D523" i="19"/>
  <c r="E523" i="19" s="1"/>
  <c r="F523" i="19" s="1"/>
  <c r="D1787" i="19"/>
  <c r="E1787" i="19" s="1"/>
  <c r="F1787" i="19" s="1"/>
  <c r="D394" i="19"/>
  <c r="E394" i="19" s="1"/>
  <c r="F394" i="19" s="1"/>
  <c r="D221" i="19"/>
  <c r="E221" i="19" s="1"/>
  <c r="F221" i="19" s="1"/>
  <c r="D415" i="19"/>
  <c r="E415" i="19" s="1"/>
  <c r="F415" i="19" s="1"/>
  <c r="D425" i="19"/>
  <c r="E425" i="19" s="1"/>
  <c r="F425" i="19" s="1"/>
  <c r="D492" i="19"/>
  <c r="E492" i="19" s="1"/>
  <c r="F492" i="19" s="1"/>
  <c r="D291" i="19"/>
  <c r="E291" i="19" s="1"/>
  <c r="F291" i="19" s="1"/>
  <c r="D628" i="19"/>
  <c r="E628" i="19" s="1"/>
  <c r="F628" i="19" s="1"/>
  <c r="D552" i="19"/>
  <c r="E552" i="19" s="1"/>
  <c r="F552" i="19" s="1"/>
  <c r="D395" i="19"/>
  <c r="E395" i="19" s="1"/>
  <c r="F395" i="19" s="1"/>
  <c r="D370" i="19"/>
  <c r="E370" i="19" s="1"/>
  <c r="F370" i="19" s="1"/>
  <c r="D717" i="19"/>
  <c r="E717" i="19" s="1"/>
  <c r="F717" i="19" s="1"/>
  <c r="D775" i="19"/>
  <c r="E775" i="19" s="1"/>
  <c r="F775" i="19" s="1"/>
  <c r="D359" i="19"/>
  <c r="E359" i="19" s="1"/>
  <c r="F359" i="19" s="1"/>
  <c r="D728" i="19"/>
  <c r="E728" i="19" s="1"/>
  <c r="F728" i="19" s="1"/>
  <c r="D649" i="19"/>
  <c r="E649" i="19" s="1"/>
  <c r="F649" i="19" s="1"/>
  <c r="D371" i="19"/>
  <c r="E371" i="19" s="1"/>
  <c r="F371" i="19" s="1"/>
  <c r="D288" i="19"/>
  <c r="E288" i="19" s="1"/>
  <c r="F288" i="19" s="1"/>
  <c r="D580" i="19"/>
  <c r="E580" i="19" s="1"/>
  <c r="F580" i="19" s="1"/>
  <c r="D223" i="19"/>
  <c r="E223" i="19" s="1"/>
  <c r="F223" i="19" s="1"/>
  <c r="D522" i="19"/>
  <c r="E522" i="19" s="1"/>
  <c r="F522" i="19" s="1"/>
  <c r="D708" i="19"/>
  <c r="E708" i="19" s="1"/>
  <c r="F708" i="19" s="1"/>
  <c r="D202" i="19"/>
  <c r="E202" i="19" s="1"/>
  <c r="F202" i="19" s="1"/>
  <c r="D839" i="19"/>
  <c r="E839" i="19" s="1"/>
  <c r="F839" i="19" s="1"/>
  <c r="D413" i="19"/>
  <c r="E413" i="19" s="1"/>
  <c r="F413" i="19" s="1"/>
  <c r="D256" i="19"/>
  <c r="E256" i="19" s="1"/>
  <c r="F256" i="19" s="1"/>
  <c r="D761" i="19"/>
  <c r="E761" i="19" s="1"/>
  <c r="F761" i="19" s="1"/>
  <c r="D446" i="19"/>
  <c r="E446" i="19" s="1"/>
  <c r="F446" i="19" s="1"/>
  <c r="D1167" i="19"/>
  <c r="E1167" i="19" s="1"/>
  <c r="F1167" i="19" s="1"/>
  <c r="D373" i="19"/>
  <c r="E373" i="19" s="1"/>
  <c r="F373" i="19" s="1"/>
  <c r="D246" i="19"/>
  <c r="E246" i="19" s="1"/>
  <c r="F246" i="19" s="1"/>
  <c r="D247" i="19"/>
  <c r="E247" i="19" s="1"/>
  <c r="F247" i="19" s="1"/>
  <c r="D501" i="19"/>
  <c r="E501" i="19" s="1"/>
  <c r="F501" i="19" s="1"/>
  <c r="D586" i="19"/>
  <c r="E586" i="19" s="1"/>
  <c r="F586" i="19" s="1"/>
  <c r="D297" i="19"/>
  <c r="E297" i="19" s="1"/>
  <c r="F297" i="19" s="1"/>
  <c r="D233" i="19"/>
  <c r="E233" i="19" s="1"/>
  <c r="F233" i="19" s="1"/>
  <c r="D318" i="19"/>
  <c r="E318" i="19" s="1"/>
  <c r="F318" i="19" s="1"/>
  <c r="D731" i="19"/>
  <c r="E731" i="19" s="1"/>
  <c r="F731" i="19" s="1"/>
  <c r="D229" i="19"/>
  <c r="E229" i="19" s="1"/>
  <c r="F229" i="19" s="1"/>
  <c r="D953" i="19"/>
  <c r="E953" i="19" s="1"/>
  <c r="F953" i="19" s="1"/>
  <c r="D525" i="19"/>
  <c r="E525" i="19" s="1"/>
  <c r="F525" i="19" s="1"/>
  <c r="D210" i="19"/>
  <c r="E210" i="19" s="1"/>
  <c r="F210" i="19" s="1"/>
  <c r="D471" i="19"/>
  <c r="E471" i="19" s="1"/>
  <c r="F471" i="19" s="1"/>
  <c r="D336" i="19"/>
  <c r="E336" i="19" s="1"/>
  <c r="F336" i="19" s="1"/>
  <c r="D338" i="19"/>
  <c r="E338" i="19" s="1"/>
  <c r="F338" i="19" s="1"/>
  <c r="D241" i="19"/>
  <c r="E241" i="19" s="1"/>
  <c r="F241" i="19" s="1"/>
  <c r="D746" i="19"/>
  <c r="E746" i="19" s="1"/>
  <c r="F746" i="19" s="1"/>
  <c r="D1513" i="19"/>
  <c r="E1513" i="19" s="1"/>
  <c r="F1513" i="19" s="1"/>
  <c r="D615" i="19"/>
  <c r="E615" i="19" s="1"/>
  <c r="F615" i="19" s="1"/>
  <c r="D604" i="19"/>
  <c r="E604" i="19" s="1"/>
  <c r="F604" i="19" s="1"/>
  <c r="D408" i="19"/>
  <c r="E408" i="19" s="1"/>
  <c r="F408" i="19" s="1"/>
  <c r="D243" i="19"/>
  <c r="E243" i="19" s="1"/>
  <c r="F243" i="19" s="1"/>
  <c r="D550" i="19"/>
  <c r="E550" i="19" s="1"/>
  <c r="F550" i="19" s="1"/>
  <c r="D332" i="19"/>
  <c r="E332" i="19" s="1"/>
  <c r="F332" i="19" s="1"/>
  <c r="D754" i="19"/>
  <c r="E754" i="19" s="1"/>
  <c r="F754" i="19" s="1"/>
  <c r="D540" i="19"/>
  <c r="E540" i="19" s="1"/>
  <c r="F540" i="19" s="1"/>
  <c r="D391" i="19"/>
  <c r="E391" i="19" s="1"/>
  <c r="F391" i="19" s="1"/>
  <c r="D751" i="19"/>
  <c r="E751" i="19" s="1"/>
  <c r="F751" i="19" s="1"/>
  <c r="D343" i="19"/>
  <c r="E343" i="19" s="1"/>
  <c r="F343" i="19" s="1"/>
  <c r="D389" i="19"/>
  <c r="E389" i="19" s="1"/>
  <c r="F389" i="19" s="1"/>
  <c r="D215" i="19"/>
  <c r="E215" i="19" s="1"/>
  <c r="F215" i="19" s="1"/>
  <c r="D453" i="19"/>
  <c r="E453" i="19" s="1"/>
  <c r="F453" i="19" s="1"/>
  <c r="D310" i="19"/>
  <c r="E310" i="19" s="1"/>
  <c r="F310" i="19" s="1"/>
  <c r="D331" i="19"/>
  <c r="E331" i="19" s="1"/>
  <c r="F331" i="19" s="1"/>
  <c r="D483" i="19"/>
  <c r="E483" i="19" s="1"/>
  <c r="F483" i="19" s="1"/>
  <c r="D504" i="19"/>
  <c r="E504" i="19" s="1"/>
  <c r="F504" i="19" s="1"/>
  <c r="D702" i="19"/>
  <c r="E702" i="19" s="1"/>
  <c r="F702" i="19" s="1"/>
  <c r="D314" i="19"/>
  <c r="E314" i="19" s="1"/>
  <c r="F314" i="19" s="1"/>
  <c r="D348" i="19"/>
  <c r="E348" i="19" s="1"/>
  <c r="F348" i="19" s="1"/>
  <c r="D328" i="19"/>
  <c r="E328" i="19" s="1"/>
  <c r="F328" i="19" s="1"/>
  <c r="D555" i="19"/>
  <c r="E555" i="19" s="1"/>
  <c r="F555" i="19" s="1"/>
  <c r="D324" i="19"/>
  <c r="E324" i="19" s="1"/>
  <c r="F324" i="19" s="1"/>
  <c r="D644" i="19"/>
  <c r="E644" i="19" s="1"/>
  <c r="F644" i="19" s="1"/>
  <c r="D582" i="19"/>
  <c r="E582" i="19" s="1"/>
  <c r="F582" i="19" s="1"/>
  <c r="D224" i="19"/>
  <c r="E224" i="19" s="1"/>
  <c r="F224" i="19" s="1"/>
  <c r="D562" i="19"/>
  <c r="E562" i="19" s="1"/>
  <c r="F562" i="19" s="1"/>
  <c r="D325" i="19"/>
  <c r="E325" i="19" s="1"/>
  <c r="F325" i="19" s="1"/>
  <c r="D280" i="19"/>
  <c r="E280" i="19" s="1"/>
  <c r="F280" i="19" s="1"/>
  <c r="D665" i="19"/>
  <c r="E665" i="19" s="1"/>
  <c r="F665" i="19" s="1"/>
  <c r="D438" i="19"/>
  <c r="E438" i="19" s="1"/>
  <c r="F438" i="19" s="1"/>
  <c r="D263" i="19"/>
  <c r="E263" i="19" s="1"/>
  <c r="F263" i="19" s="1"/>
  <c r="D757" i="19"/>
  <c r="E757" i="19" s="1"/>
  <c r="F757" i="19" s="1"/>
  <c r="D339" i="19"/>
  <c r="E339" i="19" s="1"/>
  <c r="F339" i="19" s="1"/>
  <c r="D205" i="19"/>
  <c r="E205" i="19" s="1"/>
  <c r="F205" i="19" s="1"/>
  <c r="D959" i="19"/>
  <c r="E959" i="19" s="1"/>
  <c r="F959" i="19" s="1"/>
  <c r="D752" i="19"/>
  <c r="E752" i="19" s="1"/>
  <c r="F752" i="19" s="1"/>
  <c r="D1010" i="19"/>
  <c r="E1010" i="19" s="1"/>
  <c r="F1010" i="19" s="1"/>
  <c r="D966" i="19"/>
  <c r="E966" i="19" s="1"/>
  <c r="F966" i="19" s="1"/>
  <c r="D1307" i="19"/>
  <c r="E1307" i="19" s="1"/>
  <c r="F1307" i="19" s="1"/>
  <c r="D322" i="19"/>
  <c r="E322" i="19" s="1"/>
  <c r="F322" i="19" s="1"/>
  <c r="D289" i="19"/>
  <c r="E289" i="19" s="1"/>
  <c r="F289" i="19" s="1"/>
  <c r="D367" i="19"/>
  <c r="E367" i="19" s="1"/>
  <c r="F367" i="19" s="1"/>
  <c r="D486" i="19"/>
  <c r="E486" i="19" s="1"/>
  <c r="F486" i="19" s="1"/>
  <c r="D560" i="19"/>
  <c r="E560" i="19" s="1"/>
  <c r="F560" i="19" s="1"/>
  <c r="D973" i="19"/>
  <c r="E973" i="19" s="1"/>
  <c r="F973" i="19" s="1"/>
  <c r="D1483" i="19"/>
  <c r="E1483" i="19" s="1"/>
  <c r="F1483" i="19" s="1"/>
  <c r="D713" i="19"/>
  <c r="E713" i="19" s="1"/>
  <c r="F713" i="19" s="1"/>
  <c r="D350" i="19"/>
  <c r="E350" i="19" s="1"/>
  <c r="F350" i="19" s="1"/>
  <c r="D565" i="19"/>
  <c r="E565" i="19" s="1"/>
  <c r="F565" i="19" s="1"/>
  <c r="D696" i="19"/>
  <c r="E696" i="19" s="1"/>
  <c r="F696" i="19" s="1"/>
  <c r="D535" i="19"/>
  <c r="E535" i="19" s="1"/>
  <c r="F535" i="19" s="1"/>
  <c r="D321" i="19"/>
  <c r="E321" i="19" s="1"/>
  <c r="F321" i="19" s="1"/>
  <c r="D597" i="19"/>
  <c r="E597" i="19" s="1"/>
  <c r="F597" i="19" s="1"/>
  <c r="D284" i="19"/>
  <c r="E284" i="19" s="1"/>
  <c r="F284" i="19" s="1"/>
  <c r="D209" i="19"/>
  <c r="E209" i="19" s="1"/>
  <c r="F209" i="19" s="1"/>
  <c r="D360" i="19"/>
  <c r="E360" i="19" s="1"/>
  <c r="F360" i="19" s="1"/>
  <c r="D400" i="19"/>
  <c r="E400" i="19" s="1"/>
  <c r="F400" i="19" s="1"/>
  <c r="D294" i="19"/>
  <c r="E294" i="19" s="1"/>
  <c r="F294" i="19" s="1"/>
  <c r="D277" i="19"/>
  <c r="E277" i="19" s="1"/>
  <c r="F277" i="19" s="1"/>
  <c r="D212" i="19"/>
  <c r="E212" i="19" s="1"/>
  <c r="F212" i="19" s="1"/>
  <c r="D416" i="19"/>
  <c r="E416" i="19" s="1"/>
  <c r="F416" i="19" s="1"/>
  <c r="D378" i="19"/>
  <c r="E378" i="19" s="1"/>
  <c r="F378" i="19" s="1"/>
  <c r="D496" i="19"/>
  <c r="E496" i="19" s="1"/>
  <c r="F496" i="19" s="1"/>
  <c r="D466" i="19"/>
  <c r="E466" i="19" s="1"/>
  <c r="F466" i="19" s="1"/>
  <c r="D810" i="19"/>
  <c r="E810" i="19" s="1"/>
  <c r="F810" i="19" s="1"/>
  <c r="D983" i="19"/>
  <c r="E983" i="19" s="1"/>
  <c r="F983" i="19" s="1"/>
  <c r="D947" i="19"/>
  <c r="E947" i="19" s="1"/>
  <c r="F947" i="19" s="1"/>
  <c r="D231" i="19"/>
  <c r="E231" i="19" s="1"/>
  <c r="F231" i="19" s="1"/>
  <c r="D330" i="19"/>
  <c r="E330" i="19" s="1"/>
  <c r="F330" i="19" s="1"/>
  <c r="D574" i="19"/>
  <c r="E574" i="19" s="1"/>
  <c r="F574" i="19" s="1"/>
  <c r="D596" i="19"/>
  <c r="E596" i="19" s="1"/>
  <c r="F596" i="19" s="1"/>
  <c r="D477" i="19"/>
  <c r="E477" i="19" s="1"/>
  <c r="F477" i="19" s="1"/>
  <c r="D1116" i="19"/>
  <c r="E1116" i="19" s="1"/>
  <c r="F1116" i="19" s="1"/>
  <c r="D372" i="19"/>
  <c r="E372" i="19" s="1"/>
  <c r="F372" i="19" s="1"/>
  <c r="D286" i="19"/>
  <c r="E286" i="19" s="1"/>
  <c r="F286" i="19" s="1"/>
  <c r="D275" i="19"/>
  <c r="E275" i="19" s="1"/>
  <c r="F275" i="19" s="1"/>
  <c r="D474" i="19"/>
  <c r="E474" i="19" s="1"/>
  <c r="F474" i="19" s="1"/>
  <c r="D432" i="19"/>
  <c r="E432" i="19" s="1"/>
  <c r="F432" i="19" s="1"/>
  <c r="D629" i="19"/>
  <c r="E629" i="19" s="1"/>
  <c r="F629" i="19" s="1"/>
  <c r="D1414" i="19"/>
  <c r="E1414" i="19" s="1"/>
  <c r="F1414" i="19" s="1"/>
  <c r="D454" i="19"/>
  <c r="E454" i="19" s="1"/>
  <c r="F454" i="19" s="1"/>
  <c r="D583" i="19"/>
  <c r="E583" i="19" s="1"/>
  <c r="F583" i="19" s="1"/>
  <c r="D1169" i="19"/>
  <c r="E1169" i="19" s="1"/>
  <c r="F1169" i="19" s="1"/>
  <c r="D344" i="19"/>
  <c r="E344" i="19" s="1"/>
  <c r="F344" i="19" s="1"/>
  <c r="D369" i="19"/>
  <c r="E369" i="19" s="1"/>
  <c r="F369" i="19" s="1"/>
  <c r="D323" i="19"/>
  <c r="E323" i="19" s="1"/>
  <c r="F323" i="19" s="1"/>
  <c r="D647" i="19"/>
  <c r="E647" i="19" s="1"/>
  <c r="F647" i="19" s="1"/>
  <c r="D451" i="19"/>
  <c r="E451" i="19" s="1"/>
  <c r="F451" i="19" s="1"/>
  <c r="D238" i="19"/>
  <c r="E238" i="19" s="1"/>
  <c r="F238" i="19" s="1"/>
  <c r="D386" i="19"/>
  <c r="E386" i="19" s="1"/>
  <c r="F386" i="19" s="1"/>
  <c r="D301" i="19"/>
  <c r="E301" i="19" s="1"/>
  <c r="F301" i="19" s="1"/>
  <c r="D662" i="19"/>
  <c r="E662" i="19" s="1"/>
  <c r="F662" i="19" s="1"/>
  <c r="D585" i="19"/>
  <c r="E585" i="19" s="1"/>
  <c r="F585" i="19" s="1"/>
  <c r="D312" i="19"/>
  <c r="E312" i="19" s="1"/>
  <c r="F312" i="19" s="1"/>
  <c r="D216" i="19"/>
  <c r="E216" i="19" s="1"/>
  <c r="F216" i="19" s="1"/>
  <c r="D516" i="19"/>
  <c r="E516" i="19" s="1"/>
  <c r="F516" i="19" s="1"/>
  <c r="D445" i="19"/>
  <c r="E445" i="19" s="1"/>
  <c r="F445" i="19" s="1"/>
  <c r="D638" i="19"/>
  <c r="E638" i="19" s="1"/>
  <c r="F638" i="19" s="1"/>
  <c r="D387" i="19"/>
  <c r="E387" i="19" s="1"/>
  <c r="F387" i="19" s="1"/>
  <c r="D393" i="19"/>
  <c r="E393" i="19" s="1"/>
  <c r="F393" i="19" s="1"/>
  <c r="D403" i="19"/>
  <c r="E403" i="19" s="1"/>
  <c r="F403" i="19" s="1"/>
  <c r="D733" i="19"/>
  <c r="E733" i="19" s="1"/>
  <c r="F733" i="19" s="1"/>
  <c r="D528" i="19"/>
  <c r="E528" i="19" s="1"/>
  <c r="F528" i="19" s="1"/>
  <c r="D929" i="19"/>
  <c r="E929" i="19" s="1"/>
  <c r="F929" i="19" s="1"/>
  <c r="D975" i="19"/>
  <c r="E975" i="19" s="1"/>
  <c r="F975" i="19" s="1"/>
  <c r="D605" i="19"/>
  <c r="E605" i="19" s="1"/>
  <c r="F605" i="19" s="1"/>
  <c r="D512" i="19"/>
  <c r="E512" i="19" s="1"/>
  <c r="F512" i="19" s="1"/>
  <c r="D614" i="19"/>
  <c r="E614" i="19" s="1"/>
  <c r="F614" i="19" s="1"/>
  <c r="D195" i="19"/>
  <c r="E195" i="19" s="1"/>
  <c r="F195" i="19" s="1"/>
  <c r="D1248" i="19"/>
  <c r="E1248" i="19" s="1"/>
  <c r="F1248" i="19" s="1"/>
  <c r="D274" i="19"/>
  <c r="E274" i="19" s="1"/>
  <c r="F274" i="19" s="1"/>
  <c r="D329" i="19"/>
  <c r="E329" i="19" s="1"/>
  <c r="F329" i="19" s="1"/>
  <c r="D554" i="19"/>
  <c r="E554" i="19" s="1"/>
  <c r="F554" i="19" s="1"/>
  <c r="D460" i="19"/>
  <c r="E460" i="19" s="1"/>
  <c r="F460" i="19" s="1"/>
  <c r="D218" i="19"/>
  <c r="E218" i="19" s="1"/>
  <c r="F218" i="19" s="1"/>
  <c r="D194" i="19"/>
  <c r="E194" i="19" s="1"/>
  <c r="F194" i="19" s="1"/>
  <c r="D335" i="19"/>
  <c r="E335" i="19" s="1"/>
  <c r="F335" i="19" s="1"/>
  <c r="D390" i="19"/>
  <c r="E390" i="19" s="1"/>
  <c r="F390" i="19" s="1"/>
  <c r="D381" i="19"/>
  <c r="E381" i="19" s="1"/>
  <c r="F381" i="19" s="1"/>
  <c r="D270" i="19"/>
  <c r="E270" i="19" s="1"/>
  <c r="F270" i="19" s="1"/>
  <c r="D300" i="19"/>
  <c r="E300" i="19" s="1"/>
  <c r="F300" i="19" s="1"/>
  <c r="D678" i="19"/>
  <c r="E678" i="19" s="1"/>
  <c r="F678" i="19" s="1"/>
  <c r="D601" i="19"/>
  <c r="E601" i="19" s="1"/>
  <c r="F601" i="19" s="1"/>
  <c r="D272" i="19"/>
  <c r="E272" i="19" s="1"/>
  <c r="F272" i="19" s="1"/>
  <c r="D354" i="19"/>
  <c r="E354" i="19" s="1"/>
  <c r="F354" i="19" s="1"/>
  <c r="D362" i="19"/>
  <c r="E362" i="19" s="1"/>
  <c r="F362" i="19" s="1"/>
  <c r="D475" i="19"/>
  <c r="E475" i="19" s="1"/>
  <c r="F475" i="19" s="1"/>
  <c r="D643" i="19"/>
  <c r="E643" i="19" s="1"/>
  <c r="F643" i="19" s="1"/>
  <c r="D673" i="19"/>
  <c r="E673" i="19" s="1"/>
  <c r="F673" i="19" s="1"/>
  <c r="D623" i="19"/>
  <c r="E623" i="19" s="1"/>
  <c r="F623" i="19" s="1"/>
  <c r="D725" i="19"/>
  <c r="E725" i="19" s="1"/>
  <c r="F725" i="19" s="1"/>
  <c r="D538" i="19"/>
  <c r="E538" i="19" s="1"/>
  <c r="F538" i="19" s="1"/>
  <c r="D729" i="19"/>
  <c r="E729" i="19" s="1"/>
  <c r="F729" i="19" s="1"/>
  <c r="D257" i="19"/>
  <c r="E257" i="19" s="1"/>
  <c r="F257" i="19" s="1"/>
  <c r="D461" i="19"/>
  <c r="E461" i="19" s="1"/>
  <c r="F461" i="19" s="1"/>
  <c r="D807" i="19"/>
  <c r="E807" i="19" s="1"/>
  <c r="F807" i="19" s="1"/>
  <c r="D248" i="19"/>
  <c r="E248" i="19" s="1"/>
  <c r="F248" i="19" s="1"/>
  <c r="D449" i="19"/>
  <c r="E449" i="19" s="1"/>
  <c r="F449" i="19" s="1"/>
  <c r="D660" i="19"/>
  <c r="E660" i="19" s="1"/>
  <c r="F660" i="19" s="1"/>
  <c r="D200" i="19"/>
  <c r="E200" i="19" s="1"/>
  <c r="F200" i="19" s="1"/>
  <c r="D337" i="19"/>
  <c r="E337" i="19" s="1"/>
  <c r="F337" i="19" s="1"/>
  <c r="D377" i="19"/>
  <c r="E377" i="19" s="1"/>
  <c r="F377" i="19" s="1"/>
  <c r="D211" i="19"/>
  <c r="E211" i="19" s="1"/>
  <c r="F211" i="19" s="1"/>
  <c r="D266" i="19"/>
  <c r="E266" i="19" s="1"/>
  <c r="F266" i="19" s="1"/>
  <c r="D749" i="19"/>
  <c r="E749" i="19" s="1"/>
  <c r="F749" i="19" s="1"/>
  <c r="D738" i="19"/>
  <c r="E738" i="19" s="1"/>
  <c r="F738" i="19" s="1"/>
  <c r="D302" i="19"/>
  <c r="E302" i="19" s="1"/>
  <c r="F302" i="19" s="1"/>
  <c r="D414" i="19"/>
  <c r="E414" i="19" s="1"/>
  <c r="F414" i="19" s="1"/>
  <c r="D397" i="19"/>
  <c r="E397" i="19" s="1"/>
  <c r="F397" i="19" s="1"/>
  <c r="D213" i="19"/>
  <c r="E213" i="19" s="1"/>
  <c r="F213" i="19" s="1"/>
  <c r="D204" i="19"/>
  <c r="E204" i="19" s="1"/>
  <c r="F204" i="19" s="1"/>
  <c r="D235" i="19"/>
  <c r="E235" i="19" s="1"/>
  <c r="F235" i="19" s="1"/>
  <c r="D347" i="19"/>
  <c r="E347" i="19" s="1"/>
  <c r="F347" i="19" s="1"/>
  <c r="D407" i="19"/>
  <c r="E407" i="19" s="1"/>
  <c r="F407" i="19" s="1"/>
  <c r="D676" i="19"/>
  <c r="E676" i="19" s="1"/>
  <c r="F676" i="19" s="1"/>
  <c r="D468" i="19"/>
  <c r="E468" i="19" s="1"/>
  <c r="F468" i="19" s="1"/>
  <c r="D613" i="19"/>
  <c r="E613" i="19" s="1"/>
  <c r="F613" i="19" s="1"/>
  <c r="D459" i="19"/>
  <c r="E459" i="19" s="1"/>
  <c r="F459" i="19" s="1"/>
  <c r="D789" i="19"/>
  <c r="E789" i="19" s="1"/>
  <c r="F789" i="19" s="1"/>
  <c r="D1123" i="19"/>
  <c r="E1123" i="19" s="1"/>
  <c r="F1123" i="19" s="1"/>
  <c r="D572" i="19"/>
  <c r="E572" i="19" s="1"/>
  <c r="F572" i="19" s="1"/>
  <c r="D785" i="19"/>
  <c r="E785" i="19" s="1"/>
  <c r="F785" i="19" s="1"/>
  <c r="D1071" i="19"/>
  <c r="E1071" i="19" s="1"/>
  <c r="F1071" i="19" s="1"/>
  <c r="D206" i="19"/>
  <c r="E206" i="19" s="1"/>
  <c r="F206" i="19" s="1"/>
  <c r="D351" i="19"/>
  <c r="E351" i="19" s="1"/>
  <c r="F351" i="19" s="1"/>
  <c r="D287" i="19"/>
  <c r="E287" i="19" s="1"/>
  <c r="F287" i="19" s="1"/>
  <c r="D199" i="19"/>
  <c r="E199" i="19" s="1"/>
  <c r="F199" i="19" s="1"/>
  <c r="D315" i="19"/>
  <c r="E315" i="19" s="1"/>
  <c r="F315" i="19" s="1"/>
  <c r="D198" i="19"/>
  <c r="E198" i="19" s="1"/>
  <c r="F198" i="19" s="1"/>
  <c r="D356" i="19"/>
  <c r="E356" i="19" s="1"/>
  <c r="F356" i="19" s="1"/>
  <c r="D290" i="19"/>
  <c r="E290" i="19" s="1"/>
  <c r="F290" i="19" s="1"/>
  <c r="D258" i="19"/>
  <c r="E258" i="19" s="1"/>
  <c r="F258" i="19" s="1"/>
  <c r="D410" i="19"/>
  <c r="E410" i="19" s="1"/>
  <c r="F410" i="19" s="1"/>
  <c r="D298" i="19"/>
  <c r="E298" i="19" s="1"/>
  <c r="F298" i="19" s="1"/>
  <c r="D398" i="19"/>
  <c r="E398" i="19" s="1"/>
  <c r="F398" i="19" s="1"/>
  <c r="D499" i="19"/>
  <c r="E499" i="19" s="1"/>
  <c r="F499" i="19" s="1"/>
  <c r="D490" i="19"/>
  <c r="E490" i="19" s="1"/>
  <c r="F490" i="19" s="1"/>
  <c r="D255" i="19"/>
  <c r="E255" i="19" s="1"/>
  <c r="F255" i="19" s="1"/>
  <c r="D340" i="19"/>
  <c r="E340" i="19" s="1"/>
  <c r="F340" i="19" s="1"/>
  <c r="D778" i="19"/>
  <c r="E778" i="19" s="1"/>
  <c r="F778" i="19" s="1"/>
  <c r="D695" i="19"/>
  <c r="E695" i="19" s="1"/>
  <c r="F695" i="19" s="1"/>
  <c r="D481" i="19"/>
  <c r="E481" i="19" s="1"/>
  <c r="F481" i="19" s="1"/>
  <c r="D376" i="19"/>
  <c r="E376" i="19" s="1"/>
  <c r="F376" i="19" s="1"/>
  <c r="D385" i="19"/>
  <c r="E385" i="19" s="1"/>
  <c r="F385" i="19" s="1"/>
  <c r="D392" i="19"/>
  <c r="E392" i="19" s="1"/>
  <c r="F392" i="19" s="1"/>
  <c r="D452" i="19"/>
  <c r="E452" i="19" s="1"/>
  <c r="F452" i="19" s="1"/>
  <c r="D401" i="19"/>
  <c r="E401" i="19" s="1"/>
  <c r="F401" i="19" s="1"/>
  <c r="D809" i="19"/>
  <c r="E809" i="19" s="1"/>
  <c r="F809" i="19" s="1"/>
  <c r="D435" i="19"/>
  <c r="E435" i="19" s="1"/>
  <c r="F435" i="19" s="1"/>
  <c r="D858" i="19"/>
  <c r="E858" i="19" s="1"/>
  <c r="F858" i="19" s="1"/>
  <c r="D1344" i="19"/>
  <c r="E1344" i="19" s="1"/>
  <c r="F1344" i="19" s="1"/>
  <c r="D382" i="19"/>
  <c r="E382" i="19" s="1"/>
  <c r="F382" i="19" s="1"/>
  <c r="D612" i="19"/>
  <c r="E612" i="19" s="1"/>
  <c r="F612" i="19" s="1"/>
  <c r="D406" i="19"/>
  <c r="E406" i="19" s="1"/>
  <c r="F406" i="19" s="1"/>
  <c r="D670" i="19"/>
  <c r="E670" i="19" s="1"/>
  <c r="F670" i="19" s="1"/>
  <c r="D358" i="19"/>
  <c r="E358" i="19" s="1"/>
  <c r="F358" i="19" s="1"/>
  <c r="D875" i="19"/>
  <c r="E875" i="19" s="1"/>
  <c r="F875" i="19" s="1"/>
  <c r="D295" i="19"/>
  <c r="E295" i="19" s="1"/>
  <c r="F295" i="19" s="1"/>
  <c r="D689" i="19"/>
  <c r="E689" i="19" s="1"/>
  <c r="F689" i="19" s="1"/>
  <c r="D931" i="19"/>
  <c r="E931" i="19" s="1"/>
  <c r="F931" i="19" s="1"/>
  <c r="D551" i="19"/>
  <c r="E551" i="19" s="1"/>
  <c r="F551" i="19" s="1"/>
  <c r="D412" i="19"/>
  <c r="E412" i="19" s="1"/>
  <c r="F412" i="19" s="1"/>
  <c r="D897" i="19"/>
  <c r="E897" i="19" s="1"/>
  <c r="F897" i="19" s="1"/>
  <c r="D767" i="19"/>
  <c r="E767" i="19" s="1"/>
  <c r="F767" i="19" s="1"/>
  <c r="D818" i="19"/>
  <c r="E818" i="19" s="1"/>
  <c r="F818" i="19" s="1"/>
  <c r="D532" i="19"/>
  <c r="E532" i="19" s="1"/>
  <c r="F532" i="19" s="1"/>
  <c r="D943" i="19"/>
  <c r="E943" i="19" s="1"/>
  <c r="F943" i="19" s="1"/>
  <c r="D655" i="19"/>
  <c r="E655" i="19" s="1"/>
  <c r="F655" i="19" s="1"/>
  <c r="D919" i="19"/>
  <c r="E919" i="19" s="1"/>
  <c r="F919" i="19" s="1"/>
  <c r="D941" i="19"/>
  <c r="E941" i="19" s="1"/>
  <c r="F941" i="19" s="1"/>
  <c r="D1834" i="19"/>
  <c r="E1834" i="19" s="1"/>
  <c r="F1834" i="19" s="1"/>
  <c r="D1274" i="19"/>
  <c r="E1274" i="19" s="1"/>
  <c r="F1274" i="19" s="1"/>
  <c r="D279" i="19"/>
  <c r="E279" i="19" s="1"/>
  <c r="F279" i="19" s="1"/>
  <c r="D1607" i="19"/>
  <c r="E1607" i="19" s="1"/>
  <c r="F1607" i="19" s="1"/>
  <c r="D1814" i="19"/>
  <c r="E1814" i="19" s="1"/>
  <c r="F1814" i="19" s="1"/>
  <c r="D327" i="19"/>
  <c r="E327" i="19" s="1"/>
  <c r="F327" i="19" s="1"/>
  <c r="D694" i="19"/>
  <c r="E694" i="19" s="1"/>
  <c r="F694" i="19" s="1"/>
  <c r="D681" i="19"/>
  <c r="E681" i="19" s="1"/>
  <c r="F681" i="19" s="1"/>
  <c r="D281" i="19"/>
  <c r="E281" i="19" s="1"/>
  <c r="F281" i="19" s="1"/>
  <c r="D1020" i="19"/>
  <c r="E1020" i="19" s="1"/>
  <c r="F1020" i="19" s="1"/>
  <c r="D765" i="19"/>
  <c r="E765" i="19" s="1"/>
  <c r="F765" i="19" s="1"/>
  <c r="D569" i="19"/>
  <c r="E569" i="19" s="1"/>
  <c r="F569" i="19" s="1"/>
  <c r="D409" i="19"/>
  <c r="E409" i="19" s="1"/>
  <c r="F409" i="19" s="1"/>
  <c r="D430" i="19"/>
  <c r="E430" i="19" s="1"/>
  <c r="F430" i="19" s="1"/>
  <c r="D441" i="19"/>
  <c r="E441" i="19" s="1"/>
  <c r="F441" i="19" s="1"/>
  <c r="D521" i="19"/>
  <c r="E521" i="19" s="1"/>
  <c r="F521" i="19" s="1"/>
  <c r="D769" i="19"/>
  <c r="E769" i="19" s="1"/>
  <c r="F769" i="19" s="1"/>
  <c r="D880" i="19"/>
  <c r="E880" i="19" s="1"/>
  <c r="F880" i="19" s="1"/>
  <c r="D722" i="19"/>
  <c r="E722" i="19" s="1"/>
  <c r="F722" i="19" s="1"/>
  <c r="D935" i="19"/>
  <c r="E935" i="19" s="1"/>
  <c r="F935" i="19" s="1"/>
  <c r="D835" i="19"/>
  <c r="E835" i="19" s="1"/>
  <c r="F835" i="19" s="1"/>
  <c r="D621" i="19"/>
  <c r="E621" i="19" s="1"/>
  <c r="F621" i="19" s="1"/>
  <c r="D232" i="19"/>
  <c r="E232" i="19" s="1"/>
  <c r="F232" i="19" s="1"/>
  <c r="D620" i="19"/>
  <c r="E620" i="19" s="1"/>
  <c r="F620" i="19" s="1"/>
  <c r="D896" i="19"/>
  <c r="E896" i="19" s="1"/>
  <c r="F896" i="19" s="1"/>
  <c r="D937" i="19"/>
  <c r="E937" i="19" s="1"/>
  <c r="F937" i="19" s="1"/>
  <c r="D240" i="19"/>
  <c r="E240" i="19" s="1"/>
  <c r="F240" i="19" s="1"/>
  <c r="D793" i="19"/>
  <c r="E793" i="19" s="1"/>
  <c r="F793" i="19" s="1"/>
  <c r="D1095" i="19"/>
  <c r="E1095" i="19" s="1"/>
  <c r="F1095" i="19" s="1"/>
  <c r="D611" i="19"/>
  <c r="E611" i="19" s="1"/>
  <c r="F611" i="19" s="1"/>
  <c r="D1141" i="19"/>
  <c r="E1141" i="19" s="1"/>
  <c r="F1141" i="19" s="1"/>
  <c r="D756" i="19"/>
  <c r="E756" i="19" s="1"/>
  <c r="F756" i="19" s="1"/>
  <c r="D1072" i="19"/>
  <c r="E1072" i="19" s="1"/>
  <c r="F1072" i="19" s="1"/>
  <c r="D299" i="19"/>
  <c r="E299" i="19" s="1"/>
  <c r="F299" i="19" s="1"/>
  <c r="D433" i="19"/>
  <c r="E433" i="19" s="1"/>
  <c r="F433" i="19" s="1"/>
  <c r="D421" i="19"/>
  <c r="E421" i="19" s="1"/>
  <c r="F421" i="19" s="1"/>
  <c r="D234" i="19"/>
  <c r="E234" i="19" s="1"/>
  <c r="F234" i="19" s="1"/>
  <c r="D319" i="19"/>
  <c r="E319" i="19" s="1"/>
  <c r="F319" i="19" s="1"/>
  <c r="D450" i="19"/>
  <c r="E450" i="19" s="1"/>
  <c r="F450" i="19" s="1"/>
  <c r="D217" i="19"/>
  <c r="E217" i="19" s="1"/>
  <c r="F217" i="19" s="1"/>
  <c r="D434" i="19"/>
  <c r="E434" i="19" s="1"/>
  <c r="F434" i="19" s="1"/>
  <c r="D278" i="19"/>
  <c r="E278" i="19" s="1"/>
  <c r="F278" i="19" s="1"/>
  <c r="D473" i="19"/>
  <c r="E473" i="19" s="1"/>
  <c r="F473" i="19" s="1"/>
  <c r="D404" i="19"/>
  <c r="E404" i="19" s="1"/>
  <c r="F404" i="19" s="1"/>
  <c r="D865" i="19"/>
  <c r="E865" i="19" s="1"/>
  <c r="F865" i="19" s="1"/>
  <c r="D736" i="19"/>
  <c r="E736" i="19" s="1"/>
  <c r="F736" i="19" s="1"/>
  <c r="D700" i="19"/>
  <c r="E700" i="19" s="1"/>
  <c r="F700" i="19" s="1"/>
  <c r="D843" i="19"/>
  <c r="E843" i="19" s="1"/>
  <c r="F843" i="19" s="1"/>
  <c r="D666" i="19"/>
  <c r="E666" i="19" s="1"/>
  <c r="F666" i="19" s="1"/>
  <c r="D755" i="19"/>
  <c r="E755" i="19" s="1"/>
  <c r="F755" i="19" s="1"/>
  <c r="D1290" i="19"/>
  <c r="E1290" i="19" s="1"/>
  <c r="F1290" i="19" s="1"/>
  <c r="D520" i="19"/>
  <c r="E520" i="19" s="1"/>
  <c r="F520" i="19" s="1"/>
  <c r="D365" i="19"/>
  <c r="E365" i="19" s="1"/>
  <c r="F365" i="19" s="1"/>
  <c r="D304" i="19"/>
  <c r="E304" i="19" s="1"/>
  <c r="F304" i="19" s="1"/>
  <c r="D383" i="19"/>
  <c r="E383" i="19" s="1"/>
  <c r="F383" i="19" s="1"/>
  <c r="D536" i="19"/>
  <c r="E536" i="19" s="1"/>
  <c r="F536" i="19" s="1"/>
  <c r="D609" i="19"/>
  <c r="E609" i="19" s="1"/>
  <c r="F609" i="19" s="1"/>
  <c r="D921" i="19"/>
  <c r="E921" i="19" s="1"/>
  <c r="F921" i="19" s="1"/>
  <c r="D465" i="19"/>
  <c r="E465" i="19" s="1"/>
  <c r="F465" i="19" s="1"/>
  <c r="D762" i="19"/>
  <c r="E762" i="19" s="1"/>
  <c r="F762" i="19" s="1"/>
  <c r="D886" i="19"/>
  <c r="E886" i="19" s="1"/>
  <c r="F886" i="19" s="1"/>
  <c r="D732" i="19"/>
  <c r="E732" i="19" s="1"/>
  <c r="F732" i="19" s="1"/>
  <c r="D591" i="19"/>
  <c r="E591" i="19" s="1"/>
  <c r="F591" i="19" s="1"/>
  <c r="D971" i="19"/>
  <c r="E971" i="19" s="1"/>
  <c r="F971" i="19" s="1"/>
  <c r="D345" i="19"/>
  <c r="E345" i="19" s="1"/>
  <c r="F345" i="19" s="1"/>
  <c r="D559" i="19"/>
  <c r="E559" i="19" s="1"/>
  <c r="F559" i="19" s="1"/>
  <c r="D529" i="19"/>
  <c r="E529" i="19" s="1"/>
  <c r="F529" i="19" s="1"/>
  <c r="D593" i="19"/>
  <c r="E593" i="19" s="1"/>
  <c r="F593" i="19" s="1"/>
  <c r="D977" i="19"/>
  <c r="E977" i="19" s="1"/>
  <c r="F977" i="19" s="1"/>
  <c r="D890" i="19"/>
  <c r="E890" i="19" s="1"/>
  <c r="F890" i="19" s="1"/>
  <c r="D352" i="19"/>
  <c r="E352" i="19" s="1"/>
  <c r="F352" i="19" s="1"/>
  <c r="D918" i="19"/>
  <c r="E918" i="19" s="1"/>
  <c r="F918" i="19" s="1"/>
  <c r="D1157" i="19"/>
  <c r="E1157" i="19" s="1"/>
  <c r="F1157" i="19" s="1"/>
  <c r="D1594" i="19"/>
  <c r="E1594" i="19" s="1"/>
  <c r="F1594" i="19" s="1"/>
  <c r="D249" i="19"/>
  <c r="E249" i="19" s="1"/>
  <c r="F249" i="19" s="1"/>
  <c r="D396" i="19"/>
  <c r="E396" i="19" s="1"/>
  <c r="F396" i="19" s="1"/>
  <c r="D236" i="19"/>
  <c r="E236" i="19" s="1"/>
  <c r="F236" i="19" s="1"/>
  <c r="D786" i="19"/>
  <c r="E786" i="19" s="1"/>
  <c r="F786" i="19" s="1"/>
  <c r="D737" i="19"/>
  <c r="E737" i="19" s="1"/>
  <c r="F737" i="19" s="1"/>
  <c r="D250" i="19"/>
  <c r="E250" i="19" s="1"/>
  <c r="F250" i="19" s="1"/>
  <c r="D201" i="19"/>
  <c r="E201" i="19" s="1"/>
  <c r="F201" i="19" s="1"/>
  <c r="D663" i="19"/>
  <c r="E663" i="19" s="1"/>
  <c r="F663" i="19" s="1"/>
  <c r="D506" i="19"/>
  <c r="E506" i="19" s="1"/>
  <c r="F506" i="19" s="1"/>
  <c r="D657" i="19"/>
  <c r="E657" i="19" s="1"/>
  <c r="F657" i="19" s="1"/>
  <c r="D927" i="19"/>
  <c r="E927" i="19" s="1"/>
  <c r="F927" i="19" s="1"/>
  <c r="D867" i="19"/>
  <c r="E867" i="19" s="1"/>
  <c r="F867" i="19" s="1"/>
  <c r="D541" i="19"/>
  <c r="E541" i="19" s="1"/>
  <c r="F541" i="19" s="1"/>
  <c r="D753" i="19"/>
  <c r="E753" i="19" s="1"/>
  <c r="F753" i="19" s="1"/>
  <c r="D510" i="19"/>
  <c r="E510" i="19" s="1"/>
  <c r="F510" i="19" s="1"/>
  <c r="D476" i="19"/>
  <c r="E476" i="19" s="1"/>
  <c r="F476" i="19" s="1"/>
  <c r="D595" i="19"/>
  <c r="E595" i="19" s="1"/>
  <c r="F595" i="19" s="1"/>
  <c r="D592" i="19"/>
  <c r="E592" i="19" s="1"/>
  <c r="F592" i="19" s="1"/>
  <c r="D902" i="19"/>
  <c r="E902" i="19" s="1"/>
  <c r="F902" i="19" s="1"/>
  <c r="D568" i="19"/>
  <c r="E568" i="19" s="1"/>
  <c r="F568" i="19" s="1"/>
  <c r="D740" i="19"/>
  <c r="E740" i="19" s="1"/>
  <c r="F740" i="19" s="1"/>
  <c r="D686" i="19"/>
  <c r="E686" i="19" s="1"/>
  <c r="F686" i="19" s="1"/>
  <c r="D507" i="19"/>
  <c r="E507" i="19" s="1"/>
  <c r="F507" i="19" s="1"/>
  <c r="D844" i="19"/>
  <c r="E844" i="19" s="1"/>
  <c r="F844" i="19" s="1"/>
  <c r="D1217" i="19"/>
  <c r="E1217" i="19" s="1"/>
  <c r="F1217" i="19" s="1"/>
  <c r="D1658" i="19"/>
  <c r="E1658" i="19" s="1"/>
  <c r="F1658" i="19" s="1"/>
  <c r="D1666" i="19"/>
  <c r="E1666" i="19" s="1"/>
  <c r="F1666" i="19" s="1"/>
  <c r="D1748" i="19"/>
  <c r="E1748" i="19" s="1"/>
  <c r="F1748" i="19" s="1"/>
  <c r="D253" i="19"/>
  <c r="E253" i="19" s="1"/>
  <c r="F253" i="19" s="1"/>
  <c r="D366" i="19"/>
  <c r="E366" i="19" s="1"/>
  <c r="F366" i="19" s="1"/>
  <c r="D530" i="19"/>
  <c r="E530" i="19" s="1"/>
  <c r="F530" i="19" s="1"/>
  <c r="D518" i="19"/>
  <c r="E518" i="19" s="1"/>
  <c r="F518" i="19" s="1"/>
  <c r="D285" i="19"/>
  <c r="E285" i="19" s="1"/>
  <c r="F285" i="19" s="1"/>
  <c r="D316" i="19"/>
  <c r="E316" i="19" s="1"/>
  <c r="F316" i="19" s="1"/>
  <c r="D545" i="19"/>
  <c r="E545" i="19" s="1"/>
  <c r="F545" i="19" s="1"/>
  <c r="D759" i="19"/>
  <c r="E759" i="19" s="1"/>
  <c r="F759" i="19" s="1"/>
  <c r="D606" i="19"/>
  <c r="E606" i="19" s="1"/>
  <c r="F606" i="19" s="1"/>
  <c r="D744" i="19"/>
  <c r="E744" i="19" s="1"/>
  <c r="F744" i="19" s="1"/>
  <c r="D832" i="19"/>
  <c r="E832" i="19" s="1"/>
  <c r="F832" i="19" s="1"/>
  <c r="D714" i="19"/>
  <c r="E714" i="19" s="1"/>
  <c r="F714" i="19" s="1"/>
  <c r="D427" i="19"/>
  <c r="E427" i="19" s="1"/>
  <c r="F427" i="19" s="1"/>
  <c r="D899" i="19"/>
  <c r="E899" i="19" s="1"/>
  <c r="F899" i="19" s="1"/>
  <c r="D488" i="19"/>
  <c r="E488" i="19" s="1"/>
  <c r="F488" i="19" s="1"/>
  <c r="D320" i="19"/>
  <c r="E320" i="19" s="1"/>
  <c r="F320" i="19" s="1"/>
  <c r="D776" i="19"/>
  <c r="E776" i="19" s="1"/>
  <c r="F776" i="19" s="1"/>
  <c r="D710" i="19"/>
  <c r="E710" i="19" s="1"/>
  <c r="F710" i="19" s="1"/>
  <c r="D399" i="19"/>
  <c r="E399" i="19" s="1"/>
  <c r="F399" i="19" s="1"/>
  <c r="D726" i="19"/>
  <c r="E726" i="19" s="1"/>
  <c r="F726" i="19" s="1"/>
  <c r="D524" i="19"/>
  <c r="E524" i="19" s="1"/>
  <c r="F524" i="19" s="1"/>
  <c r="D462" i="19"/>
  <c r="E462" i="19" s="1"/>
  <c r="F462" i="19" s="1"/>
  <c r="D799" i="19"/>
  <c r="E799" i="19" s="1"/>
  <c r="F799" i="19" s="1"/>
  <c r="D558" i="19"/>
  <c r="E558" i="19" s="1"/>
  <c r="F558" i="19" s="1"/>
  <c r="D820" i="19"/>
  <c r="E820" i="19" s="1"/>
  <c r="F820" i="19" s="1"/>
  <c r="D493" i="19"/>
  <c r="E493" i="19" s="1"/>
  <c r="F493" i="19" s="1"/>
  <c r="D854" i="19"/>
  <c r="E854" i="19" s="1"/>
  <c r="F854" i="19" s="1"/>
  <c r="D802" i="19"/>
  <c r="E802" i="19" s="1"/>
  <c r="F802" i="19" s="1"/>
  <c r="D645" i="19"/>
  <c r="E645" i="19" s="1"/>
  <c r="F645" i="19" s="1"/>
  <c r="D653" i="19"/>
  <c r="E653" i="19" s="1"/>
  <c r="F653" i="19" s="1"/>
  <c r="D1322" i="19"/>
  <c r="E1322" i="19" s="1"/>
  <c r="F1322" i="19" s="1"/>
  <c r="D1055" i="19"/>
  <c r="E1055" i="19" s="1"/>
  <c r="F1055" i="19" s="1"/>
  <c r="D640" i="19"/>
  <c r="E640" i="19" s="1"/>
  <c r="F640" i="19" s="1"/>
  <c r="D950" i="19"/>
  <c r="E950" i="19" s="1"/>
  <c r="F950" i="19" s="1"/>
  <c r="D1303" i="19"/>
  <c r="E1303" i="19" s="1"/>
  <c r="F1303" i="19" s="1"/>
  <c r="D197" i="19"/>
  <c r="E197" i="19" s="1"/>
  <c r="F197" i="19" s="1"/>
  <c r="D307" i="19"/>
  <c r="E307" i="19" s="1"/>
  <c r="F307" i="19" s="1"/>
  <c r="D472" i="19"/>
  <c r="E472" i="19" s="1"/>
  <c r="F472" i="19" s="1"/>
  <c r="D463" i="19"/>
  <c r="E463" i="19" s="1"/>
  <c r="F463" i="19" s="1"/>
  <c r="D207" i="19"/>
  <c r="E207" i="19" s="1"/>
  <c r="F207" i="19" s="1"/>
  <c r="D252" i="19"/>
  <c r="E252" i="19" s="1"/>
  <c r="F252" i="19" s="1"/>
  <c r="D487" i="19"/>
  <c r="E487" i="19" s="1"/>
  <c r="F487" i="19" s="1"/>
  <c r="D697" i="19"/>
  <c r="E697" i="19" s="1"/>
  <c r="F697" i="19" s="1"/>
  <c r="D542" i="19"/>
  <c r="E542" i="19" s="1"/>
  <c r="F542" i="19" s="1"/>
  <c r="D684" i="19"/>
  <c r="E684" i="19" s="1"/>
  <c r="F684" i="19" s="1"/>
  <c r="D797" i="19"/>
  <c r="E797" i="19" s="1"/>
  <c r="F797" i="19" s="1"/>
  <c r="D650" i="19"/>
  <c r="E650" i="19" s="1"/>
  <c r="F650" i="19" s="1"/>
  <c r="D380" i="19"/>
  <c r="E380" i="19" s="1"/>
  <c r="F380" i="19" s="1"/>
  <c r="D780" i="19"/>
  <c r="E780" i="19" s="1"/>
  <c r="F780" i="19" s="1"/>
  <c r="D368" i="19"/>
  <c r="E368" i="19" s="1"/>
  <c r="F368" i="19" s="1"/>
  <c r="D423" i="19"/>
  <c r="E423" i="19" s="1"/>
  <c r="F423" i="19" s="1"/>
  <c r="D479" i="19"/>
  <c r="E479" i="19" s="1"/>
  <c r="F479" i="19" s="1"/>
  <c r="D745" i="19"/>
  <c r="E745" i="19" s="1"/>
  <c r="F745" i="19" s="1"/>
  <c r="D690" i="19"/>
  <c r="E690" i="19" s="1"/>
  <c r="F690" i="19" s="1"/>
  <c r="D419" i="19"/>
  <c r="E419" i="19" s="1"/>
  <c r="F419" i="19" s="1"/>
  <c r="D825" i="19"/>
  <c r="E825" i="19" s="1"/>
  <c r="F825" i="19" s="1"/>
  <c r="D888" i="19"/>
  <c r="E888" i="19" s="1"/>
  <c r="F888" i="19" s="1"/>
  <c r="D519" i="19"/>
  <c r="E519" i="19" s="1"/>
  <c r="F519" i="19" s="1"/>
  <c r="D720" i="19"/>
  <c r="E720" i="19" s="1"/>
  <c r="F720" i="19" s="1"/>
  <c r="D1027" i="19"/>
  <c r="E1027" i="19" s="1"/>
  <c r="F1027" i="19" s="1"/>
  <c r="D1145" i="19"/>
  <c r="E1145" i="19" s="1"/>
  <c r="F1145" i="19" s="1"/>
  <c r="D242" i="19"/>
  <c r="E242" i="19" s="1"/>
  <c r="F242" i="19" s="1"/>
  <c r="D599" i="19"/>
  <c r="E599" i="19" s="1"/>
  <c r="F599" i="19" s="1"/>
  <c r="D363" i="19"/>
  <c r="E363" i="19" s="1"/>
  <c r="F363" i="19" s="1"/>
  <c r="D824" i="19"/>
  <c r="E824" i="19" s="1"/>
  <c r="F824" i="19" s="1"/>
  <c r="D622" i="19"/>
  <c r="E622" i="19" s="1"/>
  <c r="F622" i="19" s="1"/>
  <c r="D770" i="19"/>
  <c r="E770" i="19" s="1"/>
  <c r="F770" i="19" s="1"/>
  <c r="D939" i="19"/>
  <c r="E939" i="19" s="1"/>
  <c r="F939" i="19" s="1"/>
  <c r="D264" i="19"/>
  <c r="E264" i="19" s="1"/>
  <c r="F264" i="19" s="1"/>
  <c r="D758" i="19"/>
  <c r="E758" i="19" s="1"/>
  <c r="F758" i="19" s="1"/>
  <c r="D682" i="19"/>
  <c r="E682" i="19" s="1"/>
  <c r="F682" i="19" s="1"/>
  <c r="D437" i="19"/>
  <c r="E437" i="19" s="1"/>
  <c r="F437" i="19" s="1"/>
  <c r="D635" i="19"/>
  <c r="E635" i="19" s="1"/>
  <c r="F635" i="19" s="1"/>
  <c r="D862" i="19"/>
  <c r="E862" i="19" s="1"/>
  <c r="F862" i="19" s="1"/>
  <c r="D1189" i="19"/>
  <c r="E1189" i="19" s="1"/>
  <c r="F1189" i="19" s="1"/>
  <c r="D881" i="19"/>
  <c r="E881" i="19" s="1"/>
  <c r="F881" i="19" s="1"/>
  <c r="D671" i="19"/>
  <c r="E671" i="19" s="1"/>
  <c r="F671" i="19" s="1"/>
  <c r="D1376" i="19"/>
  <c r="E1376" i="19" s="1"/>
  <c r="F1376" i="19" s="1"/>
  <c r="D259" i="19"/>
  <c r="E259" i="19" s="1"/>
  <c r="F259" i="19" s="1"/>
  <c r="D630" i="19"/>
  <c r="E630" i="19" s="1"/>
  <c r="F630" i="19" s="1"/>
  <c r="D617" i="19"/>
  <c r="E617" i="19" s="1"/>
  <c r="F617" i="19" s="1"/>
  <c r="D203" i="19"/>
  <c r="E203" i="19" s="1"/>
  <c r="F203" i="19" s="1"/>
  <c r="D261" i="19"/>
  <c r="E261" i="19" s="1"/>
  <c r="F261" i="19" s="1"/>
  <c r="D646" i="19"/>
  <c r="E646" i="19" s="1"/>
  <c r="F646" i="19" s="1"/>
  <c r="D436" i="19"/>
  <c r="E436" i="19" s="1"/>
  <c r="F436" i="19" s="1"/>
  <c r="D308" i="19"/>
  <c r="E308" i="19" s="1"/>
  <c r="F308" i="19" s="1"/>
  <c r="D590" i="19"/>
  <c r="E590" i="19" s="1"/>
  <c r="F590" i="19" s="1"/>
  <c r="D661" i="19"/>
  <c r="E661" i="19" s="1"/>
  <c r="F661" i="19" s="1"/>
  <c r="D703" i="19"/>
  <c r="E703" i="19" s="1"/>
  <c r="F703" i="19" s="1"/>
  <c r="D985" i="19"/>
  <c r="E985" i="19" s="1"/>
  <c r="F985" i="19" s="1"/>
  <c r="D801" i="19"/>
  <c r="E801" i="19" s="1"/>
  <c r="F801" i="19" s="1"/>
  <c r="D293" i="19"/>
  <c r="E293" i="19" s="1"/>
  <c r="F293" i="19" s="1"/>
  <c r="D794" i="19"/>
  <c r="E794" i="19" s="1"/>
  <c r="F794" i="19" s="1"/>
  <c r="D707" i="19"/>
  <c r="E707" i="19" s="1"/>
  <c r="F707" i="19" s="1"/>
  <c r="D497" i="19"/>
  <c r="E497" i="19" s="1"/>
  <c r="F497" i="19" s="1"/>
  <c r="D680" i="19"/>
  <c r="E680" i="19" s="1"/>
  <c r="F680" i="19" s="1"/>
  <c r="D654" i="19"/>
  <c r="E654" i="19" s="1"/>
  <c r="F654" i="19" s="1"/>
  <c r="D813" i="19"/>
  <c r="E813" i="19" s="1"/>
  <c r="F813" i="19" s="1"/>
  <c r="D553" i="19"/>
  <c r="E553" i="19" s="1"/>
  <c r="F553" i="19" s="1"/>
  <c r="D727" i="19"/>
  <c r="E727" i="19" s="1"/>
  <c r="F727" i="19" s="1"/>
  <c r="D779" i="19"/>
  <c r="E779" i="19" s="1"/>
  <c r="F779" i="19" s="1"/>
  <c r="D1143" i="19"/>
  <c r="E1143" i="19" s="1"/>
  <c r="F1143" i="19" s="1"/>
  <c r="D954" i="19"/>
  <c r="E954" i="19" s="1"/>
  <c r="F954" i="19" s="1"/>
  <c r="D276" i="19"/>
  <c r="E276" i="19" s="1"/>
  <c r="F276" i="19" s="1"/>
  <c r="D508" i="19"/>
  <c r="E508" i="19" s="1"/>
  <c r="F508" i="19" s="1"/>
  <c r="D718" i="19"/>
  <c r="E718" i="19" s="1"/>
  <c r="F718" i="19" s="1"/>
  <c r="D458" i="19"/>
  <c r="E458" i="19" s="1"/>
  <c r="F458" i="19" s="1"/>
  <c r="D838" i="19"/>
  <c r="E838" i="19" s="1"/>
  <c r="F838" i="19" s="1"/>
  <c r="D903" i="19"/>
  <c r="E903" i="19" s="1"/>
  <c r="F903" i="19" s="1"/>
  <c r="D891" i="19"/>
  <c r="E891" i="19" s="1"/>
  <c r="F891" i="19" s="1"/>
  <c r="D876" i="19"/>
  <c r="E876" i="19" s="1"/>
  <c r="F876" i="19" s="1"/>
  <c r="D502" i="19"/>
  <c r="E502" i="19" s="1"/>
  <c r="F502" i="19" s="1"/>
  <c r="D353" i="19"/>
  <c r="E353" i="19" s="1"/>
  <c r="F353" i="19" s="1"/>
  <c r="D424" i="19"/>
  <c r="E424" i="19" s="1"/>
  <c r="F424" i="19" s="1"/>
  <c r="D639" i="19"/>
  <c r="E639" i="19" s="1"/>
  <c r="F639" i="19" s="1"/>
  <c r="D748" i="19"/>
  <c r="E748" i="19" s="1"/>
  <c r="F748" i="19" s="1"/>
  <c r="D1002" i="19"/>
  <c r="E1002" i="19" s="1"/>
  <c r="F1002" i="19" s="1"/>
  <c r="D1428" i="19"/>
  <c r="E1428" i="19" s="1"/>
  <c r="F1428" i="19" s="1"/>
  <c r="D1090" i="19"/>
  <c r="E1090" i="19" s="1"/>
  <c r="F1090" i="19" s="1"/>
  <c r="D1330" i="19"/>
  <c r="E1330" i="19" s="1"/>
  <c r="F1330" i="19" s="1"/>
  <c r="D222" i="19"/>
  <c r="E222" i="19" s="1"/>
  <c r="F222" i="19" s="1"/>
  <c r="D230" i="19"/>
  <c r="E230" i="19" s="1"/>
  <c r="F230" i="19" s="1"/>
  <c r="D333" i="19"/>
  <c r="E333" i="19" s="1"/>
  <c r="F333" i="19" s="1"/>
  <c r="D296" i="19"/>
  <c r="E296" i="19" s="1"/>
  <c r="F296" i="19" s="1"/>
  <c r="D239" i="19"/>
  <c r="E239" i="19" s="1"/>
  <c r="F239" i="19" s="1"/>
  <c r="D326" i="19"/>
  <c r="E326" i="19" s="1"/>
  <c r="F326" i="19" s="1"/>
  <c r="D269" i="19"/>
  <c r="E269" i="19" s="1"/>
  <c r="F269" i="19" s="1"/>
  <c r="D251" i="19"/>
  <c r="E251" i="19" s="1"/>
  <c r="F251" i="19" s="1"/>
  <c r="D636" i="19"/>
  <c r="E636" i="19" s="1"/>
  <c r="F636" i="19" s="1"/>
  <c r="D747" i="19"/>
  <c r="E747" i="19" s="1"/>
  <c r="F747" i="19" s="1"/>
  <c r="D208" i="19"/>
  <c r="E208" i="19" s="1"/>
  <c r="F208" i="19" s="1"/>
  <c r="D699" i="19"/>
  <c r="E699" i="19" s="1"/>
  <c r="F699" i="19" s="1"/>
  <c r="D669" i="19"/>
  <c r="E669" i="19" s="1"/>
  <c r="F669" i="19" s="1"/>
  <c r="D588" i="19"/>
  <c r="E588" i="19" s="1"/>
  <c r="F588" i="19" s="1"/>
  <c r="D805" i="19"/>
  <c r="E805" i="19" s="1"/>
  <c r="F805" i="19" s="1"/>
  <c r="D602" i="19"/>
  <c r="E602" i="19" s="1"/>
  <c r="F602" i="19" s="1"/>
  <c r="D498" i="19"/>
  <c r="E498" i="19" s="1"/>
  <c r="F498" i="19" s="1"/>
  <c r="D907" i="19"/>
  <c r="E907" i="19" s="1"/>
  <c r="F907" i="19" s="1"/>
  <c r="D364" i="19"/>
  <c r="E364" i="19" s="1"/>
  <c r="F364" i="19" s="1"/>
  <c r="D693" i="19"/>
  <c r="E693" i="19" s="1"/>
  <c r="F693" i="19" s="1"/>
  <c r="D637" i="19"/>
  <c r="E637" i="19" s="1"/>
  <c r="F637" i="19" s="1"/>
  <c r="D547" i="19"/>
  <c r="E547" i="19" s="1"/>
  <c r="F547" i="19" s="1"/>
  <c r="D701" i="19"/>
  <c r="E701" i="19" s="1"/>
  <c r="F701" i="19" s="1"/>
  <c r="D989" i="19"/>
  <c r="E989" i="19" s="1"/>
  <c r="F989" i="19" s="1"/>
  <c r="D1296" i="19"/>
  <c r="E1296" i="19" s="1"/>
  <c r="F1296" i="19" s="1"/>
  <c r="D851" i="19"/>
  <c r="E851" i="19" s="1"/>
  <c r="F851" i="19" s="1"/>
  <c r="D1114" i="19"/>
  <c r="E1114" i="19" s="1"/>
  <c r="F1114" i="19" s="1"/>
  <c r="D1654" i="19"/>
  <c r="E1654" i="19" s="1"/>
  <c r="F1654" i="19" s="1"/>
  <c r="D575" i="19"/>
  <c r="E575" i="19" s="1"/>
  <c r="F575" i="19" s="1"/>
  <c r="D969" i="19"/>
  <c r="E969" i="19" s="1"/>
  <c r="F969" i="19" s="1"/>
  <c r="D374" i="19"/>
  <c r="E374" i="19" s="1"/>
  <c r="F374" i="19" s="1"/>
  <c r="D632" i="19"/>
  <c r="E632" i="19" s="1"/>
  <c r="F632" i="19" s="1"/>
  <c r="D570" i="19"/>
  <c r="E570" i="19" s="1"/>
  <c r="F570" i="19" s="1"/>
  <c r="D306" i="19"/>
  <c r="E306" i="19" s="1"/>
  <c r="F306" i="19" s="1"/>
  <c r="D589" i="19"/>
  <c r="E589" i="19" s="1"/>
  <c r="F589" i="19" s="1"/>
  <c r="D842" i="19"/>
  <c r="E842" i="19" s="1"/>
  <c r="F842" i="19" s="1"/>
  <c r="D979" i="19"/>
  <c r="E979" i="19" s="1"/>
  <c r="F979" i="19" s="1"/>
  <c r="D782" i="19"/>
  <c r="E782" i="19" s="1"/>
  <c r="F782" i="19" s="1"/>
  <c r="D1258" i="19"/>
  <c r="E1258" i="19" s="1"/>
  <c r="F1258" i="19" s="1"/>
  <c r="D267" i="19"/>
  <c r="E267" i="19" s="1"/>
  <c r="F267" i="19" s="1"/>
  <c r="D292" i="19"/>
  <c r="E292" i="19" s="1"/>
  <c r="F292" i="19" s="1"/>
  <c r="D448" i="19"/>
  <c r="E448" i="19" s="1"/>
  <c r="F448" i="19" s="1"/>
  <c r="D889" i="19"/>
  <c r="E889" i="19" s="1"/>
  <c r="F889" i="19" s="1"/>
  <c r="D478" i="19"/>
  <c r="E478" i="19" s="1"/>
  <c r="F478" i="19" s="1"/>
  <c r="D741" i="19"/>
  <c r="E741" i="19" s="1"/>
  <c r="F741" i="19" s="1"/>
  <c r="D268" i="19"/>
  <c r="E268" i="19" s="1"/>
  <c r="F268" i="19" s="1"/>
  <c r="D539" i="19"/>
  <c r="E539" i="19" s="1"/>
  <c r="F539" i="19" s="1"/>
  <c r="D811" i="19"/>
  <c r="E811" i="19" s="1"/>
  <c r="F811" i="19" s="1"/>
  <c r="D271" i="19"/>
  <c r="E271" i="19" s="1"/>
  <c r="F271" i="19" s="1"/>
  <c r="D911" i="19"/>
  <c r="E911" i="19" s="1"/>
  <c r="F911" i="19" s="1"/>
  <c r="D564" i="19"/>
  <c r="E564" i="19" s="1"/>
  <c r="F564" i="19" s="1"/>
  <c r="D688" i="19"/>
  <c r="E688" i="19" s="1"/>
  <c r="F688" i="19" s="1"/>
  <c r="D763" i="19"/>
  <c r="E763" i="19" s="1"/>
  <c r="F763" i="19" s="1"/>
  <c r="D1682" i="19"/>
  <c r="E1682" i="19" s="1"/>
  <c r="F1682" i="19" s="1"/>
  <c r="D968" i="19"/>
  <c r="E968" i="19" s="1"/>
  <c r="F968" i="19" s="1"/>
  <c r="D1708" i="19"/>
  <c r="E1708" i="19" s="1"/>
  <c r="F1708" i="19" s="1"/>
  <c r="D1524" i="19"/>
  <c r="E1524" i="19" s="1"/>
  <c r="F1524" i="19" s="1"/>
  <c r="D1637" i="19"/>
  <c r="E1637" i="19" s="1"/>
  <c r="F1637" i="19" s="1"/>
  <c r="D405" i="19"/>
  <c r="E405" i="19" s="1"/>
  <c r="F405" i="19" s="1"/>
  <c r="D237" i="19"/>
  <c r="E237" i="19" s="1"/>
  <c r="F237" i="19" s="1"/>
  <c r="D723" i="19"/>
  <c r="E723" i="19" s="1"/>
  <c r="F723" i="19" s="1"/>
  <c r="D711" i="19"/>
  <c r="E711" i="19" s="1"/>
  <c r="F711" i="19" s="1"/>
  <c r="D357" i="19"/>
  <c r="E357" i="19" s="1"/>
  <c r="F357" i="19" s="1"/>
  <c r="D303" i="19"/>
  <c r="E303" i="19" s="1"/>
  <c r="F303" i="19" s="1"/>
  <c r="D734" i="19"/>
  <c r="E734" i="19" s="1"/>
  <c r="F734" i="19" s="1"/>
  <c r="D533" i="19"/>
  <c r="E533" i="19" s="1"/>
  <c r="F533" i="19" s="1"/>
  <c r="D262" i="19"/>
  <c r="E262" i="19" s="1"/>
  <c r="F262" i="19" s="1"/>
  <c r="D244" i="19"/>
  <c r="E244" i="19" s="1"/>
  <c r="F244" i="19" s="1"/>
  <c r="D772" i="19"/>
  <c r="E772" i="19" s="1"/>
  <c r="F772" i="19" s="1"/>
  <c r="D791" i="19"/>
  <c r="E791" i="19" s="1"/>
  <c r="F791" i="19" s="1"/>
  <c r="D196" i="19"/>
  <c r="E196" i="19" s="1"/>
  <c r="F196" i="19" s="1"/>
  <c r="D495" i="19"/>
  <c r="E495" i="19" s="1"/>
  <c r="F495" i="19" s="1"/>
  <c r="D677" i="19"/>
  <c r="E677" i="19" s="1"/>
  <c r="F677" i="19" s="1"/>
  <c r="D509" i="19"/>
  <c r="E509" i="19" s="1"/>
  <c r="F509" i="19" s="1"/>
  <c r="D961" i="19"/>
  <c r="E961" i="19" s="1"/>
  <c r="F961" i="19" s="1"/>
  <c r="D848" i="19"/>
  <c r="E848" i="19" s="1"/>
  <c r="F848" i="19" s="1"/>
  <c r="D823" i="19"/>
  <c r="E823" i="19" s="1"/>
  <c r="F823" i="19" s="1"/>
  <c r="D422" i="19"/>
  <c r="E422" i="19" s="1"/>
  <c r="F422" i="19" s="1"/>
  <c r="D814" i="19"/>
  <c r="E814" i="19" s="1"/>
  <c r="F814" i="19" s="1"/>
  <c r="D864" i="19"/>
  <c r="E864" i="19" s="1"/>
  <c r="F864" i="19" s="1"/>
  <c r="D987" i="19"/>
  <c r="E987" i="19" s="1"/>
  <c r="F987" i="19" s="1"/>
  <c r="D1478" i="19"/>
  <c r="E1478" i="19" s="1"/>
  <c r="F1478" i="19" s="1"/>
  <c r="D1084" i="19"/>
  <c r="E1084" i="19" s="1"/>
  <c r="F1084" i="19" s="1"/>
  <c r="D1529" i="19"/>
  <c r="E1529" i="19" s="1"/>
  <c r="F1529" i="19" s="1"/>
  <c r="D1162" i="19"/>
  <c r="E1162" i="19" s="1"/>
  <c r="F1162" i="19" s="1"/>
  <c r="D1952" i="19"/>
  <c r="E1952" i="19" s="1"/>
  <c r="F1952" i="19" s="1"/>
  <c r="D571" i="19"/>
  <c r="E571" i="19" s="1"/>
  <c r="F571" i="19" s="1"/>
  <c r="D346" i="19"/>
  <c r="E346" i="19" s="1"/>
  <c r="F346" i="19" s="1"/>
  <c r="D581" i="19"/>
  <c r="E581" i="19" s="1"/>
  <c r="F581" i="19" s="1"/>
  <c r="D311" i="19"/>
  <c r="E311" i="19" s="1"/>
  <c r="F311" i="19" s="1"/>
  <c r="D579" i="19"/>
  <c r="E579" i="19" s="1"/>
  <c r="F579" i="19" s="1"/>
  <c r="D469" i="19"/>
  <c r="E469" i="19" s="1"/>
  <c r="F469" i="19" s="1"/>
  <c r="D955" i="19"/>
  <c r="E955" i="19" s="1"/>
  <c r="F955" i="19" s="1"/>
  <c r="D1129" i="19"/>
  <c r="E1129" i="19" s="1"/>
  <c r="F1129" i="19" s="1"/>
  <c r="D1039" i="19"/>
  <c r="E1039" i="19" s="1"/>
  <c r="F1039" i="19" s="1"/>
  <c r="D936" i="19"/>
  <c r="E936" i="19" s="1"/>
  <c r="F936" i="19" s="1"/>
  <c r="D787" i="19"/>
  <c r="E787" i="19" s="1"/>
  <c r="F787" i="19" s="1"/>
  <c r="D1966" i="19"/>
  <c r="E1966" i="19" s="1"/>
  <c r="F1966" i="19" s="1"/>
  <c r="D349" i="19"/>
  <c r="E349" i="19" s="1"/>
  <c r="F349" i="19" s="1"/>
  <c r="D420" i="19"/>
  <c r="E420" i="19" s="1"/>
  <c r="F420" i="19" s="1"/>
  <c r="D664" i="19"/>
  <c r="E664" i="19" s="1"/>
  <c r="F664" i="19" s="1"/>
  <c r="D909" i="19"/>
  <c r="E909" i="19" s="1"/>
  <c r="F909" i="19" s="1"/>
  <c r="D1063" i="19"/>
  <c r="E1063" i="19" s="1"/>
  <c r="F1063" i="19" s="1"/>
  <c r="D1412" i="19"/>
  <c r="E1412" i="19" s="1"/>
  <c r="F1412" i="19" s="1"/>
  <c r="D768" i="19"/>
  <c r="E768" i="19" s="1"/>
  <c r="F768" i="19" s="1"/>
  <c r="D1359" i="19"/>
  <c r="E1359" i="19" s="1"/>
  <c r="F1359" i="19" s="1"/>
  <c r="D1074" i="19"/>
  <c r="E1074" i="19" s="1"/>
  <c r="F1074" i="19" s="1"/>
  <c r="D1046" i="19"/>
  <c r="E1046" i="19" s="1"/>
  <c r="F1046" i="19" s="1"/>
  <c r="D1232" i="19"/>
  <c r="E1232" i="19" s="1"/>
  <c r="F1232" i="19" s="1"/>
  <c r="D1275" i="19"/>
  <c r="E1275" i="19" s="1"/>
  <c r="F1275" i="19" s="1"/>
  <c r="D1015" i="19"/>
  <c r="E1015" i="19" s="1"/>
  <c r="F1015" i="19" s="1"/>
  <c r="D1465" i="19"/>
  <c r="E1465" i="19" s="1"/>
  <c r="F1465" i="19" s="1"/>
  <c r="D500" i="19"/>
  <c r="E500" i="19" s="1"/>
  <c r="F500" i="19" s="1"/>
  <c r="D868" i="19"/>
  <c r="E868" i="19" s="1"/>
  <c r="F868" i="19" s="1"/>
  <c r="D1380" i="19"/>
  <c r="E1380" i="19" s="1"/>
  <c r="F1380" i="19" s="1"/>
  <c r="D1241" i="19"/>
  <c r="E1241" i="19" s="1"/>
  <c r="F1241" i="19" s="1"/>
  <c r="D1215" i="19"/>
  <c r="E1215" i="19" s="1"/>
  <c r="F1215" i="19" s="1"/>
  <c r="D1908" i="19"/>
  <c r="E1908" i="19" s="1"/>
  <c r="F1908" i="19" s="1"/>
  <c r="D1516" i="19"/>
  <c r="E1516" i="19" s="1"/>
  <c r="F1516" i="19" s="1"/>
  <c r="D1856" i="19"/>
  <c r="E1856" i="19" s="1"/>
  <c r="F1856" i="19" s="1"/>
  <c r="D1610" i="19"/>
  <c r="E1610" i="19" s="1"/>
  <c r="F1610" i="19" s="1"/>
  <c r="D766" i="19"/>
  <c r="E766" i="19" s="1"/>
  <c r="F766" i="19" s="1"/>
  <c r="D625" i="19"/>
  <c r="E625" i="19" s="1"/>
  <c r="F625" i="19" s="1"/>
  <c r="D923" i="19"/>
  <c r="E923" i="19" s="1"/>
  <c r="F923" i="19" s="1"/>
  <c r="D1082" i="19"/>
  <c r="E1082" i="19" s="1"/>
  <c r="F1082" i="19" s="1"/>
  <c r="D960" i="19"/>
  <c r="E960" i="19" s="1"/>
  <c r="F960" i="19" s="1"/>
  <c r="D283" i="19"/>
  <c r="E283" i="19" s="1"/>
  <c r="F283" i="19" s="1"/>
  <c r="D1337" i="19"/>
  <c r="E1337" i="19" s="1"/>
  <c r="F1337" i="19" s="1"/>
  <c r="D795" i="19"/>
  <c r="E795" i="19" s="1"/>
  <c r="F795" i="19" s="1"/>
  <c r="D1295" i="19"/>
  <c r="E1295" i="19" s="1"/>
  <c r="F1295" i="19" s="1"/>
  <c r="D994" i="19"/>
  <c r="E994" i="19" s="1"/>
  <c r="F994" i="19" s="1"/>
  <c r="D974" i="19"/>
  <c r="E974" i="19" s="1"/>
  <c r="F974" i="19" s="1"/>
  <c r="D1168" i="19"/>
  <c r="E1168" i="19" s="1"/>
  <c r="F1168" i="19" s="1"/>
  <c r="D1005" i="19"/>
  <c r="E1005" i="19" s="1"/>
  <c r="F1005" i="19" s="1"/>
  <c r="D912" i="19"/>
  <c r="E912" i="19" s="1"/>
  <c r="F912" i="19" s="1"/>
  <c r="D1401" i="19"/>
  <c r="E1401" i="19" s="1"/>
  <c r="F1401" i="19" s="1"/>
  <c r="D831" i="19"/>
  <c r="E831" i="19" s="1"/>
  <c r="F831" i="19" s="1"/>
  <c r="D998" i="19"/>
  <c r="E998" i="19" s="1"/>
  <c r="F998" i="19" s="1"/>
  <c r="D1060" i="19"/>
  <c r="E1060" i="19" s="1"/>
  <c r="F1060" i="19" s="1"/>
  <c r="D440" i="19"/>
  <c r="E440" i="19" s="1"/>
  <c r="F440" i="19" s="1"/>
  <c r="D951" i="19"/>
  <c r="E951" i="19" s="1"/>
  <c r="F951" i="19" s="1"/>
  <c r="D444" i="19"/>
  <c r="E444" i="19" s="1"/>
  <c r="F444" i="19" s="1"/>
  <c r="D1113" i="19"/>
  <c r="E1113" i="19" s="1"/>
  <c r="F1113" i="19" s="1"/>
  <c r="D1280" i="19"/>
  <c r="E1280" i="19" s="1"/>
  <c r="F1280" i="19" s="1"/>
  <c r="D305" i="19"/>
  <c r="E305" i="19" s="1"/>
  <c r="F305" i="19" s="1"/>
  <c r="D1103" i="19"/>
  <c r="E1103" i="19" s="1"/>
  <c r="F1103" i="19" s="1"/>
  <c r="D771" i="19"/>
  <c r="E771" i="19" s="1"/>
  <c r="F771" i="19" s="1"/>
  <c r="D712" i="19"/>
  <c r="E712" i="19" s="1"/>
  <c r="F712" i="19" s="1"/>
  <c r="D1016" i="19"/>
  <c r="E1016" i="19" s="1"/>
  <c r="F1016" i="19" s="1"/>
  <c r="D1754" i="19"/>
  <c r="E1754" i="19" s="1"/>
  <c r="F1754" i="19" s="1"/>
  <c r="D1105" i="19"/>
  <c r="E1105" i="19" s="1"/>
  <c r="F1105" i="19" s="1"/>
  <c r="D1333" i="19"/>
  <c r="E1333" i="19" s="1"/>
  <c r="F1333" i="19" s="1"/>
  <c r="D342" i="19"/>
  <c r="E342" i="19" s="1"/>
  <c r="F342" i="19" s="1"/>
  <c r="D981" i="19"/>
  <c r="E981" i="19" s="1"/>
  <c r="F981" i="19" s="1"/>
  <c r="D1079" i="19"/>
  <c r="E1079" i="19" s="1"/>
  <c r="F1079" i="19" s="1"/>
  <c r="D877" i="19"/>
  <c r="E877" i="19" s="1"/>
  <c r="F877" i="19" s="1"/>
  <c r="D594" i="19"/>
  <c r="E594" i="19" s="1"/>
  <c r="F594" i="19" s="1"/>
  <c r="D1352" i="19"/>
  <c r="E1352" i="19" s="1"/>
  <c r="F1352" i="19" s="1"/>
  <c r="D1347" i="19"/>
  <c r="E1347" i="19" s="1"/>
  <c r="F1347" i="19" s="1"/>
  <c r="D1323" i="19"/>
  <c r="E1323" i="19" s="1"/>
  <c r="F1323" i="19" s="1"/>
  <c r="D1865" i="19"/>
  <c r="E1865" i="19" s="1"/>
  <c r="F1865" i="19" s="1"/>
  <c r="D1630" i="19"/>
  <c r="E1630" i="19" s="1"/>
  <c r="F1630" i="19" s="1"/>
  <c r="D730" i="19"/>
  <c r="E730" i="19" s="1"/>
  <c r="F730" i="19" s="1"/>
  <c r="D870" i="19"/>
  <c r="E870" i="19" s="1"/>
  <c r="F870" i="19" s="1"/>
  <c r="D855" i="19"/>
  <c r="E855" i="19" s="1"/>
  <c r="F855" i="19" s="1"/>
  <c r="D1066" i="19"/>
  <c r="E1066" i="19" s="1"/>
  <c r="F1066" i="19" s="1"/>
  <c r="D1030" i="19"/>
  <c r="E1030" i="19" s="1"/>
  <c r="F1030" i="19" s="1"/>
  <c r="D1216" i="19"/>
  <c r="E1216" i="19" s="1"/>
  <c r="F1216" i="19" s="1"/>
  <c r="D1243" i="19"/>
  <c r="E1243" i="19" s="1"/>
  <c r="F1243" i="19" s="1"/>
  <c r="D999" i="19"/>
  <c r="E999" i="19" s="1"/>
  <c r="F999" i="19" s="1"/>
  <c r="D607" i="19"/>
  <c r="E607" i="19" s="1"/>
  <c r="F607" i="19" s="1"/>
  <c r="D949" i="19"/>
  <c r="E949" i="19" s="1"/>
  <c r="F949" i="19" s="1"/>
  <c r="D914" i="19"/>
  <c r="E914" i="19" s="1"/>
  <c r="F914" i="19" s="1"/>
  <c r="D1722" i="19"/>
  <c r="E1722" i="19" s="1"/>
  <c r="F1722" i="19" s="1"/>
  <c r="D1070" i="19"/>
  <c r="E1070" i="19" s="1"/>
  <c r="F1070" i="19" s="1"/>
  <c r="D1269" i="19"/>
  <c r="E1269" i="19" s="1"/>
  <c r="F1269" i="19" s="1"/>
  <c r="D600" i="19"/>
  <c r="E600" i="19" s="1"/>
  <c r="F600" i="19" s="1"/>
  <c r="D642" i="19"/>
  <c r="E642" i="19" s="1"/>
  <c r="F642" i="19" s="1"/>
  <c r="D317" i="19"/>
  <c r="E317" i="19" s="1"/>
  <c r="F317" i="19" s="1"/>
  <c r="D1756" i="19"/>
  <c r="E1756" i="19" s="1"/>
  <c r="F1756" i="19" s="1"/>
  <c r="D618" i="19"/>
  <c r="E618" i="19" s="1"/>
  <c r="F618" i="19" s="1"/>
  <c r="D265" i="19"/>
  <c r="E265" i="19" s="1"/>
  <c r="F265" i="19" s="1"/>
  <c r="D945" i="19"/>
  <c r="E945" i="19" s="1"/>
  <c r="F945" i="19" s="1"/>
  <c r="D894" i="19"/>
  <c r="E894" i="19" s="1"/>
  <c r="F894" i="19" s="1"/>
  <c r="D847" i="19"/>
  <c r="E847" i="19" s="1"/>
  <c r="F847" i="19" s="1"/>
  <c r="D1778" i="19"/>
  <c r="E1778" i="19" s="1"/>
  <c r="F1778" i="19" s="1"/>
  <c r="D1153" i="19"/>
  <c r="E1153" i="19" s="1"/>
  <c r="F1153" i="19" s="1"/>
  <c r="D915" i="19"/>
  <c r="E915" i="19" s="1"/>
  <c r="F915" i="19" s="1"/>
  <c r="D578" i="19"/>
  <c r="E578" i="19" s="1"/>
  <c r="F578" i="19" s="1"/>
  <c r="D1210" i="19"/>
  <c r="E1210" i="19" s="1"/>
  <c r="F1210" i="19" s="1"/>
  <c r="D1616" i="19"/>
  <c r="E1616" i="19" s="1"/>
  <c r="F1616" i="19" s="1"/>
  <c r="D882" i="19"/>
  <c r="E882" i="19" s="1"/>
  <c r="F882" i="19" s="1"/>
  <c r="D1089" i="19"/>
  <c r="E1089" i="19" s="1"/>
  <c r="F1089" i="19" s="1"/>
  <c r="D1821" i="19"/>
  <c r="E1821" i="19" s="1"/>
  <c r="F1821" i="19" s="1"/>
  <c r="D885" i="19"/>
  <c r="E885" i="19" s="1"/>
  <c r="F885" i="19" s="1"/>
  <c r="D946" i="19"/>
  <c r="E946" i="19" s="1"/>
  <c r="F946" i="19" s="1"/>
  <c r="D925" i="19"/>
  <c r="E925" i="19" s="1"/>
  <c r="F925" i="19" s="1"/>
  <c r="D1102" i="19"/>
  <c r="E1102" i="19" s="1"/>
  <c r="F1102" i="19" s="1"/>
  <c r="D784" i="19"/>
  <c r="E784" i="19" s="1"/>
  <c r="F784" i="19" s="1"/>
  <c r="D1791" i="19"/>
  <c r="E1791" i="19" s="1"/>
  <c r="F1791" i="19" s="1"/>
  <c r="D515" i="19"/>
  <c r="E515" i="19" s="1"/>
  <c r="F515" i="19" s="1"/>
  <c r="D1911" i="19"/>
  <c r="E1911" i="19" s="1"/>
  <c r="F1911" i="19" s="1"/>
  <c r="D1562" i="19"/>
  <c r="E1562" i="19" s="1"/>
  <c r="F1562" i="19" s="1"/>
  <c r="D913" i="19"/>
  <c r="E913" i="19" s="1"/>
  <c r="F913" i="19" s="1"/>
  <c r="D417" i="19"/>
  <c r="E417" i="19" s="1"/>
  <c r="F417" i="19" s="1"/>
  <c r="D549" i="19"/>
  <c r="E549" i="19" s="1"/>
  <c r="F549" i="19" s="1"/>
  <c r="D750" i="19"/>
  <c r="E750" i="19" s="1"/>
  <c r="F750" i="19" s="1"/>
  <c r="D584" i="19"/>
  <c r="E584" i="19" s="1"/>
  <c r="F584" i="19" s="1"/>
  <c r="D1000" i="19"/>
  <c r="E1000" i="19" s="1"/>
  <c r="F1000" i="19" s="1"/>
  <c r="D1746" i="19"/>
  <c r="E1746" i="19" s="1"/>
  <c r="F1746" i="19" s="1"/>
  <c r="D1094" i="19"/>
  <c r="E1094" i="19" s="1"/>
  <c r="F1094" i="19" s="1"/>
  <c r="D859" i="19"/>
  <c r="E859" i="19" s="1"/>
  <c r="F859" i="19" s="1"/>
  <c r="D418" i="19"/>
  <c r="E418" i="19" s="1"/>
  <c r="F418" i="19" s="1"/>
  <c r="D1146" i="19"/>
  <c r="E1146" i="19" s="1"/>
  <c r="F1146" i="19" s="1"/>
  <c r="D1556" i="19"/>
  <c r="E1556" i="19" s="1"/>
  <c r="F1556" i="19" s="1"/>
  <c r="D834" i="19"/>
  <c r="E834" i="19" s="1"/>
  <c r="F834" i="19" s="1"/>
  <c r="D1052" i="19"/>
  <c r="E1052" i="19" s="1"/>
  <c r="F1052" i="19" s="1"/>
  <c r="D1772" i="19"/>
  <c r="E1772" i="19" s="1"/>
  <c r="F1772" i="19" s="1"/>
  <c r="D1225" i="19"/>
  <c r="E1225" i="19" s="1"/>
  <c r="F1225" i="19" s="1"/>
  <c r="D1226" i="19"/>
  <c r="E1226" i="19" s="1"/>
  <c r="F1226" i="19" s="1"/>
  <c r="D1762" i="19"/>
  <c r="E1762" i="19" s="1"/>
  <c r="F1762" i="19" s="1"/>
  <c r="D1136" i="19"/>
  <c r="E1136" i="19" s="1"/>
  <c r="F1136" i="19" s="1"/>
  <c r="D1577" i="19"/>
  <c r="E1577" i="19" s="1"/>
  <c r="F1577" i="19" s="1"/>
  <c r="D1455" i="19"/>
  <c r="E1455" i="19" s="1"/>
  <c r="F1455" i="19" s="1"/>
  <c r="D1705" i="19"/>
  <c r="E1705" i="19" s="1"/>
  <c r="F1705" i="19" s="1"/>
  <c r="D1575" i="19"/>
  <c r="E1575" i="19" s="1"/>
  <c r="F1575" i="19" s="1"/>
  <c r="D1239" i="19"/>
  <c r="E1239" i="19" s="1"/>
  <c r="F1239" i="19" s="1"/>
  <c r="D846" i="19"/>
  <c r="E846" i="19" s="1"/>
  <c r="F846" i="19" s="1"/>
  <c r="D573" i="19"/>
  <c r="E573" i="19" s="1"/>
  <c r="F573" i="19" s="1"/>
  <c r="D455" i="19"/>
  <c r="E455" i="19" s="1"/>
  <c r="F455" i="19" s="1"/>
  <c r="D313" i="19"/>
  <c r="E313" i="19" s="1"/>
  <c r="F313" i="19" s="1"/>
  <c r="D833" i="19"/>
  <c r="E833" i="19" s="1"/>
  <c r="F833" i="19" s="1"/>
  <c r="D719" i="19"/>
  <c r="E719" i="19" s="1"/>
  <c r="F719" i="19" s="1"/>
  <c r="D563" i="19"/>
  <c r="E563" i="19" s="1"/>
  <c r="F563" i="19" s="1"/>
  <c r="D1119" i="19"/>
  <c r="E1119" i="19" s="1"/>
  <c r="F1119" i="19" s="1"/>
  <c r="D1425" i="19"/>
  <c r="E1425" i="19" s="1"/>
  <c r="F1425" i="19" s="1"/>
  <c r="D760" i="19"/>
  <c r="E760" i="19" s="1"/>
  <c r="F760" i="19" s="1"/>
  <c r="D439" i="19"/>
  <c r="E439" i="19" s="1"/>
  <c r="F439" i="19" s="1"/>
  <c r="D828" i="19"/>
  <c r="E828" i="19" s="1"/>
  <c r="F828" i="19" s="1"/>
  <c r="D1076" i="19"/>
  <c r="E1076" i="19" s="1"/>
  <c r="F1076" i="19" s="1"/>
  <c r="D1650" i="19"/>
  <c r="E1650" i="19" s="1"/>
  <c r="F1650" i="19" s="1"/>
  <c r="D861" i="19"/>
  <c r="E861" i="19" s="1"/>
  <c r="F861" i="19" s="1"/>
  <c r="D1125" i="19"/>
  <c r="E1125" i="19" s="1"/>
  <c r="F1125" i="19" s="1"/>
  <c r="D991" i="19"/>
  <c r="E991" i="19" s="1"/>
  <c r="F991" i="19" s="1"/>
  <c r="D715" i="19"/>
  <c r="E715" i="19" s="1"/>
  <c r="F715" i="19" s="1"/>
  <c r="D1364" i="19"/>
  <c r="E1364" i="19" s="1"/>
  <c r="F1364" i="19" s="1"/>
  <c r="D830" i="19"/>
  <c r="E830" i="19" s="1"/>
  <c r="F830" i="19" s="1"/>
  <c r="D1311" i="19"/>
  <c r="E1311" i="19" s="1"/>
  <c r="F1311" i="19" s="1"/>
  <c r="D1676" i="19"/>
  <c r="E1676" i="19" s="1"/>
  <c r="F1676" i="19" s="1"/>
  <c r="D1026" i="19"/>
  <c r="E1026" i="19" s="1"/>
  <c r="F1026" i="19" s="1"/>
  <c r="D812" i="19"/>
  <c r="E812" i="19" s="1"/>
  <c r="F812" i="19" s="1"/>
  <c r="D641" i="19"/>
  <c r="E641" i="19" s="1"/>
  <c r="F641" i="19" s="1"/>
  <c r="D1164" i="19"/>
  <c r="E1164" i="19" s="1"/>
  <c r="F1164" i="19" s="1"/>
  <c r="D1618" i="19"/>
  <c r="E1618" i="19" s="1"/>
  <c r="F1618" i="19" s="1"/>
  <c r="D1069" i="19"/>
  <c r="E1069" i="19" s="1"/>
  <c r="F1069" i="19" s="1"/>
  <c r="D1461" i="19"/>
  <c r="E1461" i="19" s="1"/>
  <c r="F1461" i="19" s="1"/>
  <c r="D1288" i="19"/>
  <c r="E1288" i="19" s="1"/>
  <c r="F1288" i="19" s="1"/>
  <c r="D1716" i="19"/>
  <c r="E1716" i="19" s="1"/>
  <c r="F1716" i="19" s="1"/>
  <c r="D856" i="19"/>
  <c r="E856" i="19" s="1"/>
  <c r="F856" i="19" s="1"/>
  <c r="D526" i="19"/>
  <c r="E526" i="19" s="1"/>
  <c r="F526" i="19" s="1"/>
  <c r="D773" i="19"/>
  <c r="E773" i="19" s="1"/>
  <c r="F773" i="19" s="1"/>
  <c r="D841" i="19"/>
  <c r="E841" i="19" s="1"/>
  <c r="F841" i="19" s="1"/>
  <c r="D514" i="19"/>
  <c r="E514" i="19" s="1"/>
  <c r="F514" i="19" s="1"/>
  <c r="D1194" i="19"/>
  <c r="E1194" i="19" s="1"/>
  <c r="F1194" i="19" s="1"/>
  <c r="D1604" i="19"/>
  <c r="E1604" i="19" s="1"/>
  <c r="F1604" i="19" s="1"/>
  <c r="D871" i="19"/>
  <c r="E871" i="19" s="1"/>
  <c r="F871" i="19" s="1"/>
  <c r="D1081" i="19"/>
  <c r="E1081" i="19" s="1"/>
  <c r="F1081" i="19" s="1"/>
  <c r="D804" i="19"/>
  <c r="E804" i="19" s="1"/>
  <c r="F804" i="19" s="1"/>
  <c r="D1196" i="19"/>
  <c r="E1196" i="19" s="1"/>
  <c r="F1196" i="19" s="1"/>
  <c r="D1230" i="19"/>
  <c r="E1230" i="19" s="1"/>
  <c r="F1230" i="19" s="1"/>
  <c r="D721" i="19"/>
  <c r="E721" i="19" s="1"/>
  <c r="F721" i="19" s="1"/>
  <c r="D1247" i="19"/>
  <c r="E1247" i="19" s="1"/>
  <c r="F1247" i="19" s="1"/>
  <c r="D1644" i="19"/>
  <c r="E1644" i="19" s="1"/>
  <c r="F1644" i="19" s="1"/>
  <c r="D887" i="19"/>
  <c r="E887" i="19" s="1"/>
  <c r="F887" i="19" s="1"/>
  <c r="D1092" i="19"/>
  <c r="E1092" i="19" s="1"/>
  <c r="F1092" i="19" s="1"/>
  <c r="D1633" i="19"/>
  <c r="E1633" i="19" s="1"/>
  <c r="F1633" i="19" s="1"/>
  <c r="D910" i="19"/>
  <c r="E910" i="19" s="1"/>
  <c r="F910" i="19" s="1"/>
  <c r="D1369" i="19"/>
  <c r="E1369" i="19" s="1"/>
  <c r="F1369" i="19" s="1"/>
  <c r="D1172" i="19"/>
  <c r="E1172" i="19" s="1"/>
  <c r="F1172" i="19" s="1"/>
  <c r="D1831" i="19"/>
  <c r="E1831" i="19" s="1"/>
  <c r="F1831" i="19" s="1"/>
  <c r="D1266" i="19"/>
  <c r="E1266" i="19" s="1"/>
  <c r="F1266" i="19" s="1"/>
  <c r="D1948" i="19"/>
  <c r="E1948" i="19" s="1"/>
  <c r="F1948" i="19" s="1"/>
  <c r="D743" i="19"/>
  <c r="E743" i="19" s="1"/>
  <c r="F743" i="19" s="1"/>
  <c r="D384" i="19"/>
  <c r="E384" i="19" s="1"/>
  <c r="F384" i="19" s="1"/>
  <c r="D388" i="19"/>
  <c r="E388" i="19" s="1"/>
  <c r="F388" i="19" s="1"/>
  <c r="D857" i="19"/>
  <c r="E857" i="19" s="1"/>
  <c r="F857" i="19" s="1"/>
  <c r="D815" i="19"/>
  <c r="E815" i="19" s="1"/>
  <c r="F815" i="19" s="1"/>
  <c r="D464" i="19"/>
  <c r="E464" i="19" s="1"/>
  <c r="F464" i="19" s="1"/>
  <c r="D534" i="19"/>
  <c r="E534" i="19" s="1"/>
  <c r="F534" i="19" s="1"/>
  <c r="D1312" i="19"/>
  <c r="E1312" i="19" s="1"/>
  <c r="F1312" i="19" s="1"/>
  <c r="D788" i="19"/>
  <c r="E788" i="19" s="1"/>
  <c r="F788" i="19" s="1"/>
  <c r="D1128" i="19"/>
  <c r="E1128" i="19" s="1"/>
  <c r="F1128" i="19" s="1"/>
  <c r="D1688" i="19"/>
  <c r="E1688" i="19" s="1"/>
  <c r="F1688" i="19" s="1"/>
  <c r="D491" i="19"/>
  <c r="E491" i="19" s="1"/>
  <c r="F491" i="19" s="1"/>
  <c r="D652" i="19"/>
  <c r="E652" i="19" s="1"/>
  <c r="F652" i="19" s="1"/>
  <c r="D698" i="19"/>
  <c r="E698" i="19" s="1"/>
  <c r="F698" i="19" s="1"/>
  <c r="D873" i="19"/>
  <c r="E873" i="19" s="1"/>
  <c r="F873" i="19" s="1"/>
  <c r="D513" i="19"/>
  <c r="E513" i="19" s="1"/>
  <c r="F513" i="19" s="1"/>
  <c r="D917" i="19"/>
  <c r="E917" i="19" s="1"/>
  <c r="F917" i="19" s="1"/>
  <c r="D845" i="19"/>
  <c r="E845" i="19" s="1"/>
  <c r="F845" i="19" s="1"/>
  <c r="D1714" i="19"/>
  <c r="E1714" i="19" s="1"/>
  <c r="F1714" i="19" s="1"/>
  <c r="D1062" i="19"/>
  <c r="E1062" i="19" s="1"/>
  <c r="F1062" i="19" s="1"/>
  <c r="D774" i="19"/>
  <c r="E774" i="19" s="1"/>
  <c r="F774" i="19" s="1"/>
  <c r="D1159" i="19"/>
  <c r="E1159" i="19" s="1"/>
  <c r="F1159" i="19" s="1"/>
  <c r="D1043" i="19"/>
  <c r="E1043" i="19" s="1"/>
  <c r="F1043" i="19" s="1"/>
  <c r="D1492" i="19"/>
  <c r="E1492" i="19" s="1"/>
  <c r="F1492" i="19" s="1"/>
  <c r="D505" i="19"/>
  <c r="E505" i="19" s="1"/>
  <c r="F505" i="19" s="1"/>
  <c r="D986" i="19"/>
  <c r="E986" i="19" s="1"/>
  <c r="F986" i="19" s="1"/>
  <c r="D1740" i="19"/>
  <c r="E1740" i="19" s="1"/>
  <c r="F1740" i="19" s="1"/>
  <c r="D1161" i="19"/>
  <c r="E1161" i="19" s="1"/>
  <c r="F1161" i="19" s="1"/>
  <c r="D995" i="19"/>
  <c r="E995" i="19" s="1"/>
  <c r="F995" i="19" s="1"/>
  <c r="D1273" i="19"/>
  <c r="E1273" i="19" s="1"/>
  <c r="F1273" i="19" s="1"/>
  <c r="D1804" i="19"/>
  <c r="E1804" i="19" s="1"/>
  <c r="F1804" i="19" s="1"/>
  <c r="D616" i="19"/>
  <c r="E616" i="19" s="1"/>
  <c r="F616" i="19" s="1"/>
  <c r="D1050" i="19"/>
  <c r="E1050" i="19" s="1"/>
  <c r="F1050" i="19" s="1"/>
  <c r="D1943" i="19"/>
  <c r="E1943" i="19" s="1"/>
  <c r="F1943" i="19" s="1"/>
  <c r="D1003" i="19"/>
  <c r="E1003" i="19" s="1"/>
  <c r="F1003" i="19" s="1"/>
  <c r="D1932" i="19"/>
  <c r="E1932" i="19" s="1"/>
  <c r="F1932" i="19" s="1"/>
  <c r="D1012" i="19"/>
  <c r="E1012" i="19" s="1"/>
  <c r="F1012" i="19" s="1"/>
  <c r="D1131" i="19"/>
  <c r="E1131" i="19" s="1"/>
  <c r="F1131" i="19" s="1"/>
  <c r="D1031" i="19"/>
  <c r="E1031" i="19" s="1"/>
  <c r="F1031" i="19" s="1"/>
  <c r="D777" i="19"/>
  <c r="E777" i="19" s="1"/>
  <c r="F777" i="19" s="1"/>
  <c r="D879" i="19"/>
  <c r="E879" i="19" s="1"/>
  <c r="F879" i="19" s="1"/>
  <c r="D1087" i="19"/>
  <c r="E1087" i="19" s="1"/>
  <c r="F1087" i="19" s="1"/>
  <c r="D1818" i="19"/>
  <c r="E1818" i="19" s="1"/>
  <c r="F1818" i="19" s="1"/>
  <c r="D1201" i="19"/>
  <c r="E1201" i="19" s="1"/>
  <c r="F1201" i="19" s="1"/>
  <c r="D1252" i="19"/>
  <c r="E1252" i="19" s="1"/>
  <c r="F1252" i="19" s="1"/>
  <c r="D1449" i="19"/>
  <c r="E1449" i="19" s="1"/>
  <c r="F1449" i="19" s="1"/>
  <c r="D1612" i="19"/>
  <c r="E1612" i="19" s="1"/>
  <c r="F1612" i="19" s="1"/>
  <c r="D1568" i="19"/>
  <c r="E1568" i="19" s="1"/>
  <c r="F1568" i="19" s="1"/>
  <c r="D926" i="19"/>
  <c r="E926" i="19" s="1"/>
  <c r="F926" i="19" s="1"/>
  <c r="D1391" i="19"/>
  <c r="E1391" i="19" s="1"/>
  <c r="F1391" i="19" s="1"/>
  <c r="D1267" i="19"/>
  <c r="E1267" i="19" s="1"/>
  <c r="F1267" i="19" s="1"/>
  <c r="D1040" i="19"/>
  <c r="E1040" i="19" s="1"/>
  <c r="F1040" i="19" s="1"/>
  <c r="D1743" i="19"/>
  <c r="E1743" i="19" s="1"/>
  <c r="F1743" i="19" s="1"/>
  <c r="D1574" i="19"/>
  <c r="E1574" i="19" s="1"/>
  <c r="F1574" i="19" s="1"/>
  <c r="D1585" i="19"/>
  <c r="E1585" i="19" s="1"/>
  <c r="F1585" i="19" s="1"/>
  <c r="D1541" i="19"/>
  <c r="E1541" i="19" s="1"/>
  <c r="F1541" i="19" s="1"/>
  <c r="D1106" i="19"/>
  <c r="E1106" i="19" s="1"/>
  <c r="F1106" i="19" s="1"/>
  <c r="D1511" i="19"/>
  <c r="E1511" i="19" s="1"/>
  <c r="F1511" i="19" s="1"/>
  <c r="D792" i="19"/>
  <c r="E792" i="19" s="1"/>
  <c r="F792" i="19" s="1"/>
  <c r="D1229" i="19"/>
  <c r="E1229" i="19" s="1"/>
  <c r="F1229" i="19" s="1"/>
  <c r="D1397" i="19"/>
  <c r="E1397" i="19" s="1"/>
  <c r="F1397" i="19" s="1"/>
  <c r="D1091" i="19"/>
  <c r="E1091" i="19" s="1"/>
  <c r="F1091" i="19" s="1"/>
  <c r="D1349" i="19"/>
  <c r="E1349" i="19" s="1"/>
  <c r="F1349" i="19" s="1"/>
  <c r="D1115" i="19"/>
  <c r="E1115" i="19" s="1"/>
  <c r="F1115" i="19" s="1"/>
  <c r="D944" i="19"/>
  <c r="E944" i="19" s="1"/>
  <c r="F944" i="19" s="1"/>
  <c r="D603" i="19"/>
  <c r="E603" i="19" s="1"/>
  <c r="F603" i="19" s="1"/>
  <c r="D1135" i="19"/>
  <c r="E1135" i="19" s="1"/>
  <c r="F1135" i="19" s="1"/>
  <c r="D1686" i="19"/>
  <c r="E1686" i="19" s="1"/>
  <c r="F1686" i="19" s="1"/>
  <c r="D1672" i="19"/>
  <c r="E1672" i="19" s="1"/>
  <c r="F1672" i="19" s="1"/>
  <c r="D1522" i="19"/>
  <c r="E1522" i="19" s="1"/>
  <c r="F1522" i="19" s="1"/>
  <c r="D905" i="19"/>
  <c r="E905" i="19" s="1"/>
  <c r="F905" i="19" s="1"/>
  <c r="D709" i="19"/>
  <c r="E709" i="19" s="1"/>
  <c r="F709" i="19" s="1"/>
  <c r="D482" i="19"/>
  <c r="E482" i="19" s="1"/>
  <c r="F482" i="19" s="1"/>
  <c r="D691" i="19"/>
  <c r="E691" i="19" s="1"/>
  <c r="F691" i="19" s="1"/>
  <c r="D817" i="19"/>
  <c r="E817" i="19" s="1"/>
  <c r="F817" i="19" s="1"/>
  <c r="D577" i="19"/>
  <c r="E577" i="19" s="1"/>
  <c r="F577" i="19" s="1"/>
  <c r="D1130" i="19"/>
  <c r="E1130" i="19" s="1"/>
  <c r="F1130" i="19" s="1"/>
  <c r="D1540" i="19"/>
  <c r="E1540" i="19" s="1"/>
  <c r="F1540" i="19" s="1"/>
  <c r="D798" i="19"/>
  <c r="E798" i="19" s="1"/>
  <c r="F798" i="19" s="1"/>
  <c r="D1036" i="19"/>
  <c r="E1036" i="19" s="1"/>
  <c r="F1036" i="19" s="1"/>
  <c r="D1209" i="19"/>
  <c r="E1209" i="19" s="1"/>
  <c r="F1209" i="19" s="1"/>
  <c r="D1132" i="19"/>
  <c r="E1132" i="19" s="1"/>
  <c r="F1132" i="19" s="1"/>
  <c r="D837" i="19"/>
  <c r="E837" i="19" s="1"/>
  <c r="F837" i="19" s="1"/>
  <c r="D467" i="19"/>
  <c r="E467" i="19" s="1"/>
  <c r="F467" i="19" s="1"/>
  <c r="D1183" i="19"/>
  <c r="E1183" i="19" s="1"/>
  <c r="F1183" i="19" s="1"/>
  <c r="D1593" i="19"/>
  <c r="E1593" i="19" s="1"/>
  <c r="F1593" i="19" s="1"/>
  <c r="D544" i="19"/>
  <c r="E544" i="19" s="1"/>
  <c r="F544" i="19" s="1"/>
  <c r="D1444" i="19"/>
  <c r="E1444" i="19" s="1"/>
  <c r="F1444" i="19" s="1"/>
  <c r="D1185" i="19"/>
  <c r="E1185" i="19" s="1"/>
  <c r="F1185" i="19" s="1"/>
  <c r="D1706" i="19"/>
  <c r="E1706" i="19" s="1"/>
  <c r="F1706" i="19" s="1"/>
  <c r="D566" i="19"/>
  <c r="E566" i="19" s="1"/>
  <c r="F566" i="19" s="1"/>
  <c r="D1897" i="19"/>
  <c r="E1897" i="19" s="1"/>
  <c r="F1897" i="19" s="1"/>
  <c r="D1325" i="19"/>
  <c r="E1325" i="19" s="1"/>
  <c r="F1325" i="19" s="1"/>
  <c r="D1747" i="19"/>
  <c r="E1747" i="19" s="1"/>
  <c r="F1747" i="19" s="1"/>
  <c r="D1523" i="19"/>
  <c r="E1523" i="19" s="1"/>
  <c r="F1523" i="19" s="1"/>
  <c r="D1121" i="19"/>
  <c r="E1121" i="19" s="1"/>
  <c r="F1121" i="19" s="1"/>
  <c r="D963" i="19"/>
  <c r="E963" i="19" s="1"/>
  <c r="F963" i="19" s="1"/>
  <c r="D819" i="19"/>
  <c r="E819" i="19" s="1"/>
  <c r="F819" i="19" s="1"/>
  <c r="D1306" i="19"/>
  <c r="E1306" i="19" s="1"/>
  <c r="F1306" i="19" s="1"/>
  <c r="D1674" i="19"/>
  <c r="E1674" i="19" s="1"/>
  <c r="F1674" i="19" s="1"/>
  <c r="D982" i="19"/>
  <c r="E982" i="19" s="1"/>
  <c r="F982" i="19" s="1"/>
  <c r="D1173" i="19"/>
  <c r="E1173" i="19" s="1"/>
  <c r="F1173" i="19" s="1"/>
  <c r="D803" i="19"/>
  <c r="E803" i="19" s="1"/>
  <c r="F803" i="19" s="1"/>
  <c r="D1224" i="19"/>
  <c r="E1224" i="19" s="1"/>
  <c r="F1224" i="19" s="1"/>
  <c r="D1879" i="19"/>
  <c r="E1879" i="19" s="1"/>
  <c r="F1879" i="19" s="1"/>
  <c r="D1795" i="19"/>
  <c r="E1795" i="19" s="1"/>
  <c r="F1795" i="19" s="1"/>
  <c r="D1720" i="19"/>
  <c r="E1720" i="19" s="1"/>
  <c r="F1720" i="19" s="1"/>
  <c r="D1773" i="19"/>
  <c r="E1773" i="19" s="1"/>
  <c r="F1773" i="19" s="1"/>
  <c r="D1096" i="19"/>
  <c r="E1096" i="19" s="1"/>
  <c r="F1096" i="19" s="1"/>
  <c r="D1434" i="19"/>
  <c r="E1434" i="19" s="1"/>
  <c r="F1434" i="19" s="1"/>
  <c r="D1534" i="19"/>
  <c r="E1534" i="19" s="1"/>
  <c r="F1534" i="19" s="1"/>
  <c r="D1197" i="19"/>
  <c r="E1197" i="19" s="1"/>
  <c r="F1197" i="19" s="1"/>
  <c r="D1868" i="19"/>
  <c r="E1868" i="19" s="1"/>
  <c r="F1868" i="19" s="1"/>
  <c r="D1764" i="19"/>
  <c r="E1764" i="19" s="1"/>
  <c r="F1764" i="19" s="1"/>
  <c r="D1891" i="19"/>
  <c r="E1891" i="19" s="1"/>
  <c r="F1891" i="19" s="1"/>
  <c r="D1980" i="19"/>
  <c r="E1980" i="19" s="1"/>
  <c r="F1980" i="19" s="1"/>
  <c r="D1335" i="19"/>
  <c r="E1335" i="19" s="1"/>
  <c r="F1335" i="19" s="1"/>
  <c r="D1452" i="19"/>
  <c r="E1452" i="19" s="1"/>
  <c r="F1452" i="19" s="1"/>
  <c r="D1691" i="19"/>
  <c r="E1691" i="19" s="1"/>
  <c r="F1691" i="19" s="1"/>
  <c r="D1680" i="19"/>
  <c r="E1680" i="19" s="1"/>
  <c r="F1680" i="19" s="1"/>
  <c r="D1730" i="19"/>
  <c r="E1730" i="19" s="1"/>
  <c r="F1730" i="19" s="1"/>
  <c r="D1078" i="19"/>
  <c r="E1078" i="19" s="1"/>
  <c r="F1078" i="19" s="1"/>
  <c r="D656" i="19"/>
  <c r="E656" i="19" s="1"/>
  <c r="F656" i="19" s="1"/>
  <c r="D742" i="19"/>
  <c r="E742" i="19" s="1"/>
  <c r="F742" i="19" s="1"/>
  <c r="D1701" i="19"/>
  <c r="E1701" i="19" s="1"/>
  <c r="F1701" i="19" s="1"/>
  <c r="D1677" i="19"/>
  <c r="E1677" i="19" s="1"/>
  <c r="F1677" i="19" s="1"/>
  <c r="D1431" i="19"/>
  <c r="E1431" i="19" s="1"/>
  <c r="F1431" i="19" s="1"/>
  <c r="D659" i="19"/>
  <c r="E659" i="19" s="1"/>
  <c r="F659" i="19" s="1"/>
  <c r="D822" i="19"/>
  <c r="E822" i="19" s="1"/>
  <c r="F822" i="19" s="1"/>
  <c r="D214" i="19"/>
  <c r="E214" i="19" s="1"/>
  <c r="F214" i="19" s="1"/>
  <c r="D1042" i="19"/>
  <c r="E1042" i="19" s="1"/>
  <c r="F1042" i="19" s="1"/>
  <c r="D672" i="19"/>
  <c r="E672" i="19" s="1"/>
  <c r="F672" i="19" s="1"/>
  <c r="D1180" i="19"/>
  <c r="E1180" i="19" s="1"/>
  <c r="F1180" i="19" s="1"/>
  <c r="D1166" i="19"/>
  <c r="E1166" i="19" s="1"/>
  <c r="F1166" i="19" s="1"/>
  <c r="D658" i="19"/>
  <c r="E658" i="19" s="1"/>
  <c r="F658" i="19" s="1"/>
  <c r="D1231" i="19"/>
  <c r="E1231" i="19" s="1"/>
  <c r="F1231" i="19" s="1"/>
  <c r="D866" i="19"/>
  <c r="E866" i="19" s="1"/>
  <c r="F866" i="19" s="1"/>
  <c r="D576" i="19"/>
  <c r="E576" i="19" s="1"/>
  <c r="F576" i="19" s="1"/>
  <c r="D1104" i="19"/>
  <c r="E1104" i="19" s="1"/>
  <c r="F1104" i="19" s="1"/>
  <c r="D1850" i="19"/>
  <c r="E1850" i="19" s="1"/>
  <c r="F1850" i="19" s="1"/>
  <c r="D1233" i="19"/>
  <c r="E1233" i="19" s="1"/>
  <c r="F1233" i="19" s="1"/>
  <c r="D1316" i="19"/>
  <c r="E1316" i="19" s="1"/>
  <c r="F1316" i="19" s="1"/>
  <c r="D494" i="19"/>
  <c r="E494" i="19" s="1"/>
  <c r="F494" i="19" s="1"/>
  <c r="D781" i="19"/>
  <c r="E781" i="19" s="1"/>
  <c r="F781" i="19" s="1"/>
  <c r="D556" i="19"/>
  <c r="E556" i="19" s="1"/>
  <c r="F556" i="19" s="1"/>
  <c r="D874" i="19"/>
  <c r="E874" i="19" s="1"/>
  <c r="F874" i="19" s="1"/>
  <c r="D1784" i="19"/>
  <c r="E1784" i="19" s="1"/>
  <c r="F1784" i="19" s="1"/>
  <c r="D1981" i="19"/>
  <c r="E1981" i="19" s="1"/>
  <c r="F1981" i="19" s="1"/>
  <c r="D1270" i="19"/>
  <c r="E1270" i="19" s="1"/>
  <c r="F1270" i="19" s="1"/>
  <c r="D1468" i="19"/>
  <c r="E1468" i="19" s="1"/>
  <c r="F1468" i="19" s="1"/>
  <c r="D892" i="19"/>
  <c r="E892" i="19" s="1"/>
  <c r="F892" i="19" s="1"/>
  <c r="D1097" i="19"/>
  <c r="E1097" i="19" s="1"/>
  <c r="F1097" i="19" s="1"/>
  <c r="D1127" i="19"/>
  <c r="E1127" i="19" s="1"/>
  <c r="F1127" i="19" s="1"/>
  <c r="D1011" i="19"/>
  <c r="E1011" i="19" s="1"/>
  <c r="F1011" i="19" s="1"/>
  <c r="D1460" i="19"/>
  <c r="E1460" i="19" s="1"/>
  <c r="F1460" i="19" s="1"/>
  <c r="D957" i="19"/>
  <c r="E957" i="19" s="1"/>
  <c r="F957" i="19" s="1"/>
  <c r="D922" i="19"/>
  <c r="E922" i="19" s="1"/>
  <c r="F922" i="19" s="1"/>
  <c r="D1724" i="19"/>
  <c r="E1724" i="19" s="1"/>
  <c r="F1724" i="19" s="1"/>
  <c r="D1202" i="19"/>
  <c r="E1202" i="19" s="1"/>
  <c r="F1202" i="19" s="1"/>
  <c r="D1543" i="19"/>
  <c r="E1543" i="19" s="1"/>
  <c r="F1543" i="19" s="1"/>
  <c r="D1174" i="19"/>
  <c r="E1174" i="19" s="1"/>
  <c r="F1174" i="19" s="1"/>
  <c r="D1219" i="19"/>
  <c r="E1219" i="19" s="1"/>
  <c r="F1219" i="19" s="1"/>
  <c r="D993" i="19"/>
  <c r="E993" i="19" s="1"/>
  <c r="F993" i="19" s="1"/>
  <c r="D1684" i="19"/>
  <c r="E1684" i="19" s="1"/>
  <c r="F1684" i="19" s="1"/>
  <c r="D1766" i="19"/>
  <c r="E1766" i="19" s="1"/>
  <c r="F1766" i="19" s="1"/>
  <c r="D1858" i="19"/>
  <c r="E1858" i="19" s="1"/>
  <c r="F1858" i="19" s="1"/>
  <c r="D1175" i="19"/>
  <c r="E1175" i="19" s="1"/>
  <c r="F1175" i="19" s="1"/>
  <c r="D1530" i="19"/>
  <c r="E1530" i="19" s="1"/>
  <c r="F1530" i="19" s="1"/>
  <c r="D1385" i="19"/>
  <c r="E1385" i="19" s="1"/>
  <c r="F1385" i="19" s="1"/>
  <c r="D1548" i="19"/>
  <c r="E1548" i="19" s="1"/>
  <c r="F1548" i="19" s="1"/>
  <c r="D1504" i="19"/>
  <c r="E1504" i="19" s="1"/>
  <c r="F1504" i="19" s="1"/>
  <c r="D836" i="19"/>
  <c r="E836" i="19" s="1"/>
  <c r="F836" i="19" s="1"/>
  <c r="D1187" i="19"/>
  <c r="E1187" i="19" s="1"/>
  <c r="F1187" i="19" s="1"/>
  <c r="D1222" i="19"/>
  <c r="E1222" i="19" s="1"/>
  <c r="F1222" i="19" s="1"/>
  <c r="D1363" i="19"/>
  <c r="E1363" i="19" s="1"/>
  <c r="F1363" i="19" s="1"/>
  <c r="D1487" i="19"/>
  <c r="E1487" i="19" s="1"/>
  <c r="F1487" i="19" s="1"/>
  <c r="D850" i="19"/>
  <c r="E850" i="19" s="1"/>
  <c r="F850" i="19" s="1"/>
  <c r="D1065" i="19"/>
  <c r="E1065" i="19" s="1"/>
  <c r="F1065" i="19" s="1"/>
  <c r="D1023" i="19"/>
  <c r="E1023" i="19" s="1"/>
  <c r="F1023" i="19" s="1"/>
  <c r="D904" i="19"/>
  <c r="E904" i="19" s="1"/>
  <c r="F904" i="19" s="1"/>
  <c r="D1396" i="19"/>
  <c r="E1396" i="19" s="1"/>
  <c r="F1396" i="19" s="1"/>
  <c r="D456" i="19"/>
  <c r="E456" i="19" s="1"/>
  <c r="F456" i="19" s="1"/>
  <c r="D1343" i="19"/>
  <c r="E1343" i="19" s="1"/>
  <c r="F1343" i="19" s="1"/>
  <c r="D1692" i="19"/>
  <c r="E1692" i="19" s="1"/>
  <c r="F1692" i="19" s="1"/>
  <c r="D853" i="19"/>
  <c r="E853" i="19" s="1"/>
  <c r="F853" i="19" s="1"/>
  <c r="D1479" i="19"/>
  <c r="E1479" i="19" s="1"/>
  <c r="F1479" i="19" s="1"/>
  <c r="D1913" i="19"/>
  <c r="E1913" i="19" s="1"/>
  <c r="F1913" i="19" s="1"/>
  <c r="D1293" i="19"/>
  <c r="E1293" i="19" s="1"/>
  <c r="F1293" i="19" s="1"/>
  <c r="D1916" i="19"/>
  <c r="E1916" i="19" s="1"/>
  <c r="F1916" i="19" s="1"/>
  <c r="D1609" i="19"/>
  <c r="E1609" i="19" s="1"/>
  <c r="F1609" i="19" s="1"/>
  <c r="D1702" i="19"/>
  <c r="E1702" i="19" s="1"/>
  <c r="F1702" i="19" s="1"/>
  <c r="D1733" i="19"/>
  <c r="E1733" i="19" s="1"/>
  <c r="F1733" i="19" s="1"/>
  <c r="D1236" i="19"/>
  <c r="E1236" i="19" s="1"/>
  <c r="F1236" i="19" s="1"/>
  <c r="D1471" i="19"/>
  <c r="E1471" i="19" s="1"/>
  <c r="F1471" i="19" s="1"/>
  <c r="D1184" i="19"/>
  <c r="E1184" i="19" s="1"/>
  <c r="F1184" i="19" s="1"/>
  <c r="D1882" i="19"/>
  <c r="E1882" i="19" s="1"/>
  <c r="F1882" i="19" s="1"/>
  <c r="D1635" i="19"/>
  <c r="E1635" i="19" s="1"/>
  <c r="F1635" i="19" s="1"/>
  <c r="D1326" i="19"/>
  <c r="E1326" i="19" s="1"/>
  <c r="F1326" i="19" s="1"/>
  <c r="D480" i="19"/>
  <c r="E480" i="19" s="1"/>
  <c r="F480" i="19" s="1"/>
  <c r="D557" i="19"/>
  <c r="E557" i="19" s="1"/>
  <c r="F557" i="19" s="1"/>
  <c r="D431" i="19"/>
  <c r="E431" i="19" s="1"/>
  <c r="F431" i="19" s="1"/>
  <c r="D827" i="19"/>
  <c r="E827" i="19" s="1"/>
  <c r="F827" i="19" s="1"/>
  <c r="D934" i="19"/>
  <c r="E934" i="19" s="1"/>
  <c r="F934" i="19" s="1"/>
  <c r="D942" i="19"/>
  <c r="E942" i="19" s="1"/>
  <c r="F942" i="19" s="1"/>
  <c r="D1152" i="19"/>
  <c r="E1152" i="19" s="1"/>
  <c r="F1152" i="19" s="1"/>
  <c r="D808" i="19"/>
  <c r="E808" i="19" s="1"/>
  <c r="F808" i="19" s="1"/>
  <c r="D821" i="19"/>
  <c r="E821" i="19" s="1"/>
  <c r="F821" i="19" s="1"/>
  <c r="D790" i="19"/>
  <c r="E790" i="19" s="1"/>
  <c r="F790" i="19" s="1"/>
  <c r="D379" i="19"/>
  <c r="E379" i="19" s="1"/>
  <c r="F379" i="19" s="1"/>
  <c r="D1338" i="19"/>
  <c r="E1338" i="19" s="1"/>
  <c r="F1338" i="19" s="1"/>
  <c r="D1690" i="19"/>
  <c r="E1690" i="19" s="1"/>
  <c r="F1690" i="19" s="1"/>
  <c r="D1018" i="19"/>
  <c r="E1018" i="19" s="1"/>
  <c r="F1018" i="19" s="1"/>
  <c r="D1205" i="19"/>
  <c r="E1205" i="19" s="1"/>
  <c r="F1205" i="19" s="1"/>
  <c r="D411" i="19"/>
  <c r="E411" i="19" s="1"/>
  <c r="F411" i="19" s="1"/>
  <c r="D1007" i="19"/>
  <c r="E1007" i="19" s="1"/>
  <c r="F1007" i="19" s="1"/>
  <c r="D1212" i="19"/>
  <c r="E1212" i="19" s="1"/>
  <c r="F1212" i="19" s="1"/>
  <c r="D1032" i="19"/>
  <c r="E1032" i="19" s="1"/>
  <c r="F1032" i="19" s="1"/>
  <c r="D849" i="19"/>
  <c r="E849" i="19" s="1"/>
  <c r="F849" i="19" s="1"/>
  <c r="D1237" i="19"/>
  <c r="E1237" i="19" s="1"/>
  <c r="F1237" i="19" s="1"/>
  <c r="D1915" i="19"/>
  <c r="E1915" i="19" s="1"/>
  <c r="F1915" i="19" s="1"/>
  <c r="D1495" i="19"/>
  <c r="E1495" i="19" s="1"/>
  <c r="F1495" i="19" s="1"/>
  <c r="D220" i="19"/>
  <c r="E220" i="19" s="1"/>
  <c r="F220" i="19" s="1"/>
  <c r="D1914" i="19"/>
  <c r="E1914" i="19" s="1"/>
  <c r="F1914" i="19" s="1"/>
  <c r="D872" i="19"/>
  <c r="E872" i="19" s="1"/>
  <c r="F872" i="19" s="1"/>
  <c r="D1327" i="19"/>
  <c r="E1327" i="19" s="1"/>
  <c r="F1327" i="19" s="1"/>
  <c r="D1177" i="19"/>
  <c r="E1177" i="19" s="1"/>
  <c r="F1177" i="19" s="1"/>
  <c r="D1100" i="19"/>
  <c r="E1100" i="19" s="1"/>
  <c r="F1100" i="19" s="1"/>
  <c r="D1328" i="19"/>
  <c r="E1328" i="19" s="1"/>
  <c r="F1328" i="19" s="1"/>
  <c r="D484" i="19"/>
  <c r="E484" i="19" s="1"/>
  <c r="F484" i="19" s="1"/>
  <c r="D1151" i="19"/>
  <c r="E1151" i="19" s="1"/>
  <c r="F1151" i="19" s="1"/>
  <c r="D1561" i="19"/>
  <c r="E1561" i="19" s="1"/>
  <c r="F1561" i="19" s="1"/>
  <c r="D1809" i="19"/>
  <c r="E1809" i="19" s="1"/>
  <c r="F1809" i="19" s="1"/>
  <c r="D1126" i="19"/>
  <c r="E1126" i="19" s="1"/>
  <c r="F1126" i="19" s="1"/>
  <c r="D1597" i="19"/>
  <c r="E1597" i="19" s="1"/>
  <c r="F1597" i="19" s="1"/>
  <c r="D906" i="19"/>
  <c r="E906" i="19" s="1"/>
  <c r="F906" i="19" s="1"/>
  <c r="D1655" i="19"/>
  <c r="E1655" i="19" s="1"/>
  <c r="F1655" i="19" s="1"/>
  <c r="D361" i="19"/>
  <c r="E361" i="19" s="1"/>
  <c r="F361" i="19" s="1"/>
  <c r="D1388" i="19"/>
  <c r="E1388" i="19" s="1"/>
  <c r="F1388" i="19" s="1"/>
  <c r="D1313" i="19"/>
  <c r="E1313" i="19" s="1"/>
  <c r="F1313" i="19" s="1"/>
  <c r="D485" i="19"/>
  <c r="E485" i="19" s="1"/>
  <c r="F485" i="19" s="1"/>
  <c r="D1021" i="19"/>
  <c r="E1021" i="19" s="1"/>
  <c r="F1021" i="19" s="1"/>
  <c r="D1998" i="19"/>
  <c r="E1998" i="19" s="1"/>
  <c r="F1998" i="19" s="1"/>
  <c r="D1160" i="19"/>
  <c r="E1160" i="19" s="1"/>
  <c r="F1160" i="19" s="1"/>
  <c r="D1847" i="19"/>
  <c r="E1847" i="19" s="1"/>
  <c r="F1847" i="19" s="1"/>
  <c r="D1737" i="19"/>
  <c r="E1737" i="19" s="1"/>
  <c r="F1737" i="19" s="1"/>
  <c r="D1147" i="19"/>
  <c r="E1147" i="19" s="1"/>
  <c r="F1147" i="19" s="1"/>
  <c r="D840" i="19"/>
  <c r="E840" i="19" s="1"/>
  <c r="F840" i="19" s="1"/>
  <c r="D1154" i="19"/>
  <c r="E1154" i="19" s="1"/>
  <c r="F1154" i="19" s="1"/>
  <c r="D1088" i="19"/>
  <c r="E1088" i="19" s="1"/>
  <c r="F1088" i="19" s="1"/>
  <c r="D429" i="19"/>
  <c r="E429" i="19" s="1"/>
  <c r="F429" i="19" s="1"/>
  <c r="D1263" i="19"/>
  <c r="E1263" i="19" s="1"/>
  <c r="F1263" i="19" s="1"/>
  <c r="D1098" i="19"/>
  <c r="E1098" i="19" s="1"/>
  <c r="F1098" i="19" s="1"/>
  <c r="D1068" i="19"/>
  <c r="E1068" i="19" s="1"/>
  <c r="F1068" i="19" s="1"/>
  <c r="D1264" i="19"/>
  <c r="E1264" i="19" s="1"/>
  <c r="F1264" i="19" s="1"/>
  <c r="D1339" i="19"/>
  <c r="E1339" i="19" s="1"/>
  <c r="F1339" i="19" s="1"/>
  <c r="D1047" i="19"/>
  <c r="E1047" i="19" s="1"/>
  <c r="F1047" i="19" s="1"/>
  <c r="D1497" i="19"/>
  <c r="E1497" i="19" s="1"/>
  <c r="F1497" i="19" s="1"/>
  <c r="D1732" i="19"/>
  <c r="E1732" i="19" s="1"/>
  <c r="F1732" i="19" s="1"/>
  <c r="D1843" i="19"/>
  <c r="E1843" i="19" s="1"/>
  <c r="F1843" i="19" s="1"/>
  <c r="D1931" i="19"/>
  <c r="E1931" i="19" s="1"/>
  <c r="F1931" i="19" s="1"/>
  <c r="D1271" i="19"/>
  <c r="E1271" i="19" s="1"/>
  <c r="F1271" i="19" s="1"/>
  <c r="D1578" i="19"/>
  <c r="E1578" i="19" s="1"/>
  <c r="F1578" i="19" s="1"/>
  <c r="D1221" i="19"/>
  <c r="E1221" i="19" s="1"/>
  <c r="F1221" i="19" s="1"/>
  <c r="D1033" i="19"/>
  <c r="E1033" i="19" s="1"/>
  <c r="F1033" i="19" s="1"/>
  <c r="D1959" i="19"/>
  <c r="E1959" i="19" s="1"/>
  <c r="F1959" i="19" s="1"/>
  <c r="D1936" i="19"/>
  <c r="E1936" i="19" s="1"/>
  <c r="F1936" i="19" s="1"/>
  <c r="D1816" i="19"/>
  <c r="E1816" i="19" s="1"/>
  <c r="F1816" i="19" s="1"/>
  <c r="D1048" i="19"/>
  <c r="E1048" i="19" s="1"/>
  <c r="F1048" i="19" s="1"/>
  <c r="D1137" i="19"/>
  <c r="E1137" i="19" s="1"/>
  <c r="F1137" i="19" s="1"/>
  <c r="D1284" i="19"/>
  <c r="E1284" i="19" s="1"/>
  <c r="F1284" i="19" s="1"/>
  <c r="D1429" i="19"/>
  <c r="E1429" i="19" s="1"/>
  <c r="F1429" i="19" s="1"/>
  <c r="D1286" i="19"/>
  <c r="E1286" i="19" s="1"/>
  <c r="F1286" i="19" s="1"/>
  <c r="D426" i="19"/>
  <c r="E426" i="19" s="1"/>
  <c r="F426" i="19" s="1"/>
  <c r="D1446" i="19"/>
  <c r="E1446" i="19" s="1"/>
  <c r="F1446" i="19" s="1"/>
  <c r="D1919" i="19"/>
  <c r="E1919" i="19" s="1"/>
  <c r="F1919" i="19" s="1"/>
  <c r="D1067" i="19"/>
  <c r="E1067" i="19" s="1"/>
  <c r="F1067" i="19" s="1"/>
  <c r="D1775" i="19"/>
  <c r="E1775" i="19" s="1"/>
  <c r="F1775" i="19" s="1"/>
  <c r="D1606" i="19"/>
  <c r="E1606" i="19" s="1"/>
  <c r="F1606" i="19" s="1"/>
  <c r="D1355" i="19"/>
  <c r="E1355" i="19" s="1"/>
  <c r="F1355" i="19" s="1"/>
  <c r="D1641" i="19"/>
  <c r="E1641" i="19" s="1"/>
  <c r="F1641" i="19" s="1"/>
  <c r="D1474" i="19"/>
  <c r="E1474" i="19" s="1"/>
  <c r="F1474" i="19" s="1"/>
  <c r="D1566" i="19"/>
  <c r="E1566" i="19" s="1"/>
  <c r="F1566" i="19" s="1"/>
  <c r="D1111" i="19"/>
  <c r="E1111" i="19" s="1"/>
  <c r="F1111" i="19" s="1"/>
  <c r="D1058" i="19"/>
  <c r="E1058" i="19" s="1"/>
  <c r="F1058" i="19" s="1"/>
  <c r="D1508" i="19"/>
  <c r="E1508" i="19" s="1"/>
  <c r="F1508" i="19" s="1"/>
  <c r="D627" i="19"/>
  <c r="E627" i="19" s="1"/>
  <c r="F627" i="19" s="1"/>
  <c r="D1004" i="19"/>
  <c r="E1004" i="19" s="1"/>
  <c r="F1004" i="19" s="1"/>
  <c r="D928" i="19"/>
  <c r="E928" i="19" s="1"/>
  <c r="F928" i="19" s="1"/>
  <c r="D1228" i="19"/>
  <c r="E1228" i="19" s="1"/>
  <c r="F1228" i="19" s="1"/>
  <c r="D1305" i="19"/>
  <c r="E1305" i="19" s="1"/>
  <c r="F1305" i="19" s="1"/>
  <c r="D675" i="19"/>
  <c r="E675" i="19" s="1"/>
  <c r="F675" i="19" s="1"/>
  <c r="D1279" i="19"/>
  <c r="E1279" i="19" s="1"/>
  <c r="F1279" i="19" s="1"/>
  <c r="D1660" i="19"/>
  <c r="E1660" i="19" s="1"/>
  <c r="F1660" i="19" s="1"/>
  <c r="D1064" i="19"/>
  <c r="E1064" i="19" s="1"/>
  <c r="F1064" i="19" s="1"/>
  <c r="D1418" i="19"/>
  <c r="E1418" i="19" s="1"/>
  <c r="F1418" i="19" s="1"/>
  <c r="D1427" i="19"/>
  <c r="E1427" i="19" s="1"/>
  <c r="F1427" i="19" s="1"/>
  <c r="D1165" i="19"/>
  <c r="E1165" i="19" s="1"/>
  <c r="F1165" i="19" s="1"/>
  <c r="D1852" i="19"/>
  <c r="E1852" i="19" s="1"/>
  <c r="F1852" i="19" s="1"/>
  <c r="D1481" i="19"/>
  <c r="E1481" i="19" s="1"/>
  <c r="F1481" i="19" s="1"/>
  <c r="D1638" i="19"/>
  <c r="E1638" i="19" s="1"/>
  <c r="F1638" i="19" s="1"/>
  <c r="D1600" i="19"/>
  <c r="E1600" i="19" s="1"/>
  <c r="F1600" i="19" s="1"/>
  <c r="D1022" i="19"/>
  <c r="E1022" i="19" s="1"/>
  <c r="F1022" i="19" s="1"/>
  <c r="D1407" i="19"/>
  <c r="E1407" i="19" s="1"/>
  <c r="F1407" i="19" s="1"/>
  <c r="D1253" i="19"/>
  <c r="E1253" i="19" s="1"/>
  <c r="F1253" i="19" s="1"/>
  <c r="D1198" i="19"/>
  <c r="E1198" i="19" s="1"/>
  <c r="F1198" i="19" s="1"/>
  <c r="D932" i="19"/>
  <c r="E932" i="19" s="1"/>
  <c r="F932" i="19" s="1"/>
  <c r="D1962" i="19"/>
  <c r="E1962" i="19" s="1"/>
  <c r="F1962" i="19" s="1"/>
  <c r="D1614" i="19"/>
  <c r="E1614" i="19" s="1"/>
  <c r="F1614" i="19" s="1"/>
  <c r="D1466" i="19"/>
  <c r="E1466" i="19" s="1"/>
  <c r="F1466" i="19" s="1"/>
  <c r="D1967" i="19"/>
  <c r="E1967" i="19" s="1"/>
  <c r="F1967" i="19" s="1"/>
  <c r="D1993" i="19"/>
  <c r="E1993" i="19" s="1"/>
  <c r="F1993" i="19" s="1"/>
  <c r="D1884" i="19"/>
  <c r="E1884" i="19" s="1"/>
  <c r="F1884" i="19" s="1"/>
  <c r="D1652" i="19"/>
  <c r="E1652" i="19" s="1"/>
  <c r="F1652" i="19" s="1"/>
  <c r="D1734" i="19"/>
  <c r="E1734" i="19" s="1"/>
  <c r="F1734" i="19" s="1"/>
  <c r="D1798" i="19"/>
  <c r="E1798" i="19" s="1"/>
  <c r="F1798" i="19" s="1"/>
  <c r="D1019" i="19"/>
  <c r="E1019" i="19" s="1"/>
  <c r="F1019" i="19" s="1"/>
  <c r="D1498" i="19"/>
  <c r="E1498" i="19" s="1"/>
  <c r="F1498" i="19" s="1"/>
  <c r="D1353" i="19"/>
  <c r="E1353" i="19" s="1"/>
  <c r="F1353" i="19" s="1"/>
  <c r="D1321" i="19"/>
  <c r="E1321" i="19" s="1"/>
  <c r="F1321" i="19" s="1"/>
  <c r="D956" i="19"/>
  <c r="E956" i="19" s="1"/>
  <c r="F956" i="19" s="1"/>
  <c r="D1453" i="19"/>
  <c r="E1453" i="19" s="1"/>
  <c r="F1453" i="19" s="1"/>
  <c r="D1838" i="19"/>
  <c r="E1838" i="19" s="1"/>
  <c r="F1838" i="19" s="1"/>
  <c r="D1013" i="19"/>
  <c r="E1013" i="19" s="1"/>
  <c r="F1013" i="19" s="1"/>
  <c r="D1760" i="19"/>
  <c r="E1760" i="19" s="1"/>
  <c r="F1760" i="19" s="1"/>
  <c r="D1859" i="19"/>
  <c r="E1859" i="19" s="1"/>
  <c r="F1859" i="19" s="1"/>
  <c r="D1482" i="19"/>
  <c r="E1482" i="19" s="1"/>
  <c r="F1482" i="19" s="1"/>
  <c r="D1944" i="19"/>
  <c r="E1944" i="19" s="1"/>
  <c r="F1944" i="19" s="1"/>
  <c r="D1320" i="19"/>
  <c r="E1320" i="19" s="1"/>
  <c r="F1320" i="19" s="1"/>
  <c r="D1927" i="19"/>
  <c r="E1927" i="19" s="1"/>
  <c r="F1927" i="19" s="1"/>
  <c r="D1898" i="19"/>
  <c r="E1898" i="19" s="1"/>
  <c r="F1898" i="19" s="1"/>
  <c r="D1768" i="19"/>
  <c r="E1768" i="19" s="1"/>
  <c r="F1768" i="19" s="1"/>
  <c r="D1861" i="19"/>
  <c r="E1861" i="19" s="1"/>
  <c r="F1861" i="19" s="1"/>
  <c r="D1314" i="19"/>
  <c r="E1314" i="19" s="1"/>
  <c r="F1314" i="19" s="1"/>
  <c r="D1599" i="19"/>
  <c r="E1599" i="19" s="1"/>
  <c r="F1599" i="19" s="1"/>
  <c r="D1893" i="19"/>
  <c r="E1893" i="19" s="1"/>
  <c r="F1893" i="19" s="1"/>
  <c r="D1319" i="19"/>
  <c r="E1319" i="19" s="1"/>
  <c r="F1319" i="19" s="1"/>
  <c r="D1518" i="19"/>
  <c r="E1518" i="19" s="1"/>
  <c r="F1518" i="19" s="1"/>
  <c r="D1894" i="19"/>
  <c r="E1894" i="19" s="1"/>
  <c r="F1894" i="19" s="1"/>
  <c r="D1515" i="19"/>
  <c r="E1515" i="19" s="1"/>
  <c r="F1515" i="19" s="1"/>
  <c r="D1361" i="19"/>
  <c r="E1361" i="19" s="1"/>
  <c r="F1361" i="19" s="1"/>
  <c r="D1260" i="19"/>
  <c r="E1260" i="19" s="1"/>
  <c r="F1260" i="19" s="1"/>
  <c r="D1780" i="19"/>
  <c r="E1780" i="19" s="1"/>
  <c r="F1780" i="19" s="1"/>
  <c r="D988" i="19"/>
  <c r="E988" i="19" s="1"/>
  <c r="F988" i="19" s="1"/>
  <c r="D1996" i="19"/>
  <c r="E1996" i="19" s="1"/>
  <c r="F1996" i="19" s="1"/>
  <c r="D517" i="19"/>
  <c r="E517" i="19" s="1"/>
  <c r="F517" i="19" s="1"/>
  <c r="D1632" i="19"/>
  <c r="E1632" i="19" s="1"/>
  <c r="F1632" i="19" s="1"/>
  <c r="D1611" i="19"/>
  <c r="E1611" i="19" s="1"/>
  <c r="F1611" i="19" s="1"/>
  <c r="D1596" i="19"/>
  <c r="E1596" i="19" s="1"/>
  <c r="F1596" i="19" s="1"/>
  <c r="D1796" i="19"/>
  <c r="E1796" i="19" s="1"/>
  <c r="F1796" i="19" s="1"/>
  <c r="D1963" i="19"/>
  <c r="E1963" i="19" s="1"/>
  <c r="F1963" i="19" s="1"/>
  <c r="D1488" i="19"/>
  <c r="E1488" i="19" s="1"/>
  <c r="F1488" i="19" s="1"/>
  <c r="D1978" i="19"/>
  <c r="E1978" i="19" s="1"/>
  <c r="F1978" i="19" s="1"/>
  <c r="D1703" i="19"/>
  <c r="E1703" i="19" s="1"/>
  <c r="F1703" i="19" s="1"/>
  <c r="D1786" i="19"/>
  <c r="E1786" i="19" s="1"/>
  <c r="F1786" i="19" s="1"/>
  <c r="D1725" i="19"/>
  <c r="E1725" i="19" s="1"/>
  <c r="F1725" i="19" s="1"/>
  <c r="D1447" i="19"/>
  <c r="E1447" i="19" s="1"/>
  <c r="F1447" i="19" s="1"/>
  <c r="D1390" i="19"/>
  <c r="E1390" i="19" s="1"/>
  <c r="F1390" i="19" s="1"/>
  <c r="D1717" i="19"/>
  <c r="E1717" i="19" s="1"/>
  <c r="F1717" i="19" s="1"/>
  <c r="D1883" i="19"/>
  <c r="E1883" i="19" s="1"/>
  <c r="F1883" i="19" s="1"/>
  <c r="D1648" i="19"/>
  <c r="E1648" i="19" s="1"/>
  <c r="F1648" i="19" s="1"/>
  <c r="D1389" i="19"/>
  <c r="E1389" i="19" s="1"/>
  <c r="F1389" i="19" s="1"/>
  <c r="D1880" i="19"/>
  <c r="E1880" i="19" s="1"/>
  <c r="F1880" i="19" s="1"/>
  <c r="D1788" i="19"/>
  <c r="E1788" i="19" s="1"/>
  <c r="F1788" i="19" s="1"/>
  <c r="D1887" i="19"/>
  <c r="E1887" i="19" s="1"/>
  <c r="F1887" i="19" s="1"/>
  <c r="D1683" i="19"/>
  <c r="E1683" i="19" s="1"/>
  <c r="F1683" i="19" s="1"/>
  <c r="D1235" i="19"/>
  <c r="E1235" i="19" s="1"/>
  <c r="F1235" i="19" s="1"/>
  <c r="D1995" i="19"/>
  <c r="E1995" i="19" s="1"/>
  <c r="F1995" i="19" s="1"/>
  <c r="D706" i="19"/>
  <c r="E706" i="19" s="1"/>
  <c r="F706" i="19" s="1"/>
  <c r="D1642" i="19"/>
  <c r="E1642" i="19" s="1"/>
  <c r="F1642" i="19" s="1"/>
  <c r="D1109" i="19"/>
  <c r="E1109" i="19" s="1"/>
  <c r="F1109" i="19" s="1"/>
  <c r="D1099" i="19"/>
  <c r="E1099" i="19" s="1"/>
  <c r="F1099" i="19" s="1"/>
  <c r="D1673" i="19"/>
  <c r="E1673" i="19" s="1"/>
  <c r="F1673" i="19" s="1"/>
  <c r="D1645" i="19"/>
  <c r="E1645" i="19" s="1"/>
  <c r="F1645" i="19" s="1"/>
  <c r="D1370" i="19"/>
  <c r="E1370" i="19" s="1"/>
  <c r="F1370" i="19" s="1"/>
  <c r="D1085" i="19"/>
  <c r="E1085" i="19" s="1"/>
  <c r="F1085" i="19" s="1"/>
  <c r="D1408" i="19"/>
  <c r="E1408" i="19" s="1"/>
  <c r="F1408" i="19" s="1"/>
  <c r="D1156" i="19"/>
  <c r="E1156" i="19" s="1"/>
  <c r="F1156" i="19" s="1"/>
  <c r="D1450" i="19"/>
  <c r="E1450" i="19" s="1"/>
  <c r="F1450" i="19" s="1"/>
  <c r="D1622" i="19"/>
  <c r="E1622" i="19" s="1"/>
  <c r="F1622" i="19" s="1"/>
  <c r="D800" i="19"/>
  <c r="E800" i="19" s="1"/>
  <c r="F800" i="19" s="1"/>
  <c r="D1801" i="19"/>
  <c r="E1801" i="19" s="1"/>
  <c r="F1801" i="19" s="1"/>
  <c r="D587" i="19"/>
  <c r="E587" i="19" s="1"/>
  <c r="F587" i="19" s="1"/>
  <c r="D1955" i="19"/>
  <c r="E1955" i="19" s="1"/>
  <c r="F1955" i="19" s="1"/>
  <c r="D1148" i="19"/>
  <c r="E1148" i="19" s="1"/>
  <c r="F1148" i="19" s="1"/>
  <c r="D1001" i="19"/>
  <c r="E1001" i="19" s="1"/>
  <c r="F1001" i="19" s="1"/>
  <c r="D531" i="19"/>
  <c r="E531" i="19" s="1"/>
  <c r="F531" i="19" s="1"/>
  <c r="D1199" i="19"/>
  <c r="E1199" i="19" s="1"/>
  <c r="F1199" i="19" s="1"/>
  <c r="D1057" i="19"/>
  <c r="E1057" i="19" s="1"/>
  <c r="F1057" i="19" s="1"/>
  <c r="D1014" i="19"/>
  <c r="E1014" i="19" s="1"/>
  <c r="F1014" i="19" s="1"/>
  <c r="D1200" i="19"/>
  <c r="E1200" i="19" s="1"/>
  <c r="F1200" i="19" s="1"/>
  <c r="D1179" i="19"/>
  <c r="E1179" i="19" s="1"/>
  <c r="F1179" i="19" s="1"/>
  <c r="D976" i="19"/>
  <c r="E976" i="19" s="1"/>
  <c r="F976" i="19" s="1"/>
  <c r="D1433" i="19"/>
  <c r="E1433" i="19" s="1"/>
  <c r="F1433" i="19" s="1"/>
  <c r="D1668" i="19"/>
  <c r="E1668" i="19" s="1"/>
  <c r="F1668" i="19" s="1"/>
  <c r="D1750" i="19"/>
  <c r="E1750" i="19" s="1"/>
  <c r="F1750" i="19" s="1"/>
  <c r="D1826" i="19"/>
  <c r="E1826" i="19" s="1"/>
  <c r="F1826" i="19" s="1"/>
  <c r="D1122" i="19"/>
  <c r="E1122" i="19" s="1"/>
  <c r="F1122" i="19" s="1"/>
  <c r="D1514" i="19"/>
  <c r="E1514" i="19" s="1"/>
  <c r="F1514" i="19" s="1"/>
  <c r="D869" i="19"/>
  <c r="E869" i="19" s="1"/>
  <c r="F869" i="19" s="1"/>
  <c r="D1256" i="19"/>
  <c r="E1256" i="19" s="1"/>
  <c r="F1256" i="19" s="1"/>
  <c r="D1895" i="19"/>
  <c r="E1895" i="19" s="1"/>
  <c r="F1895" i="19" s="1"/>
  <c r="D1833" i="19"/>
  <c r="E1833" i="19" s="1"/>
  <c r="F1833" i="19" s="1"/>
  <c r="D1736" i="19"/>
  <c r="E1736" i="19" s="1"/>
  <c r="F1736" i="19" s="1"/>
  <c r="D1805" i="19"/>
  <c r="E1805" i="19" s="1"/>
  <c r="F1805" i="19" s="1"/>
  <c r="D898" i="19"/>
  <c r="E898" i="19" s="1"/>
  <c r="F898" i="19" s="1"/>
  <c r="D1647" i="19"/>
  <c r="E1647" i="19" s="1"/>
  <c r="F1647" i="19" s="1"/>
  <c r="D1477" i="19"/>
  <c r="E1477" i="19" s="1"/>
  <c r="F1477" i="19" s="1"/>
  <c r="D1220" i="19"/>
  <c r="E1220" i="19" s="1"/>
  <c r="F1220" i="19" s="1"/>
  <c r="D1900" i="19"/>
  <c r="E1900" i="19" s="1"/>
  <c r="F1900" i="19" s="1"/>
  <c r="D1277" i="19"/>
  <c r="E1277" i="19" s="1"/>
  <c r="F1277" i="19" s="1"/>
  <c r="D1779" i="19"/>
  <c r="E1779" i="19" s="1"/>
  <c r="F1779" i="19" s="1"/>
  <c r="D1285" i="19"/>
  <c r="E1285" i="19" s="1"/>
  <c r="F1285" i="19" s="1"/>
  <c r="D1289" i="19"/>
  <c r="E1289" i="19" s="1"/>
  <c r="F1289" i="19" s="1"/>
  <c r="D1150" i="19"/>
  <c r="E1150" i="19" s="1"/>
  <c r="F1150" i="19" s="1"/>
  <c r="D1984" i="19"/>
  <c r="E1984" i="19" s="1"/>
  <c r="F1984" i="19" s="1"/>
  <c r="D1875" i="19"/>
  <c r="E1875" i="19" s="1"/>
  <c r="F1875" i="19" s="1"/>
  <c r="D1961" i="19"/>
  <c r="E1961" i="19" s="1"/>
  <c r="F1961" i="19" s="1"/>
  <c r="D992" i="19"/>
  <c r="E992" i="19" s="1"/>
  <c r="F992" i="19" s="1"/>
  <c r="D543" i="19"/>
  <c r="E543" i="19" s="1"/>
  <c r="F543" i="19" s="1"/>
  <c r="D1715" i="19"/>
  <c r="E1715" i="19" s="1"/>
  <c r="F1715" i="19" s="1"/>
  <c r="D1341" i="19"/>
  <c r="E1341" i="19" s="1"/>
  <c r="F1341" i="19" s="1"/>
  <c r="D816" i="19"/>
  <c r="E816" i="19" s="1"/>
  <c r="F816" i="19" s="1"/>
  <c r="D1810" i="19"/>
  <c r="E1810" i="19" s="1"/>
  <c r="F1810" i="19" s="1"/>
  <c r="D1986" i="19"/>
  <c r="E1986" i="19" s="1"/>
  <c r="F1986" i="19" s="1"/>
  <c r="D1101" i="19"/>
  <c r="E1101" i="19" s="1"/>
  <c r="F1101" i="19" s="1"/>
  <c r="D1848" i="19"/>
  <c r="E1848" i="19" s="1"/>
  <c r="F1848" i="19" s="1"/>
  <c r="D1938" i="19"/>
  <c r="E1938" i="19" s="1"/>
  <c r="F1938" i="19" s="1"/>
  <c r="D1298" i="19"/>
  <c r="E1298" i="19" s="1"/>
  <c r="F1298" i="19" s="1"/>
  <c r="D1591" i="19"/>
  <c r="E1591" i="19" s="1"/>
  <c r="F1591" i="19" s="1"/>
  <c r="D1382" i="19"/>
  <c r="E1382" i="19" s="1"/>
  <c r="F1382" i="19" s="1"/>
  <c r="D1393" i="19"/>
  <c r="E1393" i="19" s="1"/>
  <c r="F1393" i="19" s="1"/>
  <c r="D1324" i="19"/>
  <c r="E1324" i="19" s="1"/>
  <c r="F1324" i="19" s="1"/>
  <c r="D648" i="19"/>
  <c r="E648" i="19" s="1"/>
  <c r="F648" i="19" s="1"/>
  <c r="D1334" i="19"/>
  <c r="E1334" i="19" s="1"/>
  <c r="F1334" i="19" s="1"/>
  <c r="D1803" i="19"/>
  <c r="E1803" i="19" s="1"/>
  <c r="F1803" i="19" s="1"/>
  <c r="D1985" i="19"/>
  <c r="E1985" i="19" s="1"/>
  <c r="F1985" i="19" s="1"/>
  <c r="D1462" i="19"/>
  <c r="E1462" i="19" s="1"/>
  <c r="F1462" i="19" s="1"/>
  <c r="D1299" i="19"/>
  <c r="E1299" i="19" s="1"/>
  <c r="F1299" i="19" s="1"/>
  <c r="D1533" i="19"/>
  <c r="E1533" i="19" s="1"/>
  <c r="F1533" i="19" s="1"/>
  <c r="D1719" i="19"/>
  <c r="E1719" i="19" s="1"/>
  <c r="F1719" i="19" s="1"/>
  <c r="D1417" i="19"/>
  <c r="E1417" i="19" s="1"/>
  <c r="F1417" i="19" s="1"/>
  <c r="D1580" i="19"/>
  <c r="E1580" i="19" s="1"/>
  <c r="F1580" i="19" s="1"/>
  <c r="D1536" i="19"/>
  <c r="E1536" i="19" s="1"/>
  <c r="F1536" i="19" s="1"/>
  <c r="D884" i="19"/>
  <c r="E884" i="19" s="1"/>
  <c r="F884" i="19" s="1"/>
  <c r="D1375" i="19"/>
  <c r="E1375" i="19" s="1"/>
  <c r="F1375" i="19" s="1"/>
  <c r="D1988" i="19"/>
  <c r="E1988" i="19" s="1"/>
  <c r="F1988" i="19" s="1"/>
  <c r="D1208" i="19"/>
  <c r="E1208" i="19" s="1"/>
  <c r="F1208" i="19" s="1"/>
  <c r="D1181" i="19"/>
  <c r="E1181" i="19" s="1"/>
  <c r="F1181" i="19" s="1"/>
  <c r="D1935" i="19"/>
  <c r="E1935" i="19" s="1"/>
  <c r="F1935" i="19" s="1"/>
  <c r="D1348" i="19"/>
  <c r="E1348" i="19" s="1"/>
  <c r="F1348" i="19" s="1"/>
  <c r="D1496" i="19"/>
  <c r="E1496" i="19" s="1"/>
  <c r="F1496" i="19" s="1"/>
  <c r="D1028" i="19"/>
  <c r="E1028" i="19" s="1"/>
  <c r="F1028" i="19" s="1"/>
  <c r="D1946" i="19"/>
  <c r="E1946" i="19" s="1"/>
  <c r="F1946" i="19" s="1"/>
  <c r="D1586" i="19"/>
  <c r="E1586" i="19" s="1"/>
  <c r="F1586" i="19" s="1"/>
  <c r="D1723" i="19"/>
  <c r="E1723" i="19" s="1"/>
  <c r="F1723" i="19" s="1"/>
  <c r="D1214" i="19"/>
  <c r="E1214" i="19" s="1"/>
  <c r="F1214" i="19" s="1"/>
  <c r="D1617" i="19"/>
  <c r="E1617" i="19" s="1"/>
  <c r="F1617" i="19" s="1"/>
  <c r="D1767" i="19"/>
  <c r="E1767" i="19" s="1"/>
  <c r="F1767" i="19" s="1"/>
  <c r="D1941" i="19"/>
  <c r="E1941" i="19" s="1"/>
  <c r="F1941" i="19" s="1"/>
  <c r="D1547" i="19"/>
  <c r="E1547" i="19" s="1"/>
  <c r="F1547" i="19" s="1"/>
  <c r="D1532" i="19"/>
  <c r="E1532" i="19" s="1"/>
  <c r="F1532" i="19" s="1"/>
  <c r="D1671" i="19"/>
  <c r="E1671" i="19" s="1"/>
  <c r="F1671" i="19" s="1"/>
  <c r="D1373" i="19"/>
  <c r="E1373" i="19" s="1"/>
  <c r="F1373" i="19" s="1"/>
  <c r="D1357" i="19"/>
  <c r="E1357" i="19" s="1"/>
  <c r="F1357" i="19" s="1"/>
  <c r="D1406" i="19"/>
  <c r="E1406" i="19" s="1"/>
  <c r="F1406" i="19" s="1"/>
  <c r="D1281" i="19"/>
  <c r="E1281" i="19" s="1"/>
  <c r="F1281" i="19" s="1"/>
  <c r="D826" i="19"/>
  <c r="E826" i="19" s="1"/>
  <c r="F826" i="19" s="1"/>
  <c r="D1770" i="19"/>
  <c r="E1770" i="19" s="1"/>
  <c r="F1770" i="19" s="1"/>
  <c r="D916" i="19"/>
  <c r="E916" i="19" s="1"/>
  <c r="F916" i="19" s="1"/>
  <c r="D1484" i="19"/>
  <c r="E1484" i="19" s="1"/>
  <c r="F1484" i="19" s="1"/>
  <c r="D901" i="19"/>
  <c r="E901" i="19" s="1"/>
  <c r="F901" i="19" s="1"/>
  <c r="D1763" i="19"/>
  <c r="E1763" i="19" s="1"/>
  <c r="F1763" i="19" s="1"/>
  <c r="D1627" i="19"/>
  <c r="E1627" i="19" s="1"/>
  <c r="F1627" i="19" s="1"/>
  <c r="D1457" i="19"/>
  <c r="E1457" i="19" s="1"/>
  <c r="F1457" i="19" s="1"/>
  <c r="D1700" i="19"/>
  <c r="E1700" i="19" s="1"/>
  <c r="F1700" i="19" s="1"/>
  <c r="D1782" i="19"/>
  <c r="E1782" i="19" s="1"/>
  <c r="F1782" i="19" s="1"/>
  <c r="D1890" i="19"/>
  <c r="E1890" i="19" s="1"/>
  <c r="F1890" i="19" s="1"/>
  <c r="D1207" i="19"/>
  <c r="E1207" i="19" s="1"/>
  <c r="F1207" i="19" s="1"/>
  <c r="D1083" i="19"/>
  <c r="E1083" i="19" s="1"/>
  <c r="F1083" i="19" s="1"/>
  <c r="D1605" i="19"/>
  <c r="E1605" i="19" s="1"/>
  <c r="F1605" i="19" s="1"/>
  <c r="D908" i="19"/>
  <c r="E908" i="19" s="1"/>
  <c r="F908" i="19" s="1"/>
  <c r="D829" i="19"/>
  <c r="E829" i="19" s="1"/>
  <c r="F829" i="19" s="1"/>
  <c r="D1120" i="19"/>
  <c r="E1120" i="19" s="1"/>
  <c r="F1120" i="19" s="1"/>
  <c r="D1866" i="19"/>
  <c r="E1866" i="19" s="1"/>
  <c r="F1866" i="19" s="1"/>
  <c r="D546" i="19"/>
  <c r="E546" i="19" s="1"/>
  <c r="F546" i="19" s="1"/>
  <c r="D626" i="19"/>
  <c r="E626" i="19" s="1"/>
  <c r="F626" i="19" s="1"/>
  <c r="D470" i="19"/>
  <c r="E470" i="19" s="1"/>
  <c r="F470" i="19" s="1"/>
  <c r="D978" i="19"/>
  <c r="E978" i="19" s="1"/>
  <c r="F978" i="19" s="1"/>
  <c r="D1738" i="19"/>
  <c r="E1738" i="19" s="1"/>
  <c r="F1738" i="19" s="1"/>
  <c r="D1086" i="19"/>
  <c r="E1086" i="19" s="1"/>
  <c r="F1086" i="19" s="1"/>
  <c r="D1301" i="19"/>
  <c r="E1301" i="19" s="1"/>
  <c r="F1301" i="19" s="1"/>
  <c r="D1317" i="19"/>
  <c r="E1317" i="19" s="1"/>
  <c r="F1317" i="19" s="1"/>
  <c r="D1358" i="19"/>
  <c r="E1358" i="19" s="1"/>
  <c r="F1358" i="19" s="1"/>
  <c r="D1249" i="19"/>
  <c r="E1249" i="19" s="1"/>
  <c r="F1249" i="19" s="1"/>
  <c r="D447" i="19"/>
  <c r="E447" i="19" s="1"/>
  <c r="F447" i="19" s="1"/>
  <c r="D608" i="19"/>
  <c r="E608" i="19" s="1"/>
  <c r="F608" i="19" s="1"/>
  <c r="D1982" i="19"/>
  <c r="E1982" i="19" s="1"/>
  <c r="F1982" i="19" s="1"/>
  <c r="D1234" i="19"/>
  <c r="E1234" i="19" s="1"/>
  <c r="F1234" i="19" s="1"/>
  <c r="D1559" i="19"/>
  <c r="E1559" i="19" s="1"/>
  <c r="F1559" i="19" s="1"/>
  <c r="D1262" i="19"/>
  <c r="E1262" i="19" s="1"/>
  <c r="F1262" i="19" s="1"/>
  <c r="D1300" i="19"/>
  <c r="E1300" i="19" s="1"/>
  <c r="F1300" i="19" s="1"/>
  <c r="D1171" i="19"/>
  <c r="E1171" i="19" s="1"/>
  <c r="F1171" i="19" s="1"/>
  <c r="D893" i="19"/>
  <c r="E893" i="19" s="1"/>
  <c r="F893" i="19" s="1"/>
  <c r="D1386" i="19"/>
  <c r="E1386" i="19" s="1"/>
  <c r="F1386" i="19" s="1"/>
  <c r="D1206" i="19"/>
  <c r="E1206" i="19" s="1"/>
  <c r="F1206" i="19" s="1"/>
  <c r="D1709" i="19"/>
  <c r="E1709" i="19" s="1"/>
  <c r="F1709" i="19" s="1"/>
  <c r="D1261" i="19"/>
  <c r="E1261" i="19" s="1"/>
  <c r="F1261" i="19" s="1"/>
  <c r="D1661" i="19"/>
  <c r="E1661" i="19" s="1"/>
  <c r="F1661" i="19" s="1"/>
  <c r="D1819" i="19"/>
  <c r="E1819" i="19" s="1"/>
  <c r="F1819" i="19" s="1"/>
  <c r="D1613" i="19"/>
  <c r="E1613" i="19" s="1"/>
  <c r="F1613" i="19" s="1"/>
  <c r="D962" i="19"/>
  <c r="E962" i="19" s="1"/>
  <c r="F962" i="19" s="1"/>
  <c r="D1679" i="19"/>
  <c r="E1679" i="19" s="1"/>
  <c r="F1679" i="19" s="1"/>
  <c r="D1510" i="19"/>
  <c r="E1510" i="19" s="1"/>
  <c r="F1510" i="19" s="1"/>
  <c r="D1521" i="19"/>
  <c r="E1521" i="19" s="1"/>
  <c r="F1521" i="19" s="1"/>
  <c r="D1472" i="19"/>
  <c r="E1472" i="19" s="1"/>
  <c r="F1472" i="19" s="1"/>
  <c r="D1038" i="19"/>
  <c r="E1038" i="19" s="1"/>
  <c r="F1038" i="19" s="1"/>
  <c r="D1410" i="19"/>
  <c r="E1410" i="19" s="1"/>
  <c r="F1410" i="19" s="1"/>
  <c r="D1807" i="19"/>
  <c r="E1807" i="19" s="1"/>
  <c r="F1807" i="19" s="1"/>
  <c r="D1430" i="19"/>
  <c r="E1430" i="19" s="1"/>
  <c r="F1430" i="19" s="1"/>
  <c r="D1721" i="19"/>
  <c r="E1721" i="19" s="1"/>
  <c r="F1721" i="19" s="1"/>
  <c r="D1823" i="19"/>
  <c r="E1823" i="19" s="1"/>
  <c r="F1823" i="19" s="1"/>
  <c r="D503" i="19"/>
  <c r="E503" i="19" s="1"/>
  <c r="F503" i="19" s="1"/>
  <c r="D1489" i="19"/>
  <c r="E1489" i="19" s="1"/>
  <c r="F1489" i="19" s="1"/>
  <c r="D1440" i="19"/>
  <c r="E1440" i="19" s="1"/>
  <c r="F1440" i="19" s="1"/>
  <c r="D674" i="19"/>
  <c r="E674" i="19" s="1"/>
  <c r="F674" i="19" s="1"/>
  <c r="D1318" i="19"/>
  <c r="E1318" i="19" s="1"/>
  <c r="F1318" i="19" s="1"/>
  <c r="D1835" i="19"/>
  <c r="E1835" i="19" s="1"/>
  <c r="F1835" i="19" s="1"/>
  <c r="D1044" i="19"/>
  <c r="E1044" i="19" s="1"/>
  <c r="F1044" i="19" s="1"/>
  <c r="D1751" i="19"/>
  <c r="E1751" i="19" s="1"/>
  <c r="F1751" i="19" s="1"/>
  <c r="D1745" i="19"/>
  <c r="E1745" i="19" s="1"/>
  <c r="F1745" i="19" s="1"/>
  <c r="D1678" i="19"/>
  <c r="E1678" i="19" s="1"/>
  <c r="F1678" i="19" s="1"/>
  <c r="D1921" i="19"/>
  <c r="E1921" i="19" s="1"/>
  <c r="F1921" i="19" s="1"/>
  <c r="D1422" i="19"/>
  <c r="E1422" i="19" s="1"/>
  <c r="F1422" i="19" s="1"/>
  <c r="D1749" i="19"/>
  <c r="E1749" i="19" s="1"/>
  <c r="F1749" i="19" s="1"/>
  <c r="D1255" i="19"/>
  <c r="E1255" i="19" s="1"/>
  <c r="F1255" i="19" s="1"/>
  <c r="D1557" i="19"/>
  <c r="E1557" i="19" s="1"/>
  <c r="F1557" i="19" s="1"/>
  <c r="D1423" i="19"/>
  <c r="E1423" i="19" s="1"/>
  <c r="F1423" i="19" s="1"/>
  <c r="D1454" i="19"/>
  <c r="E1454" i="19" s="1"/>
  <c r="F1454" i="19" s="1"/>
  <c r="D1192" i="19"/>
  <c r="E1192" i="19" s="1"/>
  <c r="F1192" i="19" s="1"/>
  <c r="D1863" i="19"/>
  <c r="E1863" i="19" s="1"/>
  <c r="F1863" i="19" s="1"/>
  <c r="D1769" i="19"/>
  <c r="E1769" i="19" s="1"/>
  <c r="F1769" i="19" s="1"/>
  <c r="D1704" i="19"/>
  <c r="E1704" i="19" s="1"/>
  <c r="F1704" i="19" s="1"/>
  <c r="D1741" i="19"/>
  <c r="E1741" i="19" s="1"/>
  <c r="F1741" i="19" s="1"/>
  <c r="D1186" i="19"/>
  <c r="E1186" i="19" s="1"/>
  <c r="F1186" i="19" s="1"/>
  <c r="D1535" i="19"/>
  <c r="E1535" i="19" s="1"/>
  <c r="F1535" i="19" s="1"/>
  <c r="D1624" i="19"/>
  <c r="E1624" i="19" s="1"/>
  <c r="F1624" i="19" s="1"/>
  <c r="D764" i="19"/>
  <c r="E764" i="19" s="1"/>
  <c r="F764" i="19" s="1"/>
  <c r="D1845" i="19"/>
  <c r="E1845" i="19" s="1"/>
  <c r="F1845" i="19" s="1"/>
  <c r="D1405" i="19"/>
  <c r="E1405" i="19" s="1"/>
  <c r="F1405" i="19" s="1"/>
  <c r="D1287" i="19"/>
  <c r="E1287" i="19" s="1"/>
  <c r="F1287" i="19" s="1"/>
  <c r="D1491" i="19"/>
  <c r="E1491" i="19" s="1"/>
  <c r="F1491" i="19" s="1"/>
  <c r="D1744" i="19"/>
  <c r="E1744" i="19" s="1"/>
  <c r="F1744" i="19" s="1"/>
  <c r="D1384" i="19"/>
  <c r="E1384" i="19" s="1"/>
  <c r="F1384" i="19" s="1"/>
  <c r="D1117" i="19"/>
  <c r="E1117" i="19" s="1"/>
  <c r="F1117" i="19" s="1"/>
  <c r="D1892" i="19"/>
  <c r="E1892" i="19" s="1"/>
  <c r="F1892" i="19" s="1"/>
  <c r="D1904" i="19"/>
  <c r="E1904" i="19" s="1"/>
  <c r="F1904" i="19" s="1"/>
  <c r="D1144" i="19"/>
  <c r="E1144" i="19" s="1"/>
  <c r="F1144" i="19" s="1"/>
  <c r="D938" i="19"/>
  <c r="E938" i="19" s="1"/>
  <c r="F938" i="19" s="1"/>
  <c r="D1587" i="19"/>
  <c r="E1587" i="19" s="1"/>
  <c r="F1587" i="19" s="1"/>
  <c r="D1855" i="19"/>
  <c r="E1855" i="19" s="1"/>
  <c r="F1855" i="19" s="1"/>
  <c r="D1631" i="19"/>
  <c r="E1631" i="19" s="1"/>
  <c r="F1631" i="19" s="1"/>
  <c r="D1903" i="19"/>
  <c r="E1903" i="19" s="1"/>
  <c r="F1903" i="19" s="1"/>
  <c r="D1758" i="19"/>
  <c r="E1758" i="19" s="1"/>
  <c r="F1758" i="19" s="1"/>
  <c r="D1456" i="19"/>
  <c r="E1456" i="19" s="1"/>
  <c r="F1456" i="19" s="1"/>
  <c r="D1968" i="19"/>
  <c r="E1968" i="19" s="1"/>
  <c r="F1968" i="19" s="1"/>
  <c r="D1421" i="19"/>
  <c r="E1421" i="19" s="1"/>
  <c r="F1421" i="19" s="1"/>
  <c r="D1886" i="19"/>
  <c r="E1886" i="19" s="1"/>
  <c r="F1886" i="19" s="1"/>
  <c r="D1628" i="19"/>
  <c r="E1628" i="19" s="1"/>
  <c r="F1628" i="19" s="1"/>
  <c r="D1140" i="19"/>
  <c r="E1140" i="19" s="1"/>
  <c r="F1140" i="19" s="1"/>
  <c r="D1922" i="19"/>
  <c r="E1922" i="19" s="1"/>
  <c r="F1922" i="19" s="1"/>
  <c r="D1774" i="19"/>
  <c r="E1774" i="19" s="1"/>
  <c r="F1774" i="19" s="1"/>
  <c r="D1525" i="19"/>
  <c r="E1525" i="19" s="1"/>
  <c r="F1525" i="19" s="1"/>
  <c r="D1368" i="19"/>
  <c r="E1368" i="19" s="1"/>
  <c r="F1368" i="19" s="1"/>
  <c r="D1139" i="19"/>
  <c r="E1139" i="19" s="1"/>
  <c r="F1139" i="19" s="1"/>
  <c r="D1576" i="19"/>
  <c r="E1576" i="19" s="1"/>
  <c r="F1576" i="19" s="1"/>
  <c r="D1118" i="19"/>
  <c r="E1118" i="19" s="1"/>
  <c r="F1118" i="19" s="1"/>
  <c r="D1059" i="19"/>
  <c r="E1059" i="19" s="1"/>
  <c r="F1059" i="19" s="1"/>
  <c r="D1242" i="19"/>
  <c r="E1242" i="19" s="1"/>
  <c r="F1242" i="19" s="1"/>
  <c r="D619" i="19"/>
  <c r="E619" i="19" s="1"/>
  <c r="F619" i="19" s="1"/>
  <c r="D1853" i="19"/>
  <c r="E1853" i="19" s="1"/>
  <c r="F1853" i="19" s="1"/>
  <c r="D1813" i="19"/>
  <c r="E1813" i="19" s="1"/>
  <c r="F1813" i="19" s="1"/>
  <c r="D1656" i="19"/>
  <c r="E1656" i="19" s="1"/>
  <c r="F1656" i="19" s="1"/>
  <c r="D806" i="19"/>
  <c r="E806" i="19" s="1"/>
  <c r="F806" i="19" s="1"/>
  <c r="D1970" i="19"/>
  <c r="E1970" i="19" s="1"/>
  <c r="F1970" i="19" s="1"/>
  <c r="D1806" i="19"/>
  <c r="E1806" i="19" s="1"/>
  <c r="F1806" i="19" s="1"/>
  <c r="D1017" i="19"/>
  <c r="E1017" i="19" s="1"/>
  <c r="F1017" i="19" s="1"/>
  <c r="D1420" i="19"/>
  <c r="E1420" i="19" s="1"/>
  <c r="F1420" i="19" s="1"/>
  <c r="D1365" i="19"/>
  <c r="E1365" i="19" s="1"/>
  <c r="F1365" i="19" s="1"/>
  <c r="D739" i="19"/>
  <c r="E739" i="19" s="1"/>
  <c r="F739" i="19" s="1"/>
  <c r="D1917" i="19"/>
  <c r="E1917" i="19" s="1"/>
  <c r="F1917" i="19" s="1"/>
  <c r="D1640" i="19"/>
  <c r="E1640" i="19" s="1"/>
  <c r="F1640" i="19" s="1"/>
  <c r="D1371" i="19"/>
  <c r="E1371" i="19" s="1"/>
  <c r="F1371" i="19" s="1"/>
  <c r="D952" i="19"/>
  <c r="E952" i="19" s="1"/>
  <c r="F952" i="19" s="1"/>
  <c r="D667" i="19"/>
  <c r="E667" i="19" s="1"/>
  <c r="F667" i="19" s="1"/>
  <c r="D1354" i="19"/>
  <c r="E1354" i="19" s="1"/>
  <c r="F1354" i="19" s="1"/>
  <c r="D1698" i="19"/>
  <c r="E1698" i="19" s="1"/>
  <c r="F1698" i="19" s="1"/>
  <c r="D1034" i="19"/>
  <c r="E1034" i="19" s="1"/>
  <c r="F1034" i="19" s="1"/>
  <c r="D783" i="19"/>
  <c r="E783" i="19" s="1"/>
  <c r="F783" i="19" s="1"/>
  <c r="D443" i="19"/>
  <c r="E443" i="19" s="1"/>
  <c r="F443" i="19" s="1"/>
  <c r="D1178" i="19"/>
  <c r="E1178" i="19" s="1"/>
  <c r="F1178" i="19" s="1"/>
  <c r="D1588" i="19"/>
  <c r="E1588" i="19" s="1"/>
  <c r="F1588" i="19" s="1"/>
  <c r="D860" i="19"/>
  <c r="E860" i="19" s="1"/>
  <c r="F860" i="19" s="1"/>
  <c r="D1073" i="19"/>
  <c r="E1073" i="19" s="1"/>
  <c r="F1073" i="19" s="1"/>
  <c r="D1789" i="19"/>
  <c r="E1789" i="19" s="1"/>
  <c r="F1789" i="19" s="1"/>
  <c r="D1008" i="19"/>
  <c r="E1008" i="19" s="1"/>
  <c r="F1008" i="19" s="1"/>
  <c r="D1711" i="19"/>
  <c r="E1711" i="19" s="1"/>
  <c r="F1711" i="19" s="1"/>
  <c r="D1542" i="19"/>
  <c r="E1542" i="19" s="1"/>
  <c r="F1542" i="19" s="1"/>
  <c r="D1553" i="19"/>
  <c r="E1553" i="19" s="1"/>
  <c r="F1553" i="19" s="1"/>
  <c r="D1509" i="19"/>
  <c r="E1509" i="19" s="1"/>
  <c r="F1509" i="19" s="1"/>
  <c r="D1837" i="19"/>
  <c r="E1837" i="19" s="1"/>
  <c r="F1837" i="19" s="1"/>
  <c r="D1211" i="19"/>
  <c r="E1211" i="19" s="1"/>
  <c r="F1211" i="19" s="1"/>
  <c r="D1675" i="19"/>
  <c r="E1675" i="19" s="1"/>
  <c r="F1675" i="19" s="1"/>
  <c r="D970" i="19"/>
  <c r="E970" i="19" s="1"/>
  <c r="F970" i="19" s="1"/>
  <c r="D1687" i="19"/>
  <c r="E1687" i="19" s="1"/>
  <c r="F1687" i="19" s="1"/>
  <c r="D1636" i="19"/>
  <c r="E1636" i="19" s="1"/>
  <c r="F1636" i="19" s="1"/>
  <c r="D1718" i="19"/>
  <c r="E1718" i="19" s="1"/>
  <c r="F1718" i="19" s="1"/>
  <c r="D1765" i="19"/>
  <c r="E1765" i="19" s="1"/>
  <c r="F1765" i="19" s="1"/>
  <c r="D920" i="19"/>
  <c r="E920" i="19" s="1"/>
  <c r="F920" i="19" s="1"/>
  <c r="D1546" i="19"/>
  <c r="E1546" i="19" s="1"/>
  <c r="F1546" i="19" s="1"/>
  <c r="D1817" i="19"/>
  <c r="E1817" i="19" s="1"/>
  <c r="F1817" i="19" s="1"/>
  <c r="D1827" i="19"/>
  <c r="E1827" i="19" s="1"/>
  <c r="F1827" i="19" s="1"/>
  <c r="D1794" i="19"/>
  <c r="E1794" i="19" s="1"/>
  <c r="F1794" i="19" s="1"/>
  <c r="D1573" i="19"/>
  <c r="E1573" i="19" s="1"/>
  <c r="F1573" i="19" s="1"/>
  <c r="D1006" i="19"/>
  <c r="E1006" i="19" s="1"/>
  <c r="F1006" i="19" s="1"/>
  <c r="D1402" i="19"/>
  <c r="E1402" i="19" s="1"/>
  <c r="F1402" i="19" s="1"/>
  <c r="D1350" i="19"/>
  <c r="E1350" i="19" s="1"/>
  <c r="F1350" i="19" s="1"/>
  <c r="D1133" i="19"/>
  <c r="E1133" i="19" s="1"/>
  <c r="F1133" i="19" s="1"/>
  <c r="D1836" i="19"/>
  <c r="E1836" i="19" s="1"/>
  <c r="F1836" i="19" s="1"/>
  <c r="D1876" i="19"/>
  <c r="E1876" i="19" s="1"/>
  <c r="F1876" i="19" s="1"/>
  <c r="D1742" i="19"/>
  <c r="E1742" i="19" s="1"/>
  <c r="F1742" i="19" s="1"/>
  <c r="D1392" i="19"/>
  <c r="E1392" i="19" s="1"/>
  <c r="F1392" i="19" s="1"/>
  <c r="D1923" i="19"/>
  <c r="E1923" i="19" s="1"/>
  <c r="F1923" i="19" s="1"/>
  <c r="D1971" i="19"/>
  <c r="E1971" i="19" s="1"/>
  <c r="F1971" i="19" s="1"/>
  <c r="D1712" i="19"/>
  <c r="E1712" i="19" s="1"/>
  <c r="F1712" i="19" s="1"/>
  <c r="D1873" i="19"/>
  <c r="E1873" i="19" s="1"/>
  <c r="F1873" i="19" s="1"/>
  <c r="D1820" i="19"/>
  <c r="E1820" i="19" s="1"/>
  <c r="F1820" i="19" s="1"/>
  <c r="D1545" i="19"/>
  <c r="E1545" i="19" s="1"/>
  <c r="F1545" i="19" s="1"/>
  <c r="D1670" i="19"/>
  <c r="E1670" i="19" s="1"/>
  <c r="F1670" i="19" s="1"/>
  <c r="D1669" i="19"/>
  <c r="E1669" i="19" s="1"/>
  <c r="F1669" i="19" s="1"/>
  <c r="D1108" i="19"/>
  <c r="E1108" i="19" s="1"/>
  <c r="F1108" i="19" s="1"/>
  <c r="D1439" i="19"/>
  <c r="E1439" i="19" s="1"/>
  <c r="F1439" i="19" s="1"/>
  <c r="D1992" i="19"/>
  <c r="E1992" i="19" s="1"/>
  <c r="F1992" i="19" s="1"/>
  <c r="D1336" i="19"/>
  <c r="E1336" i="19" s="1"/>
  <c r="F1336" i="19" s="1"/>
  <c r="D1569" i="19"/>
  <c r="E1569" i="19" s="1"/>
  <c r="F1569" i="19" s="1"/>
  <c r="D1276" i="19"/>
  <c r="E1276" i="19" s="1"/>
  <c r="F1276" i="19" s="1"/>
  <c r="D1602" i="19"/>
  <c r="E1602" i="19" s="1"/>
  <c r="F1602" i="19" s="1"/>
  <c r="D1739" i="19"/>
  <c r="E1739" i="19" s="1"/>
  <c r="F1739" i="19" s="1"/>
  <c r="D1377" i="19"/>
  <c r="E1377" i="19" s="1"/>
  <c r="F1377" i="19" s="1"/>
  <c r="D1500" i="19"/>
  <c r="E1500" i="19" s="1"/>
  <c r="F1500" i="19" s="1"/>
  <c r="D1752" i="19"/>
  <c r="E1752" i="19" s="1"/>
  <c r="F1752" i="19" s="1"/>
  <c r="D1829" i="19"/>
  <c r="E1829" i="19" s="1"/>
  <c r="F1829" i="19" s="1"/>
  <c r="D1170" i="19"/>
  <c r="E1170" i="19" s="1"/>
  <c r="F1170" i="19" s="1"/>
  <c r="D1527" i="19"/>
  <c r="E1527" i="19" s="1"/>
  <c r="F1527" i="19" s="1"/>
  <c r="D1029" i="19"/>
  <c r="E1029" i="19" s="1"/>
  <c r="F1029" i="19" s="1"/>
  <c r="D1049" i="19"/>
  <c r="E1049" i="19" s="1"/>
  <c r="F1049" i="19" s="1"/>
  <c r="D1964" i="19"/>
  <c r="E1964" i="19" s="1"/>
  <c r="F1964" i="19" s="1"/>
  <c r="D548" i="19"/>
  <c r="E548" i="19" s="1"/>
  <c r="F548" i="19" s="1"/>
  <c r="D1037" i="19"/>
  <c r="E1037" i="19" s="1"/>
  <c r="F1037" i="19" s="1"/>
  <c r="D1909" i="19"/>
  <c r="E1909" i="19" s="1"/>
  <c r="F1909" i="19" s="1"/>
  <c r="D1025" i="19"/>
  <c r="E1025" i="19" s="1"/>
  <c r="F1025" i="19" s="1"/>
  <c r="D1997" i="19"/>
  <c r="E1997" i="19" s="1"/>
  <c r="F1997" i="19" s="1"/>
  <c r="D1520" i="19"/>
  <c r="E1520" i="19" s="1"/>
  <c r="F1520" i="19" s="1"/>
  <c r="D1112" i="19"/>
  <c r="E1112" i="19" s="1"/>
  <c r="F1112" i="19" s="1"/>
  <c r="D1435" i="19"/>
  <c r="E1435" i="19" s="1"/>
  <c r="F1435" i="19" s="1"/>
  <c r="D1987" i="19"/>
  <c r="E1987" i="19" s="1"/>
  <c r="F1987" i="19" s="1"/>
  <c r="D1989" i="19"/>
  <c r="E1989" i="19" s="1"/>
  <c r="F1989" i="19" s="1"/>
  <c r="D1480" i="19"/>
  <c r="E1480" i="19" s="1"/>
  <c r="F1480" i="19" s="1"/>
  <c r="D1595" i="19"/>
  <c r="E1595" i="19" s="1"/>
  <c r="F1595" i="19" s="1"/>
  <c r="D1753" i="19"/>
  <c r="E1753" i="19" s="1"/>
  <c r="F1753" i="19" s="1"/>
  <c r="D1035" i="19"/>
  <c r="E1035" i="19" s="1"/>
  <c r="F1035" i="19" s="1"/>
  <c r="D1503" i="19"/>
  <c r="E1503" i="19" s="1"/>
  <c r="F1503" i="19" s="1"/>
  <c r="D1499" i="19"/>
  <c r="E1499" i="19" s="1"/>
  <c r="F1499" i="19" s="1"/>
  <c r="D1902" i="19"/>
  <c r="E1902" i="19" s="1"/>
  <c r="F1902" i="19" s="1"/>
  <c r="D1190" i="19"/>
  <c r="E1190" i="19" s="1"/>
  <c r="F1190" i="19" s="1"/>
  <c r="D1400" i="19"/>
  <c r="E1400" i="19" s="1"/>
  <c r="F1400" i="19" s="1"/>
  <c r="D1387" i="19"/>
  <c r="E1387" i="19" s="1"/>
  <c r="F1387" i="19" s="1"/>
  <c r="D1372" i="19"/>
  <c r="E1372" i="19" s="1"/>
  <c r="F1372" i="19" s="1"/>
  <c r="D1302" i="19"/>
  <c r="E1302" i="19" s="1"/>
  <c r="F1302" i="19" s="1"/>
  <c r="D1485" i="19"/>
  <c r="E1485" i="19" s="1"/>
  <c r="F1485" i="19" s="1"/>
  <c r="D1870" i="19"/>
  <c r="E1870" i="19" s="1"/>
  <c r="F1870" i="19" s="1"/>
  <c r="D1246" i="19"/>
  <c r="E1246" i="19" s="1"/>
  <c r="F1246" i="19" s="1"/>
  <c r="D1490" i="19"/>
  <c r="E1490" i="19" s="1"/>
  <c r="F1490" i="19" s="1"/>
  <c r="D1581" i="19"/>
  <c r="E1581" i="19" s="1"/>
  <c r="F1581" i="19" s="1"/>
  <c r="D1419" i="19"/>
  <c r="E1419" i="19" s="1"/>
  <c r="F1419" i="19" s="1"/>
  <c r="D1404" i="19"/>
  <c r="E1404" i="19" s="1"/>
  <c r="F1404" i="19" s="1"/>
  <c r="D1399" i="19"/>
  <c r="E1399" i="19" s="1"/>
  <c r="F1399" i="19" s="1"/>
  <c r="D1517" i="19"/>
  <c r="E1517" i="19" s="1"/>
  <c r="F1517" i="19" s="1"/>
  <c r="D1860" i="19"/>
  <c r="E1860" i="19" s="1"/>
  <c r="F1860" i="19" s="1"/>
  <c r="D1792" i="19"/>
  <c r="E1792" i="19" s="1"/>
  <c r="F1792" i="19" s="1"/>
  <c r="D1888" i="19"/>
  <c r="E1888" i="19" s="1"/>
  <c r="F1888" i="19" s="1"/>
  <c r="D1346" i="19"/>
  <c r="E1346" i="19" s="1"/>
  <c r="F1346" i="19" s="1"/>
  <c r="D1024" i="19"/>
  <c r="E1024" i="19" s="1"/>
  <c r="F1024" i="19" s="1"/>
  <c r="D1824" i="19"/>
  <c r="E1824" i="19" s="1"/>
  <c r="F1824" i="19" s="1"/>
  <c r="D1041" i="19"/>
  <c r="E1041" i="19" s="1"/>
  <c r="F1041" i="19" s="1"/>
  <c r="D1999" i="19"/>
  <c r="E1999" i="19" s="1"/>
  <c r="F1999" i="19" s="1"/>
  <c r="D1056" i="19"/>
  <c r="E1056" i="19" s="1"/>
  <c r="F1056" i="19" s="1"/>
  <c r="D1899" i="19"/>
  <c r="E1899" i="19" s="1"/>
  <c r="F1899" i="19" s="1"/>
  <c r="D852" i="19"/>
  <c r="E852" i="19" s="1"/>
  <c r="F852" i="19" s="1"/>
  <c r="D948" i="19"/>
  <c r="E948" i="19" s="1"/>
  <c r="F948" i="19" s="1"/>
  <c r="D1664" i="19"/>
  <c r="E1664" i="19" s="1"/>
  <c r="F1664" i="19" s="1"/>
  <c r="D1340" i="19"/>
  <c r="E1340" i="19" s="1"/>
  <c r="F1340" i="19" s="1"/>
  <c r="D1695" i="19"/>
  <c r="E1695" i="19" s="1"/>
  <c r="F1695" i="19" s="1"/>
  <c r="D1842" i="19"/>
  <c r="E1842" i="19" s="1"/>
  <c r="F1842" i="19" s="1"/>
  <c r="D1864" i="19"/>
  <c r="E1864" i="19" s="1"/>
  <c r="F1864" i="19" s="1"/>
  <c r="D1437" i="19"/>
  <c r="E1437" i="19" s="1"/>
  <c r="F1437" i="19" s="1"/>
  <c r="D1195" i="19"/>
  <c r="E1195" i="19" s="1"/>
  <c r="F1195" i="19" s="1"/>
  <c r="D1134" i="19"/>
  <c r="E1134" i="19" s="1"/>
  <c r="F1134" i="19" s="1"/>
  <c r="D1728" i="19"/>
  <c r="E1728" i="19" s="1"/>
  <c r="F1728" i="19" s="1"/>
  <c r="D1598" i="19"/>
  <c r="E1598" i="19" s="1"/>
  <c r="F1598" i="19" s="1"/>
  <c r="D1383" i="19"/>
  <c r="E1383" i="19" s="1"/>
  <c r="F1383" i="19" s="1"/>
  <c r="D1409" i="19"/>
  <c r="E1409" i="19" s="1"/>
  <c r="F1409" i="19" s="1"/>
  <c r="D489" i="19"/>
  <c r="E489" i="19" s="1"/>
  <c r="F489" i="19" s="1"/>
  <c r="D1158" i="19"/>
  <c r="E1158" i="19" s="1"/>
  <c r="F1158" i="19" s="1"/>
  <c r="D1949" i="19"/>
  <c r="E1949" i="19" s="1"/>
  <c r="F1949" i="19" s="1"/>
  <c r="D1445" i="19"/>
  <c r="E1445" i="19" s="1"/>
  <c r="F1445" i="19" s="1"/>
  <c r="D1110" i="19"/>
  <c r="E1110" i="19" s="1"/>
  <c r="F1110" i="19" s="1"/>
  <c r="D940" i="19"/>
  <c r="E940" i="19" s="1"/>
  <c r="F940" i="19" s="1"/>
  <c r="D1731" i="19"/>
  <c r="E1731" i="19" s="1"/>
  <c r="F1731" i="19" s="1"/>
  <c r="D1727" i="19"/>
  <c r="E1727" i="19" s="1"/>
  <c r="F1727" i="19" s="1"/>
  <c r="D883" i="19"/>
  <c r="E883" i="19" s="1"/>
  <c r="F883" i="19" s="1"/>
  <c r="D1254" i="19"/>
  <c r="E1254" i="19" s="1"/>
  <c r="F1254" i="19" s="1"/>
  <c r="D1991" i="19"/>
  <c r="E1991" i="19" s="1"/>
  <c r="F1991" i="19" s="1"/>
  <c r="D1571" i="19"/>
  <c r="E1571" i="19" s="1"/>
  <c r="F1571" i="19" s="1"/>
  <c r="D1693" i="19"/>
  <c r="E1693" i="19" s="1"/>
  <c r="F1693" i="19" s="1"/>
  <c r="D1227" i="19"/>
  <c r="E1227" i="19" s="1"/>
  <c r="F1227" i="19" s="1"/>
  <c r="D1872" i="19"/>
  <c r="E1872" i="19" s="1"/>
  <c r="F1872" i="19" s="1"/>
  <c r="D1155" i="19"/>
  <c r="E1155" i="19" s="1"/>
  <c r="F1155" i="19" s="1"/>
  <c r="D1937" i="19"/>
  <c r="E1937" i="19" s="1"/>
  <c r="F1937" i="19" s="1"/>
  <c r="D1459" i="19"/>
  <c r="E1459" i="19" s="1"/>
  <c r="F1459" i="19" s="1"/>
  <c r="D1844" i="19"/>
  <c r="E1844" i="19" s="1"/>
  <c r="F1844" i="19" s="1"/>
  <c r="D1726" i="19"/>
  <c r="E1726" i="19" s="1"/>
  <c r="F1726" i="19" s="1"/>
  <c r="D1292" i="19"/>
  <c r="E1292" i="19" s="1"/>
  <c r="F1292" i="19" s="1"/>
  <c r="D1839" i="19"/>
  <c r="E1839" i="19" s="1"/>
  <c r="F1839" i="19" s="1"/>
  <c r="D1877" i="19"/>
  <c r="E1877" i="19" s="1"/>
  <c r="F1877" i="19" s="1"/>
  <c r="D1570" i="19"/>
  <c r="E1570" i="19" s="1"/>
  <c r="F1570" i="19" s="1"/>
  <c r="D1493" i="19"/>
  <c r="E1493" i="19" s="1"/>
  <c r="F1493" i="19" s="1"/>
  <c r="D1994" i="19"/>
  <c r="E1994" i="19" s="1"/>
  <c r="F1994" i="19" s="1"/>
  <c r="D1800" i="19"/>
  <c r="E1800" i="19" s="1"/>
  <c r="F1800" i="19" s="1"/>
  <c r="D1619" i="19"/>
  <c r="E1619" i="19" s="1"/>
  <c r="F1619" i="19" s="1"/>
  <c r="D704" i="19"/>
  <c r="E704" i="19" s="1"/>
  <c r="F704" i="19" s="1"/>
  <c r="D1811" i="19"/>
  <c r="E1811" i="19" s="1"/>
  <c r="F1811" i="19" s="1"/>
  <c r="D1665" i="19"/>
  <c r="E1665" i="19" s="1"/>
  <c r="F1665" i="19" s="1"/>
  <c r="D1924" i="19"/>
  <c r="E1924" i="19" s="1"/>
  <c r="F1924" i="19" s="1"/>
  <c r="D1282" i="19"/>
  <c r="E1282" i="19" s="1"/>
  <c r="F1282" i="19" s="1"/>
  <c r="D1583" i="19"/>
  <c r="E1583" i="19" s="1"/>
  <c r="F1583" i="19" s="1"/>
  <c r="D1830" i="19"/>
  <c r="E1830" i="19" s="1"/>
  <c r="F1830" i="19" s="1"/>
  <c r="D1213" i="19"/>
  <c r="E1213" i="19" s="1"/>
  <c r="F1213" i="19" s="1"/>
  <c r="D1947" i="19"/>
  <c r="E1947" i="19" s="1"/>
  <c r="F1947" i="19" s="1"/>
  <c r="D1486" i="19"/>
  <c r="E1486" i="19" s="1"/>
  <c r="F1486" i="19" s="1"/>
  <c r="D1957" i="19"/>
  <c r="E1957" i="19" s="1"/>
  <c r="F1957" i="19" s="1"/>
  <c r="D964" i="19"/>
  <c r="E964" i="19" s="1"/>
  <c r="F964" i="19" s="1"/>
  <c r="D724" i="19"/>
  <c r="E724" i="19" s="1"/>
  <c r="F724" i="19" s="1"/>
  <c r="D705" i="19"/>
  <c r="E705" i="19" s="1"/>
  <c r="F705" i="19" s="1"/>
  <c r="D924" i="19"/>
  <c r="E924" i="19" s="1"/>
  <c r="F924" i="19" s="1"/>
  <c r="D1851" i="19"/>
  <c r="E1851" i="19" s="1"/>
  <c r="F1851" i="19" s="1"/>
  <c r="D1840" i="19"/>
  <c r="E1840" i="19" s="1"/>
  <c r="F1840" i="19" s="1"/>
  <c r="D1398" i="19"/>
  <c r="E1398" i="19" s="1"/>
  <c r="F1398" i="19" s="1"/>
  <c r="D1643" i="19"/>
  <c r="E1643" i="19" s="1"/>
  <c r="F1643" i="19" s="1"/>
  <c r="D1975" i="19"/>
  <c r="E1975" i="19" s="1"/>
  <c r="F1975" i="19" s="1"/>
  <c r="D1259" i="19"/>
  <c r="E1259" i="19" s="1"/>
  <c r="F1259" i="19" s="1"/>
  <c r="D1942" i="19"/>
  <c r="E1942" i="19" s="1"/>
  <c r="F1942" i="19" s="1"/>
  <c r="D1945" i="19"/>
  <c r="E1945" i="19" s="1"/>
  <c r="F1945" i="19" s="1"/>
  <c r="D1799" i="19"/>
  <c r="E1799" i="19" s="1"/>
  <c r="F1799" i="19" s="1"/>
  <c r="D1589" i="19"/>
  <c r="E1589" i="19" s="1"/>
  <c r="F1589" i="19" s="1"/>
  <c r="D1854" i="19"/>
  <c r="E1854" i="19" s="1"/>
  <c r="F1854" i="19" s="1"/>
  <c r="D1871" i="19"/>
  <c r="E1871" i="19" s="1"/>
  <c r="F1871" i="19" s="1"/>
  <c r="D1381" i="19"/>
  <c r="E1381" i="19" s="1"/>
  <c r="F1381" i="19" s="1"/>
  <c r="D1757" i="19"/>
  <c r="E1757" i="19" s="1"/>
  <c r="F1757" i="19" s="1"/>
  <c r="D1149" i="19"/>
  <c r="E1149" i="19" s="1"/>
  <c r="F1149" i="19" s="1"/>
  <c r="D1426" i="19"/>
  <c r="E1426" i="19" s="1"/>
  <c r="F1426" i="19" s="1"/>
  <c r="D1558" i="19"/>
  <c r="E1558" i="19" s="1"/>
  <c r="F1558" i="19" s="1"/>
  <c r="D1925" i="19"/>
  <c r="E1925" i="19" s="1"/>
  <c r="F1925" i="19" s="1"/>
  <c r="D1475" i="19"/>
  <c r="E1475" i="19" s="1"/>
  <c r="F1475" i="19" s="1"/>
  <c r="D1442" i="19"/>
  <c r="E1442" i="19" s="1"/>
  <c r="F1442" i="19" s="1"/>
  <c r="D1345" i="19"/>
  <c r="E1345" i="19" s="1"/>
  <c r="F1345" i="19" s="1"/>
  <c r="D1278" i="19"/>
  <c r="E1278" i="19" s="1"/>
  <c r="F1278" i="19" s="1"/>
  <c r="D1615" i="19"/>
  <c r="E1615" i="19" s="1"/>
  <c r="F1615" i="19" s="1"/>
  <c r="D1933" i="19"/>
  <c r="E1933" i="19" s="1"/>
  <c r="F1933" i="19" s="1"/>
  <c r="D996" i="19"/>
  <c r="E996" i="19" s="1"/>
  <c r="F996" i="19" s="1"/>
  <c r="D1626" i="19"/>
  <c r="E1626" i="19" s="1"/>
  <c r="F1626" i="19" s="1"/>
  <c r="D1954" i="19"/>
  <c r="E1954" i="19" s="1"/>
  <c r="F1954" i="19" s="1"/>
  <c r="D1625" i="19"/>
  <c r="E1625" i="19" s="1"/>
  <c r="F1625" i="19" s="1"/>
  <c r="D1448" i="19"/>
  <c r="E1448" i="19" s="1"/>
  <c r="F1448" i="19" s="1"/>
  <c r="D683" i="19"/>
  <c r="E683" i="19" s="1"/>
  <c r="F683" i="19" s="1"/>
  <c r="D1634" i="19"/>
  <c r="E1634" i="19" s="1"/>
  <c r="F1634" i="19" s="1"/>
  <c r="D1979" i="19"/>
  <c r="E1979" i="19" s="1"/>
  <c r="F1979" i="19" s="1"/>
  <c r="D1203" i="19"/>
  <c r="E1203" i="19" s="1"/>
  <c r="F1203" i="19" s="1"/>
  <c r="D1867" i="19"/>
  <c r="E1867" i="19" s="1"/>
  <c r="F1867" i="19" s="1"/>
  <c r="D1649" i="19"/>
  <c r="E1649" i="19" s="1"/>
  <c r="F1649" i="19" s="1"/>
  <c r="D1623" i="19"/>
  <c r="E1623" i="19" s="1"/>
  <c r="F1623" i="19" s="1"/>
  <c r="D1825" i="19"/>
  <c r="E1825" i="19" s="1"/>
  <c r="F1825" i="19" s="1"/>
  <c r="D972" i="19"/>
  <c r="E972" i="19" s="1"/>
  <c r="F972" i="19" s="1"/>
  <c r="D1552" i="19"/>
  <c r="E1552" i="19" s="1"/>
  <c r="F1552" i="19" s="1"/>
  <c r="D1061" i="19"/>
  <c r="E1061" i="19" s="1"/>
  <c r="F1061" i="19" s="1"/>
  <c r="D1905" i="19"/>
  <c r="E1905" i="19" s="1"/>
  <c r="F1905" i="19" s="1"/>
  <c r="D1379" i="19"/>
  <c r="E1379" i="19" s="1"/>
  <c r="F1379" i="19" s="1"/>
  <c r="D1681" i="19"/>
  <c r="E1681" i="19" s="1"/>
  <c r="F1681" i="19" s="1"/>
  <c r="D1646" i="19"/>
  <c r="E1646" i="19" s="1"/>
  <c r="F1646" i="19" s="1"/>
  <c r="D1857" i="19"/>
  <c r="E1857" i="19" s="1"/>
  <c r="F1857" i="19" s="1"/>
  <c r="D1832" i="19"/>
  <c r="E1832" i="19" s="1"/>
  <c r="F1832" i="19" s="1"/>
  <c r="D1223" i="19"/>
  <c r="E1223" i="19" s="1"/>
  <c r="F1223" i="19" s="1"/>
  <c r="D1009" i="19"/>
  <c r="E1009" i="19" s="1"/>
  <c r="F1009" i="19" s="1"/>
  <c r="D1759" i="19"/>
  <c r="E1759" i="19" s="1"/>
  <c r="F1759" i="19" s="1"/>
  <c r="D1920" i="19"/>
  <c r="E1920" i="19" s="1"/>
  <c r="F1920" i="19" s="1"/>
  <c r="D1629" i="19"/>
  <c r="E1629" i="19" s="1"/>
  <c r="F1629" i="19" s="1"/>
  <c r="D1308" i="19"/>
  <c r="E1308" i="19" s="1"/>
  <c r="F1308" i="19" s="1"/>
  <c r="D1283" i="19"/>
  <c r="E1283" i="19" s="1"/>
  <c r="F1283" i="19" s="1"/>
  <c r="D1257" i="19"/>
  <c r="E1257" i="19" s="1"/>
  <c r="F1257" i="19" s="1"/>
  <c r="D1802" i="19"/>
  <c r="E1802" i="19" s="1"/>
  <c r="F1802" i="19" s="1"/>
  <c r="D1416" i="19"/>
  <c r="E1416" i="19" s="1"/>
  <c r="F1416" i="19" s="1"/>
  <c r="D1934" i="19"/>
  <c r="E1934" i="19" s="1"/>
  <c r="F1934" i="19" s="1"/>
  <c r="D1438" i="19"/>
  <c r="E1438" i="19" s="1"/>
  <c r="F1438" i="19" s="1"/>
  <c r="D1367" i="19"/>
  <c r="E1367" i="19" s="1"/>
  <c r="F1367" i="19" s="1"/>
  <c r="D1501" i="19"/>
  <c r="E1501" i="19" s="1"/>
  <c r="F1501" i="19" s="1"/>
  <c r="D1476" i="19"/>
  <c r="E1476" i="19" s="1"/>
  <c r="F1476" i="19" s="1"/>
  <c r="D1565" i="19"/>
  <c r="E1565" i="19" s="1"/>
  <c r="F1565" i="19" s="1"/>
  <c r="D1245" i="19"/>
  <c r="E1245" i="19" s="1"/>
  <c r="F1245" i="19" s="1"/>
  <c r="D1776" i="19"/>
  <c r="E1776" i="19" s="1"/>
  <c r="F1776" i="19" s="1"/>
  <c r="D933" i="19"/>
  <c r="E933" i="19" s="1"/>
  <c r="F933" i="19" s="1"/>
  <c r="D1291" i="19"/>
  <c r="E1291" i="19" s="1"/>
  <c r="F1291" i="19" s="1"/>
  <c r="D1659" i="19"/>
  <c r="E1659" i="19" s="1"/>
  <c r="F1659" i="19" s="1"/>
  <c r="D1238" i="19"/>
  <c r="E1238" i="19" s="1"/>
  <c r="F1238" i="19" s="1"/>
  <c r="D1657" i="19"/>
  <c r="E1657" i="19" s="1"/>
  <c r="F1657" i="19" s="1"/>
  <c r="D1689" i="19"/>
  <c r="E1689" i="19" s="1"/>
  <c r="F1689" i="19" s="1"/>
  <c r="D1142" i="19"/>
  <c r="E1142" i="19" s="1"/>
  <c r="F1142" i="19" s="1"/>
  <c r="D1918" i="19"/>
  <c r="E1918" i="19" s="1"/>
  <c r="F1918" i="19" s="1"/>
  <c r="D1667" i="19"/>
  <c r="E1667" i="19" s="1"/>
  <c r="F1667" i="19" s="1"/>
  <c r="D1579" i="19"/>
  <c r="E1579" i="19" s="1"/>
  <c r="F1579" i="19" s="1"/>
  <c r="D1564" i="19"/>
  <c r="E1564" i="19" s="1"/>
  <c r="F1564" i="19" s="1"/>
  <c r="D1735" i="19"/>
  <c r="E1735" i="19" s="1"/>
  <c r="F1735" i="19" s="1"/>
  <c r="D1906" i="19"/>
  <c r="E1906" i="19" s="1"/>
  <c r="F1906" i="19" s="1"/>
  <c r="D1685" i="19"/>
  <c r="E1685" i="19" s="1"/>
  <c r="F1685" i="19" s="1"/>
  <c r="D1051" i="19"/>
  <c r="E1051" i="19" s="1"/>
  <c r="F1051" i="19" s="1"/>
  <c r="D1841" i="19"/>
  <c r="E1841" i="19" s="1"/>
  <c r="F1841" i="19" s="1"/>
  <c r="D1045" i="19"/>
  <c r="E1045" i="19" s="1"/>
  <c r="F1045" i="19" s="1"/>
  <c r="D1469" i="19"/>
  <c r="E1469" i="19" s="1"/>
  <c r="F1469" i="19" s="1"/>
  <c r="D1451" i="19"/>
  <c r="E1451" i="19" s="1"/>
  <c r="F1451" i="19" s="1"/>
  <c r="D1436" i="19"/>
  <c r="E1436" i="19" s="1"/>
  <c r="F1436" i="19" s="1"/>
  <c r="D1463" i="19"/>
  <c r="E1463" i="19" s="1"/>
  <c r="F1463" i="19" s="1"/>
  <c r="D1549" i="19"/>
  <c r="E1549" i="19" s="1"/>
  <c r="F1549" i="19" s="1"/>
  <c r="D1413" i="19"/>
  <c r="E1413" i="19" s="1"/>
  <c r="F1413" i="19" s="1"/>
  <c r="D1930" i="19"/>
  <c r="E1930" i="19" s="1"/>
  <c r="F1930" i="19" s="1"/>
  <c r="D1621" i="19"/>
  <c r="E1621" i="19" s="1"/>
  <c r="F1621" i="19" s="1"/>
  <c r="D1771" i="19"/>
  <c r="E1771" i="19" s="1"/>
  <c r="F1771" i="19" s="1"/>
  <c r="D1265" i="19"/>
  <c r="E1265" i="19" s="1"/>
  <c r="F1265" i="19" s="1"/>
  <c r="D965" i="19"/>
  <c r="E965" i="19" s="1"/>
  <c r="F965" i="19" s="1"/>
  <c r="D1332" i="19"/>
  <c r="E1332" i="19" s="1"/>
  <c r="F1332" i="19" s="1"/>
  <c r="D984" i="19"/>
  <c r="E984" i="19" s="1"/>
  <c r="F984" i="19" s="1"/>
  <c r="D1951" i="19"/>
  <c r="E1951" i="19" s="1"/>
  <c r="F1951" i="19" s="1"/>
  <c r="D990" i="19"/>
  <c r="E990" i="19" s="1"/>
  <c r="F990" i="19" s="1"/>
  <c r="D1592" i="19"/>
  <c r="E1592" i="19" s="1"/>
  <c r="F1592" i="19" s="1"/>
  <c r="D1506" i="19"/>
  <c r="E1506" i="19" s="1"/>
  <c r="F1506" i="19" s="1"/>
  <c r="D1362" i="19"/>
  <c r="E1362" i="19" s="1"/>
  <c r="F1362" i="19" s="1"/>
  <c r="D1960" i="19"/>
  <c r="E1960" i="19" s="1"/>
  <c r="F1960" i="19" s="1"/>
  <c r="D1939" i="19"/>
  <c r="E1939" i="19" s="1"/>
  <c r="F1939" i="19" s="1"/>
  <c r="D1526" i="19"/>
  <c r="E1526" i="19" s="1"/>
  <c r="F1526" i="19" s="1"/>
  <c r="D1973" i="19"/>
  <c r="E1973" i="19" s="1"/>
  <c r="F1973" i="19" s="1"/>
  <c r="D1603" i="19"/>
  <c r="E1603" i="19" s="1"/>
  <c r="F1603" i="19" s="1"/>
  <c r="D1584" i="19"/>
  <c r="E1584" i="19" s="1"/>
  <c r="F1584" i="19" s="1"/>
  <c r="D895" i="19"/>
  <c r="E895" i="19" s="1"/>
  <c r="F895" i="19" s="1"/>
  <c r="D1378" i="19"/>
  <c r="E1378" i="19" s="1"/>
  <c r="F1378" i="19" s="1"/>
  <c r="D1331" i="19"/>
  <c r="E1331" i="19" s="1"/>
  <c r="F1331" i="19" s="1"/>
  <c r="D1707" i="19"/>
  <c r="E1707" i="19" s="1"/>
  <c r="F1707" i="19" s="1"/>
  <c r="D1424" i="19"/>
  <c r="E1424" i="19" s="1"/>
  <c r="F1424" i="19" s="1"/>
  <c r="D1797" i="19"/>
  <c r="E1797" i="19" s="1"/>
  <c r="F1797" i="19" s="1"/>
  <c r="D1374" i="19"/>
  <c r="E1374" i="19" s="1"/>
  <c r="F1374" i="19" s="1"/>
  <c r="D1240" i="19"/>
  <c r="E1240" i="19" s="1"/>
  <c r="F1240" i="19" s="1"/>
  <c r="D1309" i="19"/>
  <c r="E1309" i="19" s="1"/>
  <c r="F1309" i="19" s="1"/>
  <c r="D651" i="19"/>
  <c r="E651" i="19" s="1"/>
  <c r="F651" i="19" s="1"/>
  <c r="D1415" i="19"/>
  <c r="E1415" i="19" s="1"/>
  <c r="F1415" i="19" s="1"/>
  <c r="D1528" i="19"/>
  <c r="E1528" i="19" s="1"/>
  <c r="F1528" i="19" s="1"/>
  <c r="D1505" i="19"/>
  <c r="E1505" i="19" s="1"/>
  <c r="F1505" i="19" s="1"/>
  <c r="D1244" i="19"/>
  <c r="E1244" i="19" s="1"/>
  <c r="F1244" i="19" s="1"/>
  <c r="D1550" i="19"/>
  <c r="E1550" i="19" s="1"/>
  <c r="F1550" i="19" s="1"/>
  <c r="D1272" i="19"/>
  <c r="E1272" i="19" s="1"/>
  <c r="F1272" i="19" s="1"/>
  <c r="D1268" i="19"/>
  <c r="E1268" i="19" s="1"/>
  <c r="F1268" i="19" s="1"/>
  <c r="D1639" i="19"/>
  <c r="E1639" i="19" s="1"/>
  <c r="F1639" i="19" s="1"/>
  <c r="D1950" i="19"/>
  <c r="E1950" i="19" s="1"/>
  <c r="F1950" i="19" s="1"/>
  <c r="D1093" i="19"/>
  <c r="E1093" i="19" s="1"/>
  <c r="F1093" i="19" s="1"/>
  <c r="D1878" i="19"/>
  <c r="E1878" i="19" s="1"/>
  <c r="F1878" i="19" s="1"/>
  <c r="D1310" i="19"/>
  <c r="E1310" i="19" s="1"/>
  <c r="F1310" i="19" s="1"/>
  <c r="D1912" i="19"/>
  <c r="E1912" i="19" s="1"/>
  <c r="F1912" i="19" s="1"/>
  <c r="D1828" i="19"/>
  <c r="E1828" i="19" s="1"/>
  <c r="F1828" i="19" s="1"/>
  <c r="D930" i="19"/>
  <c r="E930" i="19" s="1"/>
  <c r="F930" i="19" s="1"/>
  <c r="D1663" i="19"/>
  <c r="E1663" i="19" s="1"/>
  <c r="F1663" i="19" s="1"/>
  <c r="D1560" i="19"/>
  <c r="E1560" i="19" s="1"/>
  <c r="F1560" i="19" s="1"/>
  <c r="D1601" i="19"/>
  <c r="E1601" i="19" s="1"/>
  <c r="F1601" i="19" s="1"/>
  <c r="D1297" i="19"/>
  <c r="E1297" i="19" s="1"/>
  <c r="F1297" i="19" s="1"/>
  <c r="D863" i="19"/>
  <c r="E863" i="19" s="1"/>
  <c r="F863" i="19" s="1"/>
  <c r="D1874" i="19"/>
  <c r="E1874" i="19" s="1"/>
  <c r="F1874" i="19" s="1"/>
  <c r="D796" i="19"/>
  <c r="E796" i="19" s="1"/>
  <c r="F796" i="19" s="1"/>
  <c r="D1983" i="19"/>
  <c r="E1983" i="19" s="1"/>
  <c r="F1983" i="19" s="1"/>
  <c r="D1544" i="19"/>
  <c r="E1544" i="19" s="1"/>
  <c r="F1544" i="19" s="1"/>
  <c r="D1977" i="19"/>
  <c r="E1977" i="19" s="1"/>
  <c r="F1977" i="19" s="1"/>
  <c r="D1713" i="19"/>
  <c r="E1713" i="19" s="1"/>
  <c r="F1713" i="19" s="1"/>
  <c r="D1662" i="19"/>
  <c r="E1662" i="19" s="1"/>
  <c r="F1662" i="19" s="1"/>
  <c r="D1889" i="19"/>
  <c r="E1889" i="19" s="1"/>
  <c r="F1889" i="19" s="1"/>
  <c r="D1342" i="19"/>
  <c r="E1342" i="19" s="1"/>
  <c r="F1342" i="19" s="1"/>
  <c r="D1926" i="19"/>
  <c r="E1926" i="19" s="1"/>
  <c r="F1926" i="19" s="1"/>
  <c r="D1537" i="19"/>
  <c r="E1537" i="19" s="1"/>
  <c r="F1537" i="19" s="1"/>
  <c r="D1969" i="19"/>
  <c r="E1969" i="19" s="1"/>
  <c r="F1969" i="19" s="1"/>
  <c r="D1555" i="19"/>
  <c r="E1555" i="19" s="1"/>
  <c r="F1555" i="19" s="1"/>
  <c r="D1443" i="19"/>
  <c r="E1443" i="19" s="1"/>
  <c r="F1443" i="19" s="1"/>
  <c r="D1163" i="19"/>
  <c r="E1163" i="19" s="1"/>
  <c r="F1163" i="19" s="1"/>
  <c r="D1176" i="19"/>
  <c r="E1176" i="19" s="1"/>
  <c r="F1176" i="19" s="1"/>
  <c r="D1077" i="19"/>
  <c r="E1077" i="19" s="1"/>
  <c r="F1077" i="19" s="1"/>
  <c r="D1849" i="19"/>
  <c r="E1849" i="19" s="1"/>
  <c r="F1849" i="19" s="1"/>
  <c r="D1538" i="19"/>
  <c r="E1538" i="19" s="1"/>
  <c r="F1538" i="19" s="1"/>
  <c r="D1651" i="19"/>
  <c r="E1651" i="19" s="1"/>
  <c r="F1651" i="19" s="1"/>
  <c r="D980" i="19"/>
  <c r="E980" i="19" s="1"/>
  <c r="F980" i="19" s="1"/>
  <c r="D900" i="19"/>
  <c r="E900" i="19" s="1"/>
  <c r="F900" i="19" s="1"/>
  <c r="D1608" i="19"/>
  <c r="E1608" i="19" s="1"/>
  <c r="F1608" i="19" s="1"/>
  <c r="D1783" i="19"/>
  <c r="E1783" i="19" s="1"/>
  <c r="F1783" i="19" s="1"/>
  <c r="D1512" i="19"/>
  <c r="E1512" i="19" s="1"/>
  <c r="F1512" i="19" s="1"/>
  <c r="D1075" i="19"/>
  <c r="E1075" i="19" s="1"/>
  <c r="F1075" i="19" s="1"/>
  <c r="D1204" i="19"/>
  <c r="E1204" i="19" s="1"/>
  <c r="F1204" i="19" s="1"/>
  <c r="D1974" i="19"/>
  <c r="E1974" i="19" s="1"/>
  <c r="F1974" i="19" s="1"/>
  <c r="D1053" i="19"/>
  <c r="E1053" i="19" s="1"/>
  <c r="F1053" i="19" s="1"/>
  <c r="D1464" i="19"/>
  <c r="E1464" i="19" s="1"/>
  <c r="F1464" i="19" s="1"/>
  <c r="D1351" i="19"/>
  <c r="E1351" i="19" s="1"/>
  <c r="F1351" i="19" s="1"/>
  <c r="D1539" i="19"/>
  <c r="E1539" i="19" s="1"/>
  <c r="F1539" i="19" s="1"/>
  <c r="D1080" i="19"/>
  <c r="E1080" i="19" s="1"/>
  <c r="F1080" i="19" s="1"/>
  <c r="D1965" i="19"/>
  <c r="E1965" i="19" s="1"/>
  <c r="F1965" i="19" s="1"/>
  <c r="D1785" i="19"/>
  <c r="E1785" i="19" s="1"/>
  <c r="F1785" i="19" s="1"/>
  <c r="D1315" i="19"/>
  <c r="E1315" i="19" s="1"/>
  <c r="F1315" i="19" s="1"/>
  <c r="D1124" i="19"/>
  <c r="E1124" i="19" s="1"/>
  <c r="F1124" i="19" s="1"/>
  <c r="D997" i="19"/>
  <c r="E997" i="19" s="1"/>
  <c r="F997" i="19" s="1"/>
  <c r="D1554" i="19"/>
  <c r="E1554" i="19" s="1"/>
  <c r="F1554" i="19" s="1"/>
  <c r="D1777" i="19"/>
  <c r="E1777" i="19" s="1"/>
  <c r="F1777" i="19" s="1"/>
  <c r="D1694" i="19"/>
  <c r="E1694" i="19" s="1"/>
  <c r="F1694" i="19" s="1"/>
  <c r="D1953" i="19"/>
  <c r="E1953" i="19" s="1"/>
  <c r="F1953" i="19" s="1"/>
  <c r="D1502" i="19"/>
  <c r="E1502" i="19" s="1"/>
  <c r="F1502" i="19" s="1"/>
  <c r="D1815" i="19"/>
  <c r="E1815" i="19" s="1"/>
  <c r="F1815" i="19" s="1"/>
  <c r="D1885" i="19"/>
  <c r="E1885" i="19" s="1"/>
  <c r="F1885" i="19" s="1"/>
  <c r="D1360" i="19"/>
  <c r="E1360" i="19" s="1"/>
  <c r="F1360" i="19" s="1"/>
  <c r="D1881" i="19"/>
  <c r="E1881" i="19" s="1"/>
  <c r="F1881" i="19" s="1"/>
  <c r="D1812" i="19"/>
  <c r="E1812" i="19" s="1"/>
  <c r="F1812" i="19" s="1"/>
  <c r="D1710" i="19"/>
  <c r="E1710" i="19" s="1"/>
  <c r="F1710" i="19" s="1"/>
  <c r="D1107" i="19"/>
  <c r="E1107" i="19" s="1"/>
  <c r="F1107" i="19" s="1"/>
  <c r="D1473" i="19"/>
  <c r="E1473" i="19" s="1"/>
  <c r="F1473" i="19" s="1"/>
  <c r="D735" i="19"/>
  <c r="E735" i="19" s="1"/>
  <c r="F735" i="19" s="1"/>
  <c r="D1531" i="19"/>
  <c r="E1531" i="19" s="1"/>
  <c r="F1531" i="19" s="1"/>
  <c r="D1620" i="19"/>
  <c r="E1620" i="19" s="1"/>
  <c r="F1620" i="19" s="1"/>
  <c r="D1218" i="19"/>
  <c r="E1218" i="19" s="1"/>
  <c r="F1218" i="19" s="1"/>
  <c r="D1551" i="19"/>
  <c r="E1551" i="19" s="1"/>
  <c r="F1551" i="19" s="1"/>
  <c r="D1697" i="19"/>
  <c r="E1697" i="19" s="1"/>
  <c r="F1697" i="19" s="1"/>
  <c r="D1054" i="19"/>
  <c r="E1054" i="19" s="1"/>
  <c r="F1054" i="19" s="1"/>
  <c r="D1929" i="19"/>
  <c r="E1929" i="19" s="1"/>
  <c r="F1929" i="19" s="1"/>
  <c r="D1990" i="19"/>
  <c r="E1990" i="19" s="1"/>
  <c r="F1990" i="19" s="1"/>
  <c r="D1862" i="19"/>
  <c r="E1862" i="19" s="1"/>
  <c r="F1862" i="19" s="1"/>
  <c r="D1470" i="19"/>
  <c r="E1470" i="19" s="1"/>
  <c r="F1470" i="19" s="1"/>
  <c r="D1250" i="19"/>
  <c r="E1250" i="19" s="1"/>
  <c r="F1250" i="19" s="1"/>
  <c r="D1567" i="19"/>
  <c r="E1567" i="19" s="1"/>
  <c r="F1567" i="19" s="1"/>
  <c r="D1761" i="19"/>
  <c r="E1761" i="19" s="1"/>
  <c r="F1761" i="19" s="1"/>
  <c r="D1432" i="19"/>
  <c r="E1432" i="19" s="1"/>
  <c r="F1432" i="19" s="1"/>
  <c r="D1790" i="19"/>
  <c r="E1790" i="19" s="1"/>
  <c r="F1790" i="19" s="1"/>
  <c r="D1590" i="19"/>
  <c r="E1590" i="19" s="1"/>
  <c r="F1590" i="19" s="1"/>
  <c r="D1494" i="19"/>
  <c r="E1494" i="19" s="1"/>
  <c r="F1494" i="19" s="1"/>
  <c r="D1896" i="19"/>
  <c r="E1896" i="19" s="1"/>
  <c r="F1896" i="19" s="1"/>
  <c r="D1822" i="19"/>
  <c r="E1822" i="19" s="1"/>
  <c r="F1822" i="19" s="1"/>
  <c r="D958" i="19"/>
  <c r="E958" i="19" s="1"/>
  <c r="F958" i="19" s="1"/>
  <c r="D1394" i="19"/>
  <c r="E1394" i="19" s="1"/>
  <c r="F1394" i="19" s="1"/>
  <c r="D1507" i="19"/>
  <c r="E1507" i="19" s="1"/>
  <c r="F1507" i="19" s="1"/>
  <c r="D1793" i="19"/>
  <c r="E1793" i="19" s="1"/>
  <c r="F1793" i="19" s="1"/>
  <c r="D1910" i="19"/>
  <c r="E1910" i="19" s="1"/>
  <c r="F1910" i="19" s="1"/>
  <c r="D1958" i="19"/>
  <c r="E1958" i="19" s="1"/>
  <c r="F1958" i="19" s="1"/>
  <c r="D527" i="19"/>
  <c r="E527" i="19" s="1"/>
  <c r="F527" i="19" s="1"/>
  <c r="D1940" i="19"/>
  <c r="E1940" i="19" s="1"/>
  <c r="F1940" i="19" s="1"/>
  <c r="D1653" i="19"/>
  <c r="E1653" i="19" s="1"/>
  <c r="F1653" i="19" s="1"/>
  <c r="D1294" i="19"/>
  <c r="E1294" i="19" s="1"/>
  <c r="F1294" i="19" s="1"/>
  <c r="D1907" i="19"/>
  <c r="E1907" i="19" s="1"/>
  <c r="F1907" i="19" s="1"/>
  <c r="D1928" i="19"/>
  <c r="E1928" i="19" s="1"/>
  <c r="F1928" i="19" s="1"/>
  <c r="D1976" i="19"/>
  <c r="E1976" i="19" s="1"/>
  <c r="F1976" i="19" s="1"/>
  <c r="D1846" i="19"/>
  <c r="E1846" i="19" s="1"/>
  <c r="F1846" i="19" s="1"/>
  <c r="D1304" i="19"/>
  <c r="E1304" i="19" s="1"/>
  <c r="F1304" i="19" s="1"/>
  <c r="D1441" i="19"/>
  <c r="E1441" i="19" s="1"/>
  <c r="F1441" i="19" s="1"/>
  <c r="D1182" i="19"/>
  <c r="E1182" i="19" s="1"/>
  <c r="F1182" i="19" s="1"/>
  <c r="D1808" i="19"/>
  <c r="E1808" i="19" s="1"/>
  <c r="F1808" i="19" s="1"/>
  <c r="D1972" i="19"/>
  <c r="E1972" i="19" s="1"/>
  <c r="F1972" i="19" s="1"/>
  <c r="D1696" i="19"/>
  <c r="E1696" i="19" s="1"/>
  <c r="F1696" i="19" s="1"/>
  <c r="D1356" i="19"/>
  <c r="E1356" i="19" s="1"/>
  <c r="F1356" i="19" s="1"/>
  <c r="D1403" i="19"/>
  <c r="E1403" i="19" s="1"/>
  <c r="F1403" i="19" s="1"/>
  <c r="D1956" i="19"/>
  <c r="E1956" i="19" s="1"/>
  <c r="F1956" i="19" s="1"/>
  <c r="D1138" i="19"/>
  <c r="E1138" i="19" s="1"/>
  <c r="F1138" i="19" s="1"/>
  <c r="D1519" i="19"/>
  <c r="E1519" i="19" s="1"/>
  <c r="F1519" i="19" s="1"/>
  <c r="D1563" i="19"/>
  <c r="E1563" i="19" s="1"/>
  <c r="F1563" i="19" s="1"/>
  <c r="D1191" i="19"/>
  <c r="E1191" i="19" s="1"/>
  <c r="F1191" i="19" s="1"/>
  <c r="D1411" i="19"/>
  <c r="E1411" i="19" s="1"/>
  <c r="F1411" i="19" s="1"/>
  <c r="D1699" i="19"/>
  <c r="E1699" i="19" s="1"/>
  <c r="F1699" i="19" s="1"/>
  <c r="D1729" i="19"/>
  <c r="E1729" i="19" s="1"/>
  <c r="F1729" i="19" s="1"/>
  <c r="D2000" i="19"/>
  <c r="E2000" i="19" s="1"/>
  <c r="F2000" i="19" s="1"/>
  <c r="D1901" i="19"/>
  <c r="E1901" i="19" s="1"/>
  <c r="F1901" i="19" s="1"/>
  <c r="D1781" i="19"/>
  <c r="E1781" i="19" s="1"/>
  <c r="F1781" i="19" s="1"/>
  <c r="D1188" i="19"/>
  <c r="E1188" i="19" s="1"/>
  <c r="F1188" i="19" s="1"/>
  <c r="D1458" i="19"/>
  <c r="E1458" i="19" s="1"/>
  <c r="F1458" i="19" s="1"/>
  <c r="D1251" i="19"/>
  <c r="E1251" i="19" s="1"/>
  <c r="F1251" i="19" s="1"/>
  <c r="D610" i="19"/>
  <c r="E610" i="19" s="1"/>
  <c r="F610" i="19" s="1"/>
  <c r="D1755" i="19"/>
  <c r="E1755" i="19" s="1"/>
  <c r="F1755" i="19" s="1"/>
  <c r="D1329" i="19"/>
  <c r="E1329" i="19" s="1"/>
  <c r="F1329" i="19" s="1"/>
  <c r="D1467" i="19"/>
  <c r="E1467" i="19" s="1"/>
  <c r="F1467" i="19" s="1"/>
  <c r="D1366" i="19"/>
  <c r="E1366" i="19" s="1"/>
  <c r="F1366" i="19" s="1"/>
  <c r="D1582" i="19"/>
  <c r="E1582" i="19" s="1"/>
  <c r="F1582" i="19" s="1"/>
  <c r="D1395" i="19"/>
  <c r="E1395" i="19" s="1"/>
  <c r="F1395" i="19" s="1"/>
  <c r="B11" i="13"/>
  <c r="B12" i="13" s="1"/>
  <c r="Q188" i="15"/>
  <c r="R188" i="15" s="1"/>
  <c r="S188" i="15" s="1"/>
  <c r="T188" i="15" s="1"/>
  <c r="U188" i="15" s="1"/>
  <c r="V188" i="15" s="1"/>
  <c r="W188" i="15" s="1"/>
  <c r="X188" i="15" s="1"/>
  <c r="Y188" i="15" s="1"/>
  <c r="Z188" i="15" s="1"/>
  <c r="AA188" i="15" s="1"/>
  <c r="E6" i="30"/>
  <c r="H214" i="1"/>
  <c r="CB48" i="20"/>
  <c r="Z78" i="21" l="1"/>
  <c r="Z169" i="15" s="1"/>
  <c r="AK58" i="21"/>
  <c r="AK109" i="15" s="1"/>
  <c r="X78" i="21"/>
  <c r="X169" i="15" s="1"/>
  <c r="CA27" i="15"/>
  <c r="X70" i="21"/>
  <c r="X145" i="15" s="1"/>
  <c r="CM66" i="21"/>
  <c r="CM133" i="15" s="1"/>
  <c r="BM62" i="21"/>
  <c r="BM121" i="15" s="1"/>
  <c r="Z74" i="21"/>
  <c r="Z157" i="15" s="1"/>
  <c r="X62" i="21"/>
  <c r="X121" i="15" s="1"/>
  <c r="D34" i="22"/>
  <c r="E34" i="22" s="1"/>
  <c r="H6" i="17"/>
  <c r="J6" i="17" s="1"/>
  <c r="D66" i="22"/>
  <c r="CL66" i="22" s="1"/>
  <c r="H85" i="4"/>
  <c r="J85" i="4" s="1"/>
  <c r="K85" i="4" s="1"/>
  <c r="H61" i="4"/>
  <c r="E159" i="1"/>
  <c r="U76" i="21"/>
  <c r="U163" i="15" s="1"/>
  <c r="E103" i="1"/>
  <c r="D58" i="22"/>
  <c r="BC58" i="22" s="1"/>
  <c r="E143" i="1"/>
  <c r="E156" i="1"/>
  <c r="S64" i="21"/>
  <c r="S127" i="15" s="1"/>
  <c r="D122" i="22"/>
  <c r="E114" i="1"/>
  <c r="E87" i="1"/>
  <c r="E196" i="1"/>
  <c r="D64" i="22"/>
  <c r="CB64" i="22" s="1"/>
  <c r="D88" i="22"/>
  <c r="BI88" i="22" s="1"/>
  <c r="E150" i="1"/>
  <c r="E80" i="1"/>
  <c r="C16" i="4" s="1"/>
  <c r="E82" i="1"/>
  <c r="E168" i="1"/>
  <c r="E94" i="1"/>
  <c r="D82" i="22"/>
  <c r="BD82" i="22" s="1"/>
  <c r="E84" i="1"/>
  <c r="E160" i="1"/>
  <c r="E121" i="1"/>
  <c r="E180" i="1"/>
  <c r="E111" i="1"/>
  <c r="T82" i="21"/>
  <c r="T181" i="15" s="1"/>
  <c r="R78" i="21"/>
  <c r="R169" i="15" s="1"/>
  <c r="D57" i="22"/>
  <c r="H55" i="17"/>
  <c r="J55" i="17" s="1"/>
  <c r="H57" i="17"/>
  <c r="J57" i="17" s="1"/>
  <c r="H59" i="17"/>
  <c r="J59" i="17" s="1"/>
  <c r="H61" i="17"/>
  <c r="J61" i="17" s="1"/>
  <c r="H65" i="17"/>
  <c r="J65" i="17" s="1"/>
  <c r="H69" i="17"/>
  <c r="J69" i="17" s="1"/>
  <c r="H73" i="17"/>
  <c r="J73" i="17" s="1"/>
  <c r="H79" i="17"/>
  <c r="J79" i="17" s="1"/>
  <c r="H75" i="17"/>
  <c r="J75" i="17" s="1"/>
  <c r="H56" i="17"/>
  <c r="J56" i="17" s="1"/>
  <c r="H58" i="17"/>
  <c r="J58" i="17" s="1"/>
  <c r="H60" i="17"/>
  <c r="J60" i="17" s="1"/>
  <c r="H62" i="17"/>
  <c r="J62" i="17" s="1"/>
  <c r="H64" i="17"/>
  <c r="J64" i="17" s="1"/>
  <c r="H66" i="17"/>
  <c r="J66" i="17" s="1"/>
  <c r="H68" i="17"/>
  <c r="J68" i="17" s="1"/>
  <c r="H70" i="17"/>
  <c r="J70" i="17" s="1"/>
  <c r="H72" i="17"/>
  <c r="J72" i="17" s="1"/>
  <c r="H74" i="17"/>
  <c r="J74" i="17" s="1"/>
  <c r="H76" i="17"/>
  <c r="J76" i="17" s="1"/>
  <c r="H78" i="17"/>
  <c r="J78" i="17" s="1"/>
  <c r="H80" i="17"/>
  <c r="J80" i="17" s="1"/>
  <c r="H63" i="17"/>
  <c r="J63" i="17" s="1"/>
  <c r="H67" i="17"/>
  <c r="J67" i="17" s="1"/>
  <c r="H71" i="17"/>
  <c r="J71" i="17" s="1"/>
  <c r="H77" i="17"/>
  <c r="J77" i="17" s="1"/>
  <c r="H14" i="17"/>
  <c r="J14" i="17" s="1"/>
  <c r="H7" i="17"/>
  <c r="H36" i="17"/>
  <c r="J36" i="17" s="1"/>
  <c r="H12" i="17"/>
  <c r="H10" i="17"/>
  <c r="J10" i="17" s="1"/>
  <c r="H29" i="17"/>
  <c r="J29" i="17" s="1"/>
  <c r="H32" i="17"/>
  <c r="J32" i="17" s="1"/>
  <c r="H8" i="17"/>
  <c r="H33" i="17"/>
  <c r="J33" i="17" s="1"/>
  <c r="H18" i="17"/>
  <c r="J18" i="17" s="1"/>
  <c r="H16" i="17"/>
  <c r="J16" i="17" s="1"/>
  <c r="H27" i="17"/>
  <c r="J27" i="17" s="1"/>
  <c r="H11" i="17"/>
  <c r="J11" i="17" s="1"/>
  <c r="H19" i="17"/>
  <c r="J19" i="17" s="1"/>
  <c r="H37" i="17"/>
  <c r="J37" i="17" s="1"/>
  <c r="H5" i="17"/>
  <c r="H35" i="17"/>
  <c r="J35" i="17" s="1"/>
  <c r="H24" i="17"/>
  <c r="J24" i="17" s="1"/>
  <c r="H22" i="17"/>
  <c r="J22" i="17" s="1"/>
  <c r="H54" i="17"/>
  <c r="H23" i="17"/>
  <c r="J23" i="17" s="1"/>
  <c r="H25" i="17"/>
  <c r="J25" i="17" s="1"/>
  <c r="H21" i="17"/>
  <c r="J21" i="17" s="1"/>
  <c r="H26" i="17"/>
  <c r="J26" i="17" s="1"/>
  <c r="H31" i="17"/>
  <c r="J31" i="17" s="1"/>
  <c r="H20" i="17"/>
  <c r="J20" i="17" s="1"/>
  <c r="H9" i="17"/>
  <c r="J9" i="17" s="1"/>
  <c r="H17" i="17"/>
  <c r="H100" i="17"/>
  <c r="J100" i="17" s="1"/>
  <c r="H15" i="17"/>
  <c r="J15" i="17" s="1"/>
  <c r="H34" i="17"/>
  <c r="J34" i="17" s="1"/>
  <c r="H13" i="17"/>
  <c r="H28" i="17"/>
  <c r="J28" i="17" s="1"/>
  <c r="H30" i="17"/>
  <c r="J30" i="17" s="1"/>
  <c r="H102" i="17"/>
  <c r="J102" i="17" s="1"/>
  <c r="H101" i="17"/>
  <c r="J101" i="17" s="1"/>
  <c r="A57" i="30"/>
  <c r="I57" i="30" s="1"/>
  <c r="B13" i="20"/>
  <c r="H36" i="4"/>
  <c r="J36" i="4" s="1"/>
  <c r="K36" i="4" s="1"/>
  <c r="H17" i="4"/>
  <c r="H18" i="4"/>
  <c r="W39" i="15"/>
  <c r="BZ83" i="21"/>
  <c r="BZ184" i="15" s="1"/>
  <c r="AM83" i="21"/>
  <c r="AM184" i="15" s="1"/>
  <c r="Z79" i="21"/>
  <c r="Z172" i="15" s="1"/>
  <c r="V67" i="21"/>
  <c r="V136" i="15" s="1"/>
  <c r="E81" i="1"/>
  <c r="J54" i="17"/>
  <c r="H53" i="17"/>
  <c r="J53" i="17" s="1"/>
  <c r="H49" i="17"/>
  <c r="J49" i="17" s="1"/>
  <c r="H51" i="17"/>
  <c r="J51" i="17" s="1"/>
  <c r="H52" i="17"/>
  <c r="J52" i="17" s="1"/>
  <c r="H50" i="17"/>
  <c r="J50" i="17" s="1"/>
  <c r="AZ83" i="21"/>
  <c r="AZ184" i="15" s="1"/>
  <c r="Z71" i="21"/>
  <c r="Z148" i="15" s="1"/>
  <c r="CM62" i="21"/>
  <c r="CM121" i="15" s="1"/>
  <c r="BM66" i="21"/>
  <c r="BM133" i="15" s="1"/>
  <c r="AZ62" i="21"/>
  <c r="AZ121" i="15" s="1"/>
  <c r="AM59" i="21"/>
  <c r="AM112" i="15" s="1"/>
  <c r="Z70" i="21"/>
  <c r="Z145" i="15" s="1"/>
  <c r="X66" i="21"/>
  <c r="X133" i="15" s="1"/>
  <c r="X58" i="21"/>
  <c r="X109" i="15" s="1"/>
  <c r="V78" i="21"/>
  <c r="V169" i="15" s="1"/>
  <c r="T66" i="21"/>
  <c r="T133" i="15" s="1"/>
  <c r="R82" i="21"/>
  <c r="R181" i="15" s="1"/>
  <c r="AA63" i="15"/>
  <c r="BM83" i="21"/>
  <c r="BM184" i="15" s="1"/>
  <c r="T71" i="21"/>
  <c r="T148" i="15" s="1"/>
  <c r="BZ62" i="21"/>
  <c r="BZ121" i="15" s="1"/>
  <c r="AZ66" i="21"/>
  <c r="AZ133" i="15" s="1"/>
  <c r="AM79" i="21"/>
  <c r="AM172" i="15" s="1"/>
  <c r="AM62" i="21"/>
  <c r="AM121" i="15" s="1"/>
  <c r="Z63" i="21"/>
  <c r="Z124" i="15" s="1"/>
  <c r="Z58" i="21"/>
  <c r="Z109" i="15" s="1"/>
  <c r="Z66" i="21"/>
  <c r="Z133" i="15" s="1"/>
  <c r="X82" i="21"/>
  <c r="X181" i="15" s="1"/>
  <c r="X74" i="21"/>
  <c r="X157" i="15" s="1"/>
  <c r="V66" i="21"/>
  <c r="V133" i="15" s="1"/>
  <c r="T74" i="21"/>
  <c r="T157" i="15" s="1"/>
  <c r="R58" i="21"/>
  <c r="R109" i="15" s="1"/>
  <c r="Y15" i="15"/>
  <c r="AN78" i="15"/>
  <c r="B72" i="20"/>
  <c r="BJ66" i="22"/>
  <c r="AA27" i="15"/>
  <c r="AL15" i="15"/>
  <c r="BA39" i="15"/>
  <c r="AA18" i="15"/>
  <c r="BA27" i="15"/>
  <c r="W63" i="15"/>
  <c r="Y39" i="15"/>
  <c r="AA87" i="15"/>
  <c r="B45" i="36"/>
  <c r="B74" i="36"/>
  <c r="D107" i="22"/>
  <c r="AC107" i="22" s="1"/>
  <c r="G122" i="17"/>
  <c r="H122" i="17" s="1"/>
  <c r="J122" i="17" s="1"/>
  <c r="A341" i="30"/>
  <c r="I341" i="30" s="1"/>
  <c r="F19" i="16"/>
  <c r="G106" i="17"/>
  <c r="H106" i="17" s="1"/>
  <c r="J106" i="17" s="1"/>
  <c r="B20" i="13"/>
  <c r="B23" i="13" s="1"/>
  <c r="B25" i="13" s="1"/>
  <c r="B27" i="13" s="1"/>
  <c r="B56" i="13" s="1"/>
  <c r="BV66" i="22"/>
  <c r="A292" i="30"/>
  <c r="D292" i="30" s="1"/>
  <c r="A171" i="30"/>
  <c r="E171" i="30" s="1"/>
  <c r="A220" i="30"/>
  <c r="D220" i="30" s="1"/>
  <c r="A373" i="30"/>
  <c r="C373" i="30" s="1"/>
  <c r="A260" i="30"/>
  <c r="D260" i="30" s="1"/>
  <c r="A88" i="30"/>
  <c r="H88" i="30" s="1"/>
  <c r="B15" i="36"/>
  <c r="A313" i="30"/>
  <c r="C313" i="30" s="1"/>
  <c r="G98" i="17"/>
  <c r="H98" i="17" s="1"/>
  <c r="J98" i="17" s="1"/>
  <c r="U88" i="22"/>
  <c r="AB81" i="21"/>
  <c r="AB178" i="15" s="1"/>
  <c r="AA81" i="21"/>
  <c r="AA178" i="15" s="1"/>
  <c r="AO33" i="21"/>
  <c r="AO69" i="21" s="1"/>
  <c r="AO142" i="15" s="1"/>
  <c r="AB69" i="21"/>
  <c r="AB142" i="15" s="1"/>
  <c r="AA69" i="21"/>
  <c r="AA142" i="15" s="1"/>
  <c r="AO25" i="21"/>
  <c r="BB25" i="21" s="1"/>
  <c r="AA61" i="21"/>
  <c r="AA118" i="15" s="1"/>
  <c r="AB61" i="21"/>
  <c r="AB118" i="15" s="1"/>
  <c r="A330" i="30"/>
  <c r="D330" i="30" s="1"/>
  <c r="A287" i="30"/>
  <c r="H287" i="30" s="1"/>
  <c r="A208" i="30"/>
  <c r="E208" i="30" s="1"/>
  <c r="AR40" i="21"/>
  <c r="AQ76" i="21" s="1"/>
  <c r="AQ163" i="15" s="1"/>
  <c r="AD76" i="21"/>
  <c r="AD163" i="15" s="1"/>
  <c r="AE32" i="21"/>
  <c r="AD68" i="21" s="1"/>
  <c r="AD139" i="15" s="1"/>
  <c r="Q68" i="21"/>
  <c r="Q139" i="15" s="1"/>
  <c r="AR28" i="21"/>
  <c r="AQ64" i="21" s="1"/>
  <c r="AQ127" i="15" s="1"/>
  <c r="AD64" i="21"/>
  <c r="AD127" i="15" s="1"/>
  <c r="AE24" i="21"/>
  <c r="AD60" i="21" s="1"/>
  <c r="AD115" i="15" s="1"/>
  <c r="Q60" i="21"/>
  <c r="Q115" i="15" s="1"/>
  <c r="AG40" i="21"/>
  <c r="AF76" i="21" s="1"/>
  <c r="AF163" i="15" s="1"/>
  <c r="S76" i="21"/>
  <c r="S163" i="15" s="1"/>
  <c r="AG32" i="21"/>
  <c r="AF68" i="21" s="1"/>
  <c r="AF139" i="15" s="1"/>
  <c r="S68" i="21"/>
  <c r="S139" i="15" s="1"/>
  <c r="AI44" i="21"/>
  <c r="AV44" i="21" s="1"/>
  <c r="BI44" i="21" s="1"/>
  <c r="BH80" i="21" s="1"/>
  <c r="BH175" i="15" s="1"/>
  <c r="U80" i="21"/>
  <c r="U175" i="15" s="1"/>
  <c r="AI24" i="21"/>
  <c r="AH60" i="21" s="1"/>
  <c r="AH115" i="15" s="1"/>
  <c r="V21" i="15"/>
  <c r="U60" i="21"/>
  <c r="U115" i="15" s="1"/>
  <c r="AK44" i="21"/>
  <c r="AX44" i="21" s="1"/>
  <c r="AW80" i="21" s="1"/>
  <c r="AW175" i="15" s="1"/>
  <c r="W80" i="21"/>
  <c r="W175" i="15" s="1"/>
  <c r="AK40" i="21"/>
  <c r="AX40" i="21" s="1"/>
  <c r="W76" i="21"/>
  <c r="W163" i="15" s="1"/>
  <c r="AK28" i="21"/>
  <c r="AJ64" i="21" s="1"/>
  <c r="AJ127" i="15" s="1"/>
  <c r="W64" i="21"/>
  <c r="W127" i="15" s="1"/>
  <c r="AK24" i="21"/>
  <c r="W60" i="21"/>
  <c r="W115" i="15" s="1"/>
  <c r="AM44" i="21"/>
  <c r="AL80" i="21" s="1"/>
  <c r="AL175" i="15" s="1"/>
  <c r="Y80" i="21"/>
  <c r="Y175" i="15" s="1"/>
  <c r="AM40" i="21"/>
  <c r="AM69" i="15" s="1"/>
  <c r="Y76" i="21"/>
  <c r="Y163" i="15" s="1"/>
  <c r="Z69" i="15"/>
  <c r="AM36" i="21"/>
  <c r="AM57" i="15" s="1"/>
  <c r="Y72" i="21"/>
  <c r="Y151" i="15" s="1"/>
  <c r="AM32" i="21"/>
  <c r="Y68" i="21"/>
  <c r="Y139" i="15" s="1"/>
  <c r="AM28" i="21"/>
  <c r="AM33" i="15" s="1"/>
  <c r="Z33" i="15"/>
  <c r="Y64" i="21"/>
  <c r="Y127" i="15" s="1"/>
  <c r="AM24" i="21"/>
  <c r="AL60" i="21" s="1"/>
  <c r="AL115" i="15" s="1"/>
  <c r="Y60" i="21"/>
  <c r="Y115" i="15" s="1"/>
  <c r="AO44" i="21"/>
  <c r="AO81" i="15" s="1"/>
  <c r="AB80" i="21"/>
  <c r="AB175" i="15" s="1"/>
  <c r="AO40" i="21"/>
  <c r="AN76" i="21" s="1"/>
  <c r="AN163" i="15" s="1"/>
  <c r="AB69" i="15"/>
  <c r="AB76" i="21"/>
  <c r="AB163" i="15" s="1"/>
  <c r="AA76" i="21"/>
  <c r="AA163" i="15" s="1"/>
  <c r="AO36" i="21"/>
  <c r="BB36" i="21" s="1"/>
  <c r="AA72" i="21"/>
  <c r="AA151" i="15" s="1"/>
  <c r="AO32" i="21"/>
  <c r="AB45" i="15"/>
  <c r="AA68" i="21"/>
  <c r="AA139" i="15" s="1"/>
  <c r="AB68" i="21"/>
  <c r="AB139" i="15" s="1"/>
  <c r="AO28" i="21"/>
  <c r="AO64" i="21" s="1"/>
  <c r="AO127" i="15" s="1"/>
  <c r="AA64" i="21"/>
  <c r="AA127" i="15" s="1"/>
  <c r="AB33" i="15"/>
  <c r="AB64" i="21"/>
  <c r="AB127" i="15" s="1"/>
  <c r="AO24" i="21"/>
  <c r="AN60" i="21" s="1"/>
  <c r="AN115" i="15" s="1"/>
  <c r="AB60" i="21"/>
  <c r="AB115" i="15" s="1"/>
  <c r="CW18" i="22"/>
  <c r="CS18" i="22"/>
  <c r="CO18" i="22"/>
  <c r="CW17" i="22"/>
  <c r="CS17" i="22"/>
  <c r="CO17" i="22"/>
  <c r="CW16" i="22"/>
  <c r="CS16" i="22"/>
  <c r="CO16" i="22"/>
  <c r="CW15" i="22"/>
  <c r="CS15" i="22"/>
  <c r="CO15" i="22"/>
  <c r="CW14" i="22"/>
  <c r="CS14" i="22"/>
  <c r="CO14" i="22"/>
  <c r="CW13" i="22"/>
  <c r="CS13" i="22"/>
  <c r="CO13" i="22"/>
  <c r="CW12" i="22"/>
  <c r="CS12" i="22"/>
  <c r="CO12" i="22"/>
  <c r="CW11" i="22"/>
  <c r="CS11" i="22"/>
  <c r="CO11" i="22"/>
  <c r="CW10" i="22"/>
  <c r="CS10" i="22"/>
  <c r="CO10" i="22"/>
  <c r="CW9" i="22"/>
  <c r="CS9" i="22"/>
  <c r="CO9" i="22"/>
  <c r="CW8" i="22"/>
  <c r="CS8" i="22"/>
  <c r="CO8" i="22"/>
  <c r="CW7" i="22"/>
  <c r="CS7" i="22"/>
  <c r="CO7" i="22"/>
  <c r="CW6" i="22"/>
  <c r="CS6" i="22"/>
  <c r="CO6" i="22"/>
  <c r="CI18" i="22"/>
  <c r="CE18" i="22"/>
  <c r="CA18" i="22"/>
  <c r="CI17" i="22"/>
  <c r="CE17" i="22"/>
  <c r="CA17" i="22"/>
  <c r="CI16" i="22"/>
  <c r="CE16" i="22"/>
  <c r="CA16" i="22"/>
  <c r="CI15" i="22"/>
  <c r="CE15" i="22"/>
  <c r="CA15" i="22"/>
  <c r="CI14" i="22"/>
  <c r="CE14" i="22"/>
  <c r="CA14" i="22"/>
  <c r="CI13" i="22"/>
  <c r="CE13" i="22"/>
  <c r="CA13" i="22"/>
  <c r="CI12" i="22"/>
  <c r="CE12" i="22"/>
  <c r="CA12" i="22"/>
  <c r="CI11" i="22"/>
  <c r="CE11" i="22"/>
  <c r="CA11" i="22"/>
  <c r="CI10" i="22"/>
  <c r="CE10" i="22"/>
  <c r="CA10" i="22"/>
  <c r="CI9" i="22"/>
  <c r="CE9" i="22"/>
  <c r="CA9" i="22"/>
  <c r="CI8" i="22"/>
  <c r="CE8" i="22"/>
  <c r="CA8" i="22"/>
  <c r="CI7" i="22"/>
  <c r="CE7" i="22"/>
  <c r="CA7" i="22"/>
  <c r="CI6" i="22"/>
  <c r="CE6" i="22"/>
  <c r="CA6" i="22"/>
  <c r="BU18" i="22"/>
  <c r="BQ18" i="22"/>
  <c r="BM18" i="22"/>
  <c r="BU17" i="22"/>
  <c r="BQ17" i="22"/>
  <c r="BM17" i="22"/>
  <c r="BU16" i="22"/>
  <c r="CV18" i="22"/>
  <c r="CQ18" i="22"/>
  <c r="CL18" i="22"/>
  <c r="CR17" i="22"/>
  <c r="CM17" i="22"/>
  <c r="CT16" i="22"/>
  <c r="CN16" i="22"/>
  <c r="CU15" i="22"/>
  <c r="CP15" i="22"/>
  <c r="CV14" i="22"/>
  <c r="CQ14" i="22"/>
  <c r="CL14" i="22"/>
  <c r="CR13" i="22"/>
  <c r="CM13" i="22"/>
  <c r="CT12" i="22"/>
  <c r="CN12" i="22"/>
  <c r="CU11" i="22"/>
  <c r="CP11" i="22"/>
  <c r="CV10" i="22"/>
  <c r="CQ10" i="22"/>
  <c r="CL10" i="22"/>
  <c r="CR9" i="22"/>
  <c r="CM9" i="22"/>
  <c r="CT8" i="22"/>
  <c r="CN8" i="22"/>
  <c r="CU7" i="22"/>
  <c r="CP7" i="22"/>
  <c r="CV6" i="22"/>
  <c r="CQ6" i="22"/>
  <c r="CL6" i="22"/>
  <c r="CD18" i="22"/>
  <c r="BY18" i="22"/>
  <c r="CF17" i="22"/>
  <c r="BZ17" i="22"/>
  <c r="CG16" i="22"/>
  <c r="CB16" i="22"/>
  <c r="CH15" i="22"/>
  <c r="CC15" i="22"/>
  <c r="BX15" i="22"/>
  <c r="CD14" i="22"/>
  <c r="BY14" i="22"/>
  <c r="CF13" i="22"/>
  <c r="BZ13" i="22"/>
  <c r="CG12" i="22"/>
  <c r="CB12" i="22"/>
  <c r="CH11" i="22"/>
  <c r="CC11" i="22"/>
  <c r="BX11" i="22"/>
  <c r="CD10" i="22"/>
  <c r="BY10" i="22"/>
  <c r="CF9" i="22"/>
  <c r="BZ9" i="22"/>
  <c r="CG8" i="22"/>
  <c r="CB8" i="22"/>
  <c r="CH7" i="22"/>
  <c r="CC7" i="22"/>
  <c r="BX7" i="22"/>
  <c r="CD6" i="22"/>
  <c r="BY6" i="22"/>
  <c r="BR18" i="22"/>
  <c r="BL18" i="22"/>
  <c r="BS17" i="22"/>
  <c r="BN17" i="22"/>
  <c r="BT16" i="22"/>
  <c r="BP16" i="22"/>
  <c r="BL16" i="22"/>
  <c r="BT15" i="22"/>
  <c r="BP15" i="22"/>
  <c r="BL15" i="22"/>
  <c r="BT14" i="22"/>
  <c r="BP14" i="22"/>
  <c r="BL14" i="22"/>
  <c r="BT13" i="22"/>
  <c r="BP13" i="22"/>
  <c r="BL13" i="22"/>
  <c r="BT12" i="22"/>
  <c r="BP12" i="22"/>
  <c r="BL12" i="22"/>
  <c r="BT11" i="22"/>
  <c r="BP11" i="22"/>
  <c r="BL11" i="22"/>
  <c r="BT10" i="22"/>
  <c r="BP10" i="22"/>
  <c r="BL10" i="22"/>
  <c r="BT9" i="22"/>
  <c r="BP9" i="22"/>
  <c r="BL9" i="22"/>
  <c r="BT8" i="22"/>
  <c r="BP8" i="22"/>
  <c r="BL8" i="22"/>
  <c r="BT7" i="22"/>
  <c r="BP7" i="22"/>
  <c r="BL7" i="22"/>
  <c r="BT6" i="22"/>
  <c r="BP6" i="22"/>
  <c r="BL6" i="22"/>
  <c r="BF18" i="22"/>
  <c r="BB18" i="22"/>
  <c r="AX18" i="22"/>
  <c r="BF17" i="22"/>
  <c r="BB17" i="22"/>
  <c r="AX17" i="22"/>
  <c r="BF16" i="22"/>
  <c r="BB16" i="22"/>
  <c r="AX16" i="22"/>
  <c r="BF15" i="22"/>
  <c r="BB15" i="22"/>
  <c r="AX15" i="22"/>
  <c r="BF14" i="22"/>
  <c r="BB14" i="22"/>
  <c r="AX14" i="22"/>
  <c r="BF13" i="22"/>
  <c r="BB13" i="22"/>
  <c r="AX13" i="22"/>
  <c r="BF12" i="22"/>
  <c r="BB12" i="22"/>
  <c r="AX12" i="22"/>
  <c r="BF11" i="22"/>
  <c r="BB11" i="22"/>
  <c r="AX11" i="22"/>
  <c r="BF10" i="22"/>
  <c r="BB10" i="22"/>
  <c r="AX10" i="22"/>
  <c r="BF9" i="22"/>
  <c r="BB9" i="22"/>
  <c r="AX9" i="22"/>
  <c r="BF8" i="22"/>
  <c r="BB8" i="22"/>
  <c r="AX8" i="22"/>
  <c r="BF7" i="22"/>
  <c r="BB7" i="22"/>
  <c r="AX7" i="22"/>
  <c r="BF6" i="22"/>
  <c r="BB6" i="22"/>
  <c r="AX6" i="22"/>
  <c r="AR18" i="22"/>
  <c r="AN18" i="22"/>
  <c r="AJ18" i="22"/>
  <c r="AR17" i="22"/>
  <c r="AN17" i="22"/>
  <c r="AJ17" i="22"/>
  <c r="AR16" i="22"/>
  <c r="AN16" i="22"/>
  <c r="AJ16" i="22"/>
  <c r="AR15" i="22"/>
  <c r="AN15" i="22"/>
  <c r="AJ15" i="22"/>
  <c r="AR14" i="22"/>
  <c r="AN14" i="22"/>
  <c r="AJ14" i="22"/>
  <c r="AR13" i="22"/>
  <c r="AN13" i="22"/>
  <c r="AJ13" i="22"/>
  <c r="AR12" i="22"/>
  <c r="AN12" i="22"/>
  <c r="AJ12" i="22"/>
  <c r="AR11" i="22"/>
  <c r="AN11" i="22"/>
  <c r="AJ11" i="22"/>
  <c r="AR10" i="22"/>
  <c r="AN10" i="22"/>
  <c r="AJ10" i="22"/>
  <c r="AR9" i="22"/>
  <c r="AN9" i="22"/>
  <c r="AJ9" i="22"/>
  <c r="AR8" i="22"/>
  <c r="AN8" i="22"/>
  <c r="AJ8" i="22"/>
  <c r="AR7" i="22"/>
  <c r="AN7" i="22"/>
  <c r="CU18" i="22"/>
  <c r="CN18" i="22"/>
  <c r="CT17" i="22"/>
  <c r="CL17" i="22"/>
  <c r="CQ16" i="22"/>
  <c r="CV15" i="22"/>
  <c r="CN15" i="22"/>
  <c r="CT14" i="22"/>
  <c r="CM14" i="22"/>
  <c r="CQ13" i="22"/>
  <c r="CV12" i="22"/>
  <c r="CP12" i="22"/>
  <c r="CT11" i="22"/>
  <c r="CM11" i="22"/>
  <c r="CR10" i="22"/>
  <c r="CV9" i="22"/>
  <c r="CP9" i="22"/>
  <c r="CU8" i="22"/>
  <c r="CM8" i="22"/>
  <c r="CR7" i="22"/>
  <c r="CL7" i="22"/>
  <c r="CP6" i="22"/>
  <c r="CG18" i="22"/>
  <c r="BZ18" i="22"/>
  <c r="CD17" i="22"/>
  <c r="BX17" i="22"/>
  <c r="CC16" i="22"/>
  <c r="CG15" i="22"/>
  <c r="BZ15" i="22"/>
  <c r="CF14" i="22"/>
  <c r="BX14" i="22"/>
  <c r="CC13" i="22"/>
  <c r="CH12" i="22"/>
  <c r="BZ12" i="22"/>
  <c r="CF11" i="22"/>
  <c r="BY11" i="22"/>
  <c r="CC10" i="22"/>
  <c r="CH9" i="22"/>
  <c r="CB9" i="22"/>
  <c r="CF8" i="22"/>
  <c r="BY8" i="22"/>
  <c r="CD7" i="22"/>
  <c r="CH6" i="22"/>
  <c r="CB6" i="22"/>
  <c r="BS18" i="22"/>
  <c r="BK18" i="22"/>
  <c r="BP17" i="22"/>
  <c r="BJ17" i="22"/>
  <c r="BO16" i="22"/>
  <c r="BJ16" i="22"/>
  <c r="BQ15" i="22"/>
  <c r="BK15" i="22"/>
  <c r="BR14" i="22"/>
  <c r="BM14" i="22"/>
  <c r="BS13" i="22"/>
  <c r="BN13" i="22"/>
  <c r="BU12" i="22"/>
  <c r="BO12" i="22"/>
  <c r="BJ12" i="22"/>
  <c r="BQ11" i="22"/>
  <c r="BK11" i="22"/>
  <c r="BR10" i="22"/>
  <c r="BM10" i="22"/>
  <c r="BS9" i="22"/>
  <c r="BN9" i="22"/>
  <c r="BU8" i="22"/>
  <c r="BO8" i="22"/>
  <c r="BJ8" i="22"/>
  <c r="BQ7" i="22"/>
  <c r="BK7" i="22"/>
  <c r="BR6" i="22"/>
  <c r="BM6" i="22"/>
  <c r="BE18" i="22"/>
  <c r="AZ18" i="22"/>
  <c r="BG17" i="22"/>
  <c r="BA17" i="22"/>
  <c r="AV17" i="22"/>
  <c r="BC16" i="22"/>
  <c r="AW16" i="22"/>
  <c r="BD15" i="22"/>
  <c r="AY15" i="22"/>
  <c r="BE14" i="22"/>
  <c r="AZ14" i="22"/>
  <c r="BG13" i="22"/>
  <c r="BA13" i="22"/>
  <c r="AV13" i="22"/>
  <c r="BC12" i="22"/>
  <c r="AW12" i="22"/>
  <c r="BD11" i="22"/>
  <c r="AY11" i="22"/>
  <c r="BE10" i="22"/>
  <c r="AZ10" i="22"/>
  <c r="BG9" i="22"/>
  <c r="BA9" i="22"/>
  <c r="AV9" i="22"/>
  <c r="BC8" i="22"/>
  <c r="AW8" i="22"/>
  <c r="BD7" i="22"/>
  <c r="AY7" i="22"/>
  <c r="BE6" i="22"/>
  <c r="AZ6" i="22"/>
  <c r="AS18" i="22"/>
  <c r="AM18" i="22"/>
  <c r="AH18" i="22"/>
  <c r="AO17" i="22"/>
  <c r="AI17" i="22"/>
  <c r="AP16" i="22"/>
  <c r="AK16" i="22"/>
  <c r="AQ15" i="22"/>
  <c r="AL15" i="22"/>
  <c r="AS14" i="22"/>
  <c r="AM14" i="22"/>
  <c r="AH14" i="22"/>
  <c r="AO13" i="22"/>
  <c r="AI13" i="22"/>
  <c r="AP12" i="22"/>
  <c r="AK12" i="22"/>
  <c r="AQ11" i="22"/>
  <c r="AL11" i="22"/>
  <c r="AS10" i="22"/>
  <c r="AM10" i="22"/>
  <c r="AH10" i="22"/>
  <c r="AO9" i="22"/>
  <c r="AI9" i="22"/>
  <c r="AP8" i="22"/>
  <c r="AK8" i="22"/>
  <c r="AQ7" i="22"/>
  <c r="AL7" i="22"/>
  <c r="AH7" i="22"/>
  <c r="AP6" i="22"/>
  <c r="AL6" i="22"/>
  <c r="AH6" i="22"/>
  <c r="AB18" i="22"/>
  <c r="X18" i="22"/>
  <c r="T18" i="22"/>
  <c r="AB17" i="22"/>
  <c r="X17" i="22"/>
  <c r="T17" i="22"/>
  <c r="AB16" i="22"/>
  <c r="X16" i="22"/>
  <c r="T16" i="22"/>
  <c r="AB15" i="22"/>
  <c r="X15" i="22"/>
  <c r="T15" i="22"/>
  <c r="AB14" i="22"/>
  <c r="X14" i="22"/>
  <c r="T14" i="22"/>
  <c r="AB13" i="22"/>
  <c r="X13" i="22"/>
  <c r="T13" i="22"/>
  <c r="AB12" i="22"/>
  <c r="X12" i="22"/>
  <c r="T12" i="22"/>
  <c r="AB11" i="22"/>
  <c r="X11" i="22"/>
  <c r="T11" i="22"/>
  <c r="AB10" i="22"/>
  <c r="X10" i="22"/>
  <c r="T10" i="22"/>
  <c r="AB9" i="22"/>
  <c r="X9" i="22"/>
  <c r="T9" i="22"/>
  <c r="AB8" i="22"/>
  <c r="X8" i="22"/>
  <c r="T8" i="22"/>
  <c r="AB7" i="22"/>
  <c r="X7" i="22"/>
  <c r="T7" i="22"/>
  <c r="AB6" i="22"/>
  <c r="X6" i="22"/>
  <c r="T6" i="22"/>
  <c r="CT18" i="22"/>
  <c r="CM18" i="22"/>
  <c r="CQ17" i="22"/>
  <c r="CV16" i="22"/>
  <c r="CP16" i="22"/>
  <c r="CT15" i="22"/>
  <c r="CM15" i="22"/>
  <c r="CR14" i="22"/>
  <c r="CV13" i="22"/>
  <c r="CP13" i="22"/>
  <c r="CU12" i="22"/>
  <c r="CM12" i="22"/>
  <c r="CR11" i="22"/>
  <c r="CL11" i="22"/>
  <c r="CP10" i="22"/>
  <c r="CU9" i="22"/>
  <c r="CN9" i="22"/>
  <c r="CR8" i="22"/>
  <c r="CL8" i="22"/>
  <c r="CQ7" i="22"/>
  <c r="CU6" i="22"/>
  <c r="CN6" i="22"/>
  <c r="CF18" i="22"/>
  <c r="BX18" i="22"/>
  <c r="CC17" i="22"/>
  <c r="CH16" i="22"/>
  <c r="BZ16" i="22"/>
  <c r="CF15" i="22"/>
  <c r="BY15" i="22"/>
  <c r="CC14" i="22"/>
  <c r="CH13" i="22"/>
  <c r="CB13" i="22"/>
  <c r="CF12" i="22"/>
  <c r="BY12" i="22"/>
  <c r="CD11" i="22"/>
  <c r="CH10" i="22"/>
  <c r="CB10" i="22"/>
  <c r="CG9" i="22"/>
  <c r="BY9" i="22"/>
  <c r="CD8" i="22"/>
  <c r="BX8" i="22"/>
  <c r="CB7" i="22"/>
  <c r="CG6" i="22"/>
  <c r="BZ6" i="22"/>
  <c r="BP18" i="22"/>
  <c r="BJ18" i="22"/>
  <c r="BO17" i="22"/>
  <c r="BS16" i="22"/>
  <c r="BN16" i="22"/>
  <c r="BU15" i="22"/>
  <c r="BO15" i="22"/>
  <c r="BJ15" i="22"/>
  <c r="BQ14" i="22"/>
  <c r="BK14" i="22"/>
  <c r="BR13" i="22"/>
  <c r="BM13" i="22"/>
  <c r="BS12" i="22"/>
  <c r="BN12" i="22"/>
  <c r="BU11" i="22"/>
  <c r="BO11" i="22"/>
  <c r="BJ11" i="22"/>
  <c r="BQ10" i="22"/>
  <c r="BK10" i="22"/>
  <c r="BR9" i="22"/>
  <c r="BM9" i="22"/>
  <c r="BS8" i="22"/>
  <c r="BN8" i="22"/>
  <c r="BU7" i="22"/>
  <c r="BO7" i="22"/>
  <c r="BJ7" i="22"/>
  <c r="BQ6" i="22"/>
  <c r="BK6" i="22"/>
  <c r="BD18" i="22"/>
  <c r="AY18" i="22"/>
  <c r="BE17" i="22"/>
  <c r="AZ17" i="22"/>
  <c r="BG16" i="22"/>
  <c r="BA16" i="22"/>
  <c r="AV16" i="22"/>
  <c r="BC15" i="22"/>
  <c r="AW15" i="22"/>
  <c r="BD14" i="22"/>
  <c r="AY14" i="22"/>
  <c r="BE13" i="22"/>
  <c r="AZ13" i="22"/>
  <c r="BG12" i="22"/>
  <c r="BA12" i="22"/>
  <c r="AV12" i="22"/>
  <c r="BC11" i="22"/>
  <c r="AW11" i="22"/>
  <c r="BD10" i="22"/>
  <c r="AY10" i="22"/>
  <c r="BE9" i="22"/>
  <c r="AZ9" i="22"/>
  <c r="BG8" i="22"/>
  <c r="BA8" i="22"/>
  <c r="AV8" i="22"/>
  <c r="BC7" i="22"/>
  <c r="AW7" i="22"/>
  <c r="BD6" i="22"/>
  <c r="AY6" i="22"/>
  <c r="AQ18" i="22"/>
  <c r="AL18" i="22"/>
  <c r="AS17" i="22"/>
  <c r="AM17" i="22"/>
  <c r="AH17" i="22"/>
  <c r="AO16" i="22"/>
  <c r="AI16" i="22"/>
  <c r="AP15" i="22"/>
  <c r="AK15" i="22"/>
  <c r="AQ14" i="22"/>
  <c r="AL14" i="22"/>
  <c r="AS13" i="22"/>
  <c r="AM13" i="22"/>
  <c r="AH13" i="22"/>
  <c r="AO12" i="22"/>
  <c r="AI12" i="22"/>
  <c r="AP11" i="22"/>
  <c r="AK11" i="22"/>
  <c r="AQ10" i="22"/>
  <c r="AL10" i="22"/>
  <c r="AS9" i="22"/>
  <c r="AM9" i="22"/>
  <c r="AH9" i="22"/>
  <c r="AO8" i="22"/>
  <c r="AI8" i="22"/>
  <c r="AP7" i="22"/>
  <c r="AK7" i="22"/>
  <c r="AS6" i="22"/>
  <c r="AO6" i="22"/>
  <c r="AK6" i="22"/>
  <c r="AE18" i="22"/>
  <c r="AA18" i="22"/>
  <c r="CR18" i="22"/>
  <c r="CP17" i="22"/>
  <c r="CM16" i="22"/>
  <c r="CL15" i="22"/>
  <c r="CU13" i="22"/>
  <c r="CR12" i="22"/>
  <c r="CQ11" i="22"/>
  <c r="CN10" i="22"/>
  <c r="CL9" i="22"/>
  <c r="CV7" i="22"/>
  <c r="CT6" i="22"/>
  <c r="CC18" i="22"/>
  <c r="CB17" i="22"/>
  <c r="BY16" i="22"/>
  <c r="CH14" i="22"/>
  <c r="CG13" i="22"/>
  <c r="CD12" i="22"/>
  <c r="CB11" i="22"/>
  <c r="BZ10" i="22"/>
  <c r="BX9" i="22"/>
  <c r="CG7" i="22"/>
  <c r="CF6" i="22"/>
  <c r="BO18" i="22"/>
  <c r="BL17" i="22"/>
  <c r="BM16" i="22"/>
  <c r="BN15" i="22"/>
  <c r="BO14" i="22"/>
  <c r="BQ13" i="22"/>
  <c r="BR12" i="22"/>
  <c r="BS11" i="22"/>
  <c r="BU10" i="22"/>
  <c r="BJ10" i="22"/>
  <c r="BK9" i="22"/>
  <c r="BM8" i="22"/>
  <c r="BN7" i="22"/>
  <c r="BO6" i="22"/>
  <c r="BC18" i="22"/>
  <c r="BD17" i="22"/>
  <c r="BE16" i="22"/>
  <c r="BG15" i="22"/>
  <c r="AV15" i="22"/>
  <c r="AW14" i="22"/>
  <c r="AY13" i="22"/>
  <c r="AZ12" i="22"/>
  <c r="BA11" i="22"/>
  <c r="BC10" i="22"/>
  <c r="BD9" i="22"/>
  <c r="BE8" i="22"/>
  <c r="BG7" i="22"/>
  <c r="AV7" i="22"/>
  <c r="AW6" i="22"/>
  <c r="AK18" i="22"/>
  <c r="AL17" i="22"/>
  <c r="AM16" i="22"/>
  <c r="AO15" i="22"/>
  <c r="AP14" i="22"/>
  <c r="AQ13" i="22"/>
  <c r="AS12" i="22"/>
  <c r="AH12" i="22"/>
  <c r="AI11" i="22"/>
  <c r="AK10" i="22"/>
  <c r="AL9" i="22"/>
  <c r="AM8" i="22"/>
  <c r="AO7" i="22"/>
  <c r="AR6" i="22"/>
  <c r="AJ6" i="22"/>
  <c r="Z18" i="22"/>
  <c r="U18" i="22"/>
  <c r="AA17" i="22"/>
  <c r="V17" i="22"/>
  <c r="AC16" i="22"/>
  <c r="W16" i="22"/>
  <c r="AD15" i="22"/>
  <c r="Y15" i="22"/>
  <c r="AE14" i="22"/>
  <c r="Z14" i="22"/>
  <c r="U14" i="22"/>
  <c r="AA13" i="22"/>
  <c r="V13" i="22"/>
  <c r="AC12" i="22"/>
  <c r="W12" i="22"/>
  <c r="AD11" i="22"/>
  <c r="Y11" i="22"/>
  <c r="AE10" i="22"/>
  <c r="Z10" i="22"/>
  <c r="U10" i="22"/>
  <c r="AA9" i="22"/>
  <c r="V9" i="22"/>
  <c r="AC8" i="22"/>
  <c r="W8" i="22"/>
  <c r="AD7" i="22"/>
  <c r="Y7" i="22"/>
  <c r="AE6" i="22"/>
  <c r="Z6" i="22"/>
  <c r="U6" i="22"/>
  <c r="CP18" i="22"/>
  <c r="CN17" i="22"/>
  <c r="CL16" i="22"/>
  <c r="CU14" i="22"/>
  <c r="CT13" i="22"/>
  <c r="CQ12" i="22"/>
  <c r="CN11" i="22"/>
  <c r="CM10" i="22"/>
  <c r="CV8" i="22"/>
  <c r="CT7" i="22"/>
  <c r="CR6" i="22"/>
  <c r="CB18" i="22"/>
  <c r="BY17" i="22"/>
  <c r="BX16" i="22"/>
  <c r="CG14" i="22"/>
  <c r="CD13" i="22"/>
  <c r="CC12" i="22"/>
  <c r="BZ11" i="22"/>
  <c r="BX10" i="22"/>
  <c r="CH8" i="22"/>
  <c r="CF7" i="22"/>
  <c r="CC6" i="22"/>
  <c r="BN18" i="22"/>
  <c r="BK17" i="22"/>
  <c r="BK16" i="22"/>
  <c r="BM15" i="22"/>
  <c r="BN14" i="22"/>
  <c r="BO13" i="22"/>
  <c r="BQ12" i="22"/>
  <c r="BR11" i="22"/>
  <c r="BS10" i="22"/>
  <c r="BU9" i="22"/>
  <c r="BJ9" i="22"/>
  <c r="BK8" i="22"/>
  <c r="BM7" i="22"/>
  <c r="BN6" i="22"/>
  <c r="BA18" i="22"/>
  <c r="BC17" i="22"/>
  <c r="BD16" i="22"/>
  <c r="BE15" i="22"/>
  <c r="BG14" i="22"/>
  <c r="AV14" i="22"/>
  <c r="AW13" i="22"/>
  <c r="AY12" i="22"/>
  <c r="AZ11" i="22"/>
  <c r="BA10" i="22"/>
  <c r="BC9" i="22"/>
  <c r="BD8" i="22"/>
  <c r="BE7" i="22"/>
  <c r="BG6" i="22"/>
  <c r="AV6" i="22"/>
  <c r="AI18" i="22"/>
  <c r="AK17" i="22"/>
  <c r="AL16" i="22"/>
  <c r="AM15" i="22"/>
  <c r="AO14" i="22"/>
  <c r="AP13" i="22"/>
  <c r="AQ12" i="22"/>
  <c r="AS11" i="22"/>
  <c r="AH11" i="22"/>
  <c r="AI10" i="22"/>
  <c r="AK9" i="22"/>
  <c r="AL8" i="22"/>
  <c r="AM7" i="22"/>
  <c r="AQ6" i="22"/>
  <c r="AI6" i="22"/>
  <c r="Y18" i="22"/>
  <c r="AE17" i="22"/>
  <c r="Z17" i="22"/>
  <c r="U17" i="22"/>
  <c r="AA16" i="22"/>
  <c r="V16" i="22"/>
  <c r="AC15" i="22"/>
  <c r="W15" i="22"/>
  <c r="AD14" i="22"/>
  <c r="Y14" i="22"/>
  <c r="AE13" i="22"/>
  <c r="Z13" i="22"/>
  <c r="U13" i="22"/>
  <c r="AA12" i="22"/>
  <c r="V12" i="22"/>
  <c r="AC11" i="22"/>
  <c r="W11" i="22"/>
  <c r="AD10" i="22"/>
  <c r="Y10" i="22"/>
  <c r="AE9" i="22"/>
  <c r="Z9" i="22"/>
  <c r="U9" i="22"/>
  <c r="AA8" i="22"/>
  <c r="V8" i="22"/>
  <c r="AC7" i="22"/>
  <c r="W7" i="22"/>
  <c r="AD6" i="22"/>
  <c r="Y6" i="22"/>
  <c r="CV17" i="22"/>
  <c r="CU16" i="22"/>
  <c r="CR15" i="22"/>
  <c r="CP14" i="22"/>
  <c r="CN13" i="22"/>
  <c r="CL12" i="22"/>
  <c r="CU10" i="22"/>
  <c r="CT9" i="22"/>
  <c r="CQ8" i="22"/>
  <c r="CN7" i="22"/>
  <c r="CM6" i="22"/>
  <c r="CH17" i="22"/>
  <c r="CF16" i="22"/>
  <c r="CD15" i="22"/>
  <c r="CB14" i="22"/>
  <c r="BY13" i="22"/>
  <c r="BX12" i="22"/>
  <c r="CG10" i="22"/>
  <c r="CD9" i="22"/>
  <c r="CC8" i="22"/>
  <c r="BZ7" i="22"/>
  <c r="BX6" i="22"/>
  <c r="BT17" i="22"/>
  <c r="BR16" i="22"/>
  <c r="BS15" i="22"/>
  <c r="BU14" i="22"/>
  <c r="BJ14" i="22"/>
  <c r="BK13" i="22"/>
  <c r="BM12" i="22"/>
  <c r="BN11" i="22"/>
  <c r="BO10" i="22"/>
  <c r="BQ9" i="22"/>
  <c r="BR8" i="22"/>
  <c r="BS7" i="22"/>
  <c r="BU6" i="22"/>
  <c r="BJ6" i="22"/>
  <c r="AW18" i="22"/>
  <c r="AY17" i="22"/>
  <c r="AZ16" i="22"/>
  <c r="BA15" i="22"/>
  <c r="BC14" i="22"/>
  <c r="BD13" i="22"/>
  <c r="BE12" i="22"/>
  <c r="BG11" i="22"/>
  <c r="AV11" i="22"/>
  <c r="AW10" i="22"/>
  <c r="AY9" i="22"/>
  <c r="AZ8" i="22"/>
  <c r="BA7" i="22"/>
  <c r="BC6" i="22"/>
  <c r="AP18" i="22"/>
  <c r="AQ17" i="22"/>
  <c r="AS16" i="22"/>
  <c r="AH16" i="22"/>
  <c r="AI15" i="22"/>
  <c r="AK14" i="22"/>
  <c r="AL13" i="22"/>
  <c r="AM12" i="22"/>
  <c r="AO11" i="22"/>
  <c r="AP10" i="22"/>
  <c r="AQ9" i="22"/>
  <c r="AS8" i="22"/>
  <c r="AH8" i="22"/>
  <c r="AJ7" i="22"/>
  <c r="AN6" i="22"/>
  <c r="AD18" i="22"/>
  <c r="W18" i="22"/>
  <c r="AD17" i="22"/>
  <c r="Y17" i="22"/>
  <c r="AE16" i="22"/>
  <c r="Z16" i="22"/>
  <c r="U16" i="22"/>
  <c r="AA15" i="22"/>
  <c r="V15" i="22"/>
  <c r="AC14" i="22"/>
  <c r="W14" i="22"/>
  <c r="AD13" i="22"/>
  <c r="Y13" i="22"/>
  <c r="AE12" i="22"/>
  <c r="Z12" i="22"/>
  <c r="U12" i="22"/>
  <c r="AA11" i="22"/>
  <c r="V11" i="22"/>
  <c r="AC10" i="22"/>
  <c r="W10" i="22"/>
  <c r="AD9" i="22"/>
  <c r="Y9" i="22"/>
  <c r="AE8" i="22"/>
  <c r="Z8" i="22"/>
  <c r="U8" i="22"/>
  <c r="AA7" i="22"/>
  <c r="V7" i="22"/>
  <c r="AC6" i="22"/>
  <c r="W6" i="22"/>
  <c r="CU17" i="22"/>
  <c r="CR16" i="22"/>
  <c r="CQ15" i="22"/>
  <c r="CN14" i="22"/>
  <c r="CL13" i="22"/>
  <c r="CV11" i="22"/>
  <c r="CT10" i="22"/>
  <c r="CQ9" i="22"/>
  <c r="CP8" i="22"/>
  <c r="CM7" i="22"/>
  <c r="CH18" i="22"/>
  <c r="CG17" i="22"/>
  <c r="CD16" i="22"/>
  <c r="CB15" i="22"/>
  <c r="BZ14" i="22"/>
  <c r="BX13" i="22"/>
  <c r="CG11" i="22"/>
  <c r="CF10" i="22"/>
  <c r="CC9" i="22"/>
  <c r="BZ8" i="22"/>
  <c r="BY7" i="22"/>
  <c r="BT18" i="22"/>
  <c r="BR17" i="22"/>
  <c r="BQ16" i="22"/>
  <c r="BR15" i="22"/>
  <c r="BS14" i="22"/>
  <c r="BU13" i="22"/>
  <c r="BJ13" i="22"/>
  <c r="BK12" i="22"/>
  <c r="BM11" i="22"/>
  <c r="BN10" i="22"/>
  <c r="BO9" i="22"/>
  <c r="BQ8" i="22"/>
  <c r="BR7" i="22"/>
  <c r="BS6" i="22"/>
  <c r="BG18" i="22"/>
  <c r="AV18" i="22"/>
  <c r="AW17" i="22"/>
  <c r="AY16" i="22"/>
  <c r="AZ15" i="22"/>
  <c r="BA14" i="22"/>
  <c r="BC13" i="22"/>
  <c r="BD12" i="22"/>
  <c r="BE11" i="22"/>
  <c r="BG10" i="22"/>
  <c r="AV10" i="22"/>
  <c r="AW9" i="22"/>
  <c r="AY8" i="22"/>
  <c r="AZ7" i="22"/>
  <c r="BA6" i="22"/>
  <c r="AO18" i="22"/>
  <c r="AP17" i="22"/>
  <c r="AQ16" i="22"/>
  <c r="AS15" i="22"/>
  <c r="AH15" i="22"/>
  <c r="AI14" i="22"/>
  <c r="AK13" i="22"/>
  <c r="AL12" i="22"/>
  <c r="AM11" i="22"/>
  <c r="AO10" i="22"/>
  <c r="AP9" i="22"/>
  <c r="AQ8" i="22"/>
  <c r="AS7" i="22"/>
  <c r="AI7" i="22"/>
  <c r="AM6" i="22"/>
  <c r="AC18" i="22"/>
  <c r="V18" i="22"/>
  <c r="AC17" i="22"/>
  <c r="W17" i="22"/>
  <c r="AD16" i="22"/>
  <c r="Y16" i="22"/>
  <c r="AE15" i="22"/>
  <c r="Z15" i="22"/>
  <c r="U15" i="22"/>
  <c r="AA14" i="22"/>
  <c r="V14" i="22"/>
  <c r="AC13" i="22"/>
  <c r="W13" i="22"/>
  <c r="AD12" i="22"/>
  <c r="Y12" i="22"/>
  <c r="AE11" i="22"/>
  <c r="Z11" i="22"/>
  <c r="U11" i="22"/>
  <c r="AA10" i="22"/>
  <c r="V10" i="22"/>
  <c r="AC9" i="22"/>
  <c r="W9" i="22"/>
  <c r="AD8" i="22"/>
  <c r="Y8" i="22"/>
  <c r="AE7" i="22"/>
  <c r="Z7" i="22"/>
  <c r="U7" i="22"/>
  <c r="AA6" i="22"/>
  <c r="V6" i="22"/>
  <c r="D18" i="22"/>
  <c r="E207" i="1"/>
  <c r="E205" i="1"/>
  <c r="E199" i="1"/>
  <c r="E194" i="1"/>
  <c r="E192" i="1"/>
  <c r="E132" i="1"/>
  <c r="E145" i="1"/>
  <c r="E126" i="1"/>
  <c r="E92" i="1"/>
  <c r="E109" i="1"/>
  <c r="E89" i="1"/>
  <c r="E146" i="1"/>
  <c r="E147" i="1"/>
  <c r="E106" i="1"/>
  <c r="E152" i="1"/>
  <c r="E105" i="1"/>
  <c r="E188" i="1"/>
  <c r="E174" i="1"/>
  <c r="E124" i="1"/>
  <c r="E128" i="1"/>
  <c r="E141" i="1"/>
  <c r="E101" i="1"/>
  <c r="E135" i="1"/>
  <c r="E183" i="1"/>
  <c r="E169" i="1"/>
  <c r="E187" i="1"/>
  <c r="E113" i="1"/>
  <c r="E164" i="1"/>
  <c r="E161" i="1"/>
  <c r="E107" i="1"/>
  <c r="E182" i="1"/>
  <c r="E151" i="1"/>
  <c r="E130" i="1"/>
  <c r="E127" i="1"/>
  <c r="E166" i="1"/>
  <c r="D125" i="22"/>
  <c r="D105" i="22"/>
  <c r="D115" i="22"/>
  <c r="D96" i="22"/>
  <c r="D129" i="22"/>
  <c r="D97" i="22"/>
  <c r="D14" i="22"/>
  <c r="I14" i="22" s="1"/>
  <c r="E208" i="1"/>
  <c r="E203" i="1"/>
  <c r="E197" i="1"/>
  <c r="E129" i="1"/>
  <c r="E162" i="1"/>
  <c r="E91" i="1"/>
  <c r="E154" i="1"/>
  <c r="E97" i="1"/>
  <c r="E133" i="1"/>
  <c r="E134" i="1"/>
  <c r="E118" i="1"/>
  <c r="E116" i="1"/>
  <c r="E177" i="1"/>
  <c r="E175" i="1"/>
  <c r="E185" i="1"/>
  <c r="E171" i="1"/>
  <c r="E191" i="1"/>
  <c r="E93" i="1"/>
  <c r="E179" i="1"/>
  <c r="E96" i="1"/>
  <c r="E184" i="1"/>
  <c r="E115" i="1"/>
  <c r="E112" i="1"/>
  <c r="D113" i="22"/>
  <c r="D99" i="22"/>
  <c r="D135" i="22"/>
  <c r="D101" i="22"/>
  <c r="D123" i="22"/>
  <c r="D133" i="22"/>
  <c r="D102" i="22"/>
  <c r="CG102" i="22" s="1"/>
  <c r="D26" i="22"/>
  <c r="J26" i="22" s="1"/>
  <c r="X26" i="22" s="1"/>
  <c r="AL26" i="22" s="1"/>
  <c r="AZ26" i="22" s="1"/>
  <c r="BN26" i="22" s="1"/>
  <c r="CB26" i="22" s="1"/>
  <c r="CP26" i="22" s="1"/>
  <c r="E202" i="1"/>
  <c r="E206" i="1"/>
  <c r="E198" i="1"/>
  <c r="E155" i="1"/>
  <c r="E108" i="1"/>
  <c r="E142" i="1"/>
  <c r="E125" i="1"/>
  <c r="E88" i="1"/>
  <c r="C101" i="4" s="1"/>
  <c r="F101" i="4" s="1"/>
  <c r="E172" i="1"/>
  <c r="E158" i="1"/>
  <c r="E79" i="1"/>
  <c r="E95" i="1"/>
  <c r="E157" i="1"/>
  <c r="E163" i="1"/>
  <c r="E148" i="1"/>
  <c r="E83" i="1"/>
  <c r="E176" i="1"/>
  <c r="D137" i="22"/>
  <c r="BP137" i="22" s="1"/>
  <c r="D139" i="22"/>
  <c r="Q139" i="22" s="1"/>
  <c r="D141" i="22"/>
  <c r="O141" i="22" s="1"/>
  <c r="D109" i="22"/>
  <c r="AK109" i="22" s="1"/>
  <c r="J5" i="17"/>
  <c r="E200" i="1"/>
  <c r="E193" i="1"/>
  <c r="E131" i="1"/>
  <c r="E136" i="1"/>
  <c r="E110" i="1"/>
  <c r="E122" i="1"/>
  <c r="E181" i="1"/>
  <c r="E178" i="1"/>
  <c r="E190" i="1"/>
  <c r="E186" i="1"/>
  <c r="E170" i="1"/>
  <c r="E102" i="1"/>
  <c r="E139" i="1"/>
  <c r="D132" i="22"/>
  <c r="BT132" i="22" s="1"/>
  <c r="D127" i="22"/>
  <c r="CI127" i="22" s="1"/>
  <c r="D134" i="22"/>
  <c r="D98" i="22"/>
  <c r="BT98" i="22" s="1"/>
  <c r="D8" i="22"/>
  <c r="O8" i="22" s="1"/>
  <c r="E204" i="1"/>
  <c r="E90" i="1"/>
  <c r="E173" i="1"/>
  <c r="E123" i="1"/>
  <c r="E104" i="1"/>
  <c r="D100" i="22"/>
  <c r="BS100" i="22" s="1"/>
  <c r="D103" i="22"/>
  <c r="U103" i="22" s="1"/>
  <c r="E120" i="1"/>
  <c r="E140" i="1"/>
  <c r="E144" i="1"/>
  <c r="E149" i="1"/>
  <c r="E86" i="1"/>
  <c r="J13" i="17"/>
  <c r="J17" i="17"/>
  <c r="D60" i="22"/>
  <c r="CC60" i="22" s="1"/>
  <c r="D84" i="22"/>
  <c r="AC84" i="22" s="1"/>
  <c r="D63" i="22"/>
  <c r="AY63" i="22" s="1"/>
  <c r="D89" i="22"/>
  <c r="BO89" i="22" s="1"/>
  <c r="D68" i="22"/>
  <c r="AF68" i="22" s="1"/>
  <c r="E209" i="1"/>
  <c r="E195" i="1"/>
  <c r="E119" i="1"/>
  <c r="D131" i="22"/>
  <c r="AF131" i="22" s="1"/>
  <c r="D106" i="22"/>
  <c r="AO106" i="22" s="1"/>
  <c r="E117" i="1"/>
  <c r="E167" i="1"/>
  <c r="E189" i="1"/>
  <c r="E137" i="1"/>
  <c r="E153" i="1"/>
  <c r="E165" i="1"/>
  <c r="D59" i="22"/>
  <c r="BI59" i="22" s="1"/>
  <c r="D83" i="22"/>
  <c r="BK83" i="22" s="1"/>
  <c r="D62" i="22"/>
  <c r="BD62" i="22" s="1"/>
  <c r="D86" i="22"/>
  <c r="P86" i="22" s="1"/>
  <c r="D65" i="22"/>
  <c r="BQ65" i="22" s="1"/>
  <c r="I10" i="30"/>
  <c r="I11" i="30" s="1"/>
  <c r="A357" i="30"/>
  <c r="D357" i="30" s="1"/>
  <c r="A325" i="30"/>
  <c r="I325" i="30" s="1"/>
  <c r="A301" i="30"/>
  <c r="I301" i="30" s="1"/>
  <c r="A276" i="30"/>
  <c r="H276" i="30" s="1"/>
  <c r="A252" i="30"/>
  <c r="A203" i="30"/>
  <c r="C203" i="30" s="1"/>
  <c r="A139" i="30"/>
  <c r="D139" i="30" s="1"/>
  <c r="A66" i="30"/>
  <c r="D66" i="30" s="1"/>
  <c r="AI88" i="22"/>
  <c r="BI66" i="22"/>
  <c r="D85" i="22"/>
  <c r="AJ85" i="22" s="1"/>
  <c r="D67" i="22"/>
  <c r="BY67" i="22" s="1"/>
  <c r="E85" i="1"/>
  <c r="E99" i="1"/>
  <c r="E98" i="1"/>
  <c r="AB81" i="15"/>
  <c r="BH58" i="22"/>
  <c r="BI37" i="21"/>
  <c r="BH73" i="21" s="1"/>
  <c r="BH154" i="15" s="1"/>
  <c r="AU73" i="21"/>
  <c r="AU154" i="15" s="1"/>
  <c r="AI29" i="21"/>
  <c r="AV29" i="21" s="1"/>
  <c r="AU65" i="21" s="1"/>
  <c r="AU130" i="15" s="1"/>
  <c r="V36" i="15"/>
  <c r="AM29" i="21"/>
  <c r="Y65" i="21"/>
  <c r="Y130" i="15" s="1"/>
  <c r="AO41" i="21"/>
  <c r="AN77" i="21" s="1"/>
  <c r="AN166" i="15" s="1"/>
  <c r="AB77" i="21"/>
  <c r="AB166" i="15" s="1"/>
  <c r="AA77" i="21"/>
  <c r="AA166" i="15" s="1"/>
  <c r="AA65" i="21"/>
  <c r="AA130" i="15" s="1"/>
  <c r="AB36" i="15"/>
  <c r="AB57" i="21"/>
  <c r="AB106" i="15" s="1"/>
  <c r="AA57" i="21"/>
  <c r="AA106" i="15" s="1"/>
  <c r="I8" i="30"/>
  <c r="A362" i="30"/>
  <c r="C362" i="30" s="1"/>
  <c r="A236" i="30"/>
  <c r="D236" i="30" s="1"/>
  <c r="A144" i="30"/>
  <c r="I144" i="30" s="1"/>
  <c r="CO66" i="22"/>
  <c r="BK66" i="22"/>
  <c r="U66" i="22"/>
  <c r="CJ66" i="22"/>
  <c r="BZ66" i="22"/>
  <c r="AU66" i="22"/>
  <c r="AP66" i="22"/>
  <c r="A346" i="30"/>
  <c r="D346" i="30" s="1"/>
  <c r="A314" i="30"/>
  <c r="A303" i="30"/>
  <c r="H303" i="30" s="1"/>
  <c r="A271" i="30"/>
  <c r="H271" i="30" s="1"/>
  <c r="A247" i="30"/>
  <c r="I247" i="30" s="1"/>
  <c r="A231" i="30"/>
  <c r="A176" i="30"/>
  <c r="E176" i="30" s="1"/>
  <c r="A112" i="30"/>
  <c r="D112" i="30" s="1"/>
  <c r="J66" i="22"/>
  <c r="AS66" i="22"/>
  <c r="CQ66" i="22"/>
  <c r="D61" i="22"/>
  <c r="BT61" i="22" s="1"/>
  <c r="E100" i="1"/>
  <c r="D87" i="22"/>
  <c r="CC87" i="22" s="1"/>
  <c r="E138" i="1"/>
  <c r="D111" i="22"/>
  <c r="BB111" i="22" s="1"/>
  <c r="E201" i="1"/>
  <c r="AA60" i="21"/>
  <c r="AA115" i="15" s="1"/>
  <c r="U64" i="21"/>
  <c r="U127" i="15" s="1"/>
  <c r="X69" i="15"/>
  <c r="J38" i="1"/>
  <c r="B44" i="13" s="1"/>
  <c r="B63" i="13" s="1"/>
  <c r="H115" i="17"/>
  <c r="J115" i="17" s="1"/>
  <c r="C242" i="13"/>
  <c r="D216" i="13"/>
  <c r="D242" i="13" s="1"/>
  <c r="BX65" i="21"/>
  <c r="BX130" i="15" s="1"/>
  <c r="U27" i="15"/>
  <c r="V81" i="15"/>
  <c r="X33" i="15"/>
  <c r="Y87" i="15"/>
  <c r="Z78" i="15"/>
  <c r="AA187" i="15"/>
  <c r="AA189" i="15" s="1"/>
  <c r="AZ90" i="15"/>
  <c r="V78" i="15"/>
  <c r="W71" i="21"/>
  <c r="W148" i="15" s="1"/>
  <c r="AD80" i="21"/>
  <c r="AD175" i="15" s="1"/>
  <c r="Q76" i="21"/>
  <c r="Q163" i="15" s="1"/>
  <c r="Q24" i="15"/>
  <c r="R81" i="15"/>
  <c r="Y72" i="15"/>
  <c r="AL12" i="15"/>
  <c r="X81" i="21"/>
  <c r="X178" i="15" s="1"/>
  <c r="Q64" i="21"/>
  <c r="Q127" i="15" s="1"/>
  <c r="R33" i="15"/>
  <c r="S27" i="15"/>
  <c r="T33" i="15"/>
  <c r="U87" i="15"/>
  <c r="Z42" i="15"/>
  <c r="BK42" i="15"/>
  <c r="AY75" i="21"/>
  <c r="AY160" i="15" s="1"/>
  <c r="Y75" i="21"/>
  <c r="Y160" i="15" s="1"/>
  <c r="X73" i="21"/>
  <c r="X154" i="15" s="1"/>
  <c r="Y36" i="15"/>
  <c r="AC27" i="21"/>
  <c r="CJ67" i="21"/>
  <c r="CJ136" i="15" s="1"/>
  <c r="BW67" i="21"/>
  <c r="BW136" i="15" s="1"/>
  <c r="AY83" i="21"/>
  <c r="AY184" i="15" s="1"/>
  <c r="BJ67" i="21"/>
  <c r="BJ136" i="15" s="1"/>
  <c r="AX65" i="21"/>
  <c r="AX130" i="15" s="1"/>
  <c r="Y83" i="21"/>
  <c r="Y184" i="15" s="1"/>
  <c r="Y71" i="21"/>
  <c r="Y148" i="15" s="1"/>
  <c r="AW67" i="21"/>
  <c r="AW136" i="15" s="1"/>
  <c r="X57" i="21"/>
  <c r="X106" i="15" s="1"/>
  <c r="X61" i="21"/>
  <c r="X118" i="15" s="1"/>
  <c r="W59" i="21"/>
  <c r="W112" i="15" s="1"/>
  <c r="AH79" i="21"/>
  <c r="AH172" i="15" s="1"/>
  <c r="Q84" i="15"/>
  <c r="S84" i="15"/>
  <c r="V66" i="15"/>
  <c r="X66" i="15"/>
  <c r="X30" i="15"/>
  <c r="Y60" i="15"/>
  <c r="Y24" i="15"/>
  <c r="AD84" i="15"/>
  <c r="AZ66" i="15"/>
  <c r="CK65" i="21"/>
  <c r="CK130" i="15" s="1"/>
  <c r="BK65" i="21"/>
  <c r="BK130" i="15" s="1"/>
  <c r="AL75" i="21"/>
  <c r="AL160" i="15" s="1"/>
  <c r="AL83" i="21"/>
  <c r="AL184" i="15" s="1"/>
  <c r="Y79" i="21"/>
  <c r="Y172" i="15" s="1"/>
  <c r="Y63" i="21"/>
  <c r="Y124" i="15" s="1"/>
  <c r="Y67" i="21"/>
  <c r="Y136" i="15" s="1"/>
  <c r="AK57" i="21"/>
  <c r="AK106" i="15" s="1"/>
  <c r="AJ67" i="21"/>
  <c r="AJ136" i="15" s="1"/>
  <c r="X65" i="21"/>
  <c r="X130" i="15" s="1"/>
  <c r="AJ63" i="21"/>
  <c r="AJ124" i="15" s="1"/>
  <c r="AU79" i="21"/>
  <c r="AU172" i="15" s="1"/>
  <c r="W67" i="21"/>
  <c r="W136" i="15" s="1"/>
  <c r="AH71" i="21"/>
  <c r="AH148" i="15" s="1"/>
  <c r="U75" i="21"/>
  <c r="U160" i="15" s="1"/>
  <c r="X54" i="15"/>
  <c r="X18" i="15"/>
  <c r="Y48" i="15"/>
  <c r="Z66" i="15"/>
  <c r="Z30" i="15"/>
  <c r="AK42" i="15"/>
  <c r="AL36" i="15"/>
  <c r="AM90" i="15"/>
  <c r="AY36" i="15"/>
  <c r="BL36" i="15"/>
  <c r="AC37" i="21"/>
  <c r="AK65" i="21"/>
  <c r="AK130" i="15" s="1"/>
  <c r="X77" i="21"/>
  <c r="X166" i="15" s="1"/>
  <c r="X69" i="21"/>
  <c r="X142" i="15" s="1"/>
  <c r="W63" i="21"/>
  <c r="W124" i="15" s="1"/>
  <c r="W75" i="21"/>
  <c r="W160" i="15" s="1"/>
  <c r="U79" i="21"/>
  <c r="U172" i="15" s="1"/>
  <c r="U71" i="21"/>
  <c r="U148" i="15" s="1"/>
  <c r="R81" i="21"/>
  <c r="R178" i="15" s="1"/>
  <c r="Q36" i="15"/>
  <c r="X42" i="15"/>
  <c r="Y84" i="15"/>
  <c r="Y12" i="15"/>
  <c r="Z90" i="15"/>
  <c r="Z54" i="15"/>
  <c r="AK30" i="15"/>
  <c r="AM66" i="15"/>
  <c r="AX42" i="15"/>
  <c r="AF75" i="15"/>
  <c r="F28" i="16"/>
  <c r="AI79" i="21"/>
  <c r="AI172" i="15" s="1"/>
  <c r="U57" i="21"/>
  <c r="U106" i="15" s="1"/>
  <c r="AA54" i="15"/>
  <c r="AJ78" i="15"/>
  <c r="V59" i="21"/>
  <c r="V112" i="15" s="1"/>
  <c r="U73" i="21"/>
  <c r="U154" i="15" s="1"/>
  <c r="V72" i="15"/>
  <c r="W42" i="15"/>
  <c r="AA90" i="15"/>
  <c r="BN90" i="15"/>
  <c r="G47" i="1"/>
  <c r="R21" i="15"/>
  <c r="S87" i="15"/>
  <c r="U63" i="15"/>
  <c r="AE69" i="15"/>
  <c r="R45" i="15"/>
  <c r="S75" i="15"/>
  <c r="V33" i="15"/>
  <c r="BN39" i="15"/>
  <c r="F9" i="16"/>
  <c r="BF47" i="21"/>
  <c r="BF90" i="15" s="1"/>
  <c r="AR83" i="21"/>
  <c r="AR184" i="15" s="1"/>
  <c r="AU43" i="21"/>
  <c r="AU78" i="15" s="1"/>
  <c r="AG79" i="21"/>
  <c r="AG172" i="15" s="1"/>
  <c r="AV41" i="21"/>
  <c r="BI41" i="21" s="1"/>
  <c r="AI72" i="15"/>
  <c r="AI33" i="21"/>
  <c r="V48" i="15"/>
  <c r="AW35" i="21"/>
  <c r="AW54" i="15" s="1"/>
  <c r="AI71" i="21"/>
  <c r="AI148" i="15" s="1"/>
  <c r="AK45" i="21"/>
  <c r="AJ81" i="21" s="1"/>
  <c r="AJ178" i="15" s="1"/>
  <c r="W81" i="21"/>
  <c r="W178" i="15" s="1"/>
  <c r="AK33" i="21"/>
  <c r="AJ69" i="21" s="1"/>
  <c r="AJ142" i="15" s="1"/>
  <c r="X48" i="15"/>
  <c r="AM25" i="21"/>
  <c r="AM24" i="15" s="1"/>
  <c r="Z24" i="15"/>
  <c r="AL57" i="21"/>
  <c r="AL106" i="15" s="1"/>
  <c r="Y57" i="21"/>
  <c r="Y106" i="15" s="1"/>
  <c r="AN39" i="21"/>
  <c r="AN66" i="15" s="1"/>
  <c r="AA66" i="15"/>
  <c r="BA35" i="21"/>
  <c r="AZ71" i="21" s="1"/>
  <c r="AZ148" i="15" s="1"/>
  <c r="AM71" i="21"/>
  <c r="AM148" i="15" s="1"/>
  <c r="AN31" i="21"/>
  <c r="AN42" i="15" s="1"/>
  <c r="Z67" i="21"/>
  <c r="Z136" i="15" s="1"/>
  <c r="BN23" i="21"/>
  <c r="AZ59" i="21"/>
  <c r="AZ112" i="15" s="1"/>
  <c r="AO45" i="21"/>
  <c r="AN81" i="21" s="1"/>
  <c r="AN178" i="15" s="1"/>
  <c r="AB84" i="15"/>
  <c r="AO37" i="21"/>
  <c r="AA73" i="21"/>
  <c r="AA154" i="15" s="1"/>
  <c r="BB33" i="21"/>
  <c r="BB48" i="15" s="1"/>
  <c r="AO29" i="21"/>
  <c r="AN65" i="21" s="1"/>
  <c r="AN130" i="15" s="1"/>
  <c r="AB65" i="21"/>
  <c r="AB130" i="15" s="1"/>
  <c r="CM83" i="21"/>
  <c r="CM184" i="15" s="1"/>
  <c r="AB73" i="21"/>
  <c r="AB154" i="15" s="1"/>
  <c r="Z83" i="21"/>
  <c r="Z184" i="15" s="1"/>
  <c r="Z59" i="21"/>
  <c r="Z112" i="15" s="1"/>
  <c r="W69" i="21"/>
  <c r="W142" i="15" s="1"/>
  <c r="AH73" i="21"/>
  <c r="AH154" i="15" s="1"/>
  <c r="V83" i="21"/>
  <c r="V184" i="15" s="1"/>
  <c r="U65" i="21"/>
  <c r="U130" i="15" s="1"/>
  <c r="AE59" i="21"/>
  <c r="AE112" i="15" s="1"/>
  <c r="Q57" i="21"/>
  <c r="Q106" i="15" s="1"/>
  <c r="S18" i="15"/>
  <c r="U54" i="15"/>
  <c r="W78" i="15"/>
  <c r="AA78" i="15"/>
  <c r="AA30" i="15"/>
  <c r="AB60" i="15"/>
  <c r="AB12" i="15"/>
  <c r="AN54" i="15"/>
  <c r="BA90" i="15"/>
  <c r="V79" i="21"/>
  <c r="V172" i="15" s="1"/>
  <c r="V71" i="21"/>
  <c r="V148" i="15" s="1"/>
  <c r="U69" i="21"/>
  <c r="U142" i="15" s="1"/>
  <c r="T83" i="21"/>
  <c r="T184" i="15" s="1"/>
  <c r="AE83" i="21"/>
  <c r="AE184" i="15" s="1"/>
  <c r="S57" i="21"/>
  <c r="S106" i="15" s="1"/>
  <c r="T12" i="15"/>
  <c r="U90" i="15"/>
  <c r="V60" i="15"/>
  <c r="AN18" i="15"/>
  <c r="AV60" i="15"/>
  <c r="U68" i="21"/>
  <c r="U139" i="15" s="1"/>
  <c r="T62" i="21"/>
  <c r="T121" i="15" s="1"/>
  <c r="AE78" i="21"/>
  <c r="AE169" i="15" s="1"/>
  <c r="AE62" i="21"/>
  <c r="AE121" i="15" s="1"/>
  <c r="AD72" i="21"/>
  <c r="AD151" i="15" s="1"/>
  <c r="R62" i="21"/>
  <c r="R121" i="15" s="1"/>
  <c r="Q80" i="21"/>
  <c r="Q175" i="15" s="1"/>
  <c r="Q72" i="21"/>
  <c r="Q151" i="15" s="1"/>
  <c r="R69" i="15"/>
  <c r="S15" i="15"/>
  <c r="T69" i="15"/>
  <c r="U75" i="15"/>
  <c r="W75" i="15"/>
  <c r="W27" i="15"/>
  <c r="X81" i="15"/>
  <c r="X21" i="15"/>
  <c r="Y63" i="15"/>
  <c r="Z45" i="15"/>
  <c r="AA39" i="15"/>
  <c r="AA15" i="15"/>
  <c r="AB57" i="15"/>
  <c r="AB21" i="15"/>
  <c r="AE57" i="15"/>
  <c r="AF27" i="15"/>
  <c r="AN39" i="15"/>
  <c r="G64" i="1"/>
  <c r="AJ54" i="15"/>
  <c r="F35" i="16"/>
  <c r="F32" i="16"/>
  <c r="B52" i="4"/>
  <c r="B49" i="21"/>
  <c r="U77" i="21"/>
  <c r="U166" i="15" s="1"/>
  <c r="T79" i="21"/>
  <c r="T172" i="15" s="1"/>
  <c r="R71" i="21"/>
  <c r="R148" i="15" s="1"/>
  <c r="R83" i="21"/>
  <c r="R184" i="15" s="1"/>
  <c r="R59" i="21"/>
  <c r="R112" i="15" s="1"/>
  <c r="Q51" i="15"/>
  <c r="R57" i="15"/>
  <c r="R12" i="15"/>
  <c r="S90" i="15"/>
  <c r="S54" i="15"/>
  <c r="T45" i="15"/>
  <c r="U78" i="15"/>
  <c r="U39" i="15"/>
  <c r="V69" i="15"/>
  <c r="V45" i="15"/>
  <c r="V12" i="15"/>
  <c r="W90" i="15"/>
  <c r="W54" i="15"/>
  <c r="W18" i="15"/>
  <c r="X84" i="15"/>
  <c r="Y75" i="15"/>
  <c r="Y51" i="15"/>
  <c r="Y27" i="15"/>
  <c r="Z81" i="15"/>
  <c r="Z57" i="15"/>
  <c r="Z36" i="15"/>
  <c r="Z21" i="15"/>
  <c r="AA75" i="15"/>
  <c r="AA51" i="15"/>
  <c r="AB72" i="15"/>
  <c r="AB48" i="15"/>
  <c r="AB24" i="15"/>
  <c r="AE81" i="15"/>
  <c r="AE33" i="15"/>
  <c r="AF18" i="15"/>
  <c r="AJ27" i="15"/>
  <c r="AN90" i="15"/>
  <c r="AN27" i="15"/>
  <c r="AS90" i="15"/>
  <c r="BA18" i="15"/>
  <c r="BN27" i="15"/>
  <c r="AH78" i="15"/>
  <c r="AI60" i="15"/>
  <c r="BX42" i="15"/>
  <c r="CA90" i="15"/>
  <c r="AD60" i="15"/>
  <c r="AF90" i="15"/>
  <c r="F25" i="16"/>
  <c r="F13" i="16"/>
  <c r="Y78" i="21"/>
  <c r="Y169" i="15" s="1"/>
  <c r="N187" i="15"/>
  <c r="P63" i="21"/>
  <c r="F85" i="16" s="1"/>
  <c r="AC49" i="21"/>
  <c r="F34" i="16"/>
  <c r="B85" i="21"/>
  <c r="G70" i="1"/>
  <c r="AC24" i="21"/>
  <c r="P60" i="21"/>
  <c r="F82" i="16" s="1"/>
  <c r="P61" i="21"/>
  <c r="F83" i="16" s="1"/>
  <c r="P57" i="21"/>
  <c r="P76" i="21"/>
  <c r="F98" i="16" s="1"/>
  <c r="P68" i="21"/>
  <c r="F90" i="16" s="1"/>
  <c r="F18" i="16"/>
  <c r="G67" i="1"/>
  <c r="G54" i="1"/>
  <c r="C106" i="15"/>
  <c r="AC56" i="21"/>
  <c r="F10" i="16"/>
  <c r="G63" i="1"/>
  <c r="AC42" i="21"/>
  <c r="D124" i="15"/>
  <c r="P124" i="15" s="1"/>
  <c r="P58" i="21"/>
  <c r="F80" i="16" s="1"/>
  <c r="AN66" i="21"/>
  <c r="AN133" i="15" s="1"/>
  <c r="AA66" i="21"/>
  <c r="AA133" i="15" s="1"/>
  <c r="AB87" i="15"/>
  <c r="CO84" i="21"/>
  <c r="CP84" i="21" s="1"/>
  <c r="BO84" i="21"/>
  <c r="BP84" i="21" s="1"/>
  <c r="CB84" i="21"/>
  <c r="CC84" i="21" s="1"/>
  <c r="P84" i="21"/>
  <c r="F106" i="16" s="1"/>
  <c r="AD44" i="21"/>
  <c r="AD81" i="15" s="1"/>
  <c r="Q81" i="15"/>
  <c r="AE34" i="21"/>
  <c r="AD70" i="21" s="1"/>
  <c r="AD145" i="15" s="1"/>
  <c r="R51" i="15"/>
  <c r="Q70" i="21"/>
  <c r="Q145" i="15" s="1"/>
  <c r="AE26" i="21"/>
  <c r="AD62" i="21" s="1"/>
  <c r="AD121" i="15" s="1"/>
  <c r="R27" i="15"/>
  <c r="Q62" i="21"/>
  <c r="Q121" i="15" s="1"/>
  <c r="AF40" i="21"/>
  <c r="R76" i="21"/>
  <c r="R163" i="15" s="1"/>
  <c r="AF36" i="21"/>
  <c r="R72" i="21"/>
  <c r="R151" i="15" s="1"/>
  <c r="S57" i="15"/>
  <c r="AF32" i="21"/>
  <c r="S45" i="15"/>
  <c r="R68" i="21"/>
  <c r="R139" i="15" s="1"/>
  <c r="AG38" i="21"/>
  <c r="AF74" i="21" s="1"/>
  <c r="AF157" i="15" s="1"/>
  <c r="T63" i="15"/>
  <c r="S74" i="21"/>
  <c r="S157" i="15" s="1"/>
  <c r="AG34" i="21"/>
  <c r="S70" i="21"/>
  <c r="S145" i="15" s="1"/>
  <c r="AG26" i="21"/>
  <c r="T27" i="15"/>
  <c r="S62" i="21"/>
  <c r="S121" i="15" s="1"/>
  <c r="AG22" i="21"/>
  <c r="AF58" i="21" s="1"/>
  <c r="AF109" i="15" s="1"/>
  <c r="S58" i="21"/>
  <c r="S109" i="15" s="1"/>
  <c r="AH44" i="21"/>
  <c r="AG80" i="21" s="1"/>
  <c r="AG175" i="15" s="1"/>
  <c r="U81" i="15"/>
  <c r="T80" i="21"/>
  <c r="T175" i="15" s="1"/>
  <c r="AH40" i="21"/>
  <c r="AG76" i="21" s="1"/>
  <c r="AG163" i="15" s="1"/>
  <c r="U69" i="15"/>
  <c r="AH36" i="21"/>
  <c r="T72" i="21"/>
  <c r="T151" i="15" s="1"/>
  <c r="AH32" i="21"/>
  <c r="U45" i="15"/>
  <c r="T68" i="21"/>
  <c r="T139" i="15" s="1"/>
  <c r="AH28" i="21"/>
  <c r="AU28" i="21" s="1"/>
  <c r="T64" i="21"/>
  <c r="T127" i="15" s="1"/>
  <c r="AH24" i="21"/>
  <c r="AG60" i="21" s="1"/>
  <c r="AG115" i="15" s="1"/>
  <c r="U21" i="15"/>
  <c r="T60" i="21"/>
  <c r="T115" i="15" s="1"/>
  <c r="AI46" i="21"/>
  <c r="AV46" i="21" s="1"/>
  <c r="V87" i="15"/>
  <c r="U82" i="21"/>
  <c r="U181" i="15" s="1"/>
  <c r="AI26" i="21"/>
  <c r="AH62" i="21" s="1"/>
  <c r="AH121" i="15" s="1"/>
  <c r="V27" i="15"/>
  <c r="AI22" i="21"/>
  <c r="AV22" i="21" s="1"/>
  <c r="U58" i="21"/>
  <c r="U109" i="15" s="1"/>
  <c r="AJ44" i="21"/>
  <c r="AJ81" i="15" s="1"/>
  <c r="W81" i="15"/>
  <c r="AJ40" i="21"/>
  <c r="AW40" i="21" s="1"/>
  <c r="W69" i="15"/>
  <c r="AJ36" i="21"/>
  <c r="AI72" i="21" s="1"/>
  <c r="AI151" i="15" s="1"/>
  <c r="W57" i="15"/>
  <c r="V72" i="21"/>
  <c r="V151" i="15" s="1"/>
  <c r="AJ32" i="21"/>
  <c r="W45" i="15"/>
  <c r="AJ24" i="21"/>
  <c r="AJ21" i="15" s="1"/>
  <c r="W21" i="15"/>
  <c r="AK46" i="21"/>
  <c r="AK87" i="15" s="1"/>
  <c r="X87" i="15"/>
  <c r="W82" i="21"/>
  <c r="W181" i="15" s="1"/>
  <c r="AK42" i="21"/>
  <c r="X75" i="15"/>
  <c r="AK34" i="21"/>
  <c r="X51" i="15"/>
  <c r="AK30" i="21"/>
  <c r="AJ66" i="21" s="1"/>
  <c r="AJ133" i="15" s="1"/>
  <c r="W66" i="21"/>
  <c r="W133" i="15" s="1"/>
  <c r="X39" i="15"/>
  <c r="AK26" i="21"/>
  <c r="W62" i="21"/>
  <c r="W121" i="15" s="1"/>
  <c r="AK22" i="21"/>
  <c r="X15" i="15"/>
  <c r="W58" i="21"/>
  <c r="W109" i="15" s="1"/>
  <c r="AL44" i="21"/>
  <c r="X80" i="21"/>
  <c r="X175" i="15" s="1"/>
  <c r="Y81" i="15"/>
  <c r="AL36" i="21"/>
  <c r="Y57" i="15"/>
  <c r="X72" i="21"/>
  <c r="X151" i="15" s="1"/>
  <c r="AL28" i="21"/>
  <c r="AK64" i="21" s="1"/>
  <c r="AK127" i="15" s="1"/>
  <c r="Y33" i="15"/>
  <c r="AL24" i="21"/>
  <c r="Y21" i="15"/>
  <c r="AM46" i="21"/>
  <c r="Z87" i="15"/>
  <c r="AZ42" i="21"/>
  <c r="AL78" i="21"/>
  <c r="AL169" i="15" s="1"/>
  <c r="AM38" i="21"/>
  <c r="Z63" i="15"/>
  <c r="AN44" i="21"/>
  <c r="AA81" i="15"/>
  <c r="AN40" i="21"/>
  <c r="AA69" i="15"/>
  <c r="AN36" i="21"/>
  <c r="Z72" i="21"/>
  <c r="Z151" i="15" s="1"/>
  <c r="AA57" i="15"/>
  <c r="AN32" i="21"/>
  <c r="AN45" i="15" s="1"/>
  <c r="Z68" i="21"/>
  <c r="Z139" i="15" s="1"/>
  <c r="AN28" i="21"/>
  <c r="BA28" i="21" s="1"/>
  <c r="AA33" i="15"/>
  <c r="AN24" i="21"/>
  <c r="AA21" i="15"/>
  <c r="BB46" i="21"/>
  <c r="AO87" i="15"/>
  <c r="AO42" i="21"/>
  <c r="BB42" i="21" s="1"/>
  <c r="AB75" i="15"/>
  <c r="AO38" i="21"/>
  <c r="AB63" i="15"/>
  <c r="AO34" i="21"/>
  <c r="AB51" i="15"/>
  <c r="BO30" i="21"/>
  <c r="BB39" i="15"/>
  <c r="AO26" i="21"/>
  <c r="BB26" i="21" s="1"/>
  <c r="AB27" i="15"/>
  <c r="AO22" i="21"/>
  <c r="AB15" i="15"/>
  <c r="F24" i="16"/>
  <c r="F14" i="16"/>
  <c r="F17" i="16"/>
  <c r="G51" i="1"/>
  <c r="G48" i="1"/>
  <c r="D187" i="15"/>
  <c r="P65" i="21"/>
  <c r="F87" i="16" s="1"/>
  <c r="AO66" i="21"/>
  <c r="AO133" i="15" s="1"/>
  <c r="AN82" i="21"/>
  <c r="AN181" i="15" s="1"/>
  <c r="AA58" i="21"/>
  <c r="AA109" i="15" s="1"/>
  <c r="AB74" i="21"/>
  <c r="AB157" i="15" s="1"/>
  <c r="AA82" i="21"/>
  <c r="AA181" i="15" s="1"/>
  <c r="AB70" i="21"/>
  <c r="AB145" i="15" s="1"/>
  <c r="Z60" i="21"/>
  <c r="Z115" i="15" s="1"/>
  <c r="V80" i="21"/>
  <c r="V175" i="15" s="1"/>
  <c r="V76" i="21"/>
  <c r="V163" i="15" s="1"/>
  <c r="T76" i="21"/>
  <c r="T163" i="15" s="1"/>
  <c r="T51" i="15"/>
  <c r="U33" i="15"/>
  <c r="V15" i="15"/>
  <c r="AB39" i="15"/>
  <c r="AO82" i="21"/>
  <c r="AO181" i="15" s="1"/>
  <c r="AA78" i="21"/>
  <c r="AA169" i="15" s="1"/>
  <c r="AA62" i="21"/>
  <c r="AA121" i="15" s="1"/>
  <c r="AA74" i="21"/>
  <c r="AA157" i="15" s="1"/>
  <c r="AB82" i="21"/>
  <c r="AB181" i="15" s="1"/>
  <c r="Z80" i="21"/>
  <c r="Z175" i="15" s="1"/>
  <c r="Z64" i="21"/>
  <c r="Z127" i="15" s="1"/>
  <c r="Y74" i="21"/>
  <c r="Y157" i="15" s="1"/>
  <c r="X64" i="21"/>
  <c r="X127" i="15" s="1"/>
  <c r="W74" i="21"/>
  <c r="W157" i="15" s="1"/>
  <c r="AC55" i="21"/>
  <c r="T100" i="15"/>
  <c r="AC100" i="15" s="1"/>
  <c r="U57" i="15"/>
  <c r="X63" i="15"/>
  <c r="Z75" i="15"/>
  <c r="AA45" i="15"/>
  <c r="AM75" i="15"/>
  <c r="F8" i="16"/>
  <c r="F11" i="16"/>
  <c r="C118" i="15"/>
  <c r="P66" i="21"/>
  <c r="F88" i="16" s="1"/>
  <c r="P62" i="21"/>
  <c r="F84" i="16" s="1"/>
  <c r="BA66" i="21"/>
  <c r="BA133" i="15" s="1"/>
  <c r="AB78" i="21"/>
  <c r="AB169" i="15" s="1"/>
  <c r="AB62" i="21"/>
  <c r="AB121" i="15" s="1"/>
  <c r="AB66" i="21"/>
  <c r="AB133" i="15" s="1"/>
  <c r="Z76" i="21"/>
  <c r="Z163" i="15" s="1"/>
  <c r="W78" i="21"/>
  <c r="W169" i="15" s="1"/>
  <c r="V68" i="21"/>
  <c r="V139" i="15" s="1"/>
  <c r="P72" i="21"/>
  <c r="F94" i="16" s="1"/>
  <c r="AO39" i="15"/>
  <c r="AC84" i="21"/>
  <c r="P82" i="21"/>
  <c r="F104" i="16" s="1"/>
  <c r="P78" i="21"/>
  <c r="F100" i="16" s="1"/>
  <c r="Q60" i="15"/>
  <c r="V54" i="15"/>
  <c r="AD51" i="15"/>
  <c r="AI54" i="15"/>
  <c r="AV78" i="15"/>
  <c r="P74" i="21"/>
  <c r="F96" i="16" s="1"/>
  <c r="P70" i="21"/>
  <c r="F92" i="16" s="1"/>
  <c r="AI78" i="15"/>
  <c r="P80" i="21"/>
  <c r="F102" i="16" s="1"/>
  <c r="C260" i="30"/>
  <c r="C208" i="30"/>
  <c r="D208" i="30"/>
  <c r="A17" i="30"/>
  <c r="A23" i="30"/>
  <c r="A24" i="30"/>
  <c r="A29" i="30"/>
  <c r="A35" i="30"/>
  <c r="A36" i="30"/>
  <c r="A48" i="30"/>
  <c r="I6" i="30"/>
  <c r="I7" i="30"/>
  <c r="A22" i="30"/>
  <c r="A30" i="30"/>
  <c r="A38" i="30"/>
  <c r="A39" i="30"/>
  <c r="A42" i="30"/>
  <c r="A47" i="30"/>
  <c r="A51" i="30"/>
  <c r="A55" i="30"/>
  <c r="A58" i="30"/>
  <c r="A59" i="30"/>
  <c r="A63" i="30"/>
  <c r="A64" i="30"/>
  <c r="A71" i="30"/>
  <c r="A73" i="30"/>
  <c r="A77" i="30"/>
  <c r="A78" i="30"/>
  <c r="A80" i="30"/>
  <c r="A84" i="30"/>
  <c r="A85" i="30"/>
  <c r="A91" i="30"/>
  <c r="A92" i="30"/>
  <c r="A94" i="30"/>
  <c r="A96" i="30"/>
  <c r="A101" i="30"/>
  <c r="A103" i="30"/>
  <c r="A108" i="30"/>
  <c r="A114" i="30"/>
  <c r="A117" i="30"/>
  <c r="A122" i="30"/>
  <c r="A125" i="30"/>
  <c r="A130" i="30"/>
  <c r="A133" i="30"/>
  <c r="A138" i="30"/>
  <c r="A141" i="30"/>
  <c r="A146" i="30"/>
  <c r="A149" i="30"/>
  <c r="A154" i="30"/>
  <c r="A157" i="30"/>
  <c r="A162" i="30"/>
  <c r="A165" i="30"/>
  <c r="A170" i="30"/>
  <c r="A173" i="30"/>
  <c r="A178" i="30"/>
  <c r="A181" i="30"/>
  <c r="A186" i="30"/>
  <c r="A189" i="30"/>
  <c r="A194" i="30"/>
  <c r="A197" i="30"/>
  <c r="A202" i="30"/>
  <c r="A205" i="30"/>
  <c r="A210" i="30"/>
  <c r="A213" i="30"/>
  <c r="D17" i="30"/>
  <c r="A20" i="30"/>
  <c r="A25" i="30"/>
  <c r="A28" i="30"/>
  <c r="A33" i="30"/>
  <c r="A34" i="30"/>
  <c r="A52" i="30"/>
  <c r="A68" i="30"/>
  <c r="A74" i="30"/>
  <c r="A75" i="30"/>
  <c r="A89" i="30"/>
  <c r="A90" i="30"/>
  <c r="A97" i="30"/>
  <c r="A98" i="30"/>
  <c r="A104" i="30"/>
  <c r="A111" i="30"/>
  <c r="A116" i="30"/>
  <c r="A119" i="30"/>
  <c r="A124" i="30"/>
  <c r="A127" i="30"/>
  <c r="A132" i="30"/>
  <c r="A135" i="30"/>
  <c r="A140" i="30"/>
  <c r="A143" i="30"/>
  <c r="A148" i="30"/>
  <c r="A151" i="30"/>
  <c r="A156" i="30"/>
  <c r="A159" i="30"/>
  <c r="A164" i="30"/>
  <c r="A167" i="30"/>
  <c r="A172" i="30"/>
  <c r="A175" i="30"/>
  <c r="A180" i="30"/>
  <c r="A183" i="30"/>
  <c r="A188" i="30"/>
  <c r="A191" i="30"/>
  <c r="A196" i="30"/>
  <c r="A199" i="30"/>
  <c r="A204" i="30"/>
  <c r="A207" i="30"/>
  <c r="A212" i="30"/>
  <c r="A215" i="30"/>
  <c r="A19" i="30"/>
  <c r="A21" i="30"/>
  <c r="A27" i="30"/>
  <c r="A43" i="30"/>
  <c r="A44" i="30"/>
  <c r="A53" i="30"/>
  <c r="A61" i="30"/>
  <c r="A62" i="30"/>
  <c r="A76" i="30"/>
  <c r="A82" i="30"/>
  <c r="A83" i="30"/>
  <c r="A105" i="30"/>
  <c r="A115" i="30"/>
  <c r="A120" i="30"/>
  <c r="A131" i="30"/>
  <c r="A136" i="30"/>
  <c r="A147" i="30"/>
  <c r="A152" i="30"/>
  <c r="A163" i="30"/>
  <c r="A168" i="30"/>
  <c r="A179" i="30"/>
  <c r="A184" i="30"/>
  <c r="A195" i="30"/>
  <c r="A200" i="30"/>
  <c r="A211" i="30"/>
  <c r="A216" i="30"/>
  <c r="A217" i="30"/>
  <c r="A219" i="30"/>
  <c r="A224" i="30"/>
  <c r="A227" i="30"/>
  <c r="A232" i="30"/>
  <c r="A235" i="30"/>
  <c r="A240" i="30"/>
  <c r="A243" i="30"/>
  <c r="A248" i="30"/>
  <c r="A251" i="30"/>
  <c r="A256" i="30"/>
  <c r="A262" i="30"/>
  <c r="A265" i="30"/>
  <c r="A270" i="30"/>
  <c r="A273" i="30"/>
  <c r="A278" i="30"/>
  <c r="A281" i="30"/>
  <c r="A286" i="30"/>
  <c r="A289" i="30"/>
  <c r="A294" i="30"/>
  <c r="A297" i="30"/>
  <c r="A299" i="30"/>
  <c r="A300" i="30"/>
  <c r="A302" i="30"/>
  <c r="A307" i="30"/>
  <c r="A310" i="30"/>
  <c r="A316" i="30"/>
  <c r="A319" i="30"/>
  <c r="A324" i="30"/>
  <c r="A327" i="30"/>
  <c r="A332" i="30"/>
  <c r="A335" i="30"/>
  <c r="A340" i="30"/>
  <c r="A343" i="30"/>
  <c r="A348" i="30"/>
  <c r="A351" i="30"/>
  <c r="A356" i="30"/>
  <c r="A359" i="30"/>
  <c r="A364" i="30"/>
  <c r="A367" i="30"/>
  <c r="A372" i="30"/>
  <c r="A375" i="30"/>
  <c r="A41" i="30"/>
  <c r="A46" i="30"/>
  <c r="A50" i="30"/>
  <c r="A60" i="30"/>
  <c r="A69" i="30"/>
  <c r="A70" i="30"/>
  <c r="A81" i="30"/>
  <c r="A95" i="30"/>
  <c r="A102" i="30"/>
  <c r="A113" i="30"/>
  <c r="A118" i="30"/>
  <c r="A129" i="30"/>
  <c r="A134" i="30"/>
  <c r="A145" i="30"/>
  <c r="A150" i="30"/>
  <c r="A161" i="30"/>
  <c r="A166" i="30"/>
  <c r="A177" i="30"/>
  <c r="A182" i="30"/>
  <c r="A193" i="30"/>
  <c r="A198" i="30"/>
  <c r="A209" i="30"/>
  <c r="A214" i="30"/>
  <c r="A218" i="30"/>
  <c r="A221" i="30"/>
  <c r="A226" i="30"/>
  <c r="A229" i="30"/>
  <c r="A234" i="30"/>
  <c r="A237" i="30"/>
  <c r="A242" i="30"/>
  <c r="A245" i="30"/>
  <c r="A250" i="30"/>
  <c r="A253" i="30"/>
  <c r="A259" i="30"/>
  <c r="A264" i="30"/>
  <c r="A267" i="30"/>
  <c r="A272" i="30"/>
  <c r="A275" i="30"/>
  <c r="A280" i="30"/>
  <c r="A283" i="30"/>
  <c r="A288" i="30"/>
  <c r="A291" i="30"/>
  <c r="A296" i="30"/>
  <c r="A304" i="30"/>
  <c r="A306" i="30"/>
  <c r="A309" i="30"/>
  <c r="A311" i="30"/>
  <c r="A318" i="30"/>
  <c r="A321" i="30"/>
  <c r="A326" i="30"/>
  <c r="A329" i="30"/>
  <c r="A334" i="30"/>
  <c r="A337" i="30"/>
  <c r="A342" i="30"/>
  <c r="A345" i="30"/>
  <c r="A350" i="30"/>
  <c r="A353" i="30"/>
  <c r="A358" i="30"/>
  <c r="A361" i="30"/>
  <c r="A366" i="30"/>
  <c r="A369" i="30"/>
  <c r="A374" i="30"/>
  <c r="A18" i="30"/>
  <c r="A31" i="30"/>
  <c r="A37" i="30"/>
  <c r="A40" i="30"/>
  <c r="A45" i="30"/>
  <c r="A72" i="30"/>
  <c r="A86" i="30"/>
  <c r="A100" i="30"/>
  <c r="A106" i="30"/>
  <c r="A110" i="30"/>
  <c r="A137" i="30"/>
  <c r="A142" i="30"/>
  <c r="A169" i="30"/>
  <c r="A174" i="30"/>
  <c r="A201" i="30"/>
  <c r="A206" i="30"/>
  <c r="A225" i="30"/>
  <c r="A230" i="30"/>
  <c r="A241" i="30"/>
  <c r="A246" i="30"/>
  <c r="A257" i="30"/>
  <c r="A258" i="30"/>
  <c r="A269" i="30"/>
  <c r="A274" i="30"/>
  <c r="A285" i="30"/>
  <c r="A290" i="30"/>
  <c r="A298" i="30"/>
  <c r="A308" i="30"/>
  <c r="A323" i="30"/>
  <c r="A328" i="30"/>
  <c r="A339" i="30"/>
  <c r="A344" i="30"/>
  <c r="A355" i="30"/>
  <c r="A360" i="30"/>
  <c r="A371" i="30"/>
  <c r="A376" i="30"/>
  <c r="A26" i="30"/>
  <c r="A32" i="30"/>
  <c r="A49" i="30"/>
  <c r="A56" i="30"/>
  <c r="A67" i="30"/>
  <c r="A87" i="30"/>
  <c r="A123" i="30"/>
  <c r="A128" i="30"/>
  <c r="A155" i="30"/>
  <c r="A160" i="30"/>
  <c r="A187" i="30"/>
  <c r="A192" i="30"/>
  <c r="A223" i="30"/>
  <c r="A228" i="30"/>
  <c r="A239" i="30"/>
  <c r="A244" i="30"/>
  <c r="A255" i="30"/>
  <c r="A263" i="30"/>
  <c r="A268" i="30"/>
  <c r="A279" i="30"/>
  <c r="A284" i="30"/>
  <c r="A295" i="30"/>
  <c r="A305" i="30"/>
  <c r="A317" i="30"/>
  <c r="A322" i="30"/>
  <c r="A333" i="30"/>
  <c r="A338" i="30"/>
  <c r="A349" i="30"/>
  <c r="A354" i="30"/>
  <c r="A365" i="30"/>
  <c r="A370" i="30"/>
  <c r="I9" i="30"/>
  <c r="A54" i="30"/>
  <c r="A65" i="30"/>
  <c r="A79" i="30"/>
  <c r="A93" i="30"/>
  <c r="A99" i="30"/>
  <c r="A107" i="30"/>
  <c r="A109" i="30"/>
  <c r="A121" i="30"/>
  <c r="A126" i="30"/>
  <c r="A153" i="30"/>
  <c r="A158" i="30"/>
  <c r="A185" i="30"/>
  <c r="A190" i="30"/>
  <c r="A222" i="30"/>
  <c r="A233" i="30"/>
  <c r="A238" i="30"/>
  <c r="A249" i="30"/>
  <c r="A254" i="30"/>
  <c r="A261" i="30"/>
  <c r="A266" i="30"/>
  <c r="A277" i="30"/>
  <c r="A282" i="30"/>
  <c r="A293" i="30"/>
  <c r="A312" i="30"/>
  <c r="A315" i="30"/>
  <c r="A320" i="30"/>
  <c r="A331" i="30"/>
  <c r="A336" i="30"/>
  <c r="A347" i="30"/>
  <c r="A352" i="30"/>
  <c r="A363" i="30"/>
  <c r="A368" i="30"/>
  <c r="I271" i="30"/>
  <c r="I313" i="30"/>
  <c r="E313" i="30"/>
  <c r="C236" i="30"/>
  <c r="H176" i="30"/>
  <c r="C112" i="30"/>
  <c r="H112" i="30"/>
  <c r="I287" i="30"/>
  <c r="D144" i="30"/>
  <c r="C57" i="30"/>
  <c r="F15" i="16"/>
  <c r="F33" i="16"/>
  <c r="G56" i="1"/>
  <c r="F16" i="16"/>
  <c r="C127" i="15"/>
  <c r="P64" i="21"/>
  <c r="F86" i="16" s="1"/>
  <c r="C103" i="15"/>
  <c r="P56" i="21"/>
  <c r="F29" i="16"/>
  <c r="G66" i="1"/>
  <c r="G60" i="1"/>
  <c r="G61" i="1"/>
  <c r="F21" i="16"/>
  <c r="AC44" i="21"/>
  <c r="G71" i="1"/>
  <c r="P59" i="21"/>
  <c r="F81" i="16" s="1"/>
  <c r="F12" i="16"/>
  <c r="G69" i="1"/>
  <c r="AC35" i="21"/>
  <c r="G62" i="1"/>
  <c r="CG58" i="22"/>
  <c r="BX88" i="22"/>
  <c r="B84" i="36"/>
  <c r="B84" i="20"/>
  <c r="CO84" i="20" s="1"/>
  <c r="J127" i="4"/>
  <c r="K127" i="4" s="1"/>
  <c r="D133" i="15"/>
  <c r="P133" i="15" s="1"/>
  <c r="B86" i="20"/>
  <c r="AO86" i="20" s="1"/>
  <c r="AI139" i="22"/>
  <c r="F45" i="16"/>
  <c r="G96" i="17"/>
  <c r="H96" i="17" s="1"/>
  <c r="J96" i="17" s="1"/>
  <c r="B13" i="36"/>
  <c r="B72" i="36"/>
  <c r="G123" i="17"/>
  <c r="H123" i="17" s="1"/>
  <c r="J123" i="17" s="1"/>
  <c r="B43" i="36"/>
  <c r="Q189" i="15"/>
  <c r="T189" i="15"/>
  <c r="V189" i="15"/>
  <c r="X189" i="15"/>
  <c r="Z189" i="15"/>
  <c r="P79" i="21"/>
  <c r="F101" i="16" s="1"/>
  <c r="P71" i="21"/>
  <c r="F93" i="16" s="1"/>
  <c r="F47" i="1"/>
  <c r="F51" i="1"/>
  <c r="F55" i="1"/>
  <c r="F59" i="1"/>
  <c r="F63" i="1"/>
  <c r="F67" i="1"/>
  <c r="F71" i="1"/>
  <c r="F75" i="1"/>
  <c r="F48" i="1"/>
  <c r="F91" i="4" s="1"/>
  <c r="F52" i="1"/>
  <c r="H52" i="1" s="1"/>
  <c r="F56" i="1"/>
  <c r="F60" i="1"/>
  <c r="F64" i="1"/>
  <c r="F68" i="1"/>
  <c r="H68" i="1" s="1"/>
  <c r="F72" i="1"/>
  <c r="F46" i="1"/>
  <c r="F54" i="1"/>
  <c r="F62" i="1"/>
  <c r="F70" i="1"/>
  <c r="F49" i="1"/>
  <c r="F57" i="1"/>
  <c r="F65" i="1"/>
  <c r="H65" i="1" s="1"/>
  <c r="F73" i="1"/>
  <c r="H73" i="1" s="1"/>
  <c r="F50" i="1"/>
  <c r="F66" i="1"/>
  <c r="F53" i="1"/>
  <c r="H53" i="1" s="1"/>
  <c r="F69" i="1"/>
  <c r="D39" i="22"/>
  <c r="O39" i="22" s="1"/>
  <c r="AB39" i="22" s="1"/>
  <c r="AO39" i="22" s="1"/>
  <c r="BB39" i="22" s="1"/>
  <c r="BO39" i="22" s="1"/>
  <c r="CB39" i="22" s="1"/>
  <c r="CO39" i="22" s="1"/>
  <c r="D50" i="22"/>
  <c r="M50" i="22" s="1"/>
  <c r="Z50" i="22" s="1"/>
  <c r="AM50" i="22" s="1"/>
  <c r="AZ50" i="22" s="1"/>
  <c r="BM50" i="22" s="1"/>
  <c r="BZ50" i="22" s="1"/>
  <c r="CM50" i="22" s="1"/>
  <c r="D47" i="22"/>
  <c r="I47" i="22" s="1"/>
  <c r="V47" i="22" s="1"/>
  <c r="AI47" i="22" s="1"/>
  <c r="AV47" i="22" s="1"/>
  <c r="BI47" i="22" s="1"/>
  <c r="BV47" i="22" s="1"/>
  <c r="CI47" i="22" s="1"/>
  <c r="D45" i="22"/>
  <c r="D41" i="22"/>
  <c r="J41" i="22" s="1"/>
  <c r="W41" i="22" s="1"/>
  <c r="AJ41" i="22" s="1"/>
  <c r="AW41" i="22" s="1"/>
  <c r="BJ41" i="22" s="1"/>
  <c r="BW41" i="22" s="1"/>
  <c r="CJ41" i="22" s="1"/>
  <c r="D33" i="22"/>
  <c r="E33" i="22" s="1"/>
  <c r="F58" i="1"/>
  <c r="D46" i="22"/>
  <c r="Q46" i="22" s="1"/>
  <c r="AD46" i="22" s="1"/>
  <c r="AQ46" i="22" s="1"/>
  <c r="BD46" i="22" s="1"/>
  <c r="BQ46" i="22" s="1"/>
  <c r="CD46" i="22" s="1"/>
  <c r="CQ46" i="22" s="1"/>
  <c r="F61" i="1"/>
  <c r="D48" i="22"/>
  <c r="D43" i="22"/>
  <c r="D23" i="22"/>
  <c r="F74" i="1"/>
  <c r="H74" i="1" s="1"/>
  <c r="D12" i="22"/>
  <c r="P12" i="22" s="1"/>
  <c r="D10" i="22"/>
  <c r="Q10" i="22" s="1"/>
  <c r="D6" i="22"/>
  <c r="D28" i="22"/>
  <c r="N28" i="22" s="1"/>
  <c r="AB28" i="22" s="1"/>
  <c r="AP28" i="22" s="1"/>
  <c r="BD28" i="22" s="1"/>
  <c r="BR28" i="22" s="1"/>
  <c r="CF28" i="22" s="1"/>
  <c r="CT28" i="22" s="1"/>
  <c r="D25" i="22"/>
  <c r="J25" i="22" s="1"/>
  <c r="X25" i="22" s="1"/>
  <c r="AL25" i="22" s="1"/>
  <c r="AZ25" i="22" s="1"/>
  <c r="BN25" i="22" s="1"/>
  <c r="CB25" i="22" s="1"/>
  <c r="CP25" i="22" s="1"/>
  <c r="D21" i="22"/>
  <c r="K21" i="22" s="1"/>
  <c r="Y21" i="22" s="1"/>
  <c r="AM21" i="22" s="1"/>
  <c r="BA21" i="22" s="1"/>
  <c r="BO21" i="22" s="1"/>
  <c r="CC21" i="22" s="1"/>
  <c r="CQ21" i="22" s="1"/>
  <c r="D20" i="22"/>
  <c r="K20" i="22" s="1"/>
  <c r="Y20" i="22" s="1"/>
  <c r="AM20" i="22" s="1"/>
  <c r="BA20" i="22" s="1"/>
  <c r="BO20" i="22" s="1"/>
  <c r="CC20" i="22" s="1"/>
  <c r="CQ20" i="22" s="1"/>
  <c r="R189" i="15"/>
  <c r="J8" i="17"/>
  <c r="P81" i="21"/>
  <c r="F103" i="16" s="1"/>
  <c r="P73" i="21"/>
  <c r="F95" i="16" s="1"/>
  <c r="D13" i="22"/>
  <c r="D17" i="22"/>
  <c r="T34" i="22"/>
  <c r="AG34" i="22" s="1"/>
  <c r="AT34" i="22" s="1"/>
  <c r="BG34" i="22" s="1"/>
  <c r="BT34" i="22" s="1"/>
  <c r="CG34" i="22" s="1"/>
  <c r="R34" i="22"/>
  <c r="S189" i="15"/>
  <c r="U189" i="15"/>
  <c r="W189" i="15"/>
  <c r="Y189" i="15"/>
  <c r="P83" i="21"/>
  <c r="F105" i="16" s="1"/>
  <c r="P75" i="21"/>
  <c r="F97" i="16" s="1"/>
  <c r="P67" i="21"/>
  <c r="F89" i="16" s="1"/>
  <c r="D15" i="22"/>
  <c r="O15" i="22" s="1"/>
  <c r="D16" i="22"/>
  <c r="O16" i="22" s="1"/>
  <c r="D22" i="22"/>
  <c r="D44" i="22"/>
  <c r="Q44" i="22" s="1"/>
  <c r="AD44" i="22" s="1"/>
  <c r="AQ44" i="22" s="1"/>
  <c r="BD44" i="22" s="1"/>
  <c r="BQ44" i="22" s="1"/>
  <c r="CD44" i="22" s="1"/>
  <c r="CQ44" i="22" s="1"/>
  <c r="D49" i="22"/>
  <c r="AO84" i="21"/>
  <c r="AP84" i="21" s="1"/>
  <c r="BB84" i="21"/>
  <c r="BC84" i="21" s="1"/>
  <c r="P77" i="21"/>
  <c r="F99" i="16" s="1"/>
  <c r="P69" i="21"/>
  <c r="F91" i="16" s="1"/>
  <c r="D7" i="22"/>
  <c r="G7" i="22" s="1"/>
  <c r="D9" i="22"/>
  <c r="N9" i="22" s="1"/>
  <c r="D11" i="22"/>
  <c r="G11" i="22" s="1"/>
  <c r="D19" i="22"/>
  <c r="G19" i="22" s="1"/>
  <c r="U19" i="22" s="1"/>
  <c r="AI19" i="22" s="1"/>
  <c r="AW19" i="22" s="1"/>
  <c r="BK19" i="22" s="1"/>
  <c r="BY19" i="22" s="1"/>
  <c r="CM19" i="22" s="1"/>
  <c r="D24" i="22"/>
  <c r="I24" i="22" s="1"/>
  <c r="W24" i="22" s="1"/>
  <c r="AK24" i="22" s="1"/>
  <c r="AY24" i="22" s="1"/>
  <c r="BM24" i="22" s="1"/>
  <c r="CA24" i="22" s="1"/>
  <c r="CO24" i="22" s="1"/>
  <c r="D27" i="22"/>
  <c r="D42" i="22"/>
  <c r="P42" i="22" s="1"/>
  <c r="AC42" i="22" s="1"/>
  <c r="AP42" i="22" s="1"/>
  <c r="BC42" i="22" s="1"/>
  <c r="BP42" i="22" s="1"/>
  <c r="CC42" i="22" s="1"/>
  <c r="CP42" i="22" s="1"/>
  <c r="D51" i="22"/>
  <c r="AZ31" i="21"/>
  <c r="AM42" i="15"/>
  <c r="AD40" i="21"/>
  <c r="Q69" i="15"/>
  <c r="AD36" i="21"/>
  <c r="Q57" i="15"/>
  <c r="AD24" i="21"/>
  <c r="AD21" i="15" s="1"/>
  <c r="Q21" i="15"/>
  <c r="AE42" i="21"/>
  <c r="R75" i="15"/>
  <c r="AD47" i="21"/>
  <c r="Q90" i="15"/>
  <c r="AF43" i="21"/>
  <c r="S78" i="15"/>
  <c r="AF39" i="21"/>
  <c r="AE75" i="21" s="1"/>
  <c r="AE160" i="15" s="1"/>
  <c r="S66" i="15"/>
  <c r="AF31" i="21"/>
  <c r="AE67" i="21" s="1"/>
  <c r="AE136" i="15" s="1"/>
  <c r="S42" i="15"/>
  <c r="AF27" i="21"/>
  <c r="AS27" i="21" s="1"/>
  <c r="S30" i="15"/>
  <c r="BF23" i="21"/>
  <c r="BE59" i="21" s="1"/>
  <c r="BE112" i="15" s="1"/>
  <c r="AS18" i="15"/>
  <c r="AG45" i="21"/>
  <c r="AF81" i="21" s="1"/>
  <c r="AF178" i="15" s="1"/>
  <c r="T84" i="15"/>
  <c r="AG41" i="21"/>
  <c r="AF77" i="21" s="1"/>
  <c r="AF166" i="15" s="1"/>
  <c r="T72" i="15"/>
  <c r="AG33" i="21"/>
  <c r="T48" i="15"/>
  <c r="AG29" i="21"/>
  <c r="T36" i="15"/>
  <c r="AG25" i="21"/>
  <c r="T24" i="15"/>
  <c r="AG12" i="15"/>
  <c r="AU47" i="21"/>
  <c r="AH90" i="15"/>
  <c r="AH39" i="21"/>
  <c r="U66" i="15"/>
  <c r="AU35" i="21"/>
  <c r="AH54" i="15"/>
  <c r="AH31" i="21"/>
  <c r="U42" i="15"/>
  <c r="AH27" i="21"/>
  <c r="U30" i="15"/>
  <c r="AV28" i="21"/>
  <c r="AI33" i="15"/>
  <c r="AS46" i="21"/>
  <c r="AR82" i="21" s="1"/>
  <c r="AR181" i="15" s="1"/>
  <c r="AF87" i="15"/>
  <c r="AS22" i="21"/>
  <c r="AR58" i="21" s="1"/>
  <c r="AR109" i="15" s="1"/>
  <c r="AF15" i="15"/>
  <c r="AG44" i="21"/>
  <c r="T81" i="15"/>
  <c r="AG36" i="21"/>
  <c r="AG57" i="15" s="1"/>
  <c r="T57" i="15"/>
  <c r="AG24" i="21"/>
  <c r="T21" i="15"/>
  <c r="AH34" i="21"/>
  <c r="U51" i="15"/>
  <c r="AI36" i="21"/>
  <c r="AH72" i="21" s="1"/>
  <c r="AH151" i="15" s="1"/>
  <c r="V57" i="15"/>
  <c r="AI25" i="21"/>
  <c r="V24" i="15"/>
  <c r="AI12" i="15"/>
  <c r="AW47" i="21"/>
  <c r="AW90" i="15" s="1"/>
  <c r="AJ90" i="15"/>
  <c r="BJ43" i="21"/>
  <c r="AW78" i="15"/>
  <c r="AW31" i="21"/>
  <c r="AJ42" i="15"/>
  <c r="AJ27" i="21"/>
  <c r="W30" i="15"/>
  <c r="AW23" i="21"/>
  <c r="AJ18" i="15"/>
  <c r="AK41" i="21"/>
  <c r="X72" i="15"/>
  <c r="AK37" i="21"/>
  <c r="X60" i="15"/>
  <c r="AD33" i="21"/>
  <c r="AQ33" i="21" s="1"/>
  <c r="AQ48" i="15" s="1"/>
  <c r="Q48" i="15"/>
  <c r="Q12" i="15"/>
  <c r="AE47" i="21"/>
  <c r="AD83" i="21" s="1"/>
  <c r="AD184" i="15" s="1"/>
  <c r="R90" i="15"/>
  <c r="AE39" i="21"/>
  <c r="AD75" i="21" s="1"/>
  <c r="R66" i="15"/>
  <c r="AE31" i="21"/>
  <c r="AR31" i="21" s="1"/>
  <c r="R42" i="15"/>
  <c r="AE23" i="21"/>
  <c r="AR23" i="21" s="1"/>
  <c r="R18" i="15"/>
  <c r="U12" i="15"/>
  <c r="AI47" i="21"/>
  <c r="V90" i="15"/>
  <c r="BV43" i="21"/>
  <c r="BV78" i="15" s="1"/>
  <c r="BI78" i="15"/>
  <c r="AV39" i="21"/>
  <c r="AI66" i="15"/>
  <c r="BI35" i="21"/>
  <c r="AV54" i="15"/>
  <c r="AI31" i="21"/>
  <c r="V42" i="15"/>
  <c r="AJ46" i="21"/>
  <c r="AI82" i="21" s="1"/>
  <c r="AI181" i="15" s="1"/>
  <c r="W87" i="15"/>
  <c r="AJ34" i="21"/>
  <c r="AI70" i="21" s="1"/>
  <c r="AI145" i="15" s="1"/>
  <c r="W51" i="15"/>
  <c r="AW30" i="21"/>
  <c r="AJ39" i="15"/>
  <c r="AJ22" i="21"/>
  <c r="W15" i="15"/>
  <c r="CA39" i="15"/>
  <c r="BK27" i="21"/>
  <c r="AX30" i="15"/>
  <c r="AX23" i="21"/>
  <c r="AK18" i="15"/>
  <c r="AY12" i="15"/>
  <c r="BZ47" i="21"/>
  <c r="BM90" i="15"/>
  <c r="AZ43" i="21"/>
  <c r="AM78" i="15"/>
  <c r="BZ39" i="21"/>
  <c r="BM66" i="15"/>
  <c r="BN43" i="21"/>
  <c r="BA78" i="15"/>
  <c r="BA27" i="21"/>
  <c r="AN30" i="15"/>
  <c r="BD45" i="21"/>
  <c r="BD84" i="15" s="1"/>
  <c r="AQ84" i="15"/>
  <c r="BA46" i="21"/>
  <c r="AN87" i="15"/>
  <c r="BA22" i="21"/>
  <c r="AN15" i="15"/>
  <c r="AD46" i="21"/>
  <c r="AQ46" i="21" s="1"/>
  <c r="Q87" i="15"/>
  <c r="AD42" i="21"/>
  <c r="AQ42" i="21" s="1"/>
  <c r="Q75" i="15"/>
  <c r="AD31" i="21"/>
  <c r="AD42" i="15" s="1"/>
  <c r="Q42" i="15"/>
  <c r="AD27" i="21"/>
  <c r="AQ27" i="21" s="1"/>
  <c r="Q30" i="15"/>
  <c r="AE45" i="21"/>
  <c r="AE84" i="15" s="1"/>
  <c r="R84" i="15"/>
  <c r="Q81" i="21"/>
  <c r="Q178" i="15" s="1"/>
  <c r="AE41" i="21"/>
  <c r="AR41" i="21" s="1"/>
  <c r="R72" i="15"/>
  <c r="AE33" i="21"/>
  <c r="AE48" i="15" s="1"/>
  <c r="R48" i="15"/>
  <c r="Q69" i="21"/>
  <c r="Q142" i="15" s="1"/>
  <c r="AE29" i="21"/>
  <c r="AD65" i="21" s="1"/>
  <c r="R36" i="15"/>
  <c r="Q65" i="21"/>
  <c r="Q130" i="15" s="1"/>
  <c r="AE25" i="21"/>
  <c r="AR25" i="21" s="1"/>
  <c r="R24" i="15"/>
  <c r="AF44" i="21"/>
  <c r="S81" i="15"/>
  <c r="R80" i="21"/>
  <c r="R175" i="15" s="1"/>
  <c r="AF41" i="21"/>
  <c r="S72" i="15"/>
  <c r="R77" i="21"/>
  <c r="R166" i="15" s="1"/>
  <c r="AF37" i="21"/>
  <c r="AE73" i="21" s="1"/>
  <c r="AE154" i="15" s="1"/>
  <c r="S60" i="15"/>
  <c r="R73" i="21"/>
  <c r="R154" i="15" s="1"/>
  <c r="AF33" i="21"/>
  <c r="AE69" i="21" s="1"/>
  <c r="AE142" i="15" s="1"/>
  <c r="R69" i="21"/>
  <c r="R142" i="15" s="1"/>
  <c r="AF29" i="21"/>
  <c r="AF36" i="15" s="1"/>
  <c r="S36" i="15"/>
  <c r="R65" i="21"/>
  <c r="R130" i="15" s="1"/>
  <c r="AF25" i="21"/>
  <c r="AS25" i="21" s="1"/>
  <c r="S24" i="15"/>
  <c r="R61" i="21"/>
  <c r="R118" i="15" s="1"/>
  <c r="S12" i="15"/>
  <c r="AG47" i="21"/>
  <c r="AF83" i="21" s="1"/>
  <c r="AF184" i="15" s="1"/>
  <c r="T90" i="15"/>
  <c r="AG39" i="21"/>
  <c r="AF75" i="21" s="1"/>
  <c r="AF160" i="15" s="1"/>
  <c r="T66" i="15"/>
  <c r="S75" i="21"/>
  <c r="S160" i="15" s="1"/>
  <c r="AG35" i="21"/>
  <c r="T54" i="15"/>
  <c r="AG31" i="21"/>
  <c r="T42" i="15"/>
  <c r="S67" i="21"/>
  <c r="S136" i="15" s="1"/>
  <c r="AG27" i="21"/>
  <c r="T30" i="15"/>
  <c r="AG23" i="21"/>
  <c r="T18" i="15"/>
  <c r="S59" i="21"/>
  <c r="S112" i="15" s="1"/>
  <c r="AH45" i="21"/>
  <c r="U84" i="15"/>
  <c r="T81" i="21"/>
  <c r="T178" i="15" s="1"/>
  <c r="AH41" i="21"/>
  <c r="U72" i="15"/>
  <c r="T77" i="21"/>
  <c r="T166" i="15" s="1"/>
  <c r="AH37" i="21"/>
  <c r="U60" i="15"/>
  <c r="T73" i="21"/>
  <c r="T154" i="15" s="1"/>
  <c r="AH33" i="21"/>
  <c r="U48" i="15"/>
  <c r="T69" i="21"/>
  <c r="T142" i="15" s="1"/>
  <c r="AH29" i="21"/>
  <c r="U36" i="15"/>
  <c r="AH25" i="21"/>
  <c r="U24" i="15"/>
  <c r="T61" i="21"/>
  <c r="T118" i="15" s="1"/>
  <c r="AH22" i="21"/>
  <c r="U15" i="15"/>
  <c r="T58" i="21"/>
  <c r="T109" i="15" s="1"/>
  <c r="AI45" i="21"/>
  <c r="V84" i="15"/>
  <c r="U81" i="21"/>
  <c r="U178" i="15" s="1"/>
  <c r="AI42" i="21"/>
  <c r="AH78" i="21" s="1"/>
  <c r="AH169" i="15" s="1"/>
  <c r="V75" i="15"/>
  <c r="U78" i="21"/>
  <c r="U169" i="15" s="1"/>
  <c r="AI38" i="21"/>
  <c r="AI63" i="15" s="1"/>
  <c r="V63" i="15"/>
  <c r="U74" i="21"/>
  <c r="U157" i="15" s="1"/>
  <c r="AI34" i="21"/>
  <c r="AV34" i="21" s="1"/>
  <c r="V51" i="15"/>
  <c r="U70" i="21"/>
  <c r="U145" i="15" s="1"/>
  <c r="AI30" i="21"/>
  <c r="AI39" i="15" s="1"/>
  <c r="V39" i="15"/>
  <c r="U66" i="21"/>
  <c r="U133" i="15" s="1"/>
  <c r="AI27" i="21"/>
  <c r="V30" i="15"/>
  <c r="U63" i="21"/>
  <c r="U124" i="15" s="1"/>
  <c r="AI23" i="21"/>
  <c r="V18" i="15"/>
  <c r="U59" i="21"/>
  <c r="U112" i="15" s="1"/>
  <c r="AJ45" i="21"/>
  <c r="W84" i="15"/>
  <c r="V81" i="21"/>
  <c r="V178" i="15" s="1"/>
  <c r="AJ41" i="21"/>
  <c r="W72" i="15"/>
  <c r="AJ37" i="21"/>
  <c r="W60" i="15"/>
  <c r="AJ33" i="21"/>
  <c r="W48" i="15"/>
  <c r="AJ29" i="21"/>
  <c r="W36" i="15"/>
  <c r="V65" i="21"/>
  <c r="V130" i="15" s="1"/>
  <c r="AJ25" i="21"/>
  <c r="W24" i="15"/>
  <c r="W12" i="15"/>
  <c r="V57" i="21"/>
  <c r="V106" i="15" s="1"/>
  <c r="AK47" i="21"/>
  <c r="X90" i="15"/>
  <c r="W83" i="21"/>
  <c r="W184" i="15" s="1"/>
  <c r="AK43" i="21"/>
  <c r="AJ79" i="21" s="1"/>
  <c r="AJ172" i="15" s="1"/>
  <c r="X78" i="15"/>
  <c r="W79" i="21"/>
  <c r="W172" i="15" s="1"/>
  <c r="AX39" i="21"/>
  <c r="AK66" i="15"/>
  <c r="AJ75" i="21"/>
  <c r="AJ160" i="15" s="1"/>
  <c r="AK36" i="21"/>
  <c r="AJ72" i="21" s="1"/>
  <c r="AJ151" i="15" s="1"/>
  <c r="X57" i="15"/>
  <c r="W72" i="21"/>
  <c r="W151" i="15" s="1"/>
  <c r="AK32" i="21"/>
  <c r="AX32" i="21" s="1"/>
  <c r="X45" i="15"/>
  <c r="AK29" i="21"/>
  <c r="W65" i="21"/>
  <c r="W130" i="15" s="1"/>
  <c r="AK25" i="21"/>
  <c r="W61" i="21"/>
  <c r="W118" i="15" s="1"/>
  <c r="W57" i="21"/>
  <c r="W106" i="15" s="1"/>
  <c r="AL47" i="21"/>
  <c r="X83" i="21"/>
  <c r="X184" i="15" s="1"/>
  <c r="AL43" i="21"/>
  <c r="X79" i="21"/>
  <c r="X172" i="15" s="1"/>
  <c r="AL39" i="21"/>
  <c r="Y66" i="15"/>
  <c r="X75" i="21"/>
  <c r="X160" i="15" s="1"/>
  <c r="AL35" i="21"/>
  <c r="Y54" i="15"/>
  <c r="X71" i="21"/>
  <c r="X148" i="15" s="1"/>
  <c r="AL31" i="21"/>
  <c r="AK67" i="21" s="1"/>
  <c r="AK136" i="15" s="1"/>
  <c r="Y42" i="15"/>
  <c r="X67" i="21"/>
  <c r="X136" i="15" s="1"/>
  <c r="AL27" i="21"/>
  <c r="Y30" i="15"/>
  <c r="AL23" i="21"/>
  <c r="Y18" i="15"/>
  <c r="AM45" i="21"/>
  <c r="Z84" i="15"/>
  <c r="Y81" i="21"/>
  <c r="Y178" i="15" s="1"/>
  <c r="AM41" i="21"/>
  <c r="Z72" i="15"/>
  <c r="Y77" i="21"/>
  <c r="Y166" i="15" s="1"/>
  <c r="AM37" i="21"/>
  <c r="AL73" i="21" s="1"/>
  <c r="AL154" i="15" s="1"/>
  <c r="Z60" i="15"/>
  <c r="Y73" i="21"/>
  <c r="Y154" i="15" s="1"/>
  <c r="AM33" i="21"/>
  <c r="AL69" i="21" s="1"/>
  <c r="AL142" i="15" s="1"/>
  <c r="Z48" i="15"/>
  <c r="AM30" i="21"/>
  <c r="Y66" i="21"/>
  <c r="Y133" i="15" s="1"/>
  <c r="Z39" i="15"/>
  <c r="AM26" i="21"/>
  <c r="Z27" i="15"/>
  <c r="AM23" i="21"/>
  <c r="AL59" i="21" s="1"/>
  <c r="AL112" i="15" s="1"/>
  <c r="Z18" i="15"/>
  <c r="Y59" i="21"/>
  <c r="Y112" i="15" s="1"/>
  <c r="AN45" i="21"/>
  <c r="BA45" i="21" s="1"/>
  <c r="AA84" i="15"/>
  <c r="AN41" i="21"/>
  <c r="AA72" i="15"/>
  <c r="AN37" i="21"/>
  <c r="AA60" i="15"/>
  <c r="AN33" i="21"/>
  <c r="AA48" i="15"/>
  <c r="Z69" i="21"/>
  <c r="Z142" i="15" s="1"/>
  <c r="AN29" i="21"/>
  <c r="BA29" i="21" s="1"/>
  <c r="AA36" i="15"/>
  <c r="AN25" i="21"/>
  <c r="AM61" i="21" s="1"/>
  <c r="AM118" i="15" s="1"/>
  <c r="AA24" i="15"/>
  <c r="Z61" i="21"/>
  <c r="Z118" i="15" s="1"/>
  <c r="AZ57" i="21"/>
  <c r="AZ106" i="15" s="1"/>
  <c r="AA12" i="15"/>
  <c r="AO47" i="21"/>
  <c r="AB90" i="15"/>
  <c r="AO43" i="21"/>
  <c r="AB78" i="15"/>
  <c r="AO39" i="21"/>
  <c r="AO75" i="21" s="1"/>
  <c r="AO160" i="15" s="1"/>
  <c r="AB66" i="15"/>
  <c r="AO35" i="21"/>
  <c r="AB54" i="15"/>
  <c r="AO31" i="21"/>
  <c r="AB42" i="15"/>
  <c r="AO27" i="21"/>
  <c r="AB30" i="15"/>
  <c r="AO23" i="21"/>
  <c r="AO59" i="21" s="1"/>
  <c r="AO112" i="15" s="1"/>
  <c r="AB18" i="15"/>
  <c r="AC25" i="21"/>
  <c r="AC33" i="21"/>
  <c r="AC47" i="21"/>
  <c r="AA79" i="21"/>
  <c r="AA172" i="15" s="1"/>
  <c r="Z77" i="21"/>
  <c r="Z166" i="15" s="1"/>
  <c r="Z81" i="21"/>
  <c r="Z178" i="15" s="1"/>
  <c r="Y62" i="21"/>
  <c r="Y121" i="15" s="1"/>
  <c r="Y69" i="21"/>
  <c r="Y142" i="15" s="1"/>
  <c r="V77" i="21"/>
  <c r="V166" i="15" s="1"/>
  <c r="Q66" i="15"/>
  <c r="Q54" i="15"/>
  <c r="R60" i="15"/>
  <c r="X36" i="15"/>
  <c r="X24" i="15"/>
  <c r="X12" i="15"/>
  <c r="Y90" i="15"/>
  <c r="Y78" i="15"/>
  <c r="AC31" i="21"/>
  <c r="AC36" i="21"/>
  <c r="AC38" i="21"/>
  <c r="AC41" i="21"/>
  <c r="AC43" i="21"/>
  <c r="AC45" i="21"/>
  <c r="AB79" i="21"/>
  <c r="AB172" i="15" s="1"/>
  <c r="AB59" i="21"/>
  <c r="AB112" i="15" s="1"/>
  <c r="AA83" i="21"/>
  <c r="AA184" i="15" s="1"/>
  <c r="Z57" i="21"/>
  <c r="Z106" i="15" s="1"/>
  <c r="Z65" i="21"/>
  <c r="Z130" i="15" s="1"/>
  <c r="X59" i="21"/>
  <c r="X112" i="15" s="1"/>
  <c r="T65" i="21"/>
  <c r="T130" i="15" s="1"/>
  <c r="S79" i="21"/>
  <c r="S172" i="15" s="1"/>
  <c r="S83" i="21"/>
  <c r="S184" i="15" s="1"/>
  <c r="R57" i="21"/>
  <c r="R106" i="15" s="1"/>
  <c r="Q73" i="21"/>
  <c r="Q154" i="15" s="1"/>
  <c r="Q61" i="21"/>
  <c r="Q118" i="15" s="1"/>
  <c r="AC21" i="21"/>
  <c r="AC29" i="21"/>
  <c r="AA71" i="21"/>
  <c r="AA148" i="15" s="1"/>
  <c r="AA63" i="21"/>
  <c r="AA124" i="15" s="1"/>
  <c r="AA59" i="21"/>
  <c r="AA112" i="15" s="1"/>
  <c r="AB83" i="21"/>
  <c r="AB184" i="15" s="1"/>
  <c r="AB67" i="21"/>
  <c r="AB136" i="15" s="1"/>
  <c r="AB75" i="21"/>
  <c r="AB160" i="15" s="1"/>
  <c r="X63" i="21"/>
  <c r="X124" i="15" s="1"/>
  <c r="V73" i="21"/>
  <c r="V154" i="15" s="1"/>
  <c r="S63" i="21"/>
  <c r="S124" i="15" s="1"/>
  <c r="S71" i="21"/>
  <c r="S148" i="15" s="1"/>
  <c r="Q18" i="15"/>
  <c r="S48" i="15"/>
  <c r="T78" i="15"/>
  <c r="F66" i="16"/>
  <c r="AU26" i="21"/>
  <c r="AG62" i="21"/>
  <c r="AG121" i="15" s="1"/>
  <c r="AH27" i="15"/>
  <c r="AY33" i="21"/>
  <c r="AK69" i="21"/>
  <c r="AK142" i="15" s="1"/>
  <c r="AL48" i="15"/>
  <c r="AU30" i="21"/>
  <c r="AG66" i="21"/>
  <c r="AG133" i="15" s="1"/>
  <c r="AH39" i="15"/>
  <c r="AY26" i="21"/>
  <c r="AX62" i="21" s="1"/>
  <c r="AX121" i="15" s="1"/>
  <c r="AL27" i="15"/>
  <c r="AK62" i="21"/>
  <c r="AK121" i="15" s="1"/>
  <c r="AX35" i="21"/>
  <c r="AK54" i="15"/>
  <c r="AZ27" i="21"/>
  <c r="AM30" i="15"/>
  <c r="AT28" i="21"/>
  <c r="AG33" i="15"/>
  <c r="AF64" i="21"/>
  <c r="AF127" i="15" s="1"/>
  <c r="AY46" i="21"/>
  <c r="AL87" i="15"/>
  <c r="AQ23" i="21"/>
  <c r="AD18" i="15"/>
  <c r="BF42" i="21"/>
  <c r="AS75" i="15"/>
  <c r="AR78" i="21"/>
  <c r="AR169" i="15" s="1"/>
  <c r="AU46" i="21"/>
  <c r="AH87" i="15"/>
  <c r="AU42" i="21"/>
  <c r="AH75" i="15"/>
  <c r="AY38" i="21"/>
  <c r="AL63" i="15"/>
  <c r="AK74" i="21"/>
  <c r="AK157" i="15" s="1"/>
  <c r="AG78" i="21"/>
  <c r="AG169" i="15" s="1"/>
  <c r="AG82" i="21"/>
  <c r="AG181" i="15" s="1"/>
  <c r="AS35" i="21"/>
  <c r="AS54" i="15" s="1"/>
  <c r="AF54" i="15"/>
  <c r="AV32" i="21"/>
  <c r="AI45" i="15"/>
  <c r="AW38" i="21"/>
  <c r="AJ63" i="15"/>
  <c r="AY41" i="21"/>
  <c r="AL72" i="15"/>
  <c r="AY25" i="21"/>
  <c r="AL24" i="15"/>
  <c r="AZ35" i="21"/>
  <c r="AM54" i="15"/>
  <c r="BF26" i="21"/>
  <c r="AS27" i="15"/>
  <c r="AV40" i="21"/>
  <c r="AI69" i="15"/>
  <c r="AV24" i="21"/>
  <c r="AX38" i="21"/>
  <c r="AK63" i="15"/>
  <c r="AC26" i="21"/>
  <c r="AC30" i="21"/>
  <c r="AC28" i="21"/>
  <c r="AW42" i="21"/>
  <c r="AJ75" i="15"/>
  <c r="AI78" i="21"/>
  <c r="AI169" i="15" s="1"/>
  <c r="AY30" i="21"/>
  <c r="AX66" i="21" s="1"/>
  <c r="AX133" i="15" s="1"/>
  <c r="AL39" i="15"/>
  <c r="AK66" i="21"/>
  <c r="AK133" i="15" s="1"/>
  <c r="AD36" i="15"/>
  <c r="AQ29" i="21"/>
  <c r="BD29" i="21" s="1"/>
  <c r="BQ29" i="21" s="1"/>
  <c r="AU77" i="21"/>
  <c r="AU166" i="15" s="1"/>
  <c r="AD26" i="21"/>
  <c r="Q27" i="15"/>
  <c r="AE46" i="21"/>
  <c r="R87" i="15"/>
  <c r="Q82" i="21"/>
  <c r="Q181" i="15" s="1"/>
  <c r="AE30" i="21"/>
  <c r="R39" i="15"/>
  <c r="Q66" i="21"/>
  <c r="Q133" i="15" s="1"/>
  <c r="AU38" i="21"/>
  <c r="AH63" i="15"/>
  <c r="AG74" i="21"/>
  <c r="AG157" i="15" s="1"/>
  <c r="AH23" i="21"/>
  <c r="U18" i="15"/>
  <c r="T59" i="21"/>
  <c r="T112" i="15" s="1"/>
  <c r="AJ39" i="21"/>
  <c r="W66" i="15"/>
  <c r="V75" i="21"/>
  <c r="AJ28" i="21"/>
  <c r="W33" i="15"/>
  <c r="V64" i="21"/>
  <c r="V127" i="15" s="1"/>
  <c r="AC23" i="21"/>
  <c r="AC39" i="21"/>
  <c r="AD41" i="21"/>
  <c r="Q72" i="15"/>
  <c r="AD32" i="21"/>
  <c r="Q45" i="15"/>
  <c r="AQ25" i="21"/>
  <c r="AD24" i="15"/>
  <c r="AE35" i="21"/>
  <c r="R54" i="15"/>
  <c r="AG30" i="21"/>
  <c r="T39" i="15"/>
  <c r="AD43" i="21"/>
  <c r="Q78" i="15"/>
  <c r="AE38" i="21"/>
  <c r="R63" i="15"/>
  <c r="Q74" i="21"/>
  <c r="Q157" i="15" s="1"/>
  <c r="AE22" i="21"/>
  <c r="R15" i="15"/>
  <c r="Q58" i="21"/>
  <c r="Q109" i="15" s="1"/>
  <c r="AG37" i="21"/>
  <c r="T60" i="15"/>
  <c r="AQ35" i="21"/>
  <c r="AD54" i="15"/>
  <c r="AE43" i="21"/>
  <c r="AR43" i="21" s="1"/>
  <c r="R78" i="15"/>
  <c r="Q79" i="21"/>
  <c r="Q172" i="15" s="1"/>
  <c r="AE27" i="21"/>
  <c r="Q63" i="21"/>
  <c r="Q124" i="15" s="1"/>
  <c r="R30" i="15"/>
  <c r="AS45" i="21"/>
  <c r="AF84" i="15"/>
  <c r="AF38" i="21"/>
  <c r="R74" i="21"/>
  <c r="R157" i="15" s="1"/>
  <c r="S63" i="15"/>
  <c r="AF34" i="21"/>
  <c r="AE70" i="21" s="1"/>
  <c r="AE145" i="15" s="1"/>
  <c r="R70" i="21"/>
  <c r="R145" i="15" s="1"/>
  <c r="S51" i="15"/>
  <c r="AF30" i="21"/>
  <c r="S39" i="15"/>
  <c r="AF24" i="21"/>
  <c r="S21" i="15"/>
  <c r="R60" i="21"/>
  <c r="AG42" i="21"/>
  <c r="T75" i="15"/>
  <c r="BQ37" i="21"/>
  <c r="BQ60" i="15" s="1"/>
  <c r="BD34" i="21"/>
  <c r="BQ34" i="21" s="1"/>
  <c r="AC40" i="21"/>
  <c r="AC32" i="21"/>
  <c r="AE12" i="15"/>
  <c r="AD57" i="21"/>
  <c r="BJ26" i="21"/>
  <c r="AW27" i="15"/>
  <c r="AV62" i="21"/>
  <c r="AY37" i="21"/>
  <c r="AL60" i="15"/>
  <c r="AY34" i="21"/>
  <c r="AL51" i="15"/>
  <c r="AK70" i="21"/>
  <c r="AM34" i="21"/>
  <c r="Z51" i="15"/>
  <c r="Y70" i="21"/>
  <c r="AM133" i="15"/>
  <c r="AK73" i="21"/>
  <c r="AK154" i="15" s="1"/>
  <c r="AL40" i="21"/>
  <c r="Y69" i="15"/>
  <c r="X76" i="21"/>
  <c r="X163" i="15" s="1"/>
  <c r="BL22" i="21"/>
  <c r="AY15" i="15"/>
  <c r="AX58" i="21"/>
  <c r="AM22" i="21"/>
  <c r="Z15" i="15"/>
  <c r="Y58" i="21"/>
  <c r="BA34" i="21"/>
  <c r="AN51" i="15"/>
  <c r="AM70" i="21"/>
  <c r="AM145" i="15" s="1"/>
  <c r="AH163" i="15"/>
  <c r="Q169" i="15"/>
  <c r="Q148" i="15"/>
  <c r="AR37" i="21"/>
  <c r="AD73" i="21"/>
  <c r="AE60" i="15"/>
  <c r="AG46" i="21"/>
  <c r="T87" i="15"/>
  <c r="S82" i="21"/>
  <c r="AY45" i="21"/>
  <c r="AK81" i="21"/>
  <c r="AK178" i="15" s="1"/>
  <c r="AY42" i="21"/>
  <c r="AL75" i="15"/>
  <c r="AK78" i="21"/>
  <c r="AL32" i="21"/>
  <c r="Y45" i="15"/>
  <c r="X68" i="21"/>
  <c r="BA42" i="21"/>
  <c r="AN75" i="15"/>
  <c r="BA38" i="21"/>
  <c r="AN63" i="15"/>
  <c r="AC22" i="21"/>
  <c r="AC34" i="21"/>
  <c r="AC46" i="21"/>
  <c r="AD22" i="21"/>
  <c r="Q15" i="15"/>
  <c r="AQ39" i="21"/>
  <c r="AD66" i="15"/>
  <c r="AD30" i="21"/>
  <c r="Q39" i="15"/>
  <c r="AD28" i="21"/>
  <c r="Q33" i="15"/>
  <c r="AF28" i="21"/>
  <c r="S33" i="15"/>
  <c r="R64" i="21"/>
  <c r="AQ60" i="15"/>
  <c r="AQ38" i="21"/>
  <c r="AD63" i="15"/>
  <c r="BE44" i="21"/>
  <c r="AR81" i="15"/>
  <c r="BE36" i="21"/>
  <c r="AR57" i="15"/>
  <c r="BS47" i="21"/>
  <c r="AT43" i="21"/>
  <c r="AF79" i="21"/>
  <c r="AF172" i="15" s="1"/>
  <c r="G87" i="17"/>
  <c r="B55" i="20"/>
  <c r="O55" i="20" s="1"/>
  <c r="B55" i="36"/>
  <c r="J85" i="17"/>
  <c r="H86" i="17"/>
  <c r="E16" i="26"/>
  <c r="D19" i="26"/>
  <c r="BG64" i="22"/>
  <c r="L88" i="22"/>
  <c r="AA88" i="22"/>
  <c r="BF88" i="22"/>
  <c r="CB88" i="22"/>
  <c r="CO64" i="22"/>
  <c r="I88" i="22"/>
  <c r="AN88" i="22"/>
  <c r="BM88" i="22"/>
  <c r="BW88" i="22"/>
  <c r="CM88" i="22"/>
  <c r="CO88" i="22"/>
  <c r="BA88" i="22"/>
  <c r="Y88" i="22"/>
  <c r="AM88" i="22"/>
  <c r="N88" i="22"/>
  <c r="AL88" i="22"/>
  <c r="AS88" i="22"/>
  <c r="CA88" i="22"/>
  <c r="BN58" i="22"/>
  <c r="CN66" i="22"/>
  <c r="CM66" i="22"/>
  <c r="BY66" i="22"/>
  <c r="BT66" i="22"/>
  <c r="BS66" i="22"/>
  <c r="AZ66" i="22"/>
  <c r="BG66" i="22"/>
  <c r="BB66" i="22"/>
  <c r="BQ66" i="22"/>
  <c r="AO66" i="22"/>
  <c r="Y66" i="22"/>
  <c r="AJ66" i="22"/>
  <c r="S66" i="22"/>
  <c r="AI66" i="22"/>
  <c r="H66" i="22"/>
  <c r="F66" i="22"/>
  <c r="AY87" i="22"/>
  <c r="U107" i="22"/>
  <c r="D104" i="22"/>
  <c r="D108" i="22"/>
  <c r="D136" i="22"/>
  <c r="AP34" i="22"/>
  <c r="D110" i="22"/>
  <c r="D112" i="22"/>
  <c r="D114" i="22"/>
  <c r="D124" i="22"/>
  <c r="D126" i="22"/>
  <c r="D128" i="22"/>
  <c r="D130" i="22"/>
  <c r="D138" i="22"/>
  <c r="D140" i="22"/>
  <c r="G93" i="17"/>
  <c r="H93" i="17" s="1"/>
  <c r="J93" i="17" s="1"/>
  <c r="G113" i="17"/>
  <c r="H113" i="17" s="1"/>
  <c r="J113" i="17" s="1"/>
  <c r="G109" i="17"/>
  <c r="H109" i="17" s="1"/>
  <c r="J109" i="17" s="1"/>
  <c r="G105" i="17"/>
  <c r="H105" i="17" s="1"/>
  <c r="J105" i="17" s="1"/>
  <c r="G95" i="17"/>
  <c r="H95" i="17" s="1"/>
  <c r="J95" i="17" s="1"/>
  <c r="G94" i="17"/>
  <c r="H94" i="17" s="1"/>
  <c r="J94" i="17" s="1"/>
  <c r="G114" i="17"/>
  <c r="H114" i="17" s="1"/>
  <c r="J114" i="17" s="1"/>
  <c r="G110" i="17"/>
  <c r="H110" i="17" s="1"/>
  <c r="J110" i="17" s="1"/>
  <c r="G99" i="17"/>
  <c r="H99" i="17" s="1"/>
  <c r="J99" i="17" s="1"/>
  <c r="G121" i="17"/>
  <c r="H121" i="17" s="1"/>
  <c r="J121" i="17" s="1"/>
  <c r="G118" i="17"/>
  <c r="H118" i="17" s="1"/>
  <c r="J118" i="17" s="1"/>
  <c r="G42" i="17"/>
  <c r="G41" i="17"/>
  <c r="G112" i="17"/>
  <c r="H112" i="17" s="1"/>
  <c r="J112" i="17" s="1"/>
  <c r="G108" i="17"/>
  <c r="H108" i="17" s="1"/>
  <c r="J108" i="17" s="1"/>
  <c r="G104" i="17"/>
  <c r="H104" i="17" s="1"/>
  <c r="J104" i="17" s="1"/>
  <c r="G97" i="17"/>
  <c r="H97" i="17" s="1"/>
  <c r="J97" i="17" s="1"/>
  <c r="G92" i="17"/>
  <c r="G111" i="17"/>
  <c r="H111" i="17" s="1"/>
  <c r="J111" i="17" s="1"/>
  <c r="G107" i="17"/>
  <c r="H107" i="17" s="1"/>
  <c r="J107" i="17" s="1"/>
  <c r="G103" i="17"/>
  <c r="H103" i="17" s="1"/>
  <c r="J103" i="17" s="1"/>
  <c r="D197" i="9"/>
  <c r="G117" i="17"/>
  <c r="H117" i="17" s="1"/>
  <c r="J117" i="17" s="1"/>
  <c r="F205" i="13"/>
  <c r="E197" i="9"/>
  <c r="G120" i="17"/>
  <c r="H120" i="17" s="1"/>
  <c r="J120" i="17" s="1"/>
  <c r="G116" i="17"/>
  <c r="H116" i="17" s="1"/>
  <c r="J116" i="17" s="1"/>
  <c r="G119" i="17"/>
  <c r="H119" i="17" s="1"/>
  <c r="J119" i="17" s="1"/>
  <c r="G38" i="17"/>
  <c r="P18" i="15"/>
  <c r="P78" i="15"/>
  <c r="P54" i="15"/>
  <c r="P90" i="15"/>
  <c r="P66" i="15"/>
  <c r="P42" i="15"/>
  <c r="P30" i="15"/>
  <c r="P84" i="15"/>
  <c r="P72" i="15"/>
  <c r="P60" i="15"/>
  <c r="P48" i="15"/>
  <c r="P36" i="15"/>
  <c r="P24" i="15"/>
  <c r="P12" i="15"/>
  <c r="F54" i="16"/>
  <c r="F68" i="16"/>
  <c r="AC9" i="15"/>
  <c r="F55" i="16"/>
  <c r="F61" i="16"/>
  <c r="F56" i="16"/>
  <c r="H129" i="4"/>
  <c r="J129" i="4" s="1"/>
  <c r="K129" i="4" s="1"/>
  <c r="F63" i="16"/>
  <c r="F62" i="16"/>
  <c r="F64" i="16"/>
  <c r="H130" i="4"/>
  <c r="F70" i="16"/>
  <c r="F47" i="16"/>
  <c r="F53" i="16"/>
  <c r="F48" i="16"/>
  <c r="H103" i="4"/>
  <c r="H115" i="4"/>
  <c r="H109" i="4"/>
  <c r="J109" i="4" s="1"/>
  <c r="K109" i="4" s="1"/>
  <c r="H112" i="4"/>
  <c r="J112" i="4" s="1"/>
  <c r="K112" i="4" s="1"/>
  <c r="H110" i="4"/>
  <c r="J110" i="4" s="1"/>
  <c r="K110" i="4" s="1"/>
  <c r="H83" i="4"/>
  <c r="J83" i="4" s="1"/>
  <c r="K83" i="4" s="1"/>
  <c r="H128" i="4"/>
  <c r="J128" i="4" s="1"/>
  <c r="K128" i="4" s="1"/>
  <c r="H125" i="4"/>
  <c r="J125" i="4" s="1"/>
  <c r="K125" i="4" s="1"/>
  <c r="H126" i="4"/>
  <c r="J126" i="4" s="1"/>
  <c r="K126" i="4" s="1"/>
  <c r="H119" i="4"/>
  <c r="J119" i="4" s="1"/>
  <c r="K119" i="4" s="1"/>
  <c r="H116" i="4"/>
  <c r="J116" i="4" s="1"/>
  <c r="K116" i="4" s="1"/>
  <c r="H113" i="4"/>
  <c r="H114" i="4"/>
  <c r="J114" i="4" s="1"/>
  <c r="K114" i="4" s="1"/>
  <c r="F46" i="16"/>
  <c r="F44" i="16"/>
  <c r="F52" i="16"/>
  <c r="F60" i="16"/>
  <c r="F58" i="16"/>
  <c r="F49" i="16"/>
  <c r="F57" i="16"/>
  <c r="F65" i="16"/>
  <c r="F50" i="16"/>
  <c r="F43" i="16"/>
  <c r="F51" i="16"/>
  <c r="F59" i="16"/>
  <c r="F67" i="16"/>
  <c r="F69" i="16"/>
  <c r="F71" i="16"/>
  <c r="H84" i="4"/>
  <c r="J84" i="4" s="1"/>
  <c r="K84" i="4" s="1"/>
  <c r="H59" i="4"/>
  <c r="H78" i="4"/>
  <c r="J78" i="4" s="1"/>
  <c r="K78" i="4" s="1"/>
  <c r="H77" i="4"/>
  <c r="J77" i="4" s="1"/>
  <c r="K77" i="4" s="1"/>
  <c r="H72" i="4"/>
  <c r="J72" i="4" s="1"/>
  <c r="K72" i="4" s="1"/>
  <c r="H75" i="4"/>
  <c r="J75" i="4" s="1"/>
  <c r="K75" i="4" s="1"/>
  <c r="H74" i="4"/>
  <c r="J74" i="4" s="1"/>
  <c r="K74" i="4" s="1"/>
  <c r="H73" i="4"/>
  <c r="J73" i="4" s="1"/>
  <c r="K73" i="4" s="1"/>
  <c r="H68" i="4"/>
  <c r="J68" i="4" s="1"/>
  <c r="K68" i="4" s="1"/>
  <c r="H71" i="4"/>
  <c r="H62" i="4"/>
  <c r="H88" i="4"/>
  <c r="J88" i="4" s="1"/>
  <c r="K88" i="4" s="1"/>
  <c r="H87" i="4"/>
  <c r="H67" i="4"/>
  <c r="P9" i="15"/>
  <c r="P21" i="15"/>
  <c r="P93" i="15"/>
  <c r="P81" i="15"/>
  <c r="P69" i="15"/>
  <c r="P57" i="15"/>
  <c r="P45" i="15"/>
  <c r="P33" i="15"/>
  <c r="P87" i="15"/>
  <c r="P75" i="15"/>
  <c r="P63" i="15"/>
  <c r="P51" i="15"/>
  <c r="P39" i="15"/>
  <c r="P27" i="15"/>
  <c r="P15" i="15"/>
  <c r="AC93" i="15"/>
  <c r="AP93" i="15"/>
  <c r="H41" i="4"/>
  <c r="H44" i="4"/>
  <c r="J44" i="4" s="1"/>
  <c r="K44" i="4" s="1"/>
  <c r="H60" i="4"/>
  <c r="H76" i="4"/>
  <c r="H65" i="4"/>
  <c r="H81" i="4"/>
  <c r="J81" i="4" s="1"/>
  <c r="K81" i="4" s="1"/>
  <c r="H66" i="4"/>
  <c r="H82" i="4"/>
  <c r="AC6" i="15"/>
  <c r="H23" i="4"/>
  <c r="H63" i="4"/>
  <c r="H79" i="4"/>
  <c r="H64" i="4"/>
  <c r="H80" i="4"/>
  <c r="J80" i="4" s="1"/>
  <c r="K80" i="4" s="1"/>
  <c r="H69" i="4"/>
  <c r="H70" i="4"/>
  <c r="H86" i="4"/>
  <c r="P106" i="15"/>
  <c r="P145" i="15"/>
  <c r="P160" i="15"/>
  <c r="H40" i="4"/>
  <c r="H37" i="4"/>
  <c r="H27" i="4"/>
  <c r="P163" i="15"/>
  <c r="P118" i="15"/>
  <c r="H29" i="4"/>
  <c r="H30" i="4"/>
  <c r="H15" i="4"/>
  <c r="H26" i="4"/>
  <c r="H43" i="4"/>
  <c r="H46" i="4"/>
  <c r="H21" i="4"/>
  <c r="H34" i="4"/>
  <c r="H24" i="4"/>
  <c r="P136" i="15"/>
  <c r="P184" i="15"/>
  <c r="P139" i="15"/>
  <c r="P100" i="15"/>
  <c r="P142" i="15"/>
  <c r="P109" i="15"/>
  <c r="P103" i="15"/>
  <c r="H102" i="4"/>
  <c r="H118" i="4"/>
  <c r="H101" i="4"/>
  <c r="H117" i="4"/>
  <c r="H104" i="4"/>
  <c r="H120" i="4"/>
  <c r="H107" i="4"/>
  <c r="H123" i="4"/>
  <c r="H106" i="4"/>
  <c r="H122" i="4"/>
  <c r="H105" i="4"/>
  <c r="H121" i="4"/>
  <c r="H108" i="4"/>
  <c r="H124" i="4"/>
  <c r="H111" i="4"/>
  <c r="BC93" i="15"/>
  <c r="BP93" i="15"/>
  <c r="CC93" i="15"/>
  <c r="CP93" i="15"/>
  <c r="P166" i="15"/>
  <c r="P181" i="15"/>
  <c r="P178" i="15"/>
  <c r="P169" i="15"/>
  <c r="P172" i="15"/>
  <c r="P127" i="15"/>
  <c r="P175" i="15"/>
  <c r="P151" i="15"/>
  <c r="P112" i="15"/>
  <c r="P148" i="15"/>
  <c r="P154" i="15"/>
  <c r="P115" i="15"/>
  <c r="P157" i="15"/>
  <c r="P130" i="15"/>
  <c r="P121" i="15"/>
  <c r="AC103" i="15"/>
  <c r="H32" i="4"/>
  <c r="H39" i="4"/>
  <c r="H42" i="4"/>
  <c r="H22" i="4"/>
  <c r="H33" i="4"/>
  <c r="H20" i="4"/>
  <c r="H45" i="4"/>
  <c r="H28" i="4"/>
  <c r="H35" i="4"/>
  <c r="H38" i="4"/>
  <c r="H16" i="4"/>
  <c r="H25" i="4"/>
  <c r="H31" i="4"/>
  <c r="E57" i="30" l="1"/>
  <c r="H203" i="30"/>
  <c r="B51" i="13"/>
  <c r="I88" i="30"/>
  <c r="CB66" i="22"/>
  <c r="AH66" i="22"/>
  <c r="M66" i="22"/>
  <c r="AN66" i="22"/>
  <c r="AT66" i="22"/>
  <c r="CK66" i="22"/>
  <c r="AL66" i="22"/>
  <c r="BM66" i="22"/>
  <c r="BH66" i="22"/>
  <c r="CI66" i="22"/>
  <c r="AG66" i="22"/>
  <c r="L66" i="22"/>
  <c r="BA66" i="22"/>
  <c r="X66" i="22"/>
  <c r="AH58" i="21"/>
  <c r="AH109" i="15" s="1"/>
  <c r="D57" i="30"/>
  <c r="BL66" i="22"/>
  <c r="AM66" i="22"/>
  <c r="I66" i="22"/>
  <c r="AB66" i="22"/>
  <c r="BN66" i="22"/>
  <c r="CC66" i="22"/>
  <c r="AA66" i="22"/>
  <c r="BC66" i="22"/>
  <c r="CD66" i="22"/>
  <c r="CA66" i="22"/>
  <c r="AF66" i="22"/>
  <c r="AY66" i="22"/>
  <c r="CG66" i="22"/>
  <c r="N66" i="22"/>
  <c r="W66" i="22"/>
  <c r="AW66" i="22"/>
  <c r="BP66" i="22"/>
  <c r="CH66" i="22"/>
  <c r="H57" i="30"/>
  <c r="C171" i="30"/>
  <c r="BF66" i="22"/>
  <c r="K66" i="22"/>
  <c r="Z66" i="22"/>
  <c r="AK66" i="22"/>
  <c r="BD66" i="22"/>
  <c r="CP66" i="22"/>
  <c r="AD66" i="22"/>
  <c r="AX66" i="22"/>
  <c r="BX66" i="22"/>
  <c r="AV66" i="22"/>
  <c r="V66" i="22"/>
  <c r="T66" i="22"/>
  <c r="BO66" i="22"/>
  <c r="D341" i="30"/>
  <c r="D301" i="30"/>
  <c r="AO87" i="22"/>
  <c r="AS82" i="22"/>
  <c r="C60" i="4"/>
  <c r="F60" i="4" s="1"/>
  <c r="G66" i="22"/>
  <c r="AQ66" i="22"/>
  <c r="AR66" i="22" s="1"/>
  <c r="AC66" i="22"/>
  <c r="P66" i="22"/>
  <c r="CF82" i="22"/>
  <c r="BW66" i="22"/>
  <c r="CF66" i="22"/>
  <c r="O66" i="22"/>
  <c r="Q66" i="22"/>
  <c r="BU66" i="22"/>
  <c r="CE66" i="22" s="1"/>
  <c r="C22" i="4"/>
  <c r="F22" i="4" s="1"/>
  <c r="J22" i="4" s="1"/>
  <c r="K22" i="4" s="1"/>
  <c r="C66" i="4"/>
  <c r="F66" i="4" s="1"/>
  <c r="C19" i="4"/>
  <c r="N19" i="4" s="1"/>
  <c r="C63" i="4"/>
  <c r="F63" i="4" s="1"/>
  <c r="J63" i="4" s="1"/>
  <c r="K63" i="4" s="1"/>
  <c r="C17" i="4"/>
  <c r="F17" i="4" s="1"/>
  <c r="J17" i="4" s="1"/>
  <c r="K17" i="4" s="1"/>
  <c r="C61" i="4"/>
  <c r="F61" i="4" s="1"/>
  <c r="J61" i="4" s="1"/>
  <c r="K61" i="4" s="1"/>
  <c r="C20" i="4"/>
  <c r="N20" i="4" s="1"/>
  <c r="C64" i="4"/>
  <c r="F64" i="4" s="1"/>
  <c r="J64" i="4" s="1"/>
  <c r="K64" i="4" s="1"/>
  <c r="C18" i="4"/>
  <c r="F18" i="4" s="1"/>
  <c r="J18" i="4" s="1"/>
  <c r="K18" i="4" s="1"/>
  <c r="C62" i="4"/>
  <c r="F62" i="4" s="1"/>
  <c r="J62" i="4" s="1"/>
  <c r="K62" i="4" s="1"/>
  <c r="C21" i="4"/>
  <c r="N21" i="4" s="1"/>
  <c r="C65" i="4"/>
  <c r="F65" i="4" s="1"/>
  <c r="J65" i="4" s="1"/>
  <c r="K65" i="4" s="1"/>
  <c r="C23" i="4"/>
  <c r="N23" i="4" s="1"/>
  <c r="C67" i="4"/>
  <c r="F67" i="4" s="1"/>
  <c r="J67" i="4" s="1"/>
  <c r="K67" i="4" s="1"/>
  <c r="F20" i="4"/>
  <c r="J20" i="4" s="1"/>
  <c r="K20" i="4" s="1"/>
  <c r="F16" i="4"/>
  <c r="J16" i="4" s="1"/>
  <c r="K16" i="4" s="1"/>
  <c r="N16" i="4"/>
  <c r="AP107" i="22"/>
  <c r="CL107" i="22"/>
  <c r="AJ98" i="22"/>
  <c r="AV58" i="22"/>
  <c r="I64" i="22"/>
  <c r="Z58" i="22"/>
  <c r="AC64" i="22"/>
  <c r="CN64" i="22"/>
  <c r="CD64" i="22"/>
  <c r="AI107" i="22"/>
  <c r="BZ64" i="22"/>
  <c r="CA64" i="22"/>
  <c r="AQ58" i="22"/>
  <c r="BO58" i="22"/>
  <c r="AH64" i="22"/>
  <c r="AJ64" i="22"/>
  <c r="BP58" i="22"/>
  <c r="AA64" i="22"/>
  <c r="AJ80" i="21"/>
  <c r="AJ175" i="15" s="1"/>
  <c r="AQ44" i="21"/>
  <c r="AQ81" i="15" s="1"/>
  <c r="AL72" i="21"/>
  <c r="AL151" i="15" s="1"/>
  <c r="AT32" i="21"/>
  <c r="AJ69" i="15"/>
  <c r="AZ36" i="21"/>
  <c r="BM36" i="21" s="1"/>
  <c r="AO24" i="15"/>
  <c r="AI21" i="15"/>
  <c r="BI60" i="15"/>
  <c r="AN75" i="21"/>
  <c r="AN160" i="15" s="1"/>
  <c r="AM81" i="15"/>
  <c r="AK81" i="15"/>
  <c r="AO57" i="15"/>
  <c r="AK33" i="15"/>
  <c r="AO76" i="21"/>
  <c r="AO163" i="15" s="1"/>
  <c r="AO69" i="15"/>
  <c r="AZ44" i="21"/>
  <c r="AM21" i="15"/>
  <c r="AX28" i="21"/>
  <c r="BB40" i="21"/>
  <c r="BB69" i="15" s="1"/>
  <c r="AZ24" i="21"/>
  <c r="AY60" i="21" s="1"/>
  <c r="AY115" i="15" s="1"/>
  <c r="BV137" i="22"/>
  <c r="CJ88" i="22"/>
  <c r="BZ88" i="22"/>
  <c r="AX88" i="22"/>
  <c r="AH88" i="22"/>
  <c r="H88" i="22"/>
  <c r="W88" i="22"/>
  <c r="AO88" i="22"/>
  <c r="BG88" i="22"/>
  <c r="BT88" i="22"/>
  <c r="CN88" i="22"/>
  <c r="BV88" i="22"/>
  <c r="AV88" i="22"/>
  <c r="V88" i="22"/>
  <c r="BS88" i="22"/>
  <c r="BB88" i="22"/>
  <c r="AJ88" i="22"/>
  <c r="M88" i="22"/>
  <c r="AW36" i="21"/>
  <c r="AW57" i="15" s="1"/>
  <c r="G88" i="22"/>
  <c r="CF88" i="22"/>
  <c r="AV81" i="15"/>
  <c r="AF88" i="22"/>
  <c r="BH88" i="22"/>
  <c r="G28" i="22"/>
  <c r="U28" i="22" s="1"/>
  <c r="AI28" i="22" s="1"/>
  <c r="AW28" i="22" s="1"/>
  <c r="BK28" i="22" s="1"/>
  <c r="BY28" i="22" s="1"/>
  <c r="CM28" i="22" s="1"/>
  <c r="CP88" i="22"/>
  <c r="BC88" i="22"/>
  <c r="AK88" i="22"/>
  <c r="AP88" i="22"/>
  <c r="K88" i="22"/>
  <c r="AD88" i="22"/>
  <c r="BD88" i="22"/>
  <c r="AY88" i="22"/>
  <c r="BY88" i="22"/>
  <c r="CL88" i="22"/>
  <c r="AU88" i="22"/>
  <c r="AG88" i="22"/>
  <c r="Z88" i="22"/>
  <c r="CQ88" i="22"/>
  <c r="BL88" i="22"/>
  <c r="BQ88" i="22"/>
  <c r="AQ88" i="22"/>
  <c r="S88" i="22"/>
  <c r="J88" i="22"/>
  <c r="BK88" i="22"/>
  <c r="L100" i="22"/>
  <c r="CC88" i="22"/>
  <c r="BN88" i="22"/>
  <c r="AB88" i="22"/>
  <c r="P88" i="22"/>
  <c r="Q88" i="22"/>
  <c r="T88" i="22"/>
  <c r="AZ88" i="22"/>
  <c r="BP88" i="22"/>
  <c r="CH88" i="22"/>
  <c r="BU88" i="22"/>
  <c r="BJ88" i="22"/>
  <c r="X88" i="22"/>
  <c r="F88" i="22"/>
  <c r="CK88" i="22"/>
  <c r="BO88" i="22"/>
  <c r="AC88" i="22"/>
  <c r="O88" i="22"/>
  <c r="AR33" i="15"/>
  <c r="AW88" i="22"/>
  <c r="Y65" i="22"/>
  <c r="AT88" i="22"/>
  <c r="CD88" i="22"/>
  <c r="CG88" i="22"/>
  <c r="BU82" i="22"/>
  <c r="CI88" i="22"/>
  <c r="CP82" i="22"/>
  <c r="BD64" i="22"/>
  <c r="AP64" i="22"/>
  <c r="AT58" i="22"/>
  <c r="BJ64" i="22"/>
  <c r="CF58" i="22"/>
  <c r="BA58" i="22"/>
  <c r="Y58" i="22"/>
  <c r="BS58" i="22"/>
  <c r="BU64" i="22"/>
  <c r="S64" i="22"/>
  <c r="BF58" i="22"/>
  <c r="K64" i="22"/>
  <c r="AN64" i="22"/>
  <c r="AZ64" i="22"/>
  <c r="CQ58" i="22"/>
  <c r="AL64" i="22"/>
  <c r="CJ64" i="22"/>
  <c r="AU64" i="22"/>
  <c r="CL58" i="22"/>
  <c r="AB58" i="22"/>
  <c r="L58" i="22"/>
  <c r="BQ64" i="22"/>
  <c r="CK58" i="22"/>
  <c r="AG58" i="22"/>
  <c r="M64" i="22"/>
  <c r="Q58" i="22"/>
  <c r="AW58" i="22"/>
  <c r="CH58" i="22"/>
  <c r="BO64" i="22"/>
  <c r="CO58" i="22"/>
  <c r="AC58" i="22"/>
  <c r="H58" i="22"/>
  <c r="P64" i="22"/>
  <c r="AO64" i="22"/>
  <c r="BX64" i="22"/>
  <c r="BB29" i="21"/>
  <c r="BO29" i="21" s="1"/>
  <c r="BH64" i="22"/>
  <c r="BO106" i="22"/>
  <c r="CP64" i="22"/>
  <c r="AK64" i="22"/>
  <c r="BT58" i="22"/>
  <c r="W58" i="22"/>
  <c r="O58" i="22"/>
  <c r="BY64" i="22"/>
  <c r="X64" i="22"/>
  <c r="BV58" i="22"/>
  <c r="AA58" i="22"/>
  <c r="F64" i="22"/>
  <c r="AL58" i="22"/>
  <c r="BB58" i="22"/>
  <c r="CM58" i="22"/>
  <c r="BF64" i="22"/>
  <c r="BU58" i="22"/>
  <c r="AM58" i="22"/>
  <c r="H64" i="22"/>
  <c r="BI64" i="22"/>
  <c r="CC64" i="22"/>
  <c r="M58" i="22"/>
  <c r="CI64" i="22"/>
  <c r="AJ58" i="22"/>
  <c r="U64" i="22"/>
  <c r="G64" i="22"/>
  <c r="AX58" i="22"/>
  <c r="T64" i="22"/>
  <c r="BK64" i="22"/>
  <c r="BC64" i="22"/>
  <c r="F58" i="22"/>
  <c r="BN64" i="22"/>
  <c r="CJ58" i="22"/>
  <c r="AU58" i="22"/>
  <c r="J64" i="22"/>
  <c r="BV64" i="22"/>
  <c r="AD64" i="22"/>
  <c r="T58" i="22"/>
  <c r="N58" i="22"/>
  <c r="AO58" i="22"/>
  <c r="BX58" i="22"/>
  <c r="BW64" i="22"/>
  <c r="BW58" i="22"/>
  <c r="AN58" i="22"/>
  <c r="W64" i="22"/>
  <c r="AW64" i="22"/>
  <c r="CH64" i="22"/>
  <c r="AE21" i="15"/>
  <c r="U58" i="22"/>
  <c r="AI64" i="22"/>
  <c r="I357" i="30"/>
  <c r="CD58" i="22"/>
  <c r="CI58" i="22"/>
  <c r="AX64" i="22"/>
  <c r="AD58" i="22"/>
  <c r="CG64" i="22"/>
  <c r="AB64" i="22"/>
  <c r="BZ58" i="22"/>
  <c r="X58" i="22"/>
  <c r="I58" i="22"/>
  <c r="CF64" i="22"/>
  <c r="BA64" i="22"/>
  <c r="BY58" i="22"/>
  <c r="BJ58" i="22"/>
  <c r="G58" i="22"/>
  <c r="AF58" i="22"/>
  <c r="BG58" i="22"/>
  <c r="CN58" i="22"/>
  <c r="BM64" i="22"/>
  <c r="AF64" i="22"/>
  <c r="BM58" i="22"/>
  <c r="L64" i="22"/>
  <c r="O64" i="22"/>
  <c r="BP64" i="22"/>
  <c r="AG64" i="21"/>
  <c r="AG127" i="15" s="1"/>
  <c r="BT64" i="22"/>
  <c r="AT64" i="22"/>
  <c r="V64" i="22"/>
  <c r="CP58" i="22"/>
  <c r="BD58" i="22"/>
  <c r="AK58" i="22"/>
  <c r="AH58" i="22"/>
  <c r="Q64" i="22"/>
  <c r="CL64" i="22"/>
  <c r="AV64" i="22"/>
  <c r="AG64" i="22"/>
  <c r="Z64" i="22"/>
  <c r="CA58" i="22"/>
  <c r="BI58" i="22"/>
  <c r="V58" i="22"/>
  <c r="N64" i="22"/>
  <c r="J58" i="22"/>
  <c r="K58" i="22"/>
  <c r="AP58" i="22"/>
  <c r="BQ58" i="22"/>
  <c r="AZ58" i="22"/>
  <c r="CC58" i="22"/>
  <c r="CQ64" i="22"/>
  <c r="BL64" i="22"/>
  <c r="AS64" i="22"/>
  <c r="AQ64" i="22"/>
  <c r="BL58" i="22"/>
  <c r="AS58" i="22"/>
  <c r="S58" i="22"/>
  <c r="P58" i="22"/>
  <c r="AM64" i="22"/>
  <c r="Y64" i="22"/>
  <c r="BB64" i="22"/>
  <c r="BS64" i="22"/>
  <c r="CM64" i="22"/>
  <c r="AG45" i="15"/>
  <c r="AI27" i="15"/>
  <c r="AR24" i="21"/>
  <c r="AQ60" i="21" s="1"/>
  <c r="AQ115" i="15" s="1"/>
  <c r="BK58" i="22"/>
  <c r="AY64" i="22"/>
  <c r="AY58" i="22"/>
  <c r="AI58" i="22"/>
  <c r="CK64" i="22"/>
  <c r="CB58" i="22"/>
  <c r="BP82" i="22"/>
  <c r="N82" i="22"/>
  <c r="AQ82" i="22"/>
  <c r="AU141" i="22"/>
  <c r="Q82" i="22"/>
  <c r="CH82" i="22"/>
  <c r="BN82" i="22"/>
  <c r="AX82" i="22"/>
  <c r="AL82" i="22"/>
  <c r="AW82" i="22"/>
  <c r="AT82" i="22"/>
  <c r="BL141" i="22"/>
  <c r="W82" i="22"/>
  <c r="P82" i="22"/>
  <c r="BF82" i="22"/>
  <c r="BV82" i="22"/>
  <c r="CK82" i="22"/>
  <c r="AY98" i="22"/>
  <c r="AI82" i="22"/>
  <c r="Y82" i="22"/>
  <c r="BB82" i="22"/>
  <c r="BS82" i="22"/>
  <c r="CM82" i="22"/>
  <c r="AY102" i="22"/>
  <c r="CJ82" i="22"/>
  <c r="BQ82" i="22"/>
  <c r="I82" i="22"/>
  <c r="CI82" i="22"/>
  <c r="AU82" i="22"/>
  <c r="K82" i="22"/>
  <c r="F82" i="22"/>
  <c r="AC82" i="22"/>
  <c r="BO82" i="22"/>
  <c r="CO82" i="22"/>
  <c r="AF82" i="22"/>
  <c r="BA82" i="22"/>
  <c r="CA82" i="22"/>
  <c r="AH82" i="22"/>
  <c r="J82" i="22"/>
  <c r="AK82" i="22"/>
  <c r="U82" i="22"/>
  <c r="AN82" i="22"/>
  <c r="BT82" i="22"/>
  <c r="BS111" i="22"/>
  <c r="H82" i="22"/>
  <c r="S82" i="22"/>
  <c r="AO82" i="22"/>
  <c r="BG82" i="22"/>
  <c r="BX82" i="22"/>
  <c r="CN82" i="22"/>
  <c r="BA89" i="22"/>
  <c r="CG82" i="22"/>
  <c r="AB82" i="22"/>
  <c r="CB82" i="22"/>
  <c r="AD82" i="22"/>
  <c r="O82" i="22"/>
  <c r="AM82" i="22"/>
  <c r="BI82" i="22"/>
  <c r="BL82" i="22"/>
  <c r="CQ82" i="22"/>
  <c r="T82" i="22"/>
  <c r="BJ82" i="22"/>
  <c r="BY82" i="22"/>
  <c r="L82" i="22"/>
  <c r="BC82" i="22"/>
  <c r="CD82" i="22"/>
  <c r="G82" i="22"/>
  <c r="BK82" i="22"/>
  <c r="M82" i="22"/>
  <c r="AJ82" i="22"/>
  <c r="BM82" i="22"/>
  <c r="AZ82" i="22"/>
  <c r="CC82" i="22"/>
  <c r="BZ82" i="22"/>
  <c r="V82" i="22"/>
  <c r="BH82" i="22"/>
  <c r="AP82" i="22"/>
  <c r="X82" i="22"/>
  <c r="AY82" i="22"/>
  <c r="BW82" i="22"/>
  <c r="Z82" i="22"/>
  <c r="AG82" i="22"/>
  <c r="AV82" i="22"/>
  <c r="CL82" i="22"/>
  <c r="AA82" i="22"/>
  <c r="F6" i="22"/>
  <c r="D29" i="22"/>
  <c r="H42" i="17"/>
  <c r="J31" i="1" s="1"/>
  <c r="C357" i="30"/>
  <c r="H208" i="30"/>
  <c r="E260" i="30"/>
  <c r="CJ127" i="22"/>
  <c r="AM67" i="21"/>
  <c r="AM136" i="15" s="1"/>
  <c r="E357" i="30"/>
  <c r="F357" i="30" s="1"/>
  <c r="G357" i="30" s="1"/>
  <c r="I208" i="30"/>
  <c r="H260" i="30"/>
  <c r="BB45" i="21"/>
  <c r="BB84" i="15" s="1"/>
  <c r="H357" i="30"/>
  <c r="I260" i="30"/>
  <c r="AO48" i="15"/>
  <c r="C287" i="30"/>
  <c r="E287" i="30"/>
  <c r="D313" i="30"/>
  <c r="D287" i="30"/>
  <c r="H313" i="30"/>
  <c r="I171" i="30"/>
  <c r="BJ62" i="22"/>
  <c r="Y109" i="22"/>
  <c r="Z111" i="22"/>
  <c r="BL62" i="22"/>
  <c r="CF127" i="22"/>
  <c r="AD67" i="22"/>
  <c r="AK62" i="22"/>
  <c r="X62" i="22"/>
  <c r="AG131" i="22"/>
  <c r="BD111" i="22"/>
  <c r="H127" i="22"/>
  <c r="BB68" i="22"/>
  <c r="AK68" i="22"/>
  <c r="AL62" i="22"/>
  <c r="AW62" i="22"/>
  <c r="Y62" i="22"/>
  <c r="BC62" i="22"/>
  <c r="AY141" i="22"/>
  <c r="AZ141" i="22"/>
  <c r="W111" i="22"/>
  <c r="AM127" i="22"/>
  <c r="BO127" i="22"/>
  <c r="BC67" i="22"/>
  <c r="AK107" i="22"/>
  <c r="CP62" i="22"/>
  <c r="J62" i="22"/>
  <c r="N62" i="22"/>
  <c r="AI62" i="22"/>
  <c r="BV62" i="22"/>
  <c r="O67" i="22"/>
  <c r="K141" i="22"/>
  <c r="CH111" i="22"/>
  <c r="BP127" i="22"/>
  <c r="AZ127" i="22"/>
  <c r="AJ141" i="22"/>
  <c r="BN89" i="22"/>
  <c r="AT67" i="22"/>
  <c r="CD127" i="22"/>
  <c r="BZ62" i="22"/>
  <c r="CG62" i="22"/>
  <c r="O62" i="22"/>
  <c r="CC62" i="22"/>
  <c r="T107" i="22"/>
  <c r="AK141" i="22"/>
  <c r="BG141" i="22"/>
  <c r="T141" i="22"/>
  <c r="AV141" i="22"/>
  <c r="BZ141" i="22"/>
  <c r="BY141" i="22"/>
  <c r="AS89" i="22"/>
  <c r="BG89" i="22"/>
  <c r="CO89" i="22"/>
  <c r="W132" i="22"/>
  <c r="Y141" i="22"/>
  <c r="CC141" i="22"/>
  <c r="Z141" i="22"/>
  <c r="BK141" i="22"/>
  <c r="CA141" i="22"/>
  <c r="CG141" i="22"/>
  <c r="AI89" i="22"/>
  <c r="CM89" i="22"/>
  <c r="BF89" i="22"/>
  <c r="BH141" i="22"/>
  <c r="P141" i="22"/>
  <c r="AQ141" i="22"/>
  <c r="CL141" i="22"/>
  <c r="CP141" i="22"/>
  <c r="AX141" i="22"/>
  <c r="AH89" i="22"/>
  <c r="CN89" i="22"/>
  <c r="AC89" i="22"/>
  <c r="AH132" i="22"/>
  <c r="CN102" i="22"/>
  <c r="I46" i="22"/>
  <c r="V46" i="22" s="1"/>
  <c r="AI46" i="22" s="1"/>
  <c r="AV46" i="22" s="1"/>
  <c r="BI46" i="22" s="1"/>
  <c r="BV46" i="22" s="1"/>
  <c r="CI46" i="22" s="1"/>
  <c r="F139" i="22"/>
  <c r="AL132" i="22"/>
  <c r="CL102" i="22"/>
  <c r="K47" i="22"/>
  <c r="X47" i="22" s="1"/>
  <c r="AK47" i="22" s="1"/>
  <c r="AX47" i="22" s="1"/>
  <c r="BK47" i="22" s="1"/>
  <c r="BX47" i="22" s="1"/>
  <c r="CK47" i="22" s="1"/>
  <c r="V131" i="22"/>
  <c r="CL103" i="22"/>
  <c r="M46" i="22"/>
  <c r="Z46" i="22" s="1"/>
  <c r="AM46" i="22" s="1"/>
  <c r="AZ46" i="22" s="1"/>
  <c r="BM46" i="22" s="1"/>
  <c r="BZ46" i="22" s="1"/>
  <c r="CM46" i="22" s="1"/>
  <c r="F47" i="22"/>
  <c r="S47" i="22" s="1"/>
  <c r="F28" i="22"/>
  <c r="T28" i="22" s="1"/>
  <c r="V139" i="22"/>
  <c r="AG139" i="22"/>
  <c r="AM131" i="22"/>
  <c r="BA131" i="22"/>
  <c r="BP132" i="22"/>
  <c r="BI132" i="22"/>
  <c r="AT131" i="22"/>
  <c r="H139" i="22"/>
  <c r="M102" i="22"/>
  <c r="CP102" i="22"/>
  <c r="AL102" i="22"/>
  <c r="AN85" i="22"/>
  <c r="G46" i="22"/>
  <c r="T46" i="22" s="1"/>
  <c r="AG46" i="22" s="1"/>
  <c r="AT46" i="22" s="1"/>
  <c r="BG46" i="22" s="1"/>
  <c r="BT46" i="22" s="1"/>
  <c r="CG46" i="22" s="1"/>
  <c r="M47" i="22"/>
  <c r="Z47" i="22" s="1"/>
  <c r="AM47" i="22" s="1"/>
  <c r="AZ47" i="22" s="1"/>
  <c r="BM47" i="22" s="1"/>
  <c r="BZ47" i="22" s="1"/>
  <c r="CM47" i="22" s="1"/>
  <c r="Q47" i="22"/>
  <c r="AD47" i="22" s="1"/>
  <c r="AQ47" i="22" s="1"/>
  <c r="BD47" i="22" s="1"/>
  <c r="BQ47" i="22" s="1"/>
  <c r="CD47" i="22" s="1"/>
  <c r="CQ47" i="22" s="1"/>
  <c r="M28" i="22"/>
  <c r="AA28" i="22" s="1"/>
  <c r="AO28" i="22" s="1"/>
  <c r="BC28" i="22" s="1"/>
  <c r="BQ28" i="22" s="1"/>
  <c r="CE28" i="22" s="1"/>
  <c r="CS28" i="22" s="1"/>
  <c r="AY139" i="22"/>
  <c r="AW139" i="22"/>
  <c r="BJ131" i="22"/>
  <c r="BN131" i="22"/>
  <c r="BW132" i="22"/>
  <c r="CI132" i="22"/>
  <c r="BX139" i="22"/>
  <c r="AW102" i="22"/>
  <c r="AJ102" i="22"/>
  <c r="AN102" i="22"/>
  <c r="F46" i="22"/>
  <c r="S46" i="22" s="1"/>
  <c r="P47" i="22"/>
  <c r="AC47" i="22" s="1"/>
  <c r="AP47" i="22" s="1"/>
  <c r="BC47" i="22" s="1"/>
  <c r="BP47" i="22" s="1"/>
  <c r="CC47" i="22" s="1"/>
  <c r="CP47" i="22" s="1"/>
  <c r="O47" i="22"/>
  <c r="AB47" i="22" s="1"/>
  <c r="AO47" i="22" s="1"/>
  <c r="BB47" i="22" s="1"/>
  <c r="BO47" i="22" s="1"/>
  <c r="CB47" i="22" s="1"/>
  <c r="CO47" i="22" s="1"/>
  <c r="M12" i="22"/>
  <c r="CB139" i="22"/>
  <c r="BZ139" i="22"/>
  <c r="CF131" i="22"/>
  <c r="CJ131" i="22"/>
  <c r="Q132" i="22"/>
  <c r="O103" i="22"/>
  <c r="AK139" i="22"/>
  <c r="N102" i="22"/>
  <c r="AT102" i="22"/>
  <c r="AX102" i="22"/>
  <c r="CO63" i="22"/>
  <c r="Y139" i="22"/>
  <c r="AX139" i="22"/>
  <c r="BW139" i="22"/>
  <c r="J139" i="22"/>
  <c r="AC139" i="22"/>
  <c r="BI139" i="22"/>
  <c r="CA139" i="22"/>
  <c r="X131" i="22"/>
  <c r="BC131" i="22"/>
  <c r="CB131" i="22"/>
  <c r="CL131" i="22"/>
  <c r="S131" i="22"/>
  <c r="AW131" i="22"/>
  <c r="BU131" i="22"/>
  <c r="AN132" i="22"/>
  <c r="AM132" i="22"/>
  <c r="AV132" i="22"/>
  <c r="CF132" i="22"/>
  <c r="Z132" i="22"/>
  <c r="AQ132" i="22"/>
  <c r="BN132" i="22"/>
  <c r="CJ132" i="22"/>
  <c r="BK103" i="22"/>
  <c r="BJ103" i="22"/>
  <c r="BK131" i="22"/>
  <c r="BQ139" i="22"/>
  <c r="BW63" i="22"/>
  <c r="AY85" i="22"/>
  <c r="Q102" i="22"/>
  <c r="BN102" i="22"/>
  <c r="K102" i="22"/>
  <c r="BI102" i="22"/>
  <c r="AK102" i="22"/>
  <c r="BL102" i="22"/>
  <c r="BK102" i="22"/>
  <c r="CM102" i="22"/>
  <c r="T102" i="22"/>
  <c r="AU102" i="22"/>
  <c r="BV102" i="22"/>
  <c r="CQ102" i="22"/>
  <c r="AX85" i="22"/>
  <c r="P85" i="22"/>
  <c r="AB63" i="22"/>
  <c r="M8" i="22"/>
  <c r="AH139" i="22"/>
  <c r="AV139" i="22"/>
  <c r="CK139" i="22"/>
  <c r="P139" i="22"/>
  <c r="AQ139" i="22"/>
  <c r="AZ139" i="22"/>
  <c r="CI139" i="22"/>
  <c r="Y131" i="22"/>
  <c r="AX131" i="22"/>
  <c r="BV131" i="22"/>
  <c r="K131" i="22"/>
  <c r="AC131" i="22"/>
  <c r="BB131" i="22"/>
  <c r="CA131" i="22"/>
  <c r="AA132" i="22"/>
  <c r="AY132" i="22"/>
  <c r="CB132" i="22"/>
  <c r="CL132" i="22"/>
  <c r="T132" i="22"/>
  <c r="BA132" i="22"/>
  <c r="BU132" i="22"/>
  <c r="CP132" i="22"/>
  <c r="Z103" i="22"/>
  <c r="CA103" i="22"/>
  <c r="AN131" i="22"/>
  <c r="AS139" i="22"/>
  <c r="L131" i="22"/>
  <c r="T63" i="22"/>
  <c r="U102" i="22"/>
  <c r="BY102" i="22"/>
  <c r="AP102" i="22"/>
  <c r="BZ102" i="22"/>
  <c r="Y102" i="22"/>
  <c r="BH102" i="22"/>
  <c r="CF102" i="22"/>
  <c r="P102" i="22"/>
  <c r="AC102" i="22"/>
  <c r="BD102" i="22"/>
  <c r="BS102" i="22"/>
  <c r="J63" i="22"/>
  <c r="AD139" i="22"/>
  <c r="BA139" i="22"/>
  <c r="BJ139" i="22"/>
  <c r="CF139" i="22"/>
  <c r="X139" i="22"/>
  <c r="BO139" i="22"/>
  <c r="BN139" i="22"/>
  <c r="CP139" i="22"/>
  <c r="AH131" i="22"/>
  <c r="BP131" i="22"/>
  <c r="CK131" i="22"/>
  <c r="P131" i="22"/>
  <c r="AL131" i="22"/>
  <c r="AZ131" i="22"/>
  <c r="CI131" i="22"/>
  <c r="AG132" i="22"/>
  <c r="AX132" i="22"/>
  <c r="BV132" i="22"/>
  <c r="O132" i="22"/>
  <c r="Y132" i="22"/>
  <c r="BB132" i="22"/>
  <c r="BZ132" i="22"/>
  <c r="BG103" i="22"/>
  <c r="BV103" i="22"/>
  <c r="BS131" i="22"/>
  <c r="BS139" i="22"/>
  <c r="AN139" i="22"/>
  <c r="F131" i="22"/>
  <c r="AZ85" i="22"/>
  <c r="X102" i="22"/>
  <c r="CA102" i="22"/>
  <c r="AD102" i="22"/>
  <c r="CB102" i="22"/>
  <c r="AQ102" i="22"/>
  <c r="BQ102" i="22"/>
  <c r="BT102" i="22"/>
  <c r="G102" i="22"/>
  <c r="Z102" i="22"/>
  <c r="BF102" i="22"/>
  <c r="BX102" i="22"/>
  <c r="CC63" i="22"/>
  <c r="BT85" i="22"/>
  <c r="J24" i="22"/>
  <c r="X24" i="22" s="1"/>
  <c r="AL24" i="22" s="1"/>
  <c r="AZ24" i="22" s="1"/>
  <c r="BN24" i="22" s="1"/>
  <c r="CB24" i="22" s="1"/>
  <c r="CP24" i="22" s="1"/>
  <c r="T139" i="22"/>
  <c r="AM139" i="22"/>
  <c r="BP139" i="22"/>
  <c r="BV139" i="22"/>
  <c r="CL139" i="22"/>
  <c r="AO139" i="22"/>
  <c r="AL139" i="22"/>
  <c r="BB139" i="22"/>
  <c r="BU139" i="22"/>
  <c r="CJ139" i="22"/>
  <c r="AO131" i="22"/>
  <c r="AS131" i="22"/>
  <c r="AV131" i="22"/>
  <c r="BW131" i="22"/>
  <c r="M131" i="22"/>
  <c r="AB131" i="22"/>
  <c r="AQ131" i="22"/>
  <c r="BI131" i="22"/>
  <c r="BZ131" i="22"/>
  <c r="CP131" i="22"/>
  <c r="U132" i="22"/>
  <c r="AS132" i="22"/>
  <c r="BJ132" i="22"/>
  <c r="CO132" i="22"/>
  <c r="I132" i="22"/>
  <c r="AO132" i="22"/>
  <c r="BG132" i="22"/>
  <c r="AZ132" i="22"/>
  <c r="CA132" i="22"/>
  <c r="AQ103" i="22"/>
  <c r="AH103" i="22"/>
  <c r="BX131" i="22"/>
  <c r="AJ131" i="22"/>
  <c r="AT139" i="22"/>
  <c r="AJ139" i="22"/>
  <c r="L139" i="22"/>
  <c r="AG102" i="22"/>
  <c r="AV102" i="22"/>
  <c r="CO102" i="22"/>
  <c r="AI102" i="22"/>
  <c r="BB102" i="22"/>
  <c r="AH102" i="22"/>
  <c r="V102" i="22"/>
  <c r="AZ102" i="22"/>
  <c r="CC102" i="22"/>
  <c r="CH102" i="22"/>
  <c r="L102" i="22"/>
  <c r="W102" i="22"/>
  <c r="AS102" i="22"/>
  <c r="BO102" i="22"/>
  <c r="AX33" i="21"/>
  <c r="BK33" i="21" s="1"/>
  <c r="AD132" i="22"/>
  <c r="H346" i="30"/>
  <c r="CM132" i="22"/>
  <c r="E220" i="30"/>
  <c r="F220" i="30" s="1"/>
  <c r="AO78" i="21"/>
  <c r="AO169" i="15" s="1"/>
  <c r="AV36" i="15"/>
  <c r="F8" i="22"/>
  <c r="AB139" i="22"/>
  <c r="AE34" i="22"/>
  <c r="C32" i="13" s="1"/>
  <c r="D32" i="13" s="1"/>
  <c r="E32" i="13" s="1"/>
  <c r="F32" i="13" s="1"/>
  <c r="I32" i="13" s="1"/>
  <c r="J50" i="22"/>
  <c r="W50" i="22" s="1"/>
  <c r="AJ50" i="22" s="1"/>
  <c r="AW50" i="22" s="1"/>
  <c r="BJ50" i="22" s="1"/>
  <c r="BW50" i="22" s="1"/>
  <c r="CJ50" i="22" s="1"/>
  <c r="BA32" i="21"/>
  <c r="AZ68" i="21" s="1"/>
  <c r="AZ139" i="15" s="1"/>
  <c r="BI29" i="21"/>
  <c r="BH65" i="21" s="1"/>
  <c r="BH130" i="15" s="1"/>
  <c r="H8" i="22"/>
  <c r="P8" i="22"/>
  <c r="BM139" i="22"/>
  <c r="CC139" i="22"/>
  <c r="BL132" i="22"/>
  <c r="BC132" i="22"/>
  <c r="E66" i="30"/>
  <c r="C220" i="30"/>
  <c r="I346" i="30"/>
  <c r="G8" i="22"/>
  <c r="J8" i="22"/>
  <c r="BY139" i="22"/>
  <c r="CM139" i="22"/>
  <c r="BF132" i="22"/>
  <c r="BK132" i="22"/>
  <c r="BF139" i="22"/>
  <c r="BG83" i="22"/>
  <c r="C66" i="30"/>
  <c r="H220" i="30"/>
  <c r="E292" i="30"/>
  <c r="F292" i="30" s="1"/>
  <c r="G292" i="30" s="1"/>
  <c r="AU40" i="21"/>
  <c r="AI60" i="21"/>
  <c r="AI115" i="15" s="1"/>
  <c r="AK48" i="15"/>
  <c r="AR26" i="21"/>
  <c r="AQ62" i="21" s="1"/>
  <c r="AQ121" i="15" s="1"/>
  <c r="K8" i="22"/>
  <c r="W139" i="22"/>
  <c r="CC131" i="22"/>
  <c r="S132" i="22"/>
  <c r="CH132" i="22"/>
  <c r="CD132" i="22"/>
  <c r="BK139" i="22"/>
  <c r="I220" i="30"/>
  <c r="O46" i="22"/>
  <c r="AB46" i="22" s="1"/>
  <c r="AO46" i="22" s="1"/>
  <c r="BB46" i="22" s="1"/>
  <c r="BO46" i="22" s="1"/>
  <c r="CB46" i="22" s="1"/>
  <c r="CO46" i="22" s="1"/>
  <c r="N46" i="22"/>
  <c r="AA46" i="22" s="1"/>
  <c r="AN46" i="22" s="1"/>
  <c r="BA46" i="22" s="1"/>
  <c r="BN46" i="22" s="1"/>
  <c r="CA46" i="22" s="1"/>
  <c r="CN46" i="22" s="1"/>
  <c r="H47" i="22"/>
  <c r="U47" i="22" s="1"/>
  <c r="AH47" i="22" s="1"/>
  <c r="AU47" i="22" s="1"/>
  <c r="BH47" i="22" s="1"/>
  <c r="BU47" i="22" s="1"/>
  <c r="CH47" i="22" s="1"/>
  <c r="G47" i="22"/>
  <c r="T47" i="22" s="1"/>
  <c r="AG47" i="22" s="1"/>
  <c r="AT47" i="22" s="1"/>
  <c r="BG47" i="22" s="1"/>
  <c r="BT47" i="22" s="1"/>
  <c r="CG47" i="22" s="1"/>
  <c r="N47" i="22"/>
  <c r="AA47" i="22" s="1"/>
  <c r="AN47" i="22" s="1"/>
  <c r="BA47" i="22" s="1"/>
  <c r="BN47" i="22" s="1"/>
  <c r="CA47" i="22" s="1"/>
  <c r="CN47" i="22" s="1"/>
  <c r="O28" i="22"/>
  <c r="AC28" i="22" s="1"/>
  <c r="AQ28" i="22" s="1"/>
  <c r="BE28" i="22" s="1"/>
  <c r="BS28" i="22" s="1"/>
  <c r="CG28" i="22" s="1"/>
  <c r="CU28" i="22" s="1"/>
  <c r="I28" i="22"/>
  <c r="W28" i="22" s="1"/>
  <c r="AK28" i="22" s="1"/>
  <c r="AY28" i="22" s="1"/>
  <c r="BM28" i="22" s="1"/>
  <c r="CA28" i="22" s="1"/>
  <c r="CO28" i="22" s="1"/>
  <c r="N12" i="22"/>
  <c r="N87" i="22"/>
  <c r="N8" i="22"/>
  <c r="Q8" i="22"/>
  <c r="AP139" i="22"/>
  <c r="CG139" i="22"/>
  <c r="BG139" i="22"/>
  <c r="CQ139" i="22"/>
  <c r="AI132" i="22"/>
  <c r="CC132" i="22"/>
  <c r="X132" i="22"/>
  <c r="BM132" i="22"/>
  <c r="S139" i="22"/>
  <c r="BN65" i="22"/>
  <c r="Q83" i="22"/>
  <c r="J46" i="22"/>
  <c r="W46" i="22" s="1"/>
  <c r="AJ46" i="22" s="1"/>
  <c r="AW46" i="22" s="1"/>
  <c r="BJ46" i="22" s="1"/>
  <c r="BW46" i="22" s="1"/>
  <c r="CJ46" i="22" s="1"/>
  <c r="L47" i="22"/>
  <c r="Y47" i="22" s="1"/>
  <c r="AL47" i="22" s="1"/>
  <c r="AY47" i="22" s="1"/>
  <c r="BL47" i="22" s="1"/>
  <c r="BY47" i="22" s="1"/>
  <c r="CL47" i="22" s="1"/>
  <c r="J47" i="22"/>
  <c r="W47" i="22" s="1"/>
  <c r="AJ47" i="22" s="1"/>
  <c r="AW47" i="22" s="1"/>
  <c r="BJ47" i="22" s="1"/>
  <c r="BW47" i="22" s="1"/>
  <c r="CJ47" i="22" s="1"/>
  <c r="H20" i="22"/>
  <c r="V20" i="22" s="1"/>
  <c r="AJ20" i="22" s="1"/>
  <c r="AX20" i="22" s="1"/>
  <c r="BL20" i="22" s="1"/>
  <c r="BZ20" i="22" s="1"/>
  <c r="CN20" i="22" s="1"/>
  <c r="CH87" i="22"/>
  <c r="BB84" i="22"/>
  <c r="BC139" i="22"/>
  <c r="Z139" i="22"/>
  <c r="BD139" i="22"/>
  <c r="AI131" i="22"/>
  <c r="BO132" i="22"/>
  <c r="CK132" i="22"/>
  <c r="AC132" i="22"/>
  <c r="BB83" i="22"/>
  <c r="W83" i="22"/>
  <c r="G42" i="22"/>
  <c r="T42" i="22" s="1"/>
  <c r="AG42" i="22" s="1"/>
  <c r="AT42" i="22" s="1"/>
  <c r="BG42" i="22" s="1"/>
  <c r="BT42" i="22" s="1"/>
  <c r="CG42" i="22" s="1"/>
  <c r="AH21" i="15"/>
  <c r="I66" i="30"/>
  <c r="C346" i="30"/>
  <c r="G24" i="22"/>
  <c r="U24" i="22" s="1"/>
  <c r="AI24" i="22" s="1"/>
  <c r="AW24" i="22" s="1"/>
  <c r="BK24" i="22" s="1"/>
  <c r="BY24" i="22" s="1"/>
  <c r="CM24" i="22" s="1"/>
  <c r="AJ83" i="22"/>
  <c r="H66" i="30"/>
  <c r="E346" i="30"/>
  <c r="I139" i="30"/>
  <c r="AO62" i="21"/>
  <c r="AO121" i="15" s="1"/>
  <c r="AN62" i="21"/>
  <c r="AN121" i="15" s="1"/>
  <c r="AO75" i="15"/>
  <c r="AH82" i="21"/>
  <c r="AH181" i="15" s="1"/>
  <c r="AW24" i="21"/>
  <c r="BJ24" i="21" s="1"/>
  <c r="AN78" i="21"/>
  <c r="AN169" i="15" s="1"/>
  <c r="AO27" i="15"/>
  <c r="AI87" i="15"/>
  <c r="AH69" i="15"/>
  <c r="AM68" i="21"/>
  <c r="AM139" i="15" s="1"/>
  <c r="P111" i="22"/>
  <c r="AD111" i="22"/>
  <c r="CA111" i="22"/>
  <c r="BH111" i="22"/>
  <c r="AA111" i="22"/>
  <c r="CK111" i="22"/>
  <c r="AX111" i="22"/>
  <c r="AN111" i="22"/>
  <c r="AP111" i="22"/>
  <c r="BL111" i="22"/>
  <c r="J111" i="22"/>
  <c r="BG111" i="22"/>
  <c r="CG111" i="22"/>
  <c r="AZ111" i="22"/>
  <c r="BU111" i="22"/>
  <c r="AU111" i="22"/>
  <c r="AC111" i="22"/>
  <c r="CB111" i="22"/>
  <c r="BF111" i="22"/>
  <c r="AH111" i="22"/>
  <c r="CL111" i="22"/>
  <c r="AJ111" i="22"/>
  <c r="Q111" i="22"/>
  <c r="BC111" i="22"/>
  <c r="Z68" i="22"/>
  <c r="BN68" i="22"/>
  <c r="BX68" i="22"/>
  <c r="AU68" i="22"/>
  <c r="AI68" i="22"/>
  <c r="BA68" i="22"/>
  <c r="CO68" i="22"/>
  <c r="AL68" i="22"/>
  <c r="BZ68" i="22"/>
  <c r="BS68" i="22"/>
  <c r="AO68" i="22"/>
  <c r="I68" i="22"/>
  <c r="AY68" i="22"/>
  <c r="CQ68" i="22"/>
  <c r="BV134" i="22"/>
  <c r="CC134" i="22"/>
  <c r="AF111" i="22"/>
  <c r="T111" i="22"/>
  <c r="AQ111" i="22"/>
  <c r="BW111" i="22"/>
  <c r="AS111" i="22"/>
  <c r="CJ111" i="22"/>
  <c r="AO127" i="22"/>
  <c r="BJ127" i="22"/>
  <c r="W127" i="22"/>
  <c r="BN127" i="22"/>
  <c r="BW68" i="22"/>
  <c r="CG89" i="22"/>
  <c r="AB89" i="22"/>
  <c r="Y89" i="22"/>
  <c r="BS89" i="22"/>
  <c r="W68" i="22"/>
  <c r="CM68" i="22"/>
  <c r="CG68" i="22"/>
  <c r="BU89" i="22"/>
  <c r="W89" i="22"/>
  <c r="AZ67" i="22"/>
  <c r="O26" i="22"/>
  <c r="AC26" i="22" s="1"/>
  <c r="AQ26" i="22" s="1"/>
  <c r="BE26" i="22" s="1"/>
  <c r="BS26" i="22" s="1"/>
  <c r="CG26" i="22" s="1"/>
  <c r="CU26" i="22" s="1"/>
  <c r="G13" i="22"/>
  <c r="K13" i="22"/>
  <c r="I10" i="22"/>
  <c r="M10" i="22"/>
  <c r="L10" i="22"/>
  <c r="F10" i="22"/>
  <c r="AX134" i="22"/>
  <c r="AZ62" i="22"/>
  <c r="AD62" i="22"/>
  <c r="BU62" i="22"/>
  <c r="W62" i="22"/>
  <c r="M62" i="22"/>
  <c r="BO62" i="22"/>
  <c r="Z62" i="22"/>
  <c r="BI62" i="22"/>
  <c r="CL62" i="22"/>
  <c r="AL60" i="22"/>
  <c r="AZ60" i="22"/>
  <c r="BA60" i="22"/>
  <c r="BT60" i="22"/>
  <c r="Y60" i="22"/>
  <c r="BL60" i="22"/>
  <c r="CD111" i="22"/>
  <c r="BK111" i="22"/>
  <c r="AY111" i="22"/>
  <c r="CQ111" i="22"/>
  <c r="BJ111" i="22"/>
  <c r="AH127" i="22"/>
  <c r="CK127" i="22"/>
  <c r="AL127" i="22"/>
  <c r="AK111" i="22"/>
  <c r="BO68" i="22"/>
  <c r="BT89" i="22"/>
  <c r="AP89" i="22"/>
  <c r="CK67" i="22"/>
  <c r="I89" i="22"/>
  <c r="AO89" i="22"/>
  <c r="BX89" i="22"/>
  <c r="AN68" i="22"/>
  <c r="CN68" i="22"/>
  <c r="BC68" i="22"/>
  <c r="Q28" i="22"/>
  <c r="AE28" i="22" s="1"/>
  <c r="AS28" i="22" s="1"/>
  <c r="BG28" i="22" s="1"/>
  <c r="BU28" i="22" s="1"/>
  <c r="CI28" i="22" s="1"/>
  <c r="CW28" i="22" s="1"/>
  <c r="J28" i="22"/>
  <c r="X28" i="22" s="1"/>
  <c r="AL28" i="22" s="1"/>
  <c r="AZ28" i="22" s="1"/>
  <c r="BN28" i="22" s="1"/>
  <c r="CB28" i="22" s="1"/>
  <c r="CP28" i="22" s="1"/>
  <c r="BT111" i="22"/>
  <c r="CJ62" i="22"/>
  <c r="AU62" i="22"/>
  <c r="CA62" i="22"/>
  <c r="AF62" i="22"/>
  <c r="CM62" i="22"/>
  <c r="BA62" i="22"/>
  <c r="AN62" i="22"/>
  <c r="AJ109" i="22"/>
  <c r="BC109" i="22"/>
  <c r="I109" i="22"/>
  <c r="AI111" i="22"/>
  <c r="K111" i="22"/>
  <c r="Y111" i="22"/>
  <c r="BV111" i="22"/>
  <c r="V111" i="22"/>
  <c r="CP111" i="22"/>
  <c r="CP134" i="22"/>
  <c r="L111" i="22"/>
  <c r="AM68" i="22"/>
  <c r="AZ68" i="22"/>
  <c r="CP68" i="22"/>
  <c r="CN67" i="22"/>
  <c r="Y67" i="22"/>
  <c r="CJ67" i="22"/>
  <c r="BH67" i="22"/>
  <c r="AF67" i="22"/>
  <c r="AM67" i="22"/>
  <c r="BO67" i="22"/>
  <c r="CB62" i="22"/>
  <c r="BK62" i="22"/>
  <c r="AS62" i="22"/>
  <c r="AA62" i="22"/>
  <c r="Q62" i="22"/>
  <c r="F62" i="22"/>
  <c r="T62" i="22"/>
  <c r="BM62" i="22"/>
  <c r="BS62" i="22"/>
  <c r="AG62" i="22"/>
  <c r="AV62" i="22"/>
  <c r="CH62" i="22"/>
  <c r="P62" i="22"/>
  <c r="AJ62" i="22"/>
  <c r="AT62" i="22"/>
  <c r="BT62" i="22"/>
  <c r="CQ62" i="22"/>
  <c r="BW62" i="22"/>
  <c r="BF62" i="22"/>
  <c r="AC62" i="22"/>
  <c r="AM62" i="22"/>
  <c r="L62" i="22"/>
  <c r="G62" i="22"/>
  <c r="AP62" i="22"/>
  <c r="BB62" i="22"/>
  <c r="CK62" i="22"/>
  <c r="I62" i="22"/>
  <c r="AQ62" i="22"/>
  <c r="BQ62" i="22"/>
  <c r="BP62" i="22"/>
  <c r="CF62" i="22"/>
  <c r="AB62" i="22"/>
  <c r="BN62" i="22"/>
  <c r="BY62" i="22"/>
  <c r="AP106" i="22"/>
  <c r="Q106" i="22"/>
  <c r="AM89" i="22"/>
  <c r="AZ89" i="22"/>
  <c r="BL89" i="22"/>
  <c r="CH89" i="22"/>
  <c r="BP89" i="22"/>
  <c r="BD89" i="22"/>
  <c r="AA89" i="22"/>
  <c r="N89" i="22"/>
  <c r="AD89" i="22"/>
  <c r="AK89" i="22"/>
  <c r="BC89" i="22"/>
  <c r="CP89" i="22"/>
  <c r="AF89" i="22"/>
  <c r="AV89" i="22"/>
  <c r="BW89" i="22"/>
  <c r="CC89" i="22"/>
  <c r="AY89" i="22"/>
  <c r="AT89" i="22"/>
  <c r="AN89" i="22"/>
  <c r="L89" i="22"/>
  <c r="Z89" i="22"/>
  <c r="BB89" i="22"/>
  <c r="BZ89" i="22"/>
  <c r="CJ89" i="22"/>
  <c r="X127" i="22"/>
  <c r="CA127" i="22"/>
  <c r="BB127" i="22"/>
  <c r="AC127" i="22"/>
  <c r="P127" i="22"/>
  <c r="BV127" i="22"/>
  <c r="AX127" i="22"/>
  <c r="Y127" i="22"/>
  <c r="BU127" i="22"/>
  <c r="AW127" i="22"/>
  <c r="S127" i="22"/>
  <c r="CL127" i="22"/>
  <c r="CB127" i="22"/>
  <c r="AY127" i="22"/>
  <c r="AB127" i="22"/>
  <c r="BW141" i="22"/>
  <c r="AN141" i="22"/>
  <c r="CN141" i="22"/>
  <c r="BT141" i="22"/>
  <c r="CJ141" i="22"/>
  <c r="BU141" i="22"/>
  <c r="CO141" i="22"/>
  <c r="BI141" i="22"/>
  <c r="AL141" i="22"/>
  <c r="AG141" i="22"/>
  <c r="CH141" i="22"/>
  <c r="BP141" i="22"/>
  <c r="AM141" i="22"/>
  <c r="AA141" i="22"/>
  <c r="AO141" i="22"/>
  <c r="G141" i="22"/>
  <c r="BA141" i="22"/>
  <c r="CM141" i="22"/>
  <c r="BQ141" i="22"/>
  <c r="CI141" i="22"/>
  <c r="BO141" i="22"/>
  <c r="BV141" i="22"/>
  <c r="AW141" i="22"/>
  <c r="AC141" i="22"/>
  <c r="L141" i="22"/>
  <c r="CK141" i="22"/>
  <c r="BB141" i="22"/>
  <c r="AH141" i="22"/>
  <c r="AD141" i="22"/>
  <c r="Q18" i="22"/>
  <c r="G18" i="22"/>
  <c r="F66" i="30"/>
  <c r="G66" i="30" s="1"/>
  <c r="H13" i="30"/>
  <c r="E247" i="30"/>
  <c r="E373" i="30"/>
  <c r="I276" i="30"/>
  <c r="D247" i="30"/>
  <c r="Q24" i="22"/>
  <c r="AE24" i="22" s="1"/>
  <c r="AS24" i="22" s="1"/>
  <c r="BG24" i="22" s="1"/>
  <c r="BU24" i="22" s="1"/>
  <c r="CI24" i="22" s="1"/>
  <c r="CW24" i="22" s="1"/>
  <c r="F24" i="22"/>
  <c r="T24" i="22" s="1"/>
  <c r="BQ107" i="22"/>
  <c r="AH107" i="22"/>
  <c r="AC100" i="22"/>
  <c r="AI100" i="22"/>
  <c r="T98" i="22"/>
  <c r="CB98" i="22"/>
  <c r="CD137" i="22"/>
  <c r="W87" i="22"/>
  <c r="BB87" i="22"/>
  <c r="BP87" i="22"/>
  <c r="CN87" i="22"/>
  <c r="CJ84" i="22"/>
  <c r="BS84" i="22"/>
  <c r="AO65" i="21"/>
  <c r="AO130" i="15" s="1"/>
  <c r="AG63" i="15"/>
  <c r="AH33" i="15"/>
  <c r="AV26" i="21"/>
  <c r="CO107" i="22"/>
  <c r="AB65" i="22"/>
  <c r="AY59" i="22"/>
  <c r="BJ65" i="22"/>
  <c r="H144" i="30"/>
  <c r="E112" i="30"/>
  <c r="F112" i="30" s="1"/>
  <c r="G112" i="30" s="1"/>
  <c r="E330" i="30"/>
  <c r="H301" i="30"/>
  <c r="D171" i="30"/>
  <c r="F171" i="30" s="1"/>
  <c r="E271" i="30"/>
  <c r="C271" i="30"/>
  <c r="E139" i="30"/>
  <c r="F139" i="30" s="1"/>
  <c r="G139" i="30" s="1"/>
  <c r="BW107" i="22"/>
  <c r="N42" i="22"/>
  <c r="AA42" i="22" s="1"/>
  <c r="AN42" i="22" s="1"/>
  <c r="BA42" i="22" s="1"/>
  <c r="BN42" i="22" s="1"/>
  <c r="CA42" i="22" s="1"/>
  <c r="CN42" i="22" s="1"/>
  <c r="N25" i="22"/>
  <c r="AB25" i="22" s="1"/>
  <c r="AP25" i="22" s="1"/>
  <c r="BD25" i="22" s="1"/>
  <c r="BR25" i="22" s="1"/>
  <c r="CF25" i="22" s="1"/>
  <c r="CT25" i="22" s="1"/>
  <c r="AB137" i="22"/>
  <c r="CJ107" i="22"/>
  <c r="BD107" i="22"/>
  <c r="AS100" i="22"/>
  <c r="AN100" i="22"/>
  <c r="BF98" i="22"/>
  <c r="Y137" i="22"/>
  <c r="F87" i="22"/>
  <c r="AN87" i="22"/>
  <c r="BD87" i="22"/>
  <c r="BX87" i="22"/>
  <c r="BZ84" i="22"/>
  <c r="BO84" i="22"/>
  <c r="AO36" i="15"/>
  <c r="AS39" i="21"/>
  <c r="AS66" i="15" s="1"/>
  <c r="AN64" i="21"/>
  <c r="AN127" i="15" s="1"/>
  <c r="AO33" i="15"/>
  <c r="AG137" i="22"/>
  <c r="AH137" i="22"/>
  <c r="AA65" i="22"/>
  <c r="Z65" i="22"/>
  <c r="E144" i="30"/>
  <c r="F144" i="30" s="1"/>
  <c r="G144" i="30" s="1"/>
  <c r="I112" i="30"/>
  <c r="C301" i="30"/>
  <c r="H171" i="30"/>
  <c r="D271" i="30"/>
  <c r="C139" i="30"/>
  <c r="I373" i="30"/>
  <c r="L42" i="22"/>
  <c r="Y42" i="22" s="1"/>
  <c r="AL42" i="22" s="1"/>
  <c r="AY42" i="22" s="1"/>
  <c r="BL42" i="22" s="1"/>
  <c r="BY42" i="22" s="1"/>
  <c r="CL42" i="22" s="1"/>
  <c r="BG137" i="22"/>
  <c r="CM107" i="22"/>
  <c r="BV107" i="22"/>
  <c r="AT100" i="22"/>
  <c r="CD98" i="22"/>
  <c r="CQ98" i="22"/>
  <c r="AV107" i="22"/>
  <c r="H87" i="22"/>
  <c r="AA87" i="22"/>
  <c r="BG87" i="22"/>
  <c r="AH84" i="22"/>
  <c r="Y84" i="22"/>
  <c r="CO59" i="22"/>
  <c r="C144" i="30"/>
  <c r="E301" i="30"/>
  <c r="H139" i="30"/>
  <c r="H42" i="22"/>
  <c r="U42" i="22" s="1"/>
  <c r="AH42" i="22" s="1"/>
  <c r="AU42" i="22" s="1"/>
  <c r="BH42" i="22" s="1"/>
  <c r="BU42" i="22" s="1"/>
  <c r="CH42" i="22" s="1"/>
  <c r="Q42" i="22"/>
  <c r="AD42" i="22" s="1"/>
  <c r="AQ42" i="22" s="1"/>
  <c r="BD42" i="22" s="1"/>
  <c r="BQ42" i="22" s="1"/>
  <c r="CD42" i="22" s="1"/>
  <c r="CQ42" i="22" s="1"/>
  <c r="J42" i="22"/>
  <c r="W42" i="22" s="1"/>
  <c r="AJ42" i="22" s="1"/>
  <c r="AW42" i="22" s="1"/>
  <c r="BJ42" i="22" s="1"/>
  <c r="BW42" i="22" s="1"/>
  <c r="CJ42" i="22" s="1"/>
  <c r="K42" i="22"/>
  <c r="X42" i="22" s="1"/>
  <c r="AK42" i="22" s="1"/>
  <c r="AX42" i="22" s="1"/>
  <c r="BK42" i="22" s="1"/>
  <c r="BX42" i="22" s="1"/>
  <c r="CK42" i="22" s="1"/>
  <c r="AT36" i="21"/>
  <c r="BG36" i="21" s="1"/>
  <c r="K39" i="22"/>
  <c r="X39" i="22" s="1"/>
  <c r="F42" i="22"/>
  <c r="S42" i="22" s="1"/>
  <c r="M42" i="22"/>
  <c r="Z42" i="22" s="1"/>
  <c r="AM42" i="22" s="1"/>
  <c r="AZ42" i="22" s="1"/>
  <c r="BM42" i="22" s="1"/>
  <c r="BZ42" i="22" s="1"/>
  <c r="CM42" i="22" s="1"/>
  <c r="O42" i="22"/>
  <c r="AB42" i="22" s="1"/>
  <c r="AO42" i="22" s="1"/>
  <c r="BB42" i="22" s="1"/>
  <c r="BO42" i="22" s="1"/>
  <c r="CB42" i="22" s="1"/>
  <c r="CO42" i="22" s="1"/>
  <c r="Q21" i="22"/>
  <c r="AE21" i="22" s="1"/>
  <c r="AS21" i="22" s="1"/>
  <c r="BG21" i="22" s="1"/>
  <c r="BU21" i="22" s="1"/>
  <c r="CI21" i="22" s="1"/>
  <c r="CW21" i="22" s="1"/>
  <c r="J10" i="22"/>
  <c r="AR39" i="21"/>
  <c r="AJ57" i="15"/>
  <c r="AO84" i="20"/>
  <c r="I42" i="22"/>
  <c r="V42" i="22" s="1"/>
  <c r="AI42" i="22" s="1"/>
  <c r="AV42" i="22" s="1"/>
  <c r="BI42" i="22" s="1"/>
  <c r="BV42" i="22" s="1"/>
  <c r="CI42" i="22" s="1"/>
  <c r="M41" i="22"/>
  <c r="Z41" i="22" s="1"/>
  <c r="AM41" i="22" s="1"/>
  <c r="AZ41" i="22" s="1"/>
  <c r="BM41" i="22" s="1"/>
  <c r="BZ41" i="22" s="1"/>
  <c r="CM41" i="22" s="1"/>
  <c r="P15" i="22"/>
  <c r="AF66" i="15"/>
  <c r="BO84" i="20"/>
  <c r="CB84" i="20"/>
  <c r="B27" i="36"/>
  <c r="AO84" i="15"/>
  <c r="AJ76" i="21"/>
  <c r="AJ163" i="15" s="1"/>
  <c r="AZ40" i="21"/>
  <c r="AN33" i="15"/>
  <c r="AK69" i="15"/>
  <c r="AL76" i="21"/>
  <c r="AL163" i="15" s="1"/>
  <c r="BB28" i="21"/>
  <c r="AO81" i="21"/>
  <c r="AO178" i="15" s="1"/>
  <c r="BA31" i="21"/>
  <c r="BA42" i="15" s="1"/>
  <c r="BB44" i="21"/>
  <c r="BB81" i="15" s="1"/>
  <c r="AO21" i="15"/>
  <c r="N18" i="22"/>
  <c r="BQ85" i="22"/>
  <c r="H85" i="22"/>
  <c r="V85" i="22"/>
  <c r="AK85" i="22"/>
  <c r="BD85" i="22"/>
  <c r="CP85" i="22"/>
  <c r="AL85" i="22"/>
  <c r="AS85" i="22"/>
  <c r="BH85" i="22"/>
  <c r="CM85" i="22"/>
  <c r="BS85" i="22"/>
  <c r="BB85" i="22"/>
  <c r="Y85" i="22"/>
  <c r="AI85" i="22"/>
  <c r="G85" i="22"/>
  <c r="AH85" i="22"/>
  <c r="BF85" i="22"/>
  <c r="BU85" i="22"/>
  <c r="AF85" i="22"/>
  <c r="N85" i="22"/>
  <c r="AP85" i="22"/>
  <c r="BC85" i="22"/>
  <c r="BZ85" i="22"/>
  <c r="CJ85" i="22"/>
  <c r="AA85" i="22"/>
  <c r="BM85" i="22"/>
  <c r="CD85" i="22"/>
  <c r="CH85" i="22"/>
  <c r="BP85" i="22"/>
  <c r="AW85" i="22"/>
  <c r="W85" i="22"/>
  <c r="O85" i="22"/>
  <c r="AC85" i="22"/>
  <c r="BO85" i="22"/>
  <c r="CO85" i="22"/>
  <c r="CI85" i="22"/>
  <c r="K85" i="22"/>
  <c r="V63" i="22"/>
  <c r="BI63" i="22"/>
  <c r="BZ63" i="22"/>
  <c r="CM63" i="22"/>
  <c r="BS63" i="22"/>
  <c r="BB63" i="22"/>
  <c r="Y63" i="22"/>
  <c r="AI63" i="22"/>
  <c r="AL63" i="22"/>
  <c r="BF63" i="22"/>
  <c r="BU63" i="22"/>
  <c r="AN63" i="22"/>
  <c r="AT63" i="22"/>
  <c r="BT63" i="22"/>
  <c r="CH63" i="22"/>
  <c r="BP63" i="22"/>
  <c r="BA63" i="22"/>
  <c r="W63" i="22"/>
  <c r="Q63" i="22"/>
  <c r="AC63" i="22"/>
  <c r="BO63" i="22"/>
  <c r="CK63" i="22"/>
  <c r="K18" i="22"/>
  <c r="M18" i="22"/>
  <c r="H137" i="22"/>
  <c r="AO137" i="22"/>
  <c r="BB137" i="22"/>
  <c r="BW137" i="22"/>
  <c r="W98" i="22"/>
  <c r="J98" i="22"/>
  <c r="BK98" i="22"/>
  <c r="Z98" i="22"/>
  <c r="BV98" i="22"/>
  <c r="AB98" i="22"/>
  <c r="BJ98" i="22"/>
  <c r="BU137" i="22"/>
  <c r="Z137" i="22"/>
  <c r="BL63" i="22"/>
  <c r="AM63" i="22"/>
  <c r="CQ85" i="22"/>
  <c r="BA85" i="22"/>
  <c r="L85" i="22"/>
  <c r="Q85" i="22"/>
  <c r="AO85" i="22"/>
  <c r="BX85" i="22"/>
  <c r="S63" i="22"/>
  <c r="BG63" i="22"/>
  <c r="CN63" i="22"/>
  <c r="CK85" i="22"/>
  <c r="U85" i="22"/>
  <c r="BD63" i="22"/>
  <c r="AH63" i="22"/>
  <c r="BN85" i="22"/>
  <c r="S83" i="22"/>
  <c r="U83" i="22"/>
  <c r="J83" i="22"/>
  <c r="AY83" i="22"/>
  <c r="AT137" i="22"/>
  <c r="CA137" i="22"/>
  <c r="BO137" i="22"/>
  <c r="AJ137" i="22"/>
  <c r="BD137" i="22"/>
  <c r="AF137" i="22"/>
  <c r="K137" i="22"/>
  <c r="AP137" i="22"/>
  <c r="BQ137" i="22"/>
  <c r="CO137" i="22"/>
  <c r="CJ137" i="22"/>
  <c r="CG137" i="22"/>
  <c r="I137" i="22"/>
  <c r="BT137" i="22"/>
  <c r="BY137" i="22"/>
  <c r="AY137" i="22"/>
  <c r="CQ137" i="22"/>
  <c r="BL137" i="22"/>
  <c r="AK137" i="22"/>
  <c r="L137" i="22"/>
  <c r="AA137" i="22"/>
  <c r="AS137" i="22"/>
  <c r="BJ137" i="22"/>
  <c r="CI137" i="22"/>
  <c r="BN137" i="22"/>
  <c r="AW137" i="22"/>
  <c r="AC137" i="22"/>
  <c r="P137" i="22"/>
  <c r="M137" i="22"/>
  <c r="T137" i="22"/>
  <c r="CN137" i="22"/>
  <c r="BF137" i="22"/>
  <c r="AN137" i="22"/>
  <c r="BS137" i="22"/>
  <c r="BC137" i="22"/>
  <c r="AD137" i="22"/>
  <c r="F18" i="22"/>
  <c r="F137" i="22"/>
  <c r="AL137" i="22"/>
  <c r="BI137" i="22"/>
  <c r="CP137" i="22"/>
  <c r="AF98" i="22"/>
  <c r="G98" i="22"/>
  <c r="BS98" i="22"/>
  <c r="AN98" i="22"/>
  <c r="BW98" i="22"/>
  <c r="AQ98" i="22"/>
  <c r="BB98" i="22"/>
  <c r="BH137" i="22"/>
  <c r="AS63" i="22"/>
  <c r="BW85" i="22"/>
  <c r="AB85" i="22"/>
  <c r="J85" i="22"/>
  <c r="AU85" i="22"/>
  <c r="CC85" i="22"/>
  <c r="AJ63" i="22"/>
  <c r="AZ63" i="22"/>
  <c r="CB85" i="22"/>
  <c r="Z85" i="22"/>
  <c r="BN63" i="22"/>
  <c r="AT85" i="22"/>
  <c r="AM137" i="22"/>
  <c r="CF137" i="22"/>
  <c r="CA85" i="22"/>
  <c r="CA83" i="22"/>
  <c r="BG61" i="22"/>
  <c r="T61" i="22"/>
  <c r="CN61" i="22"/>
  <c r="M61" i="22"/>
  <c r="CQ83" i="22"/>
  <c r="BS83" i="22"/>
  <c r="BF83" i="22"/>
  <c r="AC83" i="22"/>
  <c r="AM83" i="22"/>
  <c r="L83" i="22"/>
  <c r="I83" i="22"/>
  <c r="AB83" i="22"/>
  <c r="BN83" i="22"/>
  <c r="BY83" i="22"/>
  <c r="P83" i="22"/>
  <c r="AL83" i="22"/>
  <c r="AO83" i="22"/>
  <c r="BH83" i="22"/>
  <c r="CI83" i="22"/>
  <c r="M83" i="22"/>
  <c r="Y83" i="22"/>
  <c r="BO83" i="22"/>
  <c r="CG83" i="22"/>
  <c r="CL83" i="22"/>
  <c r="BV83" i="22"/>
  <c r="BI83" i="22"/>
  <c r="T83" i="22"/>
  <c r="V83" i="22"/>
  <c r="N83" i="22"/>
  <c r="AD83" i="22"/>
  <c r="AK83" i="22"/>
  <c r="AZ83" i="22"/>
  <c r="CP83" i="22"/>
  <c r="AH83" i="22"/>
  <c r="BC83" i="22"/>
  <c r="CD83" i="22"/>
  <c r="CN83" i="22"/>
  <c r="K83" i="22"/>
  <c r="AI83" i="22"/>
  <c r="AS83" i="22"/>
  <c r="BL83" i="22"/>
  <c r="CM83" i="22"/>
  <c r="CC83" i="22"/>
  <c r="BD83" i="22"/>
  <c r="AU83" i="22"/>
  <c r="AN83" i="22"/>
  <c r="O83" i="22"/>
  <c r="Z83" i="22"/>
  <c r="BQ83" i="22"/>
  <c r="BZ83" i="22"/>
  <c r="CJ83" i="22"/>
  <c r="AP83" i="22"/>
  <c r="AX83" i="22"/>
  <c r="BT83" i="22"/>
  <c r="X83" i="22"/>
  <c r="BM83" i="22"/>
  <c r="CK83" i="22"/>
  <c r="AV98" i="22"/>
  <c r="AT98" i="22"/>
  <c r="CP98" i="22"/>
  <c r="BZ98" i="22"/>
  <c r="BI98" i="22"/>
  <c r="AD98" i="22"/>
  <c r="AH98" i="22"/>
  <c r="CG98" i="22"/>
  <c r="BO98" i="22"/>
  <c r="AS98" i="22"/>
  <c r="X98" i="22"/>
  <c r="CM98" i="22"/>
  <c r="BQ98" i="22"/>
  <c r="AP98" i="22"/>
  <c r="CI98" i="22"/>
  <c r="BM98" i="22"/>
  <c r="AL98" i="22"/>
  <c r="Y98" i="22"/>
  <c r="AW98" i="22"/>
  <c r="CK98" i="22"/>
  <c r="BU98" i="22"/>
  <c r="BA98" i="22"/>
  <c r="U98" i="22"/>
  <c r="AA98" i="22"/>
  <c r="BX98" i="22"/>
  <c r="AX98" i="22"/>
  <c r="BL98" i="22"/>
  <c r="AM98" i="22"/>
  <c r="CN98" i="22"/>
  <c r="BC98" i="22"/>
  <c r="K98" i="22"/>
  <c r="CJ98" i="22"/>
  <c r="BP98" i="22"/>
  <c r="CO98" i="22"/>
  <c r="S98" i="22"/>
  <c r="AI98" i="22"/>
  <c r="P18" i="22"/>
  <c r="I18" i="22"/>
  <c r="O18" i="22"/>
  <c r="H18" i="22"/>
  <c r="J18" i="22"/>
  <c r="S137" i="22"/>
  <c r="AQ137" i="22"/>
  <c r="AZ137" i="22"/>
  <c r="BG98" i="22"/>
  <c r="AK98" i="22"/>
  <c r="AO98" i="22"/>
  <c r="BD98" i="22"/>
  <c r="CL98" i="22"/>
  <c r="AU98" i="22"/>
  <c r="CA98" i="22"/>
  <c r="BK137" i="22"/>
  <c r="BM61" i="22"/>
  <c r="CQ63" i="22"/>
  <c r="BQ63" i="22"/>
  <c r="BL85" i="22"/>
  <c r="AM85" i="22"/>
  <c r="S85" i="22"/>
  <c r="BG85" i="22"/>
  <c r="CN85" i="22"/>
  <c r="F63" i="22"/>
  <c r="AO63" i="22"/>
  <c r="BX63" i="22"/>
  <c r="BK85" i="22"/>
  <c r="I85" i="22"/>
  <c r="CP63" i="22"/>
  <c r="AK63" i="22"/>
  <c r="CG85" i="22"/>
  <c r="X85" i="22"/>
  <c r="F85" i="22"/>
  <c r="L18" i="22"/>
  <c r="N15" i="22"/>
  <c r="I15" i="22"/>
  <c r="CB137" i="22"/>
  <c r="BY98" i="22"/>
  <c r="CB83" i="22"/>
  <c r="CO83" i="22"/>
  <c r="AT83" i="22"/>
  <c r="F83" i="22"/>
  <c r="BX83" i="22"/>
  <c r="G15" i="22"/>
  <c r="I12" i="22"/>
  <c r="F15" i="22"/>
  <c r="M15" i="22"/>
  <c r="H12" i="22"/>
  <c r="M14" i="22"/>
  <c r="O12" i="22"/>
  <c r="J15" i="22"/>
  <c r="Q15" i="22"/>
  <c r="K12" i="22"/>
  <c r="K15" i="22"/>
  <c r="J12" i="22"/>
  <c r="CP107" i="22"/>
  <c r="BA107" i="22"/>
  <c r="BG107" i="22"/>
  <c r="F107" i="22"/>
  <c r="W107" i="22"/>
  <c r="BZ107" i="22"/>
  <c r="V107" i="22"/>
  <c r="CB107" i="22"/>
  <c r="AF107" i="22"/>
  <c r="Z107" i="22"/>
  <c r="BN107" i="22"/>
  <c r="AL107" i="22"/>
  <c r="AM107" i="22"/>
  <c r="BI107" i="22"/>
  <c r="AD107" i="22"/>
  <c r="BJ107" i="22"/>
  <c r="AG107" i="22"/>
  <c r="BU107" i="22"/>
  <c r="X107" i="22"/>
  <c r="N50" i="22"/>
  <c r="AA50" i="22" s="1"/>
  <c r="AN50" i="22" s="1"/>
  <c r="BA50" i="22" s="1"/>
  <c r="BN50" i="22" s="1"/>
  <c r="CA50" i="22" s="1"/>
  <c r="CN50" i="22" s="1"/>
  <c r="AT107" i="22"/>
  <c r="BT107" i="22"/>
  <c r="Q107" i="22"/>
  <c r="Y107" i="22"/>
  <c r="AN107" i="22"/>
  <c r="BF107" i="22"/>
  <c r="BS107" i="22"/>
  <c r="CQ107" i="22"/>
  <c r="AU107" i="22"/>
  <c r="AO107" i="22"/>
  <c r="P107" i="22"/>
  <c r="J51" i="22"/>
  <c r="W51" i="22" s="1"/>
  <c r="AJ51" i="22" s="1"/>
  <c r="AW51" i="22" s="1"/>
  <c r="BJ51" i="22" s="1"/>
  <c r="BW51" i="22" s="1"/>
  <c r="CJ51" i="22" s="1"/>
  <c r="H51" i="22"/>
  <c r="U51" i="22" s="1"/>
  <c r="AH51" i="22" s="1"/>
  <c r="AU51" i="22" s="1"/>
  <c r="BH51" i="22" s="1"/>
  <c r="BU51" i="22" s="1"/>
  <c r="CH51" i="22" s="1"/>
  <c r="BC107" i="22"/>
  <c r="AY107" i="22"/>
  <c r="BB107" i="22"/>
  <c r="CD107" i="22"/>
  <c r="Q50" i="22"/>
  <c r="AD50" i="22" s="1"/>
  <c r="AQ50" i="22" s="1"/>
  <c r="BD50" i="22" s="1"/>
  <c r="BQ50" i="22" s="1"/>
  <c r="CD50" i="22" s="1"/>
  <c r="CQ50" i="22" s="1"/>
  <c r="O24" i="22"/>
  <c r="AC24" i="22" s="1"/>
  <c r="AQ24" i="22" s="1"/>
  <c r="BE24" i="22" s="1"/>
  <c r="BS24" i="22" s="1"/>
  <c r="CG24" i="22" s="1"/>
  <c r="CU24" i="22" s="1"/>
  <c r="M24" i="22"/>
  <c r="AA24" i="22" s="1"/>
  <c r="AO24" i="22" s="1"/>
  <c r="BC24" i="22" s="1"/>
  <c r="BQ24" i="22" s="1"/>
  <c r="CE24" i="22" s="1"/>
  <c r="CS24" i="22" s="1"/>
  <c r="J6" i="22"/>
  <c r="BK107" i="22"/>
  <c r="CF107" i="22"/>
  <c r="J107" i="22"/>
  <c r="AQ107" i="22"/>
  <c r="BP107" i="22"/>
  <c r="AX107" i="22"/>
  <c r="BX107" i="22"/>
  <c r="CA107" i="22"/>
  <c r="AJ107" i="22"/>
  <c r="G107" i="22"/>
  <c r="BM107" i="22"/>
  <c r="BL107" i="22"/>
  <c r="BH107" i="22"/>
  <c r="N107" i="22"/>
  <c r="BX111" i="22"/>
  <c r="AV111" i="22"/>
  <c r="H111" i="22"/>
  <c r="CC111" i="22"/>
  <c r="CO111" i="22"/>
  <c r="BZ111" i="22"/>
  <c r="BI111" i="22"/>
  <c r="AM111" i="22"/>
  <c r="S111" i="22"/>
  <c r="CF111" i="22"/>
  <c r="BO111" i="22"/>
  <c r="AW111" i="22"/>
  <c r="AB111" i="22"/>
  <c r="CM111" i="22"/>
  <c r="BQ111" i="22"/>
  <c r="U111" i="22"/>
  <c r="CI111" i="22"/>
  <c r="BM111" i="22"/>
  <c r="X111" i="22"/>
  <c r="O111" i="22"/>
  <c r="BN111" i="22"/>
  <c r="AL111" i="22"/>
  <c r="CM87" i="22"/>
  <c r="BS87" i="22"/>
  <c r="BA87" i="22"/>
  <c r="Y87" i="22"/>
  <c r="AP87" i="22"/>
  <c r="CC65" i="22"/>
  <c r="L65" i="22"/>
  <c r="BO65" i="22"/>
  <c r="BU65" i="22"/>
  <c r="BY65" i="22"/>
  <c r="BD65" i="22"/>
  <c r="P65" i="22"/>
  <c r="CO65" i="22"/>
  <c r="I65" i="22"/>
  <c r="AN59" i="22"/>
  <c r="L59" i="22"/>
  <c r="BP59" i="22"/>
  <c r="G106" i="22"/>
  <c r="X106" i="22"/>
  <c r="CK84" i="22"/>
  <c r="CM84" i="22"/>
  <c r="AM84" i="22"/>
  <c r="BI84" i="22"/>
  <c r="Y103" i="22"/>
  <c r="BL103" i="22"/>
  <c r="BD103" i="22"/>
  <c r="AA103" i="22"/>
  <c r="V103" i="22"/>
  <c r="AQ134" i="22"/>
  <c r="BD134" i="22"/>
  <c r="BX109" i="22"/>
  <c r="BF109" i="22"/>
  <c r="M26" i="22"/>
  <c r="AA26" i="22" s="1"/>
  <c r="AO26" i="22" s="1"/>
  <c r="BC26" i="22" s="1"/>
  <c r="BQ26" i="22" s="1"/>
  <c r="CE26" i="22" s="1"/>
  <c r="CS26" i="22" s="1"/>
  <c r="P26" i="22"/>
  <c r="AD26" i="22" s="1"/>
  <c r="AR26" i="22" s="1"/>
  <c r="BF26" i="22" s="1"/>
  <c r="BT26" i="22" s="1"/>
  <c r="CH26" i="22" s="1"/>
  <c r="CV26" i="22" s="1"/>
  <c r="H26" i="22"/>
  <c r="V26" i="22" s="1"/>
  <c r="AJ26" i="22" s="1"/>
  <c r="AX26" i="22" s="1"/>
  <c r="BL26" i="22" s="1"/>
  <c r="BZ26" i="22" s="1"/>
  <c r="CN26" i="22" s="1"/>
  <c r="M107" i="22"/>
  <c r="O50" i="22"/>
  <c r="AB50" i="22" s="1"/>
  <c r="AO50" i="22" s="1"/>
  <c r="BB50" i="22" s="1"/>
  <c r="BO50" i="22" s="1"/>
  <c r="CB50" i="22" s="1"/>
  <c r="CO50" i="22" s="1"/>
  <c r="AZ107" i="22"/>
  <c r="CC107" i="22"/>
  <c r="CH107" i="22"/>
  <c r="K107" i="22"/>
  <c r="AB107" i="22"/>
  <c r="AW107" i="22"/>
  <c r="BO107" i="22"/>
  <c r="CG107" i="22"/>
  <c r="BY107" i="22"/>
  <c r="AA107" i="22"/>
  <c r="S107" i="22"/>
  <c r="CI107" i="22"/>
  <c r="CN107" i="22"/>
  <c r="I107" i="22"/>
  <c r="CK107" i="22"/>
  <c r="AS107" i="22"/>
  <c r="M86" i="22"/>
  <c r="U86" i="22"/>
  <c r="N131" i="22"/>
  <c r="Z131" i="22"/>
  <c r="BQ131" i="22"/>
  <c r="BH131" i="22"/>
  <c r="X68" i="22"/>
  <c r="BD68" i="22"/>
  <c r="CC68" i="22"/>
  <c r="BG68" i="22"/>
  <c r="Y68" i="22"/>
  <c r="L68" i="22"/>
  <c r="AC68" i="22"/>
  <c r="BL68" i="22"/>
  <c r="BD60" i="22"/>
  <c r="AK60" i="22"/>
  <c r="AP60" i="22"/>
  <c r="AB100" i="22"/>
  <c r="AX100" i="22"/>
  <c r="CJ100" i="22"/>
  <c r="Z127" i="22"/>
  <c r="CP127" i="22"/>
  <c r="BZ127" i="22"/>
  <c r="BI127" i="22"/>
  <c r="AQ127" i="22"/>
  <c r="AK127" i="22"/>
  <c r="Q127" i="22"/>
  <c r="BW127" i="22"/>
  <c r="AV127" i="22"/>
  <c r="BA127" i="22"/>
  <c r="AG127" i="22"/>
  <c r="CH127" i="22"/>
  <c r="BD141" i="22"/>
  <c r="AB141" i="22"/>
  <c r="BF141" i="22"/>
  <c r="CD141" i="22"/>
  <c r="Q14" i="22"/>
  <c r="N14" i="22"/>
  <c r="L107" i="22"/>
  <c r="H107" i="22"/>
  <c r="G127" i="17"/>
  <c r="G130" i="17" s="1"/>
  <c r="O107" i="22"/>
  <c r="G50" i="22"/>
  <c r="T50" i="22" s="1"/>
  <c r="AG50" i="22" s="1"/>
  <c r="AT50" i="22" s="1"/>
  <c r="BG50" i="22" s="1"/>
  <c r="BT50" i="22" s="1"/>
  <c r="CG50" i="22" s="1"/>
  <c r="I50" i="22"/>
  <c r="V50" i="22" s="1"/>
  <c r="AI50" i="22" s="1"/>
  <c r="AV50" i="22" s="1"/>
  <c r="BI50" i="22" s="1"/>
  <c r="BV50" i="22" s="1"/>
  <c r="CI50" i="22" s="1"/>
  <c r="J20" i="22"/>
  <c r="X20" i="22" s="1"/>
  <c r="AL20" i="22" s="1"/>
  <c r="AZ20" i="22" s="1"/>
  <c r="BN20" i="22" s="1"/>
  <c r="CB20" i="22" s="1"/>
  <c r="CP20" i="22" s="1"/>
  <c r="N24" i="22"/>
  <c r="AB24" i="22" s="1"/>
  <c r="AP24" i="22" s="1"/>
  <c r="BD24" i="22" s="1"/>
  <c r="BR24" i="22" s="1"/>
  <c r="CF24" i="22" s="1"/>
  <c r="CT24" i="22" s="1"/>
  <c r="O20" i="22"/>
  <c r="AC20" i="22" s="1"/>
  <c r="AQ20" i="22" s="1"/>
  <c r="BE20" i="22" s="1"/>
  <c r="BS20" i="22" s="1"/>
  <c r="CG20" i="22" s="1"/>
  <c r="CU20" i="22" s="1"/>
  <c r="L51" i="22"/>
  <c r="Y51" i="22" s="1"/>
  <c r="AL51" i="22" s="1"/>
  <c r="AY51" i="22" s="1"/>
  <c r="BL51" i="22" s="1"/>
  <c r="BY51" i="22" s="1"/>
  <c r="CL51" i="22" s="1"/>
  <c r="E276" i="30"/>
  <c r="AH65" i="21"/>
  <c r="AH130" i="15" s="1"/>
  <c r="F50" i="22"/>
  <c r="S50" i="22" s="1"/>
  <c r="G20" i="22"/>
  <c r="U20" i="22" s="1"/>
  <c r="O51" i="22"/>
  <c r="AB51" i="22" s="1"/>
  <c r="AO51" i="22" s="1"/>
  <c r="BB51" i="22" s="1"/>
  <c r="BO51" i="22" s="1"/>
  <c r="CB51" i="22" s="1"/>
  <c r="CO51" i="22" s="1"/>
  <c r="AW46" i="21"/>
  <c r="BJ46" i="21" s="1"/>
  <c r="C247" i="30"/>
  <c r="AO72" i="15"/>
  <c r="AI36" i="15"/>
  <c r="K16" i="22"/>
  <c r="K25" i="22"/>
  <c r="Y25" i="22" s="1"/>
  <c r="AM25" i="22" s="1"/>
  <c r="BA25" i="22" s="1"/>
  <c r="BO25" i="22" s="1"/>
  <c r="CC25" i="22" s="1"/>
  <c r="CQ25" i="22" s="1"/>
  <c r="BG109" i="22"/>
  <c r="AM109" i="22"/>
  <c r="CI109" i="22"/>
  <c r="CA109" i="22"/>
  <c r="U106" i="22"/>
  <c r="CP106" i="22"/>
  <c r="AJ100" i="22"/>
  <c r="CD100" i="22"/>
  <c r="AH100" i="22"/>
  <c r="BD100" i="22"/>
  <c r="CL100" i="22"/>
  <c r="BI134" i="22"/>
  <c r="AF61" i="22"/>
  <c r="AZ61" i="22"/>
  <c r="CO60" i="22"/>
  <c r="S60" i="22"/>
  <c r="AC67" i="22"/>
  <c r="N67" i="22"/>
  <c r="Q51" i="22"/>
  <c r="AD51" i="22" s="1"/>
  <c r="AQ51" i="22" s="1"/>
  <c r="BD51" i="22" s="1"/>
  <c r="BQ51" i="22" s="1"/>
  <c r="CD51" i="22" s="1"/>
  <c r="CQ51" i="22" s="1"/>
  <c r="N51" i="22"/>
  <c r="AA51" i="22" s="1"/>
  <c r="AN51" i="22" s="1"/>
  <c r="BA51" i="22" s="1"/>
  <c r="BN51" i="22" s="1"/>
  <c r="CA51" i="22" s="1"/>
  <c r="CN51" i="22" s="1"/>
  <c r="Q60" i="22"/>
  <c r="BB60" i="22"/>
  <c r="CB67" i="22"/>
  <c r="AI67" i="22"/>
  <c r="AT60" i="22"/>
  <c r="BZ67" i="22"/>
  <c r="P67" i="22"/>
  <c r="BB67" i="22"/>
  <c r="CH106" i="22"/>
  <c r="X100" i="22"/>
  <c r="AY86" i="22"/>
  <c r="G59" i="22"/>
  <c r="AC86" i="22"/>
  <c r="E341" i="30"/>
  <c r="F341" i="30" s="1"/>
  <c r="G16" i="22"/>
  <c r="I16" i="22"/>
  <c r="O25" i="22"/>
  <c r="AC25" i="22" s="1"/>
  <c r="AQ25" i="22" s="1"/>
  <c r="BE25" i="22" s="1"/>
  <c r="BS25" i="22" s="1"/>
  <c r="CG25" i="22" s="1"/>
  <c r="CU25" i="22" s="1"/>
  <c r="CD109" i="22"/>
  <c r="U109" i="22"/>
  <c r="CO109" i="22"/>
  <c r="CF109" i="22"/>
  <c r="AS106" i="22"/>
  <c r="AW100" i="22"/>
  <c r="BT100" i="22"/>
  <c r="T100" i="22"/>
  <c r="BF100" i="22"/>
  <c r="CQ100" i="22"/>
  <c r="AI134" i="22"/>
  <c r="BZ134" i="22"/>
  <c r="AP61" i="22"/>
  <c r="BP61" i="22"/>
  <c r="BW60" i="22"/>
  <c r="AP67" i="22"/>
  <c r="F67" i="22"/>
  <c r="M51" i="22"/>
  <c r="Z51" i="22" s="1"/>
  <c r="AM51" i="22" s="1"/>
  <c r="AZ51" i="22" s="1"/>
  <c r="BM51" i="22" s="1"/>
  <c r="BZ51" i="22" s="1"/>
  <c r="CM51" i="22" s="1"/>
  <c r="F60" i="22"/>
  <c r="BG60" i="22"/>
  <c r="CD67" i="22"/>
  <c r="BC60" i="22"/>
  <c r="BN67" i="22"/>
  <c r="H67" i="22"/>
  <c r="BG67" i="22"/>
  <c r="H84" i="17"/>
  <c r="H87" i="17" s="1"/>
  <c r="BE83" i="21"/>
  <c r="BE184" i="15" s="1"/>
  <c r="BT106" i="22"/>
  <c r="CF59" i="22"/>
  <c r="AP86" i="22"/>
  <c r="S59" i="22"/>
  <c r="H341" i="30"/>
  <c r="N44" i="22"/>
  <c r="AA44" i="22" s="1"/>
  <c r="AN44" i="22" s="1"/>
  <c r="BA44" i="22" s="1"/>
  <c r="BN44" i="22" s="1"/>
  <c r="CA44" i="22" s="1"/>
  <c r="CN44" i="22" s="1"/>
  <c r="M109" i="22"/>
  <c r="AN109" i="22"/>
  <c r="S109" i="22"/>
  <c r="BM106" i="22"/>
  <c r="CG106" i="22"/>
  <c r="AK100" i="22"/>
  <c r="AZ100" i="22"/>
  <c r="CH100" i="22"/>
  <c r="AO100" i="22"/>
  <c r="BO100" i="22"/>
  <c r="O134" i="22"/>
  <c r="AK134" i="22"/>
  <c r="Y61" i="22"/>
  <c r="BY61" i="22"/>
  <c r="BO60" i="22"/>
  <c r="CO67" i="22"/>
  <c r="G51" i="22"/>
  <c r="T51" i="22" s="1"/>
  <c r="AG51" i="22" s="1"/>
  <c r="AT51" i="22" s="1"/>
  <c r="BG51" i="22" s="1"/>
  <c r="BT51" i="22" s="1"/>
  <c r="CG51" i="22" s="1"/>
  <c r="AB60" i="22"/>
  <c r="BS60" i="22"/>
  <c r="AX67" i="22"/>
  <c r="AH60" i="22"/>
  <c r="BI67" i="22"/>
  <c r="G67" i="22"/>
  <c r="T67" i="22"/>
  <c r="BS67" i="22"/>
  <c r="AS15" i="15"/>
  <c r="AG15" i="15"/>
  <c r="CJ59" i="22"/>
  <c r="BQ59" i="22"/>
  <c r="M59" i="22"/>
  <c r="BD59" i="22"/>
  <c r="C341" i="30"/>
  <c r="Q9" i="22"/>
  <c r="L25" i="22"/>
  <c r="Z25" i="22" s="1"/>
  <c r="AN25" i="22" s="1"/>
  <c r="BB25" i="22" s="1"/>
  <c r="BP25" i="22" s="1"/>
  <c r="CD25" i="22" s="1"/>
  <c r="CR25" i="22" s="1"/>
  <c r="T109" i="22"/>
  <c r="BD109" i="22"/>
  <c r="AS109" i="22"/>
  <c r="CI106" i="22"/>
  <c r="S106" i="22"/>
  <c r="W100" i="22"/>
  <c r="BQ100" i="22"/>
  <c r="CM100" i="22"/>
  <c r="Z100" i="22"/>
  <c r="CN100" i="22"/>
  <c r="AM134" i="22"/>
  <c r="AY134" i="22"/>
  <c r="L61" i="22"/>
  <c r="AO61" i="22"/>
  <c r="CH61" i="22"/>
  <c r="AY60" i="22"/>
  <c r="BW67" i="22"/>
  <c r="K51" i="22"/>
  <c r="X51" i="22" s="1"/>
  <c r="AK51" i="22" s="1"/>
  <c r="AX51" i="22" s="1"/>
  <c r="BK51" i="22" s="1"/>
  <c r="BX51" i="22" s="1"/>
  <c r="CK51" i="22" s="1"/>
  <c r="Z60" i="22"/>
  <c r="BX60" i="22"/>
  <c r="BQ67" i="22"/>
  <c r="CP60" i="22"/>
  <c r="AQ60" i="22"/>
  <c r="X67" i="22"/>
  <c r="J67" i="22"/>
  <c r="AN67" i="22"/>
  <c r="BX67" i="22"/>
  <c r="AM64" i="21"/>
  <c r="AM127" i="15" s="1"/>
  <c r="AT22" i="21"/>
  <c r="BG22" i="21" s="1"/>
  <c r="AO60" i="21"/>
  <c r="AO115" i="15" s="1"/>
  <c r="BZ59" i="22"/>
  <c r="O86" i="22"/>
  <c r="CI86" i="22"/>
  <c r="T59" i="22"/>
  <c r="CC59" i="22"/>
  <c r="D303" i="30"/>
  <c r="F16" i="22"/>
  <c r="AL109" i="22"/>
  <c r="BK109" i="22"/>
  <c r="BV109" i="22"/>
  <c r="BJ109" i="22"/>
  <c r="BQ106" i="22"/>
  <c r="BI106" i="22"/>
  <c r="AG100" i="22"/>
  <c r="BK100" i="22"/>
  <c r="O100" i="22"/>
  <c r="AY100" i="22"/>
  <c r="BX100" i="22"/>
  <c r="X134" i="22"/>
  <c r="CK134" i="22"/>
  <c r="AT109" i="22"/>
  <c r="I61" i="22"/>
  <c r="AS61" i="22"/>
  <c r="AC60" i="22"/>
  <c r="BF67" i="22"/>
  <c r="I51" i="22"/>
  <c r="V51" i="22" s="1"/>
  <c r="AI51" i="22" s="1"/>
  <c r="AV51" i="22" s="1"/>
  <c r="BI51" i="22" s="1"/>
  <c r="BV51" i="22" s="1"/>
  <c r="CI51" i="22" s="1"/>
  <c r="F51" i="22"/>
  <c r="S51" i="22" s="1"/>
  <c r="AO60" i="22"/>
  <c r="CM60" i="22"/>
  <c r="AH67" i="22"/>
  <c r="M67" i="22"/>
  <c r="BZ60" i="22"/>
  <c r="CC67" i="22"/>
  <c r="W67" i="22"/>
  <c r="AO67" i="22"/>
  <c r="CM67" i="22"/>
  <c r="AT38" i="21"/>
  <c r="BG38" i="21" s="1"/>
  <c r="AY57" i="21"/>
  <c r="AY106" i="15" s="1"/>
  <c r="BB24" i="21"/>
  <c r="BO24" i="21" s="1"/>
  <c r="AL33" i="15"/>
  <c r="W109" i="22"/>
  <c r="AF100" i="22"/>
  <c r="BG134" i="22"/>
  <c r="AB59" i="22"/>
  <c r="AS59" i="22"/>
  <c r="P59" i="22"/>
  <c r="J16" i="22"/>
  <c r="CO86" i="20"/>
  <c r="AF109" i="22"/>
  <c r="BS109" i="22"/>
  <c r="BW109" i="22"/>
  <c r="BB109" i="22"/>
  <c r="CM106" i="22"/>
  <c r="BV106" i="22"/>
  <c r="V100" i="22"/>
  <c r="CC100" i="22"/>
  <c r="N100" i="22"/>
  <c r="BA100" i="22"/>
  <c r="CG100" i="22"/>
  <c r="AM61" i="22"/>
  <c r="CQ60" i="22"/>
  <c r="AJ60" i="22"/>
  <c r="AS67" i="22"/>
  <c r="P51" i="22"/>
  <c r="AC51" i="22" s="1"/>
  <c r="AP51" i="22" s="1"/>
  <c r="BC51" i="22" s="1"/>
  <c r="BP51" i="22" s="1"/>
  <c r="CC51" i="22" s="1"/>
  <c r="CP51" i="22" s="1"/>
  <c r="AU60" i="22"/>
  <c r="CN60" i="22"/>
  <c r="CI67" i="22"/>
  <c r="AB67" i="22"/>
  <c r="BT67" i="22"/>
  <c r="AY67" i="22"/>
  <c r="AV86" i="22"/>
  <c r="AJ82" i="21"/>
  <c r="AJ181" i="15" s="1"/>
  <c r="AX46" i="21"/>
  <c r="BK46" i="21" s="1"/>
  <c r="CM61" i="22"/>
  <c r="BS61" i="22"/>
  <c r="BB61" i="22"/>
  <c r="D231" i="30"/>
  <c r="H231" i="30"/>
  <c r="E231" i="30"/>
  <c r="I231" i="30"/>
  <c r="D314" i="30"/>
  <c r="C314" i="30"/>
  <c r="I362" i="30"/>
  <c r="H362" i="30"/>
  <c r="AN57" i="21"/>
  <c r="AN106" i="15" s="1"/>
  <c r="AO12" i="15"/>
  <c r="AO57" i="21"/>
  <c r="AO106" i="15" s="1"/>
  <c r="AU67" i="22"/>
  <c r="Z67" i="22"/>
  <c r="CH67" i="22"/>
  <c r="BP67" i="22"/>
  <c r="BA67" i="22"/>
  <c r="S67" i="22"/>
  <c r="Q67" i="22"/>
  <c r="AL67" i="22"/>
  <c r="AK67" i="22"/>
  <c r="BD67" i="22"/>
  <c r="CP67" i="22"/>
  <c r="L67" i="22"/>
  <c r="U67" i="22"/>
  <c r="BK67" i="22"/>
  <c r="CG67" i="22"/>
  <c r="AQ67" i="22"/>
  <c r="AW67" i="22"/>
  <c r="BL67" i="22"/>
  <c r="CQ67" i="22"/>
  <c r="D252" i="30"/>
  <c r="I252" i="30"/>
  <c r="E325" i="30"/>
  <c r="H325" i="30"/>
  <c r="BV86" i="22"/>
  <c r="T86" i="22"/>
  <c r="AK86" i="22"/>
  <c r="CP86" i="22"/>
  <c r="I86" i="22"/>
  <c r="BG86" i="22"/>
  <c r="AM86" i="22"/>
  <c r="BL86" i="22"/>
  <c r="CQ86" i="22"/>
  <c r="BF86" i="22"/>
  <c r="AQ86" i="22"/>
  <c r="H86" i="22"/>
  <c r="BM86" i="22"/>
  <c r="CJ86" i="22"/>
  <c r="AI86" i="22"/>
  <c r="BH86" i="22"/>
  <c r="Y86" i="22"/>
  <c r="CO86" i="22"/>
  <c r="CL86" i="22"/>
  <c r="AZ86" i="22"/>
  <c r="Z86" i="22"/>
  <c r="I131" i="22"/>
  <c r="BL131" i="22"/>
  <c r="AY131" i="22"/>
  <c r="AA131" i="22"/>
  <c r="CQ131" i="22"/>
  <c r="CM131" i="22"/>
  <c r="AD68" i="22"/>
  <c r="AT68" i="22"/>
  <c r="BT68" i="22"/>
  <c r="CH68" i="22"/>
  <c r="BP68" i="22"/>
  <c r="AW68" i="22"/>
  <c r="AA68" i="22"/>
  <c r="N68" i="22"/>
  <c r="S68" i="22"/>
  <c r="BF68" i="22"/>
  <c r="BU68" i="22"/>
  <c r="X60" i="22"/>
  <c r="BN60" i="22"/>
  <c r="CG60" i="22"/>
  <c r="CH60" i="22"/>
  <c r="BP60" i="22"/>
  <c r="AW60" i="22"/>
  <c r="AM60" i="22"/>
  <c r="O60" i="22"/>
  <c r="AI60" i="22"/>
  <c r="BF60" i="22"/>
  <c r="BU60" i="22"/>
  <c r="BU100" i="22"/>
  <c r="CF100" i="22"/>
  <c r="BJ100" i="22"/>
  <c r="BZ100" i="22"/>
  <c r="BG127" i="22"/>
  <c r="BF127" i="22"/>
  <c r="BK127" i="22"/>
  <c r="BL127" i="22"/>
  <c r="CF141" i="22"/>
  <c r="BM141" i="22"/>
  <c r="I141" i="22"/>
  <c r="AI141" i="22"/>
  <c r="G14" i="22"/>
  <c r="L14" i="22"/>
  <c r="P14" i="22"/>
  <c r="J14" i="22"/>
  <c r="F14" i="22"/>
  <c r="I44" i="22"/>
  <c r="V44" i="22" s="1"/>
  <c r="AI44" i="22" s="1"/>
  <c r="AV44" i="22" s="1"/>
  <c r="BI44" i="22" s="1"/>
  <c r="BV44" i="22" s="1"/>
  <c r="CI44" i="22" s="1"/>
  <c r="H41" i="22"/>
  <c r="U41" i="22" s="1"/>
  <c r="AH41" i="22" s="1"/>
  <c r="AU41" i="22" s="1"/>
  <c r="BH41" i="22" s="1"/>
  <c r="BU41" i="22" s="1"/>
  <c r="CH41" i="22" s="1"/>
  <c r="N41" i="22"/>
  <c r="AA41" i="22" s="1"/>
  <c r="AN41" i="22" s="1"/>
  <c r="BA41" i="22" s="1"/>
  <c r="BN41" i="22" s="1"/>
  <c r="CA41" i="22" s="1"/>
  <c r="CN41" i="22" s="1"/>
  <c r="H21" i="22"/>
  <c r="V21" i="22" s="1"/>
  <c r="AJ21" i="22" s="1"/>
  <c r="AX21" i="22" s="1"/>
  <c r="BL21" i="22" s="1"/>
  <c r="BZ21" i="22" s="1"/>
  <c r="CN21" i="22" s="1"/>
  <c r="AE63" i="21"/>
  <c r="AE124" i="15" s="1"/>
  <c r="AF30" i="15"/>
  <c r="AM75" i="21"/>
  <c r="AM160" i="15" s="1"/>
  <c r="BA39" i="21"/>
  <c r="BN39" i="21" s="1"/>
  <c r="AZ25" i="21"/>
  <c r="BM25" i="21" s="1"/>
  <c r="AL61" i="21"/>
  <c r="AL118" i="15" s="1"/>
  <c r="CM86" i="22"/>
  <c r="CK86" i="22"/>
  <c r="AH86" i="22"/>
  <c r="BW86" i="22"/>
  <c r="Q41" i="22"/>
  <c r="AD41" i="22" s="1"/>
  <c r="AQ41" i="22" s="1"/>
  <c r="BD41" i="22" s="1"/>
  <c r="BQ41" i="22" s="1"/>
  <c r="CD41" i="22" s="1"/>
  <c r="CQ41" i="22" s="1"/>
  <c r="G6" i="22"/>
  <c r="AE77" i="21"/>
  <c r="AE166" i="15" s="1"/>
  <c r="AF72" i="15"/>
  <c r="AR29" i="21"/>
  <c r="AR36" i="15" s="1"/>
  <c r="AE36" i="15"/>
  <c r="CN131" i="22"/>
  <c r="AU100" i="22"/>
  <c r="U127" i="22"/>
  <c r="CM127" i="22"/>
  <c r="BO86" i="22"/>
  <c r="AO86" i="22"/>
  <c r="BZ86" i="22"/>
  <c r="H292" i="30"/>
  <c r="C88" i="30"/>
  <c r="E88" i="30"/>
  <c r="I292" i="30"/>
  <c r="H247" i="30"/>
  <c r="D276" i="30"/>
  <c r="C276" i="30"/>
  <c r="D88" i="30"/>
  <c r="C292" i="30"/>
  <c r="AN69" i="21"/>
  <c r="AN142" i="15" s="1"/>
  <c r="AE24" i="15"/>
  <c r="AQ24" i="21"/>
  <c r="BD24" i="21" s="1"/>
  <c r="AV36" i="21"/>
  <c r="BI36" i="21" s="1"/>
  <c r="F208" i="30"/>
  <c r="J208" i="30" s="1"/>
  <c r="L8" i="22"/>
  <c r="H373" i="30"/>
  <c r="D373" i="30"/>
  <c r="F373" i="30" s="1"/>
  <c r="G373" i="30" s="1"/>
  <c r="AT39" i="21"/>
  <c r="BG39" i="21" s="1"/>
  <c r="F57" i="30"/>
  <c r="AO77" i="21"/>
  <c r="AO166" i="15" s="1"/>
  <c r="I8" i="22"/>
  <c r="H81" i="17"/>
  <c r="H38" i="17"/>
  <c r="B35" i="13" s="1"/>
  <c r="BB41" i="21"/>
  <c r="BB72" i="15" s="1"/>
  <c r="J220" i="30"/>
  <c r="G220" i="30"/>
  <c r="AZ29" i="21"/>
  <c r="AL65" i="21"/>
  <c r="AL130" i="15" s="1"/>
  <c r="CK65" i="22"/>
  <c r="BG65" i="22"/>
  <c r="U65" i="22"/>
  <c r="BT65" i="22"/>
  <c r="AX65" i="22"/>
  <c r="AH65" i="22"/>
  <c r="CI65" i="22"/>
  <c r="AO65" i="22"/>
  <c r="N65" i="22"/>
  <c r="BH65" i="22"/>
  <c r="CN65" i="22"/>
  <c r="AU65" i="22"/>
  <c r="CD65" i="22"/>
  <c r="W65" i="22"/>
  <c r="F65" i="22"/>
  <c r="AI65" i="22"/>
  <c r="CN59" i="22"/>
  <c r="CD59" i="22"/>
  <c r="AU59" i="22"/>
  <c r="AF59" i="22"/>
  <c r="CI59" i="22"/>
  <c r="BH59" i="22"/>
  <c r="AO59" i="22"/>
  <c r="AH59" i="22"/>
  <c r="I59" i="22"/>
  <c r="BT59" i="22"/>
  <c r="AA59" i="22"/>
  <c r="H59" i="22"/>
  <c r="CG59" i="22"/>
  <c r="U59" i="22"/>
  <c r="BG59" i="22"/>
  <c r="AX59" i="22"/>
  <c r="CO106" i="22"/>
  <c r="BN106" i="22"/>
  <c r="O106" i="22"/>
  <c r="K106" i="22"/>
  <c r="AZ106" i="22"/>
  <c r="CA106" i="22"/>
  <c r="Z106" i="22"/>
  <c r="M106" i="22"/>
  <c r="F106" i="22"/>
  <c r="I106" i="22"/>
  <c r="AG106" i="22"/>
  <c r="P106" i="22"/>
  <c r="CQ84" i="22"/>
  <c r="CI84" i="22"/>
  <c r="BX84" i="22"/>
  <c r="BH84" i="22"/>
  <c r="AX84" i="22"/>
  <c r="BC84" i="22"/>
  <c r="V84" i="22"/>
  <c r="AI84" i="22"/>
  <c r="CL84" i="22"/>
  <c r="CA84" i="22"/>
  <c r="AV84" i="22"/>
  <c r="BM84" i="22"/>
  <c r="AG84" i="22"/>
  <c r="AF84" i="22"/>
  <c r="Z84" i="22"/>
  <c r="F84" i="22"/>
  <c r="I84" i="22"/>
  <c r="BU84" i="22"/>
  <c r="BJ84" i="22"/>
  <c r="T84" i="22"/>
  <c r="G84" i="22"/>
  <c r="J84" i="22"/>
  <c r="BV84" i="22"/>
  <c r="P84" i="22"/>
  <c r="H84" i="22"/>
  <c r="CG84" i="22"/>
  <c r="BK84" i="22"/>
  <c r="U84" i="22"/>
  <c r="O84" i="22"/>
  <c r="CD84" i="22"/>
  <c r="AU84" i="22"/>
  <c r="W84" i="22"/>
  <c r="M84" i="22"/>
  <c r="CF84" i="22"/>
  <c r="AW84" i="22"/>
  <c r="AD84" i="22"/>
  <c r="K84" i="22"/>
  <c r="AT103" i="22"/>
  <c r="AC103" i="22"/>
  <c r="F103" i="22"/>
  <c r="J103" i="22"/>
  <c r="AV103" i="22"/>
  <c r="CO103" i="22"/>
  <c r="BA103" i="22"/>
  <c r="BY103" i="22"/>
  <c r="N103" i="22"/>
  <c r="I103" i="22"/>
  <c r="AB103" i="22"/>
  <c r="K103" i="22"/>
  <c r="M103" i="22"/>
  <c r="Q103" i="22"/>
  <c r="AG103" i="22"/>
  <c r="G103" i="22"/>
  <c r="BT103" i="22"/>
  <c r="H103" i="22"/>
  <c r="CQ134" i="22"/>
  <c r="AT134" i="22"/>
  <c r="AF134" i="22"/>
  <c r="N134" i="22"/>
  <c r="I134" i="22"/>
  <c r="AW134" i="22"/>
  <c r="BW134" i="22"/>
  <c r="AJ134" i="22"/>
  <c r="AV134" i="22"/>
  <c r="M134" i="22"/>
  <c r="G134" i="22"/>
  <c r="AO134" i="22"/>
  <c r="P134" i="22"/>
  <c r="L134" i="22"/>
  <c r="BX134" i="22"/>
  <c r="H134" i="22"/>
  <c r="Q134" i="22"/>
  <c r="F134" i="22"/>
  <c r="AV109" i="22"/>
  <c r="BY109" i="22"/>
  <c r="F109" i="22"/>
  <c r="CM109" i="22"/>
  <c r="AH109" i="22"/>
  <c r="CC109" i="22"/>
  <c r="H109" i="22"/>
  <c r="BA109" i="22"/>
  <c r="J109" i="22"/>
  <c r="AC109" i="22"/>
  <c r="P109" i="22"/>
  <c r="K109" i="22"/>
  <c r="CH123" i="22"/>
  <c r="CQ123" i="22"/>
  <c r="CG123" i="22"/>
  <c r="BS123" i="22"/>
  <c r="CC123" i="22"/>
  <c r="BX123" i="22"/>
  <c r="BF123" i="22"/>
  <c r="BQ123" i="22"/>
  <c r="BL123" i="22"/>
  <c r="AT123" i="22"/>
  <c r="BC123" i="22"/>
  <c r="AS123" i="22"/>
  <c r="AI123" i="22"/>
  <c r="Y123" i="22"/>
  <c r="AF123" i="22"/>
  <c r="AB123" i="22"/>
  <c r="W123" i="22"/>
  <c r="AG123" i="22"/>
  <c r="K123" i="22"/>
  <c r="F123" i="22"/>
  <c r="J123" i="22"/>
  <c r="CL123" i="22"/>
  <c r="CM123" i="22"/>
  <c r="CA123" i="22"/>
  <c r="BV123" i="22"/>
  <c r="BT123" i="22"/>
  <c r="AZ123" i="22"/>
  <c r="BP123" i="22"/>
  <c r="BG123" i="22"/>
  <c r="BO123" i="22"/>
  <c r="AM123" i="22"/>
  <c r="U123" i="22"/>
  <c r="AN123" i="22"/>
  <c r="AA123" i="22"/>
  <c r="Z123" i="22"/>
  <c r="CJ123" i="22"/>
  <c r="CO123" i="22"/>
  <c r="BY123" i="22"/>
  <c r="BJ123" i="22"/>
  <c r="BI123" i="22"/>
  <c r="AW123" i="22"/>
  <c r="AY123" i="22"/>
  <c r="AC123" i="22"/>
  <c r="AH123" i="22"/>
  <c r="V123" i="22"/>
  <c r="O123" i="22"/>
  <c r="L123" i="22"/>
  <c r="CF123" i="22"/>
  <c r="BW123" i="22"/>
  <c r="BU123" i="22"/>
  <c r="BD123" i="22"/>
  <c r="BH123" i="22"/>
  <c r="BK123" i="22"/>
  <c r="AQ123" i="22"/>
  <c r="S123" i="22"/>
  <c r="X123" i="22"/>
  <c r="AL123" i="22"/>
  <c r="Q123" i="22"/>
  <c r="M123" i="22"/>
  <c r="I123" i="22"/>
  <c r="CK123" i="22"/>
  <c r="BN123" i="22"/>
  <c r="AX123" i="22"/>
  <c r="AJ123" i="22"/>
  <c r="AK123" i="22"/>
  <c r="H123" i="22"/>
  <c r="CI123" i="22"/>
  <c r="BB123" i="22"/>
  <c r="T123" i="22"/>
  <c r="CP123" i="22"/>
  <c r="CD123" i="22"/>
  <c r="AV123" i="22"/>
  <c r="AU123" i="22"/>
  <c r="AP123" i="22"/>
  <c r="P123" i="22"/>
  <c r="CN123" i="22"/>
  <c r="BZ123" i="22"/>
  <c r="BM123" i="22"/>
  <c r="BA123" i="22"/>
  <c r="AD123" i="22"/>
  <c r="N123" i="22"/>
  <c r="CB123" i="22"/>
  <c r="AO123" i="22"/>
  <c r="G123" i="22"/>
  <c r="CO113" i="22"/>
  <c r="CJ113" i="22"/>
  <c r="CH113" i="22"/>
  <c r="CA113" i="22"/>
  <c r="BZ113" i="22"/>
  <c r="BU113" i="22"/>
  <c r="BB113" i="22"/>
  <c r="BJ113" i="22"/>
  <c r="BI113" i="22"/>
  <c r="BP113" i="22"/>
  <c r="AU113" i="22"/>
  <c r="AY113" i="22"/>
  <c r="AP113" i="22"/>
  <c r="V113" i="22"/>
  <c r="AI113" i="22"/>
  <c r="X113" i="22"/>
  <c r="S113" i="22"/>
  <c r="AA113" i="22"/>
  <c r="H113" i="22"/>
  <c r="M113" i="22"/>
  <c r="J113" i="22"/>
  <c r="CM113" i="22"/>
  <c r="CN113" i="22"/>
  <c r="CB113" i="22"/>
  <c r="BS113" i="22"/>
  <c r="BY113" i="22"/>
  <c r="AX113" i="22"/>
  <c r="BQ113" i="22"/>
  <c r="AV113" i="22"/>
  <c r="BH113" i="22"/>
  <c r="AJ113" i="22"/>
  <c r="Z113" i="22"/>
  <c r="AC113" i="22"/>
  <c r="AQ113" i="22"/>
  <c r="W113" i="22"/>
  <c r="CI113" i="22"/>
  <c r="CF113" i="22"/>
  <c r="BX113" i="22"/>
  <c r="CD113" i="22"/>
  <c r="BO113" i="22"/>
  <c r="AT113" i="22"/>
  <c r="BM113" i="22"/>
  <c r="AW113" i="22"/>
  <c r="BA113" i="22"/>
  <c r="AF113" i="22"/>
  <c r="AB113" i="22"/>
  <c r="Y113" i="22"/>
  <c r="AG113" i="22"/>
  <c r="CQ113" i="22"/>
  <c r="CL113" i="22"/>
  <c r="CC113" i="22"/>
  <c r="BF113" i="22"/>
  <c r="BC113" i="22"/>
  <c r="AD113" i="22"/>
  <c r="T113" i="22"/>
  <c r="G113" i="22"/>
  <c r="F113" i="22"/>
  <c r="CK113" i="22"/>
  <c r="BT113" i="22"/>
  <c r="BK113" i="22"/>
  <c r="BD113" i="22"/>
  <c r="AS113" i="22"/>
  <c r="AL113" i="22"/>
  <c r="AM113" i="22"/>
  <c r="O113" i="22"/>
  <c r="K113" i="22"/>
  <c r="BV113" i="22"/>
  <c r="BL113" i="22"/>
  <c r="U113" i="22"/>
  <c r="Q113" i="22"/>
  <c r="BW113" i="22"/>
  <c r="AZ113" i="22"/>
  <c r="L113" i="22"/>
  <c r="CG113" i="22"/>
  <c r="BG113" i="22"/>
  <c r="AN113" i="22"/>
  <c r="AH113" i="22"/>
  <c r="N113" i="22"/>
  <c r="I113" i="22"/>
  <c r="CP113" i="22"/>
  <c r="BN113" i="22"/>
  <c r="AK113" i="22"/>
  <c r="P113" i="22"/>
  <c r="AO113" i="22"/>
  <c r="CP97" i="22"/>
  <c r="CK97" i="22"/>
  <c r="CF97" i="22"/>
  <c r="CA97" i="22"/>
  <c r="BZ97" i="22"/>
  <c r="BU97" i="22"/>
  <c r="BB97" i="22"/>
  <c r="BJ97" i="22"/>
  <c r="BI97" i="22"/>
  <c r="BP97" i="22"/>
  <c r="BC97" i="22"/>
  <c r="AS97" i="22"/>
  <c r="AD97" i="22"/>
  <c r="U97" i="22"/>
  <c r="S97" i="22"/>
  <c r="AC97" i="22"/>
  <c r="AP97" i="22"/>
  <c r="W97" i="22"/>
  <c r="J97" i="22"/>
  <c r="K97" i="22"/>
  <c r="M97" i="22"/>
  <c r="CQ97" i="22"/>
  <c r="CL97" i="22"/>
  <c r="CG97" i="22"/>
  <c r="CB97" i="22"/>
  <c r="CI97" i="22"/>
  <c r="CJ97" i="22"/>
  <c r="BS97" i="22"/>
  <c r="BY97" i="22"/>
  <c r="AX97" i="22"/>
  <c r="BQ97" i="22"/>
  <c r="AV97" i="22"/>
  <c r="AU97" i="22"/>
  <c r="AJ97" i="22"/>
  <c r="Y97" i="22"/>
  <c r="AQ97" i="22"/>
  <c r="AO97" i="22"/>
  <c r="AG97" i="22"/>
  <c r="CH97" i="22"/>
  <c r="BX97" i="22"/>
  <c r="CD97" i="22"/>
  <c r="BO97" i="22"/>
  <c r="AT97" i="22"/>
  <c r="BM97" i="22"/>
  <c r="AW97" i="22"/>
  <c r="BH97" i="22"/>
  <c r="AF97" i="22"/>
  <c r="AB97" i="22"/>
  <c r="AM97" i="22"/>
  <c r="AA97" i="22"/>
  <c r="CN97" i="22"/>
  <c r="CC97" i="22"/>
  <c r="BF97" i="22"/>
  <c r="BL97" i="22"/>
  <c r="V97" i="22"/>
  <c r="X97" i="22"/>
  <c r="G97" i="22"/>
  <c r="P97" i="22"/>
  <c r="BT97" i="22"/>
  <c r="BK97" i="22"/>
  <c r="BD97" i="22"/>
  <c r="BA97" i="22"/>
  <c r="T97" i="22"/>
  <c r="AL97" i="22"/>
  <c r="H97" i="22"/>
  <c r="I97" i="22"/>
  <c r="CO97" i="22"/>
  <c r="BN97" i="22"/>
  <c r="Z97" i="22"/>
  <c r="N97" i="22"/>
  <c r="CM97" i="22"/>
  <c r="BG97" i="22"/>
  <c r="AN97" i="22"/>
  <c r="AH97" i="22"/>
  <c r="Q97" i="22"/>
  <c r="O97" i="22"/>
  <c r="BW97" i="22"/>
  <c r="AZ97" i="22"/>
  <c r="AK97" i="22"/>
  <c r="F97" i="22"/>
  <c r="BV97" i="22"/>
  <c r="AY97" i="22"/>
  <c r="AI97" i="22"/>
  <c r="L97" i="22"/>
  <c r="CI105" i="22"/>
  <c r="CO105" i="22"/>
  <c r="CJ105" i="22"/>
  <c r="BT105" i="22"/>
  <c r="CD105" i="22"/>
  <c r="BY105" i="22"/>
  <c r="BG105" i="22"/>
  <c r="BN105" i="22"/>
  <c r="BM105" i="22"/>
  <c r="AV105" i="22"/>
  <c r="BC105" i="22"/>
  <c r="AS105" i="22"/>
  <c r="AP105" i="22"/>
  <c r="Z105" i="22"/>
  <c r="AG105" i="22"/>
  <c r="AC105" i="22"/>
  <c r="AL105" i="22"/>
  <c r="W105" i="22"/>
  <c r="N105" i="22"/>
  <c r="O105" i="22"/>
  <c r="J105" i="22"/>
  <c r="CQ105" i="22"/>
  <c r="CH105" i="22"/>
  <c r="CF105" i="22"/>
  <c r="BW105" i="22"/>
  <c r="CC105" i="22"/>
  <c r="BB105" i="22"/>
  <c r="BF105" i="22"/>
  <c r="AZ105" i="22"/>
  <c r="AU105" i="22"/>
  <c r="AN105" i="22"/>
  <c r="AD105" i="22"/>
  <c r="S105" i="22"/>
  <c r="U105" i="22"/>
  <c r="AQ105" i="22"/>
  <c r="CM105" i="22"/>
  <c r="CK105" i="22"/>
  <c r="CB105" i="22"/>
  <c r="BS105" i="22"/>
  <c r="BU105" i="22"/>
  <c r="AX105" i="22"/>
  <c r="BQ105" i="22"/>
  <c r="BP105" i="22"/>
  <c r="BH105" i="22"/>
  <c r="AJ105" i="22"/>
  <c r="V105" i="22"/>
  <c r="AO105" i="22"/>
  <c r="X105" i="22"/>
  <c r="AA105" i="22"/>
  <c r="CL105" i="22"/>
  <c r="CA105" i="22"/>
  <c r="BK105" i="22"/>
  <c r="BD105" i="22"/>
  <c r="AY105" i="22"/>
  <c r="T105" i="22"/>
  <c r="AH105" i="22"/>
  <c r="G105" i="22"/>
  <c r="Q105" i="22"/>
  <c r="CG105" i="22"/>
  <c r="BZ105" i="22"/>
  <c r="AT105" i="22"/>
  <c r="AW105" i="22"/>
  <c r="AK105" i="22"/>
  <c r="AI105" i="22"/>
  <c r="L105" i="22"/>
  <c r="H105" i="22"/>
  <c r="CP105" i="22"/>
  <c r="BO105" i="22"/>
  <c r="BA105" i="22"/>
  <c r="AM105" i="22"/>
  <c r="K105" i="22"/>
  <c r="BV105" i="22"/>
  <c r="Y105" i="22"/>
  <c r="F105" i="22"/>
  <c r="CN105" i="22"/>
  <c r="BJ105" i="22"/>
  <c r="AF105" i="22"/>
  <c r="P105" i="22"/>
  <c r="I105" i="22"/>
  <c r="BX105" i="22"/>
  <c r="BI105" i="22"/>
  <c r="AB105" i="22"/>
  <c r="M105" i="22"/>
  <c r="BL105" i="22"/>
  <c r="AZ32" i="21"/>
  <c r="AL68" i="21"/>
  <c r="AL139" i="15" s="1"/>
  <c r="AM45" i="15"/>
  <c r="T38" i="20"/>
  <c r="T39" i="20" s="1"/>
  <c r="BE28" i="21"/>
  <c r="AM81" i="21"/>
  <c r="AM178" i="15" s="1"/>
  <c r="AI15" i="15"/>
  <c r="AI76" i="21"/>
  <c r="AI163" i="15" s="1"/>
  <c r="BV37" i="21"/>
  <c r="N26" i="22"/>
  <c r="AB26" i="22" s="1"/>
  <c r="AP26" i="22" s="1"/>
  <c r="BD26" i="22" s="1"/>
  <c r="BR26" i="22" s="1"/>
  <c r="CF26" i="22" s="1"/>
  <c r="CT26" i="22" s="1"/>
  <c r="K26" i="22"/>
  <c r="Y26" i="22" s="1"/>
  <c r="AM26" i="22" s="1"/>
  <c r="BA26" i="22" s="1"/>
  <c r="BO26" i="22" s="1"/>
  <c r="CC26" i="22" s="1"/>
  <c r="CQ26" i="22" s="1"/>
  <c r="Z109" i="22"/>
  <c r="AD109" i="22"/>
  <c r="AL106" i="22"/>
  <c r="AH106" i="22"/>
  <c r="CB134" i="22"/>
  <c r="BQ134" i="22"/>
  <c r="AZ103" i="22"/>
  <c r="AS103" i="22"/>
  <c r="AD106" i="22"/>
  <c r="N109" i="22"/>
  <c r="CA65" i="22"/>
  <c r="AT65" i="22"/>
  <c r="AN65" i="22"/>
  <c r="CP59" i="22"/>
  <c r="AZ59" i="22"/>
  <c r="AK59" i="22"/>
  <c r="Z59" i="22"/>
  <c r="Q59" i="22"/>
  <c r="BW65" i="22"/>
  <c r="AS65" i="22"/>
  <c r="AJ65" i="22"/>
  <c r="CH59" i="22"/>
  <c r="AV59" i="22"/>
  <c r="AG59" i="22"/>
  <c r="CB65" i="22"/>
  <c r="BB65" i="22"/>
  <c r="S65" i="22"/>
  <c r="CM59" i="22"/>
  <c r="BL59" i="22"/>
  <c r="AW59" i="22"/>
  <c r="AL59" i="22"/>
  <c r="AD59" i="22"/>
  <c r="AQ59" i="22"/>
  <c r="BM59" i="22"/>
  <c r="BV59" i="22"/>
  <c r="CL59" i="22"/>
  <c r="V65" i="22"/>
  <c r="X65" i="22"/>
  <c r="BA65" i="22"/>
  <c r="BV65" i="22"/>
  <c r="CL65" i="22"/>
  <c r="I203" i="30"/>
  <c r="H330" i="30"/>
  <c r="D176" i="30"/>
  <c r="F176" i="30" s="1"/>
  <c r="G176" i="30" s="1"/>
  <c r="E236" i="30"/>
  <c r="F236" i="30" s="1"/>
  <c r="J236" i="30" s="1"/>
  <c r="I303" i="30"/>
  <c r="C303" i="30"/>
  <c r="J139" i="30"/>
  <c r="AM36" i="15"/>
  <c r="AH80" i="21"/>
  <c r="AH175" i="15" s="1"/>
  <c r="CI61" i="22"/>
  <c r="CK61" i="22"/>
  <c r="BX61" i="22"/>
  <c r="CD61" i="22"/>
  <c r="BH61" i="22"/>
  <c r="BK61" i="22"/>
  <c r="AX61" i="22"/>
  <c r="AY61" i="22"/>
  <c r="AU61" i="22"/>
  <c r="U61" i="22"/>
  <c r="AA61" i="22"/>
  <c r="AJ61" i="22"/>
  <c r="AL61" i="22"/>
  <c r="CJ61" i="22"/>
  <c r="CP61" i="22"/>
  <c r="CC61" i="22"/>
  <c r="CG61" i="22"/>
  <c r="BZ61" i="22"/>
  <c r="BD61" i="22"/>
  <c r="BN61" i="22"/>
  <c r="AT61" i="22"/>
  <c r="BC61" i="22"/>
  <c r="AK61" i="22"/>
  <c r="AB61" i="22"/>
  <c r="S61" i="22"/>
  <c r="W61" i="22"/>
  <c r="AD61" i="22"/>
  <c r="P61" i="22"/>
  <c r="H61" i="22"/>
  <c r="CO61" i="22"/>
  <c r="BW61" i="22"/>
  <c r="BO61" i="22"/>
  <c r="BQ61" i="22"/>
  <c r="AC61" i="22"/>
  <c r="AN61" i="22"/>
  <c r="K61" i="22"/>
  <c r="CQ61" i="22"/>
  <c r="BL61" i="22"/>
  <c r="BI61" i="22"/>
  <c r="AQ61" i="22"/>
  <c r="G61" i="22"/>
  <c r="CA61" i="22"/>
  <c r="AV61" i="22"/>
  <c r="AG61" i="22"/>
  <c r="V61" i="22"/>
  <c r="N61" i="22"/>
  <c r="CF61" i="22"/>
  <c r="BU61" i="22"/>
  <c r="BV61" i="22"/>
  <c r="BJ61" i="22"/>
  <c r="AW61" i="22"/>
  <c r="X61" i="22"/>
  <c r="Z61" i="22"/>
  <c r="Q61" i="22"/>
  <c r="F61" i="22"/>
  <c r="CB61" i="22"/>
  <c r="BF61" i="22"/>
  <c r="AI61" i="22"/>
  <c r="O61" i="22"/>
  <c r="CL61" i="22"/>
  <c r="BA61" i="22"/>
  <c r="AH61" i="22"/>
  <c r="J61" i="22"/>
  <c r="BU67" i="22"/>
  <c r="BM67" i="22"/>
  <c r="V67" i="22"/>
  <c r="CA67" i="22"/>
  <c r="AG67" i="22"/>
  <c r="I67" i="22"/>
  <c r="CL67" i="22"/>
  <c r="AJ67" i="22"/>
  <c r="K67" i="22"/>
  <c r="AA67" i="22"/>
  <c r="AV67" i="22"/>
  <c r="BJ67" i="22"/>
  <c r="CF86" i="22"/>
  <c r="BP86" i="22"/>
  <c r="BD86" i="22"/>
  <c r="V86" i="22"/>
  <c r="CH86" i="22"/>
  <c r="AU86" i="22"/>
  <c r="AG86" i="22"/>
  <c r="F86" i="22"/>
  <c r="CA86" i="22"/>
  <c r="AJ86" i="22"/>
  <c r="BQ86" i="22"/>
  <c r="N86" i="22"/>
  <c r="BU86" i="22"/>
  <c r="W86" i="22"/>
  <c r="BJ86" i="22"/>
  <c r="CO131" i="22"/>
  <c r="BY131" i="22"/>
  <c r="BO131" i="22"/>
  <c r="J131" i="22"/>
  <c r="CG131" i="22"/>
  <c r="AP131" i="22"/>
  <c r="BT131" i="22"/>
  <c r="T131" i="22"/>
  <c r="H131" i="22"/>
  <c r="BM131" i="22"/>
  <c r="O131" i="22"/>
  <c r="AK131" i="22"/>
  <c r="AU131" i="22"/>
  <c r="CH131" i="22"/>
  <c r="G131" i="22"/>
  <c r="CJ68" i="22"/>
  <c r="CL68" i="22"/>
  <c r="CA68" i="22"/>
  <c r="AV68" i="22"/>
  <c r="BQ68" i="22"/>
  <c r="AG68" i="22"/>
  <c r="AJ68" i="22"/>
  <c r="V68" i="22"/>
  <c r="CK68" i="22"/>
  <c r="CD68" i="22"/>
  <c r="BK68" i="22"/>
  <c r="BM68" i="22"/>
  <c r="U68" i="22"/>
  <c r="AB68" i="22"/>
  <c r="K68" i="22"/>
  <c r="P68" i="22"/>
  <c r="CB68" i="22"/>
  <c r="AX68" i="22"/>
  <c r="AP68" i="22"/>
  <c r="J68" i="22"/>
  <c r="CI68" i="22"/>
  <c r="AS68" i="22"/>
  <c r="G68" i="22"/>
  <c r="BY68" i="22"/>
  <c r="BJ68" i="22"/>
  <c r="T68" i="22"/>
  <c r="CF68" i="22"/>
  <c r="BV68" i="22"/>
  <c r="BI68" i="22"/>
  <c r="AQ68" i="22"/>
  <c r="O68" i="22"/>
  <c r="H68" i="22"/>
  <c r="BH68" i="22"/>
  <c r="AH68" i="22"/>
  <c r="M68" i="22"/>
  <c r="Q68" i="22"/>
  <c r="F68" i="22"/>
  <c r="CJ60" i="22"/>
  <c r="CL60" i="22"/>
  <c r="CA60" i="22"/>
  <c r="AV60" i="22"/>
  <c r="BQ60" i="22"/>
  <c r="AG60" i="22"/>
  <c r="AN60" i="22"/>
  <c r="AD60" i="22"/>
  <c r="CK60" i="22"/>
  <c r="CD60" i="22"/>
  <c r="BK60" i="22"/>
  <c r="BM60" i="22"/>
  <c r="U60" i="22"/>
  <c r="AF60" i="22"/>
  <c r="L60" i="22"/>
  <c r="CI60" i="22"/>
  <c r="BH60" i="22"/>
  <c r="AS60" i="22"/>
  <c r="V60" i="22"/>
  <c r="M60" i="22"/>
  <c r="J60" i="22"/>
  <c r="AX60" i="22"/>
  <c r="BV60" i="22"/>
  <c r="BI60" i="22"/>
  <c r="AA60" i="22"/>
  <c r="I60" i="22"/>
  <c r="BY60" i="22"/>
  <c r="BJ60" i="22"/>
  <c r="T60" i="22"/>
  <c r="N60" i="22"/>
  <c r="G60" i="22"/>
  <c r="CB60" i="22"/>
  <c r="W60" i="22"/>
  <c r="P60" i="22"/>
  <c r="K60" i="22"/>
  <c r="CF60" i="22"/>
  <c r="H60" i="22"/>
  <c r="CP100" i="22"/>
  <c r="BV100" i="22"/>
  <c r="BI100" i="22"/>
  <c r="AD100" i="22"/>
  <c r="AL100" i="22"/>
  <c r="F100" i="22"/>
  <c r="K100" i="22"/>
  <c r="BY100" i="22"/>
  <c r="BH100" i="22"/>
  <c r="U100" i="22"/>
  <c r="CO100" i="22"/>
  <c r="BB100" i="22"/>
  <c r="BP100" i="22"/>
  <c r="S100" i="22"/>
  <c r="AV100" i="22"/>
  <c r="Q100" i="22"/>
  <c r="P100" i="22"/>
  <c r="CB100" i="22"/>
  <c r="Y100" i="22"/>
  <c r="H100" i="22"/>
  <c r="J100" i="22"/>
  <c r="I100" i="22"/>
  <c r="AM100" i="22"/>
  <c r="CA100" i="22"/>
  <c r="M100" i="22"/>
  <c r="BN100" i="22"/>
  <c r="G100" i="22"/>
  <c r="CO127" i="22"/>
  <c r="BD127" i="22"/>
  <c r="AU127" i="22"/>
  <c r="AA127" i="22"/>
  <c r="N127" i="22"/>
  <c r="M127" i="22"/>
  <c r="F127" i="22"/>
  <c r="CQ127" i="22"/>
  <c r="BQ127" i="22"/>
  <c r="AP127" i="22"/>
  <c r="AJ127" i="22"/>
  <c r="BS127" i="22"/>
  <c r="BH127" i="22"/>
  <c r="AN127" i="22"/>
  <c r="BX127" i="22"/>
  <c r="T127" i="22"/>
  <c r="L127" i="22"/>
  <c r="AT127" i="22"/>
  <c r="J127" i="22"/>
  <c r="AD127" i="22"/>
  <c r="I127" i="22"/>
  <c r="CN127" i="22"/>
  <c r="K127" i="22"/>
  <c r="BY127" i="22"/>
  <c r="G127" i="22"/>
  <c r="AS127" i="22"/>
  <c r="O127" i="22"/>
  <c r="BS141" i="22"/>
  <c r="BJ141" i="22"/>
  <c r="U141" i="22"/>
  <c r="H141" i="22"/>
  <c r="AS141" i="22"/>
  <c r="AF141" i="22"/>
  <c r="BN141" i="22"/>
  <c r="M141" i="22"/>
  <c r="S141" i="22"/>
  <c r="J141" i="22"/>
  <c r="CB141" i="22"/>
  <c r="N141" i="22"/>
  <c r="F141" i="22"/>
  <c r="CI101" i="22"/>
  <c r="CO101" i="22"/>
  <c r="CJ101" i="22"/>
  <c r="BT101" i="22"/>
  <c r="CD101" i="22"/>
  <c r="BY101" i="22"/>
  <c r="BG101" i="22"/>
  <c r="BN101" i="22"/>
  <c r="BM101" i="22"/>
  <c r="AV101" i="22"/>
  <c r="BL101" i="22"/>
  <c r="BA101" i="22"/>
  <c r="AF101" i="22"/>
  <c r="Y101" i="22"/>
  <c r="S101" i="22"/>
  <c r="AC101" i="22"/>
  <c r="AP101" i="22"/>
  <c r="W101" i="22"/>
  <c r="K101" i="22"/>
  <c r="Q101" i="22"/>
  <c r="J101" i="22"/>
  <c r="CL101" i="22"/>
  <c r="CN101" i="22"/>
  <c r="CA101" i="22"/>
  <c r="BV101" i="22"/>
  <c r="BK101" i="22"/>
  <c r="BJ101" i="22"/>
  <c r="BD101" i="22"/>
  <c r="AY101" i="22"/>
  <c r="AS101" i="22"/>
  <c r="Z101" i="22"/>
  <c r="AO101" i="22"/>
  <c r="U101" i="22"/>
  <c r="AH101" i="22"/>
  <c r="CP101" i="22"/>
  <c r="CF101" i="22"/>
  <c r="BS101" i="22"/>
  <c r="BO101" i="22"/>
  <c r="BF101" i="22"/>
  <c r="BP101" i="22"/>
  <c r="BH101" i="22"/>
  <c r="V101" i="22"/>
  <c r="AM101" i="22"/>
  <c r="AL101" i="22"/>
  <c r="L101" i="22"/>
  <c r="I101" i="22"/>
  <c r="CH101" i="22"/>
  <c r="CB101" i="22"/>
  <c r="BZ101" i="22"/>
  <c r="BB101" i="22"/>
  <c r="BQ101" i="22"/>
  <c r="AW101" i="22"/>
  <c r="AN101" i="22"/>
  <c r="AB101" i="22"/>
  <c r="AI101" i="22"/>
  <c r="AK101" i="22"/>
  <c r="G101" i="22"/>
  <c r="F101" i="22"/>
  <c r="CG101" i="22"/>
  <c r="BU101" i="22"/>
  <c r="AZ101" i="22"/>
  <c r="AD101" i="22"/>
  <c r="AG101" i="22"/>
  <c r="P101" i="22"/>
  <c r="CC101" i="22"/>
  <c r="AJ101" i="22"/>
  <c r="CQ101" i="22"/>
  <c r="BX101" i="22"/>
  <c r="AX101" i="22"/>
  <c r="BC101" i="22"/>
  <c r="T101" i="22"/>
  <c r="AA101" i="22"/>
  <c r="N101" i="22"/>
  <c r="M101" i="22"/>
  <c r="CM101" i="22"/>
  <c r="BW101" i="22"/>
  <c r="AT101" i="22"/>
  <c r="AU101" i="22"/>
  <c r="AQ101" i="22"/>
  <c r="H101" i="22"/>
  <c r="CK101" i="22"/>
  <c r="BI101" i="22"/>
  <c r="X101" i="22"/>
  <c r="O101" i="22"/>
  <c r="CN129" i="22"/>
  <c r="CM129" i="22"/>
  <c r="CG129" i="22"/>
  <c r="CD129" i="22"/>
  <c r="BY129" i="22"/>
  <c r="BT129" i="22"/>
  <c r="BD129" i="22"/>
  <c r="BM129" i="22"/>
  <c r="BH129" i="22"/>
  <c r="BO129" i="22"/>
  <c r="AU129" i="22"/>
  <c r="AY129" i="22"/>
  <c r="AP129" i="22"/>
  <c r="AF129" i="22"/>
  <c r="AA129" i="22"/>
  <c r="V129" i="22"/>
  <c r="T129" i="22"/>
  <c r="AJ129" i="22"/>
  <c r="O129" i="22"/>
  <c r="I129" i="22"/>
  <c r="K129" i="22"/>
  <c r="CJ129" i="22"/>
  <c r="CO129" i="22"/>
  <c r="BS129" i="22"/>
  <c r="BU129" i="22"/>
  <c r="BJ129" i="22"/>
  <c r="BQ129" i="22"/>
  <c r="BB129" i="22"/>
  <c r="BK129" i="22"/>
  <c r="AS129" i="22"/>
  <c r="AL129" i="22"/>
  <c r="Y129" i="22"/>
  <c r="AD129" i="22"/>
  <c r="W129" i="22"/>
  <c r="CP129" i="22"/>
  <c r="CF129" i="22"/>
  <c r="CK129" i="22"/>
  <c r="BZ129" i="22"/>
  <c r="CB129" i="22"/>
  <c r="BF129" i="22"/>
  <c r="BI129" i="22"/>
  <c r="AX129" i="22"/>
  <c r="BC129" i="22"/>
  <c r="AQ129" i="22"/>
  <c r="AH129" i="22"/>
  <c r="U129" i="22"/>
  <c r="AK129" i="22"/>
  <c r="AG129" i="22"/>
  <c r="CH129" i="22"/>
  <c r="BW129" i="22"/>
  <c r="BN129" i="22"/>
  <c r="BL129" i="22"/>
  <c r="BA129" i="22"/>
  <c r="AC129" i="22"/>
  <c r="X129" i="22"/>
  <c r="N129" i="22"/>
  <c r="Q129" i="22"/>
  <c r="F129" i="22"/>
  <c r="CQ129" i="22"/>
  <c r="BV129" i="22"/>
  <c r="AZ129" i="22"/>
  <c r="AT129" i="22"/>
  <c r="AM129" i="22"/>
  <c r="S129" i="22"/>
  <c r="Z129" i="22"/>
  <c r="L129" i="22"/>
  <c r="J129" i="22"/>
  <c r="CL129" i="22"/>
  <c r="BX129" i="22"/>
  <c r="BG129" i="22"/>
  <c r="AB129" i="22"/>
  <c r="P129" i="22"/>
  <c r="CC129" i="22"/>
  <c r="AW129" i="22"/>
  <c r="H129" i="22"/>
  <c r="CI129" i="22"/>
  <c r="AV129" i="22"/>
  <c r="AI129" i="22"/>
  <c r="M129" i="22"/>
  <c r="CA129" i="22"/>
  <c r="BP129" i="22"/>
  <c r="AN129" i="22"/>
  <c r="G129" i="22"/>
  <c r="AO129" i="22"/>
  <c r="CH125" i="22"/>
  <c r="CQ125" i="22"/>
  <c r="CK125" i="22"/>
  <c r="BS125" i="22"/>
  <c r="CC125" i="22"/>
  <c r="BX125" i="22"/>
  <c r="BF125" i="22"/>
  <c r="BQ125" i="22"/>
  <c r="BL125" i="22"/>
  <c r="AT125" i="22"/>
  <c r="BC125" i="22"/>
  <c r="AS125" i="22"/>
  <c r="AI125" i="22"/>
  <c r="AN125" i="22"/>
  <c r="U125" i="22"/>
  <c r="AK125" i="22"/>
  <c r="AA125" i="22"/>
  <c r="Z125" i="22"/>
  <c r="Q125" i="22"/>
  <c r="O125" i="22"/>
  <c r="I125" i="22"/>
  <c r="CN125" i="22"/>
  <c r="CI125" i="22"/>
  <c r="BW125" i="22"/>
  <c r="BY125" i="22"/>
  <c r="BN125" i="22"/>
  <c r="AV125" i="22"/>
  <c r="BH125" i="22"/>
  <c r="AW125" i="22"/>
  <c r="BA125" i="22"/>
  <c r="AP125" i="22"/>
  <c r="AC125" i="22"/>
  <c r="V125" i="22"/>
  <c r="S125" i="22"/>
  <c r="CJ125" i="22"/>
  <c r="CO125" i="22"/>
  <c r="CD125" i="22"/>
  <c r="BU125" i="22"/>
  <c r="BJ125" i="22"/>
  <c r="BM125" i="22"/>
  <c r="BB125" i="22"/>
  <c r="BK125" i="22"/>
  <c r="AY125" i="22"/>
  <c r="AL125" i="22"/>
  <c r="Y125" i="22"/>
  <c r="AB125" i="22"/>
  <c r="AG125" i="22"/>
  <c r="CM125" i="22"/>
  <c r="BV125" i="22"/>
  <c r="AZ125" i="22"/>
  <c r="BO125" i="22"/>
  <c r="AM125" i="22"/>
  <c r="AO125" i="22"/>
  <c r="AD125" i="22"/>
  <c r="P125" i="22"/>
  <c r="L125" i="22"/>
  <c r="F125" i="22"/>
  <c r="CP125" i="22"/>
  <c r="CG125" i="22"/>
  <c r="CB125" i="22"/>
  <c r="BI125" i="22"/>
  <c r="AU125" i="22"/>
  <c r="AH125" i="22"/>
  <c r="X125" i="22"/>
  <c r="N125" i="22"/>
  <c r="M125" i="22"/>
  <c r="BZ125" i="22"/>
  <c r="AX125" i="22"/>
  <c r="W125" i="22"/>
  <c r="K125" i="22"/>
  <c r="BP125" i="22"/>
  <c r="J125" i="22"/>
  <c r="CL125" i="22"/>
  <c r="BT125" i="22"/>
  <c r="BG125" i="22"/>
  <c r="T125" i="22"/>
  <c r="G125" i="22"/>
  <c r="CF125" i="22"/>
  <c r="BD125" i="22"/>
  <c r="AQ125" i="22"/>
  <c r="AJ125" i="22"/>
  <c r="H125" i="22"/>
  <c r="CA125" i="22"/>
  <c r="AF125" i="22"/>
  <c r="BB32" i="21"/>
  <c r="AO68" i="21"/>
  <c r="AO139" i="15" s="1"/>
  <c r="AN68" i="21"/>
  <c r="AN139" i="15" s="1"/>
  <c r="AO45" i="15"/>
  <c r="AO80" i="21"/>
  <c r="AO175" i="15" s="1"/>
  <c r="AN80" i="21"/>
  <c r="AN175" i="15" s="1"/>
  <c r="AX24" i="21"/>
  <c r="AJ60" i="21"/>
  <c r="AJ115" i="15" s="1"/>
  <c r="H41" i="17"/>
  <c r="K41" i="22"/>
  <c r="X41" i="22" s="1"/>
  <c r="AK41" i="22" s="1"/>
  <c r="AX41" i="22" s="1"/>
  <c r="BK41" i="22" s="1"/>
  <c r="BX41" i="22" s="1"/>
  <c r="CK41" i="22" s="1"/>
  <c r="O19" i="22"/>
  <c r="AC19" i="22" s="1"/>
  <c r="AQ19" i="22" s="1"/>
  <c r="BE19" i="22" s="1"/>
  <c r="BS19" i="22" s="1"/>
  <c r="CG19" i="22" s="1"/>
  <c r="CU19" i="22" s="1"/>
  <c r="K6" i="22"/>
  <c r="L21" i="22"/>
  <c r="Z21" i="22" s="1"/>
  <c r="AN21" i="22" s="1"/>
  <c r="BB21" i="22" s="1"/>
  <c r="BP21" i="22" s="1"/>
  <c r="CD21" i="22" s="1"/>
  <c r="CR21" i="22" s="1"/>
  <c r="T106" i="22"/>
  <c r="L106" i="22"/>
  <c r="BK106" i="22"/>
  <c r="AI106" i="22"/>
  <c r="CF106" i="22"/>
  <c r="AC106" i="22"/>
  <c r="BJ106" i="22"/>
  <c r="BW106" i="22"/>
  <c r="CO134" i="22"/>
  <c r="BC134" i="22"/>
  <c r="AD134" i="22"/>
  <c r="AZ134" i="22"/>
  <c r="Z134" i="22"/>
  <c r="BA134" i="22"/>
  <c r="CM134" i="22"/>
  <c r="CD103" i="22"/>
  <c r="AJ103" i="22"/>
  <c r="X103" i="22"/>
  <c r="BF103" i="22"/>
  <c r="CQ103" i="22"/>
  <c r="AU103" i="22"/>
  <c r="CB103" i="22"/>
  <c r="AT106" i="22"/>
  <c r="G109" i="22"/>
  <c r="CP84" i="22"/>
  <c r="AK84" i="22"/>
  <c r="S84" i="22"/>
  <c r="BG84" i="22"/>
  <c r="CN84" i="22"/>
  <c r="AL84" i="22"/>
  <c r="J7" i="17"/>
  <c r="J42" i="17" s="1"/>
  <c r="BB84" i="20"/>
  <c r="M11" i="22"/>
  <c r="F44" i="22"/>
  <c r="S44" i="22" s="1"/>
  <c r="M44" i="22"/>
  <c r="Z44" i="22" s="1"/>
  <c r="AM44" i="22" s="1"/>
  <c r="AZ44" i="22" s="1"/>
  <c r="BM44" i="22" s="1"/>
  <c r="BZ44" i="22" s="1"/>
  <c r="CM44" i="22" s="1"/>
  <c r="J19" i="22"/>
  <c r="X19" i="22" s="1"/>
  <c r="AL19" i="22" s="1"/>
  <c r="AZ19" i="22" s="1"/>
  <c r="BN19" i="22" s="1"/>
  <c r="CB19" i="22" s="1"/>
  <c r="CP19" i="22" s="1"/>
  <c r="K19" i="22"/>
  <c r="Y19" i="22" s="1"/>
  <c r="AM19" i="22" s="1"/>
  <c r="BA19" i="22" s="1"/>
  <c r="BO19" i="22" s="1"/>
  <c r="CC19" i="22" s="1"/>
  <c r="CQ19" i="22" s="1"/>
  <c r="L41" i="22"/>
  <c r="Y41" i="22" s="1"/>
  <c r="AL41" i="22" s="1"/>
  <c r="AY41" i="22" s="1"/>
  <c r="BL41" i="22" s="1"/>
  <c r="BY41" i="22" s="1"/>
  <c r="CL41" i="22" s="1"/>
  <c r="F41" i="22"/>
  <c r="S41" i="22" s="1"/>
  <c r="F25" i="22"/>
  <c r="T25" i="22" s="1"/>
  <c r="M6" i="22"/>
  <c r="O10" i="22"/>
  <c r="O6" i="22"/>
  <c r="I21" i="22"/>
  <c r="W21" i="22" s="1"/>
  <c r="AK21" i="22" s="1"/>
  <c r="AY21" i="22" s="1"/>
  <c r="BM21" i="22" s="1"/>
  <c r="CA21" i="22" s="1"/>
  <c r="CO21" i="22" s="1"/>
  <c r="G21" i="22"/>
  <c r="U21" i="22" s="1"/>
  <c r="AI21" i="22" s="1"/>
  <c r="AW21" i="22" s="1"/>
  <c r="BK21" i="22" s="1"/>
  <c r="BY21" i="22" s="1"/>
  <c r="CM21" i="22" s="1"/>
  <c r="N21" i="22"/>
  <c r="AB21" i="22" s="1"/>
  <c r="AP21" i="22" s="1"/>
  <c r="BD21" i="22" s="1"/>
  <c r="BR21" i="22" s="1"/>
  <c r="CF21" i="22" s="1"/>
  <c r="CT21" i="22" s="1"/>
  <c r="N10" i="22"/>
  <c r="BL109" i="22"/>
  <c r="CK109" i="22"/>
  <c r="L109" i="22"/>
  <c r="AY109" i="22"/>
  <c r="CQ109" i="22"/>
  <c r="AO109" i="22"/>
  <c r="AU109" i="22"/>
  <c r="AX109" i="22"/>
  <c r="CB109" i="22"/>
  <c r="AA109" i="22"/>
  <c r="V109" i="22"/>
  <c r="BP109" i="22"/>
  <c r="BU109" i="22"/>
  <c r="CL109" i="22"/>
  <c r="AF106" i="22"/>
  <c r="BZ106" i="22"/>
  <c r="H106" i="22"/>
  <c r="AJ106" i="22"/>
  <c r="CD106" i="22"/>
  <c r="Y106" i="22"/>
  <c r="AN106" i="22"/>
  <c r="BF106" i="22"/>
  <c r="BS106" i="22"/>
  <c r="CQ106" i="22"/>
  <c r="AK106" i="22"/>
  <c r="AY106" i="22"/>
  <c r="BB106" i="22"/>
  <c r="CB106" i="22"/>
  <c r="AA134" i="22"/>
  <c r="BL134" i="22"/>
  <c r="CH134" i="22"/>
  <c r="T134" i="22"/>
  <c r="BP134" i="22"/>
  <c r="CL134" i="22"/>
  <c r="Y134" i="22"/>
  <c r="AS134" i="22"/>
  <c r="BN134" i="22"/>
  <c r="CI134" i="22"/>
  <c r="S134" i="22"/>
  <c r="AP134" i="22"/>
  <c r="BH134" i="22"/>
  <c r="BY134" i="22"/>
  <c r="CN134" i="22"/>
  <c r="BC103" i="22"/>
  <c r="CN103" i="22"/>
  <c r="P103" i="22"/>
  <c r="AY103" i="22"/>
  <c r="CF103" i="22"/>
  <c r="AI103" i="22"/>
  <c r="BP103" i="22"/>
  <c r="AX103" i="22"/>
  <c r="BX103" i="22"/>
  <c r="S103" i="22"/>
  <c r="T103" i="22"/>
  <c r="BH103" i="22"/>
  <c r="BU103" i="22"/>
  <c r="CK103" i="22"/>
  <c r="BL106" i="22"/>
  <c r="AI109" i="22"/>
  <c r="Q109" i="22"/>
  <c r="CC84" i="22"/>
  <c r="BN84" i="22"/>
  <c r="X84" i="22"/>
  <c r="L84" i="22"/>
  <c r="AJ84" i="22"/>
  <c r="AY84" i="22"/>
  <c r="AZ84" i="22"/>
  <c r="BY84" i="22"/>
  <c r="BW84" i="22"/>
  <c r="AS84" i="22"/>
  <c r="AB84" i="22"/>
  <c r="AR69" i="15"/>
  <c r="AS41" i="21"/>
  <c r="BF41" i="21" s="1"/>
  <c r="AD69" i="21"/>
  <c r="AD142" i="15" s="1"/>
  <c r="AD81" i="21"/>
  <c r="AD178" i="15" s="1"/>
  <c r="AO18" i="15"/>
  <c r="AQ31" i="21"/>
  <c r="BD31" i="21" s="1"/>
  <c r="AG72" i="15"/>
  <c r="AH81" i="15"/>
  <c r="BI81" i="15"/>
  <c r="AG69" i="15"/>
  <c r="G26" i="22"/>
  <c r="U26" i="22" s="1"/>
  <c r="AI26" i="22" s="1"/>
  <c r="AW26" i="22" s="1"/>
  <c r="BK26" i="22" s="1"/>
  <c r="BY26" i="22" s="1"/>
  <c r="CM26" i="22" s="1"/>
  <c r="K14" i="22"/>
  <c r="H14" i="22"/>
  <c r="I26" i="22"/>
  <c r="W26" i="22" s="1"/>
  <c r="AK26" i="22" s="1"/>
  <c r="AY26" i="22" s="1"/>
  <c r="BM26" i="22" s="1"/>
  <c r="CA26" i="22" s="1"/>
  <c r="CO26" i="22" s="1"/>
  <c r="H67" i="1"/>
  <c r="Q26" i="22"/>
  <c r="AE26" i="22" s="1"/>
  <c r="AS26" i="22" s="1"/>
  <c r="BG26" i="22" s="1"/>
  <c r="BU26" i="22" s="1"/>
  <c r="CI26" i="22" s="1"/>
  <c r="CW26" i="22" s="1"/>
  <c r="L26" i="22"/>
  <c r="Z26" i="22" s="1"/>
  <c r="AN26" i="22" s="1"/>
  <c r="BB26" i="22" s="1"/>
  <c r="BP26" i="22" s="1"/>
  <c r="CD26" i="22" s="1"/>
  <c r="CR26" i="22" s="1"/>
  <c r="O14" i="22"/>
  <c r="BG131" i="22"/>
  <c r="W131" i="22"/>
  <c r="BF131" i="22"/>
  <c r="X141" i="22"/>
  <c r="CQ141" i="22"/>
  <c r="AT141" i="22"/>
  <c r="AZ109" i="22"/>
  <c r="BN109" i="22"/>
  <c r="AW106" i="22"/>
  <c r="AV106" i="22"/>
  <c r="AP100" i="22"/>
  <c r="BM100" i="22"/>
  <c r="CI100" i="22"/>
  <c r="BC100" i="22"/>
  <c r="BW100" i="22"/>
  <c r="AI127" i="22"/>
  <c r="CC127" i="22"/>
  <c r="V127" i="22"/>
  <c r="BM127" i="22"/>
  <c r="AN134" i="22"/>
  <c r="CF134" i="22"/>
  <c r="BS134" i="22"/>
  <c r="CC103" i="22"/>
  <c r="BN103" i="22"/>
  <c r="BC141" i="22"/>
  <c r="O109" i="22"/>
  <c r="Q141" i="22"/>
  <c r="BV67" i="22"/>
  <c r="CJ65" i="22"/>
  <c r="BZ65" i="22"/>
  <c r="AY65" i="22"/>
  <c r="AL65" i="22"/>
  <c r="CG86" i="22"/>
  <c r="BA86" i="22"/>
  <c r="S86" i="22"/>
  <c r="BY59" i="22"/>
  <c r="BN59" i="22"/>
  <c r="X59" i="22"/>
  <c r="Q65" i="22"/>
  <c r="L86" i="22"/>
  <c r="CF65" i="22"/>
  <c r="BP65" i="22"/>
  <c r="BM65" i="22"/>
  <c r="AD65" i="22"/>
  <c r="BX86" i="22"/>
  <c r="AW86" i="22"/>
  <c r="AL86" i="22"/>
  <c r="BU59" i="22"/>
  <c r="BJ59" i="22"/>
  <c r="AM59" i="22"/>
  <c r="K65" i="22"/>
  <c r="G86" i="22"/>
  <c r="CG65" i="22"/>
  <c r="BI65" i="22"/>
  <c r="AF65" i="22"/>
  <c r="BY86" i="22"/>
  <c r="BN86" i="22"/>
  <c r="X86" i="22"/>
  <c r="CK59" i="22"/>
  <c r="BO59" i="22"/>
  <c r="Y59" i="22"/>
  <c r="K86" i="22"/>
  <c r="J59" i="22"/>
  <c r="W59" i="22"/>
  <c r="AC59" i="22"/>
  <c r="BF59" i="22"/>
  <c r="BS59" i="22"/>
  <c r="CQ59" i="22"/>
  <c r="J86" i="22"/>
  <c r="AB86" i="22"/>
  <c r="BB86" i="22"/>
  <c r="BK86" i="22"/>
  <c r="CB86" i="22"/>
  <c r="G65" i="22"/>
  <c r="AQ65" i="22"/>
  <c r="AC65" i="22"/>
  <c r="BF65" i="22"/>
  <c r="BS65" i="22"/>
  <c r="CQ65" i="22"/>
  <c r="E203" i="30"/>
  <c r="I330" i="30"/>
  <c r="C330" i="30"/>
  <c r="C176" i="30"/>
  <c r="C231" i="30"/>
  <c r="H236" i="30"/>
  <c r="E303" i="30"/>
  <c r="F303" i="30" s="1"/>
  <c r="E362" i="30"/>
  <c r="H252" i="30"/>
  <c r="C252" i="30"/>
  <c r="H314" i="30"/>
  <c r="D325" i="30"/>
  <c r="C325" i="30"/>
  <c r="AU80" i="21"/>
  <c r="AU175" i="15" s="1"/>
  <c r="BY85" i="22"/>
  <c r="BI85" i="22"/>
  <c r="AD85" i="22"/>
  <c r="BV85" i="22"/>
  <c r="AG85" i="22"/>
  <c r="BJ85" i="22"/>
  <c r="M85" i="22"/>
  <c r="CL85" i="22"/>
  <c r="CF85" i="22"/>
  <c r="T85" i="22"/>
  <c r="AQ85" i="22"/>
  <c r="AV85" i="22"/>
  <c r="BX62" i="22"/>
  <c r="AX62" i="22"/>
  <c r="V62" i="22"/>
  <c r="CN62" i="22"/>
  <c r="CD62" i="22"/>
  <c r="AY62" i="22"/>
  <c r="S62" i="22"/>
  <c r="K62" i="22"/>
  <c r="BG62" i="22"/>
  <c r="U62" i="22"/>
  <c r="BH62" i="22"/>
  <c r="AH62" i="22"/>
  <c r="CI62" i="22"/>
  <c r="AO62" i="22"/>
  <c r="H62" i="22"/>
  <c r="CO62" i="22"/>
  <c r="CQ89" i="22"/>
  <c r="CK89" i="22"/>
  <c r="CD89" i="22"/>
  <c r="BK89" i="22"/>
  <c r="BM89" i="22"/>
  <c r="U89" i="22"/>
  <c r="T89" i="22"/>
  <c r="CF89" i="22"/>
  <c r="BY89" i="22"/>
  <c r="BV89" i="22"/>
  <c r="BJ89" i="22"/>
  <c r="BI89" i="22"/>
  <c r="X89" i="22"/>
  <c r="AQ89" i="22"/>
  <c r="O89" i="22"/>
  <c r="J89" i="22"/>
  <c r="F89" i="22"/>
  <c r="CL89" i="22"/>
  <c r="AU89" i="22"/>
  <c r="AG89" i="22"/>
  <c r="V89" i="22"/>
  <c r="K89" i="22"/>
  <c r="H89" i="22"/>
  <c r="CA89" i="22"/>
  <c r="AJ89" i="22"/>
  <c r="Q89" i="22"/>
  <c r="CI89" i="22"/>
  <c r="AX89" i="22"/>
  <c r="AL89" i="22"/>
  <c r="CB89" i="22"/>
  <c r="AW89" i="22"/>
  <c r="S89" i="22"/>
  <c r="G89" i="22"/>
  <c r="M89" i="22"/>
  <c r="BQ89" i="22"/>
  <c r="BH89" i="22"/>
  <c r="P89" i="22"/>
  <c r="CG132" i="22"/>
  <c r="BD132" i="22"/>
  <c r="AU132" i="22"/>
  <c r="V132" i="22"/>
  <c r="M132" i="22"/>
  <c r="K132" i="22"/>
  <c r="BS132" i="22"/>
  <c r="BH132" i="22"/>
  <c r="AJ132" i="22"/>
  <c r="BY132" i="22"/>
  <c r="AT132" i="22"/>
  <c r="CQ132" i="22"/>
  <c r="AP132" i="22"/>
  <c r="G132" i="22"/>
  <c r="L132" i="22"/>
  <c r="BX132" i="22"/>
  <c r="AB132" i="22"/>
  <c r="P132" i="22"/>
  <c r="H132" i="22"/>
  <c r="CN132" i="22"/>
  <c r="AF132" i="22"/>
  <c r="J132" i="22"/>
  <c r="BQ132" i="22"/>
  <c r="AW132" i="22"/>
  <c r="N132" i="22"/>
  <c r="AK132" i="22"/>
  <c r="F132" i="22"/>
  <c r="CN139" i="22"/>
  <c r="CH139" i="22"/>
  <c r="BL139" i="22"/>
  <c r="U139" i="22"/>
  <c r="O139" i="22"/>
  <c r="CD139" i="22"/>
  <c r="AF139" i="22"/>
  <c r="AU139" i="22"/>
  <c r="K139" i="22"/>
  <c r="CO139" i="22"/>
  <c r="AA139" i="22"/>
  <c r="M139" i="22"/>
  <c r="G139" i="22"/>
  <c r="BT139" i="22"/>
  <c r="I139" i="22"/>
  <c r="BH139" i="22"/>
  <c r="N139" i="22"/>
  <c r="C59" i="4"/>
  <c r="F59" i="4" s="1"/>
  <c r="J59" i="4" s="1"/>
  <c r="K59" i="4" s="1"/>
  <c r="C15" i="4"/>
  <c r="CI102" i="22"/>
  <c r="CD102" i="22"/>
  <c r="BM102" i="22"/>
  <c r="AF102" i="22"/>
  <c r="S102" i="22"/>
  <c r="H102" i="22"/>
  <c r="CK102" i="22"/>
  <c r="BG102" i="22"/>
  <c r="BC102" i="22"/>
  <c r="AA102" i="22"/>
  <c r="CJ102" i="22"/>
  <c r="BA102" i="22"/>
  <c r="AB102" i="22"/>
  <c r="F102" i="22"/>
  <c r="BW102" i="22"/>
  <c r="BP102" i="22"/>
  <c r="O102" i="22"/>
  <c r="AM102" i="22"/>
  <c r="AO102" i="22"/>
  <c r="BU102" i="22"/>
  <c r="I102" i="22"/>
  <c r="BJ102" i="22"/>
  <c r="J102" i="22"/>
  <c r="CN135" i="22"/>
  <c r="CM135" i="22"/>
  <c r="CO135" i="22"/>
  <c r="CD135" i="22"/>
  <c r="BY135" i="22"/>
  <c r="BT135" i="22"/>
  <c r="BD135" i="22"/>
  <c r="BM135" i="22"/>
  <c r="BH135" i="22"/>
  <c r="BG135" i="22"/>
  <c r="AU135" i="22"/>
  <c r="AS135" i="22"/>
  <c r="AP135" i="22"/>
  <c r="AF135" i="22"/>
  <c r="AA135" i="22"/>
  <c r="AK135" i="22"/>
  <c r="W135" i="22"/>
  <c r="Z135" i="22"/>
  <c r="I135" i="22"/>
  <c r="J135" i="22"/>
  <c r="Q135" i="22"/>
  <c r="CL135" i="22"/>
  <c r="CQ135" i="22"/>
  <c r="CA135" i="22"/>
  <c r="BV135" i="22"/>
  <c r="BX135" i="22"/>
  <c r="AZ135" i="22"/>
  <c r="BP135" i="22"/>
  <c r="AT135" i="22"/>
  <c r="AY135" i="22"/>
  <c r="AM135" i="22"/>
  <c r="AN135" i="22"/>
  <c r="S135" i="22"/>
  <c r="X135" i="22"/>
  <c r="AJ135" i="22"/>
  <c r="CH135" i="22"/>
  <c r="CI135" i="22"/>
  <c r="BW135" i="22"/>
  <c r="CC135" i="22"/>
  <c r="BN135" i="22"/>
  <c r="AV135" i="22"/>
  <c r="BL135" i="22"/>
  <c r="AW135" i="22"/>
  <c r="BO135" i="22"/>
  <c r="AI135" i="22"/>
  <c r="AC135" i="22"/>
  <c r="AO135" i="22"/>
  <c r="T135" i="22"/>
  <c r="CF135" i="22"/>
  <c r="BZ135" i="22"/>
  <c r="BF135" i="22"/>
  <c r="AX135" i="22"/>
  <c r="AQ135" i="22"/>
  <c r="U135" i="22"/>
  <c r="V135" i="22"/>
  <c r="O135" i="22"/>
  <c r="F135" i="22"/>
  <c r="CK135" i="22"/>
  <c r="BU135" i="22"/>
  <c r="BQ135" i="22"/>
  <c r="BK135" i="22"/>
  <c r="AL135" i="22"/>
  <c r="AD135" i="22"/>
  <c r="N135" i="22"/>
  <c r="M135" i="22"/>
  <c r="H135" i="22"/>
  <c r="BS135" i="22"/>
  <c r="BB135" i="22"/>
  <c r="Y135" i="22"/>
  <c r="G135" i="22"/>
  <c r="CG135" i="22"/>
  <c r="BI135" i="22"/>
  <c r="AH135" i="22"/>
  <c r="K135" i="22"/>
  <c r="CP135" i="22"/>
  <c r="CB135" i="22"/>
  <c r="BC135" i="22"/>
  <c r="AB135" i="22"/>
  <c r="L135" i="22"/>
  <c r="CJ135" i="22"/>
  <c r="BJ135" i="22"/>
  <c r="BA135" i="22"/>
  <c r="AG135" i="22"/>
  <c r="P135" i="22"/>
  <c r="AZ28" i="21"/>
  <c r="AL64" i="21"/>
  <c r="AL127" i="15" s="1"/>
  <c r="AR32" i="21"/>
  <c r="AE45" i="15"/>
  <c r="I41" i="22"/>
  <c r="V41" i="22" s="1"/>
  <c r="AI41" i="22" s="1"/>
  <c r="AV41" i="22" s="1"/>
  <c r="BI41" i="22" s="1"/>
  <c r="BV41" i="22" s="1"/>
  <c r="CI41" i="22" s="1"/>
  <c r="P41" i="22"/>
  <c r="AC41" i="22" s="1"/>
  <c r="AP41" i="22" s="1"/>
  <c r="BC41" i="22" s="1"/>
  <c r="BP41" i="22" s="1"/>
  <c r="CC41" i="22" s="1"/>
  <c r="CP41" i="22" s="1"/>
  <c r="N6" i="22"/>
  <c r="O21" i="22"/>
  <c r="AC21" i="22" s="1"/>
  <c r="AQ21" i="22" s="1"/>
  <c r="BE21" i="22" s="1"/>
  <c r="BS21" i="22" s="1"/>
  <c r="CG21" i="22" s="1"/>
  <c r="CU21" i="22" s="1"/>
  <c r="BG106" i="22"/>
  <c r="AB106" i="22"/>
  <c r="AQ106" i="22"/>
  <c r="BD106" i="22"/>
  <c r="CL106" i="22"/>
  <c r="BH106" i="22"/>
  <c r="BO134" i="22"/>
  <c r="J134" i="22"/>
  <c r="CG134" i="22"/>
  <c r="BK134" i="22"/>
  <c r="CA134" i="22"/>
  <c r="AC134" i="22"/>
  <c r="BT134" i="22"/>
  <c r="AF103" i="22"/>
  <c r="L103" i="22"/>
  <c r="BS103" i="22"/>
  <c r="AN103" i="22"/>
  <c r="BW103" i="22"/>
  <c r="AM103" i="22"/>
  <c r="BB103" i="22"/>
  <c r="BH109" i="22"/>
  <c r="BR66" i="22"/>
  <c r="BD84" i="22"/>
  <c r="AP84" i="22"/>
  <c r="N84" i="22"/>
  <c r="AO84" i="22"/>
  <c r="BT84" i="22"/>
  <c r="CB84" i="22"/>
  <c r="BF84" i="22"/>
  <c r="B27" i="20"/>
  <c r="O27" i="20" s="1"/>
  <c r="O84" i="20"/>
  <c r="B225" i="13" s="1"/>
  <c r="B245" i="13" s="1"/>
  <c r="BB86" i="20"/>
  <c r="J44" i="22"/>
  <c r="W44" i="22" s="1"/>
  <c r="AJ44" i="22" s="1"/>
  <c r="AW44" i="22" s="1"/>
  <c r="BJ44" i="22" s="1"/>
  <c r="BW44" i="22" s="1"/>
  <c r="CJ44" i="22" s="1"/>
  <c r="F19" i="22"/>
  <c r="T19" i="22" s="1"/>
  <c r="M25" i="22"/>
  <c r="AA25" i="22" s="1"/>
  <c r="AO25" i="22" s="1"/>
  <c r="BC25" i="22" s="1"/>
  <c r="BQ25" i="22" s="1"/>
  <c r="CE25" i="22" s="1"/>
  <c r="CS25" i="22" s="1"/>
  <c r="G41" i="22"/>
  <c r="T41" i="22" s="1"/>
  <c r="AG41" i="22" s="1"/>
  <c r="AT41" i="22" s="1"/>
  <c r="BG41" i="22" s="1"/>
  <c r="BT41" i="22" s="1"/>
  <c r="CG41" i="22" s="1"/>
  <c r="O41" i="22"/>
  <c r="AB41" i="22" s="1"/>
  <c r="AO41" i="22" s="1"/>
  <c r="BB41" i="22" s="1"/>
  <c r="BO41" i="22" s="1"/>
  <c r="CB41" i="22" s="1"/>
  <c r="CO41" i="22" s="1"/>
  <c r="G25" i="22"/>
  <c r="U25" i="22" s="1"/>
  <c r="AI25" i="22" s="1"/>
  <c r="AW25" i="22" s="1"/>
  <c r="BK25" i="22" s="1"/>
  <c r="BY25" i="22" s="1"/>
  <c r="CM25" i="22" s="1"/>
  <c r="F21" i="22"/>
  <c r="T21" i="22" s="1"/>
  <c r="G10" i="22"/>
  <c r="M21" i="22"/>
  <c r="AA21" i="22" s="1"/>
  <c r="AO21" i="22" s="1"/>
  <c r="BC21" i="22" s="1"/>
  <c r="BQ21" i="22" s="1"/>
  <c r="CE21" i="22" s="1"/>
  <c r="CS21" i="22" s="1"/>
  <c r="AQ109" i="22"/>
  <c r="BM109" i="22"/>
  <c r="CJ109" i="22"/>
  <c r="X109" i="22"/>
  <c r="BQ109" i="22"/>
  <c r="CN109" i="22"/>
  <c r="AB109" i="22"/>
  <c r="AW109" i="22"/>
  <c r="BO109" i="22"/>
  <c r="CG109" i="22"/>
  <c r="AG109" i="22"/>
  <c r="AP109" i="22"/>
  <c r="BI109" i="22"/>
  <c r="BZ109" i="22"/>
  <c r="CP109" i="22"/>
  <c r="BP106" i="22"/>
  <c r="CJ106" i="22"/>
  <c r="N106" i="22"/>
  <c r="AU106" i="22"/>
  <c r="CN106" i="22"/>
  <c r="W106" i="22"/>
  <c r="BC106" i="22"/>
  <c r="AX106" i="22"/>
  <c r="BX106" i="22"/>
  <c r="AA106" i="22"/>
  <c r="V106" i="22"/>
  <c r="BA106" i="22"/>
  <c r="BU106" i="22"/>
  <c r="CK106" i="22"/>
  <c r="W134" i="22"/>
  <c r="BF134" i="22"/>
  <c r="K134" i="22"/>
  <c r="U134" i="22"/>
  <c r="BJ134" i="22"/>
  <c r="V134" i="22"/>
  <c r="AL134" i="22"/>
  <c r="BB134" i="22"/>
  <c r="BU134" i="22"/>
  <c r="CJ134" i="22"/>
  <c r="AB134" i="22"/>
  <c r="AU134" i="22"/>
  <c r="BM134" i="22"/>
  <c r="CD134" i="22"/>
  <c r="AP103" i="22"/>
  <c r="BM103" i="22"/>
  <c r="CI103" i="22"/>
  <c r="W103" i="22"/>
  <c r="BQ103" i="22"/>
  <c r="CM103" i="22"/>
  <c r="AK103" i="22"/>
  <c r="AW103" i="22"/>
  <c r="BO103" i="22"/>
  <c r="CG103" i="22"/>
  <c r="AL103" i="22"/>
  <c r="AD103" i="22"/>
  <c r="BI103" i="22"/>
  <c r="BZ103" i="22"/>
  <c r="CP103" i="22"/>
  <c r="AM106" i="22"/>
  <c r="J106" i="22"/>
  <c r="CO84" i="22"/>
  <c r="AT84" i="22"/>
  <c r="AN84" i="22"/>
  <c r="Q84" i="22"/>
  <c r="AA84" i="22"/>
  <c r="BA84" i="22"/>
  <c r="BP84" i="22"/>
  <c r="CH84" i="22"/>
  <c r="BL84" i="22"/>
  <c r="BQ84" i="22"/>
  <c r="AQ84" i="22"/>
  <c r="BE40" i="21"/>
  <c r="BR40" i="21" s="1"/>
  <c r="AD87" i="15"/>
  <c r="AN59" i="21"/>
  <c r="AN112" i="15" s="1"/>
  <c r="AR45" i="21"/>
  <c r="AQ81" i="21" s="1"/>
  <c r="AD59" i="21"/>
  <c r="AD112" i="15" s="1"/>
  <c r="AT41" i="21"/>
  <c r="AT72" i="15" s="1"/>
  <c r="AU44" i="21"/>
  <c r="AF42" i="15"/>
  <c r="BV44" i="21"/>
  <c r="BV81" i="15" s="1"/>
  <c r="AT40" i="21"/>
  <c r="BG40" i="21" s="1"/>
  <c r="F26" i="22"/>
  <c r="T26" i="22" s="1"/>
  <c r="AD131" i="22"/>
  <c r="BD131" i="22"/>
  <c r="U131" i="22"/>
  <c r="CD131" i="22"/>
  <c r="AP141" i="22"/>
  <c r="V141" i="22"/>
  <c r="BX141" i="22"/>
  <c r="BT109" i="22"/>
  <c r="CH109" i="22"/>
  <c r="BY106" i="22"/>
  <c r="CC106" i="22"/>
  <c r="AQ100" i="22"/>
  <c r="BG100" i="22"/>
  <c r="AA100" i="22"/>
  <c r="BL100" i="22"/>
  <c r="CK100" i="22"/>
  <c r="BC127" i="22"/>
  <c r="CG127" i="22"/>
  <c r="AF127" i="22"/>
  <c r="BT127" i="22"/>
  <c r="AH134" i="22"/>
  <c r="AG134" i="22"/>
  <c r="AO103" i="22"/>
  <c r="CH103" i="22"/>
  <c r="CJ103" i="22"/>
  <c r="W141" i="22"/>
  <c r="Q131" i="22"/>
  <c r="CF67" i="22"/>
  <c r="CP65" i="22"/>
  <c r="AZ65" i="22"/>
  <c r="AK65" i="22"/>
  <c r="AP65" i="22"/>
  <c r="BS86" i="22"/>
  <c r="AX86" i="22"/>
  <c r="AF86" i="22"/>
  <c r="CA59" i="22"/>
  <c r="AT59" i="22"/>
  <c r="AP59" i="22"/>
  <c r="J65" i="22"/>
  <c r="N59" i="22"/>
  <c r="CH65" i="22"/>
  <c r="AV65" i="22"/>
  <c r="AG65" i="22"/>
  <c r="CN86" i="22"/>
  <c r="CD86" i="22"/>
  <c r="BI86" i="22"/>
  <c r="AA86" i="22"/>
  <c r="BW59" i="22"/>
  <c r="BA59" i="22"/>
  <c r="V59" i="22"/>
  <c r="M65" i="22"/>
  <c r="O59" i="22"/>
  <c r="CM65" i="22"/>
  <c r="BL65" i="22"/>
  <c r="AW65" i="22"/>
  <c r="AM65" i="22"/>
  <c r="BT86" i="22"/>
  <c r="AS86" i="22"/>
  <c r="AN86" i="22"/>
  <c r="CB59" i="22"/>
  <c r="BB59" i="22"/>
  <c r="AI59" i="22"/>
  <c r="H65" i="22"/>
  <c r="K59" i="22"/>
  <c r="F59" i="22"/>
  <c r="AJ59" i="22"/>
  <c r="BC59" i="22"/>
  <c r="BK59" i="22"/>
  <c r="BX59" i="22"/>
  <c r="Q86" i="22"/>
  <c r="AD86" i="22"/>
  <c r="AT86" i="22"/>
  <c r="BC86" i="22"/>
  <c r="CC86" i="22"/>
  <c r="O65" i="22"/>
  <c r="T65" i="22"/>
  <c r="BC65" i="22"/>
  <c r="BK65" i="22"/>
  <c r="BX65" i="22"/>
  <c r="D203" i="30"/>
  <c r="F346" i="30"/>
  <c r="G346" i="30" s="1"/>
  <c r="I176" i="30"/>
  <c r="I236" i="30"/>
  <c r="D362" i="30"/>
  <c r="E252" i="30"/>
  <c r="F252" i="30" s="1"/>
  <c r="G252" i="30" s="1"/>
  <c r="I314" i="30"/>
  <c r="E314" i="30"/>
  <c r="AI81" i="15"/>
  <c r="AK21" i="15"/>
  <c r="E216" i="13"/>
  <c r="F216" i="13" s="1"/>
  <c r="F242" i="13" s="1"/>
  <c r="BP111" i="22"/>
  <c r="BA111" i="22"/>
  <c r="G111" i="22"/>
  <c r="AG111" i="22"/>
  <c r="CN111" i="22"/>
  <c r="AO111" i="22"/>
  <c r="I111" i="22"/>
  <c r="BY111" i="22"/>
  <c r="M111" i="22"/>
  <c r="F111" i="22"/>
  <c r="AT111" i="22"/>
  <c r="N111" i="22"/>
  <c r="CF87" i="22"/>
  <c r="CL87" i="22"/>
  <c r="BY87" i="22"/>
  <c r="CA87" i="22"/>
  <c r="BV87" i="22"/>
  <c r="AU87" i="22"/>
  <c r="BJ87" i="22"/>
  <c r="BI87" i="22"/>
  <c r="AT87" i="22"/>
  <c r="AG87" i="22"/>
  <c r="T87" i="22"/>
  <c r="AJ87" i="22"/>
  <c r="AM87" i="22"/>
  <c r="AD87" i="22"/>
  <c r="CQ87" i="22"/>
  <c r="CG87" i="22"/>
  <c r="BU87" i="22"/>
  <c r="BW87" i="22"/>
  <c r="BL87" i="22"/>
  <c r="BO87" i="22"/>
  <c r="BF87" i="22"/>
  <c r="AV87" i="22"/>
  <c r="BQ87" i="22"/>
  <c r="AC87" i="22"/>
  <c r="S87" i="22"/>
  <c r="AF87" i="22"/>
  <c r="AI87" i="22"/>
  <c r="K87" i="22"/>
  <c r="P87" i="22"/>
  <c r="CP87" i="22"/>
  <c r="BT87" i="22"/>
  <c r="BC87" i="22"/>
  <c r="AS87" i="22"/>
  <c r="AK87" i="22"/>
  <c r="Z87" i="22"/>
  <c r="V87" i="22"/>
  <c r="L87" i="22"/>
  <c r="CJ87" i="22"/>
  <c r="AX87" i="22"/>
  <c r="AQ87" i="22"/>
  <c r="J87" i="22"/>
  <c r="CI87" i="22"/>
  <c r="BH87" i="22"/>
  <c r="AZ87" i="22"/>
  <c r="AH87" i="22"/>
  <c r="M87" i="22"/>
  <c r="I87" i="22"/>
  <c r="CO87" i="22"/>
  <c r="CD87" i="22"/>
  <c r="BK87" i="22"/>
  <c r="BM87" i="22"/>
  <c r="U87" i="22"/>
  <c r="AB87" i="22"/>
  <c r="G87" i="22"/>
  <c r="Q87" i="22"/>
  <c r="CK87" i="22"/>
  <c r="BZ87" i="22"/>
  <c r="BN87" i="22"/>
  <c r="X87" i="22"/>
  <c r="O87" i="22"/>
  <c r="CB87" i="22"/>
  <c r="AW87" i="22"/>
  <c r="AL87" i="22"/>
  <c r="CH83" i="22"/>
  <c r="AV83" i="22"/>
  <c r="AG83" i="22"/>
  <c r="BU83" i="22"/>
  <c r="BJ83" i="22"/>
  <c r="AA83" i="22"/>
  <c r="CF83" i="22"/>
  <c r="BA83" i="22"/>
  <c r="AQ83" i="22"/>
  <c r="G83" i="22"/>
  <c r="AW83" i="22"/>
  <c r="BW83" i="22"/>
  <c r="AF83" i="22"/>
  <c r="BP83" i="22"/>
  <c r="H83" i="22"/>
  <c r="CJ63" i="22"/>
  <c r="CF63" i="22"/>
  <c r="BY63" i="22"/>
  <c r="BV63" i="22"/>
  <c r="BJ63" i="22"/>
  <c r="AW63" i="22"/>
  <c r="X63" i="22"/>
  <c r="AQ63" i="22"/>
  <c r="CI63" i="22"/>
  <c r="CB63" i="22"/>
  <c r="BH63" i="22"/>
  <c r="AX63" i="22"/>
  <c r="AU63" i="22"/>
  <c r="Z63" i="22"/>
  <c r="AP63" i="22"/>
  <c r="M63" i="22"/>
  <c r="L63" i="22"/>
  <c r="CD63" i="22"/>
  <c r="BC63" i="22"/>
  <c r="AA63" i="22"/>
  <c r="N63" i="22"/>
  <c r="I63" i="22"/>
  <c r="BK63" i="22"/>
  <c r="CA63" i="22"/>
  <c r="BM63" i="22"/>
  <c r="AF63" i="22"/>
  <c r="CL63" i="22"/>
  <c r="AV63" i="22"/>
  <c r="AG63" i="22"/>
  <c r="AD63" i="22"/>
  <c r="O63" i="22"/>
  <c r="G63" i="22"/>
  <c r="CG63" i="22"/>
  <c r="U63" i="22"/>
  <c r="P63" i="22"/>
  <c r="H63" i="22"/>
  <c r="K63" i="22"/>
  <c r="CH98" i="22"/>
  <c r="AZ98" i="22"/>
  <c r="AG98" i="22"/>
  <c r="O98" i="22"/>
  <c r="P98" i="22"/>
  <c r="CF98" i="22"/>
  <c r="BH98" i="22"/>
  <c r="BN98" i="22"/>
  <c r="V98" i="22"/>
  <c r="CC98" i="22"/>
  <c r="L98" i="22"/>
  <c r="Q98" i="22"/>
  <c r="AC98" i="22"/>
  <c r="I98" i="22"/>
  <c r="F98" i="22"/>
  <c r="H98" i="22"/>
  <c r="N98" i="22"/>
  <c r="M98" i="22"/>
  <c r="CK137" i="22"/>
  <c r="CM137" i="22"/>
  <c r="AV137" i="22"/>
  <c r="BA137" i="22"/>
  <c r="X137" i="22"/>
  <c r="O137" i="22"/>
  <c r="CH137" i="22"/>
  <c r="BM137" i="22"/>
  <c r="U137" i="22"/>
  <c r="BX137" i="22"/>
  <c r="W137" i="22"/>
  <c r="G137" i="22"/>
  <c r="CL137" i="22"/>
  <c r="AX137" i="22"/>
  <c r="V137" i="22"/>
  <c r="J137" i="22"/>
  <c r="CC137" i="22"/>
  <c r="Q137" i="22"/>
  <c r="BZ137" i="22"/>
  <c r="AU137" i="22"/>
  <c r="AI137" i="22"/>
  <c r="N137" i="22"/>
  <c r="CH133" i="22"/>
  <c r="CQ133" i="22"/>
  <c r="CK133" i="22"/>
  <c r="BS133" i="22"/>
  <c r="CC133" i="22"/>
  <c r="BX133" i="22"/>
  <c r="BF133" i="22"/>
  <c r="BQ133" i="22"/>
  <c r="BL133" i="22"/>
  <c r="AT133" i="22"/>
  <c r="BK133" i="22"/>
  <c r="BA133" i="22"/>
  <c r="AI133" i="22"/>
  <c r="AN133" i="22"/>
  <c r="U133" i="22"/>
  <c r="AD133" i="22"/>
  <c r="X133" i="22"/>
  <c r="AJ133" i="22"/>
  <c r="O133" i="22"/>
  <c r="K133" i="22"/>
  <c r="M133" i="22"/>
  <c r="CJ133" i="22"/>
  <c r="CO133" i="22"/>
  <c r="CD133" i="22"/>
  <c r="BU133" i="22"/>
  <c r="BJ133" i="22"/>
  <c r="BM133" i="22"/>
  <c r="BB133" i="22"/>
  <c r="AY133" i="22"/>
  <c r="AS133" i="22"/>
  <c r="AL133" i="22"/>
  <c r="Y133" i="22"/>
  <c r="V133" i="22"/>
  <c r="W133" i="22"/>
  <c r="CF133" i="22"/>
  <c r="CA133" i="22"/>
  <c r="BY133" i="22"/>
  <c r="BD133" i="22"/>
  <c r="BP133" i="22"/>
  <c r="AW133" i="22"/>
  <c r="AQ133" i="22"/>
  <c r="AF133" i="22"/>
  <c r="AG133" i="22"/>
  <c r="AO133" i="22"/>
  <c r="N133" i="22"/>
  <c r="H133" i="22"/>
  <c r="J133" i="22"/>
  <c r="CP133" i="22"/>
  <c r="CM133" i="22"/>
  <c r="BW133" i="22"/>
  <c r="CB133" i="22"/>
  <c r="AZ133" i="22"/>
  <c r="BH133" i="22"/>
  <c r="BC133" i="22"/>
  <c r="AM133" i="22"/>
  <c r="AC133" i="22"/>
  <c r="AK133" i="22"/>
  <c r="Z133" i="22"/>
  <c r="G133" i="22"/>
  <c r="L133" i="22"/>
  <c r="CG133" i="22"/>
  <c r="BN133" i="22"/>
  <c r="BO133" i="22"/>
  <c r="AH133" i="22"/>
  <c r="T133" i="22"/>
  <c r="F133" i="22"/>
  <c r="BT133" i="22"/>
  <c r="AP133" i="22"/>
  <c r="CL133" i="22"/>
  <c r="BZ133" i="22"/>
  <c r="AV133" i="22"/>
  <c r="AU133" i="22"/>
  <c r="AA133" i="22"/>
  <c r="P133" i="22"/>
  <c r="CN133" i="22"/>
  <c r="BV133" i="22"/>
  <c r="BI133" i="22"/>
  <c r="BG133" i="22"/>
  <c r="S133" i="22"/>
  <c r="I133" i="22"/>
  <c r="CI133" i="22"/>
  <c r="AX133" i="22"/>
  <c r="AB133" i="22"/>
  <c r="Q133" i="22"/>
  <c r="CP99" i="22"/>
  <c r="CK99" i="22"/>
  <c r="CJ99" i="22"/>
  <c r="CA99" i="22"/>
  <c r="BZ99" i="22"/>
  <c r="BU99" i="22"/>
  <c r="BB99" i="22"/>
  <c r="BJ99" i="22"/>
  <c r="BI99" i="22"/>
  <c r="BH99" i="22"/>
  <c r="AU99" i="22"/>
  <c r="AY99" i="22"/>
  <c r="AD99" i="22"/>
  <c r="U99" i="22"/>
  <c r="AA99" i="22"/>
  <c r="Y99" i="22"/>
  <c r="AP99" i="22"/>
  <c r="W99" i="22"/>
  <c r="P99" i="22"/>
  <c r="I99" i="22"/>
  <c r="Q99" i="22"/>
  <c r="CL99" i="22"/>
  <c r="CF99" i="22"/>
  <c r="BT99" i="22"/>
  <c r="BV99" i="22"/>
  <c r="BK99" i="22"/>
  <c r="BN99" i="22"/>
  <c r="BD99" i="22"/>
  <c r="BL99" i="22"/>
  <c r="AS99" i="22"/>
  <c r="Z99" i="22"/>
  <c r="T99" i="22"/>
  <c r="AI99" i="22"/>
  <c r="AL99" i="22"/>
  <c r="CQ99" i="22"/>
  <c r="CH99" i="22"/>
  <c r="CN99" i="22"/>
  <c r="BW99" i="22"/>
  <c r="CC99" i="22"/>
  <c r="BG99" i="22"/>
  <c r="BF99" i="22"/>
  <c r="AZ99" i="22"/>
  <c r="BC99" i="22"/>
  <c r="AN99" i="22"/>
  <c r="V99" i="22"/>
  <c r="AG99" i="22"/>
  <c r="X99" i="22"/>
  <c r="AH99" i="22"/>
  <c r="CG99" i="22"/>
  <c r="CD99" i="22"/>
  <c r="AT99" i="22"/>
  <c r="AW99" i="22"/>
  <c r="AF99" i="22"/>
  <c r="AM99" i="22"/>
  <c r="M99" i="22"/>
  <c r="K99" i="22"/>
  <c r="CM99" i="22"/>
  <c r="CB99" i="22"/>
  <c r="BY99" i="22"/>
  <c r="BQ99" i="22"/>
  <c r="BP99" i="22"/>
  <c r="AC99" i="22"/>
  <c r="AK99" i="22"/>
  <c r="J99" i="22"/>
  <c r="H99" i="22"/>
  <c r="CO99" i="22"/>
  <c r="AX99" i="22"/>
  <c r="AJ99" i="22"/>
  <c r="AO99" i="22"/>
  <c r="O99" i="22"/>
  <c r="F99" i="22"/>
  <c r="CI99" i="22"/>
  <c r="BO99" i="22"/>
  <c r="BA99" i="22"/>
  <c r="N99" i="22"/>
  <c r="BX99" i="22"/>
  <c r="BM99" i="22"/>
  <c r="AB99" i="22"/>
  <c r="L99" i="22"/>
  <c r="BS99" i="22"/>
  <c r="AV99" i="22"/>
  <c r="AQ99" i="22"/>
  <c r="G99" i="22"/>
  <c r="S99" i="22"/>
  <c r="CO115" i="22"/>
  <c r="CJ115" i="22"/>
  <c r="CB115" i="22"/>
  <c r="BW115" i="22"/>
  <c r="BV115" i="22"/>
  <c r="BU115" i="22"/>
  <c r="BA115" i="22"/>
  <c r="BJ115" i="22"/>
  <c r="BI115" i="22"/>
  <c r="BH115" i="22"/>
  <c r="BB115" i="22"/>
  <c r="BL115" i="22"/>
  <c r="AM115" i="22"/>
  <c r="V115" i="22"/>
  <c r="AL115" i="22"/>
  <c r="U115" i="22"/>
  <c r="S115" i="22"/>
  <c r="W115" i="22"/>
  <c r="N115" i="22"/>
  <c r="O115" i="22"/>
  <c r="K115" i="22"/>
  <c r="CM115" i="22"/>
  <c r="CN115" i="22"/>
  <c r="BX115" i="22"/>
  <c r="CD115" i="22"/>
  <c r="BY115" i="22"/>
  <c r="AW115" i="22"/>
  <c r="BQ115" i="22"/>
  <c r="AU115" i="22"/>
  <c r="AT115" i="22"/>
  <c r="AJ115" i="22"/>
  <c r="Z115" i="22"/>
  <c r="AG115" i="22"/>
  <c r="T115" i="22"/>
  <c r="AA115" i="22"/>
  <c r="CI115" i="22"/>
  <c r="CF115" i="22"/>
  <c r="BT115" i="22"/>
  <c r="BZ115" i="22"/>
  <c r="BO115" i="22"/>
  <c r="AS115" i="22"/>
  <c r="BM115" i="22"/>
  <c r="BD115" i="22"/>
  <c r="BP115" i="22"/>
  <c r="AF115" i="22"/>
  <c r="X115" i="22"/>
  <c r="AC115" i="22"/>
  <c r="AI115" i="22"/>
  <c r="CG115" i="22"/>
  <c r="BS115" i="22"/>
  <c r="BG115" i="22"/>
  <c r="AY115" i="22"/>
  <c r="AN115" i="22"/>
  <c r="AQ115" i="22"/>
  <c r="AK115" i="22"/>
  <c r="P115" i="22"/>
  <c r="M115" i="22"/>
  <c r="CL115" i="22"/>
  <c r="CP115" i="22"/>
  <c r="BN115" i="22"/>
  <c r="AV115" i="22"/>
  <c r="AH115" i="22"/>
  <c r="Y115" i="22"/>
  <c r="F115" i="22"/>
  <c r="G115" i="22"/>
  <c r="CA115" i="22"/>
  <c r="BC115" i="22"/>
  <c r="AO115" i="22"/>
  <c r="L115" i="22"/>
  <c r="Q115" i="22"/>
  <c r="BF115" i="22"/>
  <c r="J115" i="22"/>
  <c r="CQ115" i="22"/>
  <c r="CC115" i="22"/>
  <c r="AX115" i="22"/>
  <c r="AB115" i="22"/>
  <c r="H115" i="22"/>
  <c r="CK115" i="22"/>
  <c r="BK115" i="22"/>
  <c r="AZ115" i="22"/>
  <c r="AP115" i="22"/>
  <c r="I115" i="22"/>
  <c r="CH115" i="22"/>
  <c r="AD115" i="22"/>
  <c r="AN72" i="21"/>
  <c r="AN151" i="15" s="1"/>
  <c r="AO72" i="21"/>
  <c r="AO151" i="15" s="1"/>
  <c r="AO61" i="21"/>
  <c r="AO118" i="15" s="1"/>
  <c r="AN61" i="21"/>
  <c r="AN118" i="15" s="1"/>
  <c r="F11" i="22"/>
  <c r="P11" i="22"/>
  <c r="L11" i="22"/>
  <c r="N11" i="22"/>
  <c r="K11" i="22"/>
  <c r="I11" i="22"/>
  <c r="O11" i="22"/>
  <c r="J11" i="22"/>
  <c r="K7" i="22"/>
  <c r="AX30" i="21"/>
  <c r="BK30" i="21" s="1"/>
  <c r="AS33" i="21"/>
  <c r="AS48" i="15" s="1"/>
  <c r="AK39" i="15"/>
  <c r="AK45" i="15"/>
  <c r="AS29" i="21"/>
  <c r="BF29" i="21" s="1"/>
  <c r="AE27" i="15"/>
  <c r="AU24" i="21"/>
  <c r="BH24" i="21" s="1"/>
  <c r="AG90" i="15"/>
  <c r="AH74" i="21"/>
  <c r="AH157" i="15" s="1"/>
  <c r="AC81" i="21"/>
  <c r="AV38" i="21"/>
  <c r="BI38" i="21" s="1"/>
  <c r="AE65" i="21"/>
  <c r="AE130" i="15" s="1"/>
  <c r="AC65" i="21"/>
  <c r="AE90" i="15"/>
  <c r="AD67" i="21"/>
  <c r="AD136" i="15" s="1"/>
  <c r="AV72" i="15"/>
  <c r="AC83" i="21"/>
  <c r="BF18" i="15"/>
  <c r="AS87" i="15"/>
  <c r="AK78" i="15"/>
  <c r="AD48" i="15"/>
  <c r="AD30" i="15"/>
  <c r="AY28" i="21"/>
  <c r="BL28" i="21" s="1"/>
  <c r="AK84" i="15"/>
  <c r="AD75" i="15"/>
  <c r="BB39" i="21"/>
  <c r="BB75" i="21" s="1"/>
  <c r="BB160" i="15" s="1"/>
  <c r="AR33" i="21"/>
  <c r="AR48" i="15" s="1"/>
  <c r="AR47" i="21"/>
  <c r="BE47" i="21" s="1"/>
  <c r="BB23" i="21"/>
  <c r="BO23" i="21" s="1"/>
  <c r="AN84" i="15"/>
  <c r="AE42" i="15"/>
  <c r="BQ45" i="21"/>
  <c r="BQ84" i="15" s="1"/>
  <c r="AG84" i="15"/>
  <c r="AH66" i="21"/>
  <c r="AH133" i="15" s="1"/>
  <c r="AJ51" i="15"/>
  <c r="AZ37" i="21"/>
  <c r="BM37" i="21" s="1"/>
  <c r="BF46" i="21"/>
  <c r="BE82" i="21" s="1"/>
  <c r="BE181" i="15" s="1"/>
  <c r="AL42" i="15"/>
  <c r="AI75" i="15"/>
  <c r="AI57" i="15"/>
  <c r="AF72" i="21"/>
  <c r="AF151" i="15" s="1"/>
  <c r="BA54" i="15"/>
  <c r="AX45" i="21"/>
  <c r="AX84" i="15" s="1"/>
  <c r="AE51" i="15"/>
  <c r="AV30" i="21"/>
  <c r="AV39" i="15" s="1"/>
  <c r="AC72" i="21"/>
  <c r="AW34" i="21"/>
  <c r="AW51" i="15" s="1"/>
  <c r="AF48" i="15"/>
  <c r="AG66" i="15"/>
  <c r="AM12" i="15"/>
  <c r="AY31" i="21"/>
  <c r="BL31" i="21" s="1"/>
  <c r="AV42" i="21"/>
  <c r="AU78" i="21" s="1"/>
  <c r="AU169" i="15" s="1"/>
  <c r="BN35" i="21"/>
  <c r="BN54" i="15" s="1"/>
  <c r="AR34" i="21"/>
  <c r="BB37" i="21"/>
  <c r="AO60" i="15"/>
  <c r="AO73" i="21"/>
  <c r="AO154" i="15" s="1"/>
  <c r="AN73" i="21"/>
  <c r="AN154" i="15" s="1"/>
  <c r="AV33" i="21"/>
  <c r="AI48" i="15"/>
  <c r="AH69" i="21"/>
  <c r="AH142" i="15" s="1"/>
  <c r="BH43" i="21"/>
  <c r="AT79" i="21"/>
  <c r="AT172" i="15" s="1"/>
  <c r="BO33" i="21"/>
  <c r="BA69" i="21"/>
  <c r="BA142" i="15" s="1"/>
  <c r="BB69" i="21"/>
  <c r="BB142" i="15" s="1"/>
  <c r="CA23" i="21"/>
  <c r="BN18" i="15"/>
  <c r="BM59" i="21"/>
  <c r="BM112" i="15" s="1"/>
  <c r="BJ35" i="21"/>
  <c r="AV71" i="21"/>
  <c r="AV148" i="15" s="1"/>
  <c r="AC62" i="21"/>
  <c r="AT47" i="21"/>
  <c r="AT90" i="15" s="1"/>
  <c r="AP44" i="21"/>
  <c r="AN24" i="15"/>
  <c r="AX43" i="21"/>
  <c r="BK43" i="21" s="1"/>
  <c r="BX43" i="21" s="1"/>
  <c r="AZ33" i="21"/>
  <c r="BM33" i="21" s="1"/>
  <c r="AM65" i="21"/>
  <c r="AM130" i="15" s="1"/>
  <c r="AX81" i="15"/>
  <c r="AM48" i="15"/>
  <c r="AN36" i="15"/>
  <c r="AK57" i="15"/>
  <c r="BA25" i="21"/>
  <c r="AZ61" i="21" s="1"/>
  <c r="AZ118" i="15" s="1"/>
  <c r="AX36" i="21"/>
  <c r="BK36" i="21" s="1"/>
  <c r="AP36" i="21"/>
  <c r="AO66" i="15"/>
  <c r="BD33" i="21"/>
  <c r="BD48" i="15" s="1"/>
  <c r="AM60" i="15"/>
  <c r="AY27" i="15"/>
  <c r="H51" i="1"/>
  <c r="BL26" i="21"/>
  <c r="BK62" i="21" s="1"/>
  <c r="BK121" i="15" s="1"/>
  <c r="F79" i="16"/>
  <c r="AP33" i="21"/>
  <c r="AC27" i="15"/>
  <c r="AC81" i="15"/>
  <c r="AC175" i="15"/>
  <c r="AC121" i="15"/>
  <c r="BF22" i="21"/>
  <c r="BS22" i="21" s="1"/>
  <c r="AC78" i="21"/>
  <c r="AY39" i="15"/>
  <c r="AE18" i="15"/>
  <c r="AT45" i="21"/>
  <c r="AS81" i="21" s="1"/>
  <c r="AS178" i="15" s="1"/>
  <c r="BK44" i="21"/>
  <c r="BX44" i="21" s="1"/>
  <c r="BS23" i="21"/>
  <c r="BS18" i="15" s="1"/>
  <c r="AS31" i="21"/>
  <c r="BF31" i="21" s="1"/>
  <c r="AD12" i="15"/>
  <c r="BD44" i="21"/>
  <c r="BA40" i="21"/>
  <c r="AN69" i="15"/>
  <c r="AM76" i="21"/>
  <c r="AM163" i="15" s="1"/>
  <c r="AZ38" i="21"/>
  <c r="AM63" i="15"/>
  <c r="AL74" i="21"/>
  <c r="AL157" i="15" s="1"/>
  <c r="AZ46" i="21"/>
  <c r="AM87" i="15"/>
  <c r="AL82" i="21"/>
  <c r="AL181" i="15" s="1"/>
  <c r="AX34" i="21"/>
  <c r="AK51" i="15"/>
  <c r="AJ70" i="21"/>
  <c r="AJ145" i="15" s="1"/>
  <c r="AW32" i="21"/>
  <c r="AJ45" i="15"/>
  <c r="AI68" i="21"/>
  <c r="AI139" i="15" s="1"/>
  <c r="AU36" i="21"/>
  <c r="AH57" i="15"/>
  <c r="AG72" i="21"/>
  <c r="AG151" i="15" s="1"/>
  <c r="AT34" i="21"/>
  <c r="AF70" i="21"/>
  <c r="AF145" i="15" s="1"/>
  <c r="AG51" i="15"/>
  <c r="AS36" i="21"/>
  <c r="AE72" i="21"/>
  <c r="AE151" i="15" s="1"/>
  <c r="AF57" i="15"/>
  <c r="AE72" i="15"/>
  <c r="AC57" i="21"/>
  <c r="AE66" i="15"/>
  <c r="AF60" i="15"/>
  <c r="BM24" i="21"/>
  <c r="BM21" i="15" s="1"/>
  <c r="AC80" i="21"/>
  <c r="AJ87" i="15"/>
  <c r="AH70" i="21"/>
  <c r="AH145" i="15" s="1"/>
  <c r="BB22" i="21"/>
  <c r="AO15" i="15"/>
  <c r="AN58" i="21"/>
  <c r="AN109" i="15" s="1"/>
  <c r="AO58" i="21"/>
  <c r="AO109" i="15" s="1"/>
  <c r="CB30" i="21"/>
  <c r="BO39" i="15"/>
  <c r="BO66" i="21"/>
  <c r="BO133" i="15" s="1"/>
  <c r="BN66" i="21"/>
  <c r="BN133" i="15" s="1"/>
  <c r="BB38" i="21"/>
  <c r="AO63" i="15"/>
  <c r="AN74" i="21"/>
  <c r="AN157" i="15" s="1"/>
  <c r="AO74" i="21"/>
  <c r="AO157" i="15" s="1"/>
  <c r="BO46" i="21"/>
  <c r="BB87" i="15"/>
  <c r="BA82" i="21"/>
  <c r="BA181" i="15" s="1"/>
  <c r="BB82" i="21"/>
  <c r="BB181" i="15" s="1"/>
  <c r="AX22" i="21"/>
  <c r="AK15" i="15"/>
  <c r="AJ58" i="21"/>
  <c r="AJ109" i="15" s="1"/>
  <c r="AS32" i="21"/>
  <c r="AE68" i="21"/>
  <c r="AE139" i="15" s="1"/>
  <c r="AF45" i="15"/>
  <c r="AF24" i="15"/>
  <c r="AM18" i="15"/>
  <c r="BA36" i="21"/>
  <c r="AN57" i="15"/>
  <c r="AM72" i="21"/>
  <c r="AM151" i="15" s="1"/>
  <c r="BA44" i="21"/>
  <c r="AN81" i="15"/>
  <c r="AM80" i="21"/>
  <c r="AM175" i="15" s="1"/>
  <c r="BM42" i="21"/>
  <c r="AZ75" i="15"/>
  <c r="AY78" i="21"/>
  <c r="AY169" i="15" s="1"/>
  <c r="AY24" i="21"/>
  <c r="AL21" i="15"/>
  <c r="AK60" i="21"/>
  <c r="AK115" i="15" s="1"/>
  <c r="AY44" i="21"/>
  <c r="AL81" i="15"/>
  <c r="AK80" i="21"/>
  <c r="AK175" i="15" s="1"/>
  <c r="AX42" i="21"/>
  <c r="AJ78" i="21"/>
  <c r="AJ169" i="15" s="1"/>
  <c r="AK75" i="15"/>
  <c r="AU32" i="21"/>
  <c r="AH45" i="15"/>
  <c r="AG68" i="21"/>
  <c r="AG139" i="15" s="1"/>
  <c r="AT26" i="21"/>
  <c r="AG27" i="15"/>
  <c r="AF62" i="21"/>
  <c r="AF121" i="15" s="1"/>
  <c r="AS40" i="21"/>
  <c r="AF69" i="15"/>
  <c r="AE76" i="21"/>
  <c r="AE163" i="15" s="1"/>
  <c r="BB34" i="21"/>
  <c r="AO51" i="15"/>
  <c r="AO70" i="21"/>
  <c r="AO145" i="15" s="1"/>
  <c r="AN70" i="21"/>
  <c r="AN145" i="15" s="1"/>
  <c r="BA24" i="21"/>
  <c r="AN21" i="15"/>
  <c r="AM60" i="21"/>
  <c r="AM115" i="15" s="1"/>
  <c r="AY36" i="21"/>
  <c r="AK72" i="21"/>
  <c r="AK151" i="15" s="1"/>
  <c r="AL57" i="15"/>
  <c r="AX26" i="21"/>
  <c r="AJ62" i="21"/>
  <c r="AJ121" i="15" s="1"/>
  <c r="AK27" i="15"/>
  <c r="AW44" i="21"/>
  <c r="AI80" i="21"/>
  <c r="AI175" i="15" s="1"/>
  <c r="AC69" i="15"/>
  <c r="AC21" i="15"/>
  <c r="AC57" i="15"/>
  <c r="G57" i="30"/>
  <c r="J57" i="30"/>
  <c r="BN22" i="21"/>
  <c r="BA15" i="15"/>
  <c r="AZ58" i="21"/>
  <c r="AZ109" i="15" s="1"/>
  <c r="BI36" i="15"/>
  <c r="BN27" i="21"/>
  <c r="BA30" i="15"/>
  <c r="AZ63" i="21"/>
  <c r="AZ124" i="15" s="1"/>
  <c r="CM39" i="21"/>
  <c r="BZ66" i="15"/>
  <c r="BY75" i="21"/>
  <c r="BY160" i="15" s="1"/>
  <c r="CM47" i="21"/>
  <c r="BZ90" i="15"/>
  <c r="BY83" i="21"/>
  <c r="BY184" i="15" s="1"/>
  <c r="BK23" i="21"/>
  <c r="AX18" i="15"/>
  <c r="AW59" i="21"/>
  <c r="AW112" i="15" s="1"/>
  <c r="AQ36" i="21"/>
  <c r="AD57" i="15"/>
  <c r="O7" i="22"/>
  <c r="N7" i="22"/>
  <c r="L7" i="22"/>
  <c r="H7" i="22"/>
  <c r="J7" i="22"/>
  <c r="F7" i="22"/>
  <c r="Q7" i="22"/>
  <c r="I7" i="22"/>
  <c r="P7" i="22"/>
  <c r="M7" i="22"/>
  <c r="K44" i="22"/>
  <c r="X44" i="22" s="1"/>
  <c r="AK44" i="22" s="1"/>
  <c r="AX44" i="22" s="1"/>
  <c r="BK44" i="22" s="1"/>
  <c r="BX44" i="22" s="1"/>
  <c r="CK44" i="22" s="1"/>
  <c r="G44" i="22"/>
  <c r="T44" i="22" s="1"/>
  <c r="AG44" i="22" s="1"/>
  <c r="AT44" i="22" s="1"/>
  <c r="BG44" i="22" s="1"/>
  <c r="BT44" i="22" s="1"/>
  <c r="CG44" i="22" s="1"/>
  <c r="O44" i="22"/>
  <c r="AB44" i="22" s="1"/>
  <c r="AO44" i="22" s="1"/>
  <c r="BB44" i="22" s="1"/>
  <c r="BO44" i="22" s="1"/>
  <c r="CB44" i="22" s="1"/>
  <c r="CO44" i="22" s="1"/>
  <c r="L44" i="22"/>
  <c r="Y44" i="22" s="1"/>
  <c r="AL44" i="22" s="1"/>
  <c r="AY44" i="22" s="1"/>
  <c r="BL44" i="22" s="1"/>
  <c r="BY44" i="22" s="1"/>
  <c r="CL44" i="22" s="1"/>
  <c r="P44" i="22"/>
  <c r="AC44" i="22" s="1"/>
  <c r="AP44" i="22" s="1"/>
  <c r="BC44" i="22" s="1"/>
  <c r="BP44" i="22" s="1"/>
  <c r="CC44" i="22" s="1"/>
  <c r="CP44" i="22" s="1"/>
  <c r="H44" i="22"/>
  <c r="U44" i="22" s="1"/>
  <c r="AH44" i="22" s="1"/>
  <c r="AU44" i="22" s="1"/>
  <c r="BH44" i="22" s="1"/>
  <c r="BU44" i="22" s="1"/>
  <c r="CH44" i="22" s="1"/>
  <c r="Q22" i="22"/>
  <c r="AE22" i="22" s="1"/>
  <c r="AS22" i="22" s="1"/>
  <c r="BG22" i="22" s="1"/>
  <c r="BU22" i="22" s="1"/>
  <c r="CI22" i="22" s="1"/>
  <c r="CW22" i="22" s="1"/>
  <c r="M22" i="22"/>
  <c r="AA22" i="22" s="1"/>
  <c r="AO22" i="22" s="1"/>
  <c r="BC22" i="22" s="1"/>
  <c r="BQ22" i="22" s="1"/>
  <c r="CE22" i="22" s="1"/>
  <c r="CS22" i="22" s="1"/>
  <c r="K22" i="22"/>
  <c r="Y22" i="22" s="1"/>
  <c r="AM22" i="22" s="1"/>
  <c r="BA22" i="22" s="1"/>
  <c r="BO22" i="22" s="1"/>
  <c r="CC22" i="22" s="1"/>
  <c r="CQ22" i="22" s="1"/>
  <c r="I22" i="22"/>
  <c r="W22" i="22" s="1"/>
  <c r="AK22" i="22" s="1"/>
  <c r="AY22" i="22" s="1"/>
  <c r="BM22" i="22" s="1"/>
  <c r="CA22" i="22" s="1"/>
  <c r="CO22" i="22" s="1"/>
  <c r="J22" i="22"/>
  <c r="X22" i="22" s="1"/>
  <c r="AL22" i="22" s="1"/>
  <c r="AZ22" i="22" s="1"/>
  <c r="BN22" i="22" s="1"/>
  <c r="CB22" i="22" s="1"/>
  <c r="CP22" i="22" s="1"/>
  <c r="H22" i="22"/>
  <c r="V22" i="22" s="1"/>
  <c r="AJ22" i="22" s="1"/>
  <c r="AX22" i="22" s="1"/>
  <c r="BL22" i="22" s="1"/>
  <c r="BZ22" i="22" s="1"/>
  <c r="CN22" i="22" s="1"/>
  <c r="O22" i="22"/>
  <c r="AC22" i="22" s="1"/>
  <c r="AQ22" i="22" s="1"/>
  <c r="BE22" i="22" s="1"/>
  <c r="BS22" i="22" s="1"/>
  <c r="CG22" i="22" s="1"/>
  <c r="CU22" i="22" s="1"/>
  <c r="L22" i="22"/>
  <c r="Z22" i="22" s="1"/>
  <c r="AN22" i="22" s="1"/>
  <c r="BB22" i="22" s="1"/>
  <c r="BP22" i="22" s="1"/>
  <c r="CD22" i="22" s="1"/>
  <c r="CR22" i="22" s="1"/>
  <c r="G22" i="22"/>
  <c r="U22" i="22" s="1"/>
  <c r="AI22" i="22" s="1"/>
  <c r="AW22" i="22" s="1"/>
  <c r="BK22" i="22" s="1"/>
  <c r="BY22" i="22" s="1"/>
  <c r="CM22" i="22" s="1"/>
  <c r="F22" i="22"/>
  <c r="P22" i="22"/>
  <c r="AD22" i="22" s="1"/>
  <c r="AR22" i="22" s="1"/>
  <c r="BF22" i="22" s="1"/>
  <c r="BT22" i="22" s="1"/>
  <c r="CH22" i="22" s="1"/>
  <c r="CV22" i="22" s="1"/>
  <c r="N22" i="22"/>
  <c r="AB22" i="22" s="1"/>
  <c r="AP22" i="22" s="1"/>
  <c r="BD22" i="22" s="1"/>
  <c r="BR22" i="22" s="1"/>
  <c r="CF22" i="22" s="1"/>
  <c r="CT22" i="22" s="1"/>
  <c r="P21" i="22"/>
  <c r="AD21" i="22" s="1"/>
  <c r="AR21" i="22" s="1"/>
  <c r="BF21" i="22" s="1"/>
  <c r="BT21" i="22" s="1"/>
  <c r="CH21" i="22" s="1"/>
  <c r="CV21" i="22" s="1"/>
  <c r="J21" i="22"/>
  <c r="X21" i="22" s="1"/>
  <c r="AL21" i="22" s="1"/>
  <c r="AZ21" i="22" s="1"/>
  <c r="BN21" i="22" s="1"/>
  <c r="CB21" i="22" s="1"/>
  <c r="CP21" i="22" s="1"/>
  <c r="Q6" i="22"/>
  <c r="H6" i="22"/>
  <c r="L6" i="22"/>
  <c r="I6" i="22"/>
  <c r="P6" i="22"/>
  <c r="Q23" i="22"/>
  <c r="AE23" i="22" s="1"/>
  <c r="AS23" i="22" s="1"/>
  <c r="BG23" i="22" s="1"/>
  <c r="BU23" i="22" s="1"/>
  <c r="CI23" i="22" s="1"/>
  <c r="CW23" i="22" s="1"/>
  <c r="P23" i="22"/>
  <c r="AD23" i="22" s="1"/>
  <c r="AR23" i="22" s="1"/>
  <c r="BF23" i="22" s="1"/>
  <c r="BT23" i="22" s="1"/>
  <c r="CH23" i="22" s="1"/>
  <c r="CV23" i="22" s="1"/>
  <c r="J23" i="22"/>
  <c r="X23" i="22" s="1"/>
  <c r="AL23" i="22" s="1"/>
  <c r="AZ23" i="22" s="1"/>
  <c r="BN23" i="22" s="1"/>
  <c r="CB23" i="22" s="1"/>
  <c r="CP23" i="22" s="1"/>
  <c r="I23" i="22"/>
  <c r="W23" i="22" s="1"/>
  <c r="AK23" i="22" s="1"/>
  <c r="AY23" i="22" s="1"/>
  <c r="BM23" i="22" s="1"/>
  <c r="CA23" i="22" s="1"/>
  <c r="CO23" i="22" s="1"/>
  <c r="H23" i="22"/>
  <c r="V23" i="22" s="1"/>
  <c r="AJ23" i="22" s="1"/>
  <c r="AX23" i="22" s="1"/>
  <c r="BL23" i="22" s="1"/>
  <c r="BZ23" i="22" s="1"/>
  <c r="CN23" i="22" s="1"/>
  <c r="M23" i="22"/>
  <c r="AA23" i="22" s="1"/>
  <c r="AO23" i="22" s="1"/>
  <c r="BC23" i="22" s="1"/>
  <c r="BQ23" i="22" s="1"/>
  <c r="CE23" i="22" s="1"/>
  <c r="CS23" i="22" s="1"/>
  <c r="G23" i="22"/>
  <c r="U23" i="22" s="1"/>
  <c r="AI23" i="22" s="1"/>
  <c r="AW23" i="22" s="1"/>
  <c r="BK23" i="22" s="1"/>
  <c r="BY23" i="22" s="1"/>
  <c r="CM23" i="22" s="1"/>
  <c r="N23" i="22"/>
  <c r="AB23" i="22" s="1"/>
  <c r="AP23" i="22" s="1"/>
  <c r="BD23" i="22" s="1"/>
  <c r="BR23" i="22" s="1"/>
  <c r="CF23" i="22" s="1"/>
  <c r="CT23" i="22" s="1"/>
  <c r="K23" i="22"/>
  <c r="Y23" i="22" s="1"/>
  <c r="AM23" i="22" s="1"/>
  <c r="BA23" i="22" s="1"/>
  <c r="BO23" i="22" s="1"/>
  <c r="CC23" i="22" s="1"/>
  <c r="CQ23" i="22" s="1"/>
  <c r="O23" i="22"/>
  <c r="AC23" i="22" s="1"/>
  <c r="AQ23" i="22" s="1"/>
  <c r="BE23" i="22" s="1"/>
  <c r="BS23" i="22" s="1"/>
  <c r="CG23" i="22" s="1"/>
  <c r="CU23" i="22" s="1"/>
  <c r="L23" i="22"/>
  <c r="Z23" i="22" s="1"/>
  <c r="AN23" i="22" s="1"/>
  <c r="BB23" i="22" s="1"/>
  <c r="BP23" i="22" s="1"/>
  <c r="CD23" i="22" s="1"/>
  <c r="CR23" i="22" s="1"/>
  <c r="F23" i="22"/>
  <c r="C43" i="15"/>
  <c r="B54" i="16"/>
  <c r="H54" i="16" s="1"/>
  <c r="B89" i="16"/>
  <c r="H89" i="16" s="1"/>
  <c r="B18" i="16"/>
  <c r="H18" i="16" s="1"/>
  <c r="L50" i="22"/>
  <c r="Y50" i="22" s="1"/>
  <c r="AL50" i="22" s="1"/>
  <c r="AY50" i="22" s="1"/>
  <c r="BL50" i="22" s="1"/>
  <c r="BY50" i="22" s="1"/>
  <c r="CL50" i="22" s="1"/>
  <c r="P50" i="22"/>
  <c r="AC50" i="22" s="1"/>
  <c r="AP50" i="22" s="1"/>
  <c r="BC50" i="22" s="1"/>
  <c r="BP50" i="22" s="1"/>
  <c r="CC50" i="22" s="1"/>
  <c r="CP50" i="22" s="1"/>
  <c r="H50" i="22"/>
  <c r="U50" i="22" s="1"/>
  <c r="AH50" i="22" s="1"/>
  <c r="AU50" i="22" s="1"/>
  <c r="BH50" i="22" s="1"/>
  <c r="BU50" i="22" s="1"/>
  <c r="CH50" i="22" s="1"/>
  <c r="K50" i="22"/>
  <c r="X50" i="22" s="1"/>
  <c r="AK50" i="22" s="1"/>
  <c r="AX50" i="22" s="1"/>
  <c r="BK50" i="22" s="1"/>
  <c r="BX50" i="22" s="1"/>
  <c r="CK50" i="22" s="1"/>
  <c r="C67" i="15"/>
  <c r="B62" i="16"/>
  <c r="H62" i="16" s="1"/>
  <c r="B97" i="16"/>
  <c r="H97" i="16" s="1"/>
  <c r="B26" i="16"/>
  <c r="H26" i="16" s="1"/>
  <c r="C40" i="15"/>
  <c r="B88" i="16"/>
  <c r="H88" i="16" s="1"/>
  <c r="B53" i="16"/>
  <c r="H53" i="16" s="1"/>
  <c r="B17" i="16"/>
  <c r="H17" i="16" s="1"/>
  <c r="C31" i="15"/>
  <c r="B85" i="16"/>
  <c r="H85" i="16" s="1"/>
  <c r="B50" i="16"/>
  <c r="H50" i="16" s="1"/>
  <c r="B14" i="16"/>
  <c r="H14" i="16" s="1"/>
  <c r="C61" i="15"/>
  <c r="B24" i="16"/>
  <c r="H24" i="16" s="1"/>
  <c r="B95" i="16"/>
  <c r="H95" i="16" s="1"/>
  <c r="B60" i="16"/>
  <c r="H60" i="16" s="1"/>
  <c r="C13" i="15"/>
  <c r="B79" i="16"/>
  <c r="B44" i="16"/>
  <c r="H44" i="16" s="1"/>
  <c r="B8" i="16"/>
  <c r="H8" i="16" s="1"/>
  <c r="C58" i="15"/>
  <c r="B23" i="16"/>
  <c r="H23" i="16" s="1"/>
  <c r="B59" i="16"/>
  <c r="H59" i="16" s="1"/>
  <c r="B94" i="16"/>
  <c r="H94" i="16" s="1"/>
  <c r="C10" i="15"/>
  <c r="F49" i="4"/>
  <c r="D52" i="4" s="1"/>
  <c r="B43" i="16"/>
  <c r="H43" i="16" s="1"/>
  <c r="B78" i="16"/>
  <c r="B7" i="16"/>
  <c r="H7" i="16" s="1"/>
  <c r="H54" i="1"/>
  <c r="H69" i="1"/>
  <c r="H56" i="1"/>
  <c r="H57" i="1"/>
  <c r="F301" i="30"/>
  <c r="G301" i="30" s="1"/>
  <c r="F313" i="30"/>
  <c r="J313" i="30" s="1"/>
  <c r="E363" i="30"/>
  <c r="C363" i="30"/>
  <c r="H363" i="30"/>
  <c r="I363" i="30"/>
  <c r="D363" i="30"/>
  <c r="I331" i="30"/>
  <c r="C331" i="30"/>
  <c r="E331" i="30"/>
  <c r="D331" i="30"/>
  <c r="H331" i="30"/>
  <c r="D293" i="30"/>
  <c r="H293" i="30"/>
  <c r="C293" i="30"/>
  <c r="E293" i="30"/>
  <c r="I293" i="30"/>
  <c r="I261" i="30"/>
  <c r="H261" i="30"/>
  <c r="E261" i="30"/>
  <c r="C261" i="30"/>
  <c r="D261" i="30"/>
  <c r="E233" i="30"/>
  <c r="I233" i="30"/>
  <c r="C233" i="30"/>
  <c r="D233" i="30"/>
  <c r="H233" i="30"/>
  <c r="E158" i="30"/>
  <c r="I158" i="30"/>
  <c r="H158" i="30"/>
  <c r="D158" i="30"/>
  <c r="C158" i="30"/>
  <c r="E109" i="30"/>
  <c r="C109" i="30"/>
  <c r="I109" i="30"/>
  <c r="H109" i="30"/>
  <c r="D109" i="30"/>
  <c r="C79" i="30"/>
  <c r="D79" i="30"/>
  <c r="H79" i="30"/>
  <c r="E79" i="30"/>
  <c r="I79" i="30"/>
  <c r="C370" i="30"/>
  <c r="E370" i="30"/>
  <c r="D370" i="30"/>
  <c r="I370" i="30"/>
  <c r="H370" i="30"/>
  <c r="C338" i="30"/>
  <c r="H338" i="30"/>
  <c r="E338" i="30"/>
  <c r="I338" i="30"/>
  <c r="D338" i="30"/>
  <c r="C305" i="30"/>
  <c r="D305" i="30"/>
  <c r="H305" i="30"/>
  <c r="I305" i="30"/>
  <c r="E305" i="30"/>
  <c r="E268" i="30"/>
  <c r="H268" i="30"/>
  <c r="C268" i="30"/>
  <c r="I268" i="30"/>
  <c r="D268" i="30"/>
  <c r="E239" i="30"/>
  <c r="D239" i="30"/>
  <c r="H239" i="30"/>
  <c r="I239" i="30"/>
  <c r="C239" i="30"/>
  <c r="C187" i="30"/>
  <c r="E187" i="30"/>
  <c r="H187" i="30"/>
  <c r="I187" i="30"/>
  <c r="D187" i="30"/>
  <c r="C123" i="30"/>
  <c r="E123" i="30"/>
  <c r="I123" i="30"/>
  <c r="H123" i="30"/>
  <c r="D123" i="30"/>
  <c r="C49" i="30"/>
  <c r="I49" i="30"/>
  <c r="E49" i="30"/>
  <c r="D49" i="30"/>
  <c r="H49" i="30"/>
  <c r="D371" i="30"/>
  <c r="C371" i="30"/>
  <c r="I371" i="30"/>
  <c r="H371" i="30"/>
  <c r="E371" i="30"/>
  <c r="I339" i="30"/>
  <c r="D339" i="30"/>
  <c r="E339" i="30"/>
  <c r="H339" i="30"/>
  <c r="C339" i="30"/>
  <c r="H298" i="30"/>
  <c r="D298" i="30"/>
  <c r="C298" i="30"/>
  <c r="I298" i="30"/>
  <c r="E298" i="30"/>
  <c r="I269" i="30"/>
  <c r="H269" i="30"/>
  <c r="C269" i="30"/>
  <c r="D269" i="30"/>
  <c r="E269" i="30"/>
  <c r="C241" i="30"/>
  <c r="D241" i="30"/>
  <c r="I241" i="30"/>
  <c r="E241" i="30"/>
  <c r="H241" i="30"/>
  <c r="D201" i="30"/>
  <c r="I201" i="30"/>
  <c r="C201" i="30"/>
  <c r="E201" i="30"/>
  <c r="H201" i="30"/>
  <c r="E137" i="30"/>
  <c r="H137" i="30"/>
  <c r="C137" i="30"/>
  <c r="I137" i="30"/>
  <c r="D137" i="30"/>
  <c r="D86" i="30"/>
  <c r="C86" i="30"/>
  <c r="H86" i="30"/>
  <c r="I86" i="30"/>
  <c r="E86" i="30"/>
  <c r="E37" i="30"/>
  <c r="I37" i="30"/>
  <c r="D37" i="30"/>
  <c r="H37" i="30"/>
  <c r="C37" i="30"/>
  <c r="E369" i="30"/>
  <c r="C369" i="30"/>
  <c r="D369" i="30"/>
  <c r="I369" i="30"/>
  <c r="H369" i="30"/>
  <c r="I353" i="30"/>
  <c r="C353" i="30"/>
  <c r="E353" i="30"/>
  <c r="D353" i="30"/>
  <c r="H353" i="30"/>
  <c r="E337" i="30"/>
  <c r="H337" i="30"/>
  <c r="C337" i="30"/>
  <c r="D337" i="30"/>
  <c r="I337" i="30"/>
  <c r="D321" i="30"/>
  <c r="I321" i="30"/>
  <c r="E321" i="30"/>
  <c r="C321" i="30"/>
  <c r="H321" i="30"/>
  <c r="H306" i="30"/>
  <c r="I306" i="30"/>
  <c r="C306" i="30"/>
  <c r="E306" i="30"/>
  <c r="D306" i="30"/>
  <c r="I288" i="30"/>
  <c r="C288" i="30"/>
  <c r="H288" i="30"/>
  <c r="E288" i="30"/>
  <c r="D288" i="30"/>
  <c r="I272" i="30"/>
  <c r="H272" i="30"/>
  <c r="E272" i="30"/>
  <c r="C272" i="30"/>
  <c r="D272" i="30"/>
  <c r="D253" i="30"/>
  <c r="I253" i="30"/>
  <c r="E253" i="30"/>
  <c r="C253" i="30"/>
  <c r="H253" i="30"/>
  <c r="E237" i="30"/>
  <c r="C237" i="30"/>
  <c r="H237" i="30"/>
  <c r="D237" i="30"/>
  <c r="I237" i="30"/>
  <c r="E221" i="30"/>
  <c r="C221" i="30"/>
  <c r="H221" i="30"/>
  <c r="D221" i="30"/>
  <c r="I221" i="30"/>
  <c r="E198" i="30"/>
  <c r="C198" i="30"/>
  <c r="D198" i="30"/>
  <c r="I198" i="30"/>
  <c r="H198" i="30"/>
  <c r="E166" i="30"/>
  <c r="C166" i="30"/>
  <c r="I166" i="30"/>
  <c r="D166" i="30"/>
  <c r="H166" i="30"/>
  <c r="C134" i="30"/>
  <c r="E134" i="30"/>
  <c r="H134" i="30"/>
  <c r="D134" i="30"/>
  <c r="I134" i="30"/>
  <c r="D102" i="30"/>
  <c r="I102" i="30"/>
  <c r="H102" i="30"/>
  <c r="E102" i="30"/>
  <c r="C102" i="30"/>
  <c r="E69" i="30"/>
  <c r="D69" i="30"/>
  <c r="C69" i="30"/>
  <c r="H69" i="30"/>
  <c r="I69" i="30"/>
  <c r="I41" i="30"/>
  <c r="C41" i="30"/>
  <c r="D41" i="30"/>
  <c r="E41" i="30"/>
  <c r="H41" i="30"/>
  <c r="E364" i="30"/>
  <c r="C364" i="30"/>
  <c r="I364" i="30"/>
  <c r="H364" i="30"/>
  <c r="D364" i="30"/>
  <c r="I348" i="30"/>
  <c r="H348" i="30"/>
  <c r="E348" i="30"/>
  <c r="C348" i="30"/>
  <c r="D348" i="30"/>
  <c r="C332" i="30"/>
  <c r="D332" i="30"/>
  <c r="I332" i="30"/>
  <c r="E332" i="30"/>
  <c r="H332" i="30"/>
  <c r="C316" i="30"/>
  <c r="D316" i="30"/>
  <c r="I316" i="30"/>
  <c r="E316" i="30"/>
  <c r="H316" i="30"/>
  <c r="H300" i="30"/>
  <c r="C300" i="30"/>
  <c r="I300" i="30"/>
  <c r="E300" i="30"/>
  <c r="D300" i="30"/>
  <c r="C289" i="30"/>
  <c r="D289" i="30"/>
  <c r="E289" i="30"/>
  <c r="I289" i="30"/>
  <c r="H289" i="30"/>
  <c r="E273" i="30"/>
  <c r="I273" i="30"/>
  <c r="C273" i="30"/>
  <c r="H273" i="30"/>
  <c r="D273" i="30"/>
  <c r="I256" i="30"/>
  <c r="H256" i="30"/>
  <c r="C256" i="30"/>
  <c r="D256" i="30"/>
  <c r="E256" i="30"/>
  <c r="I240" i="30"/>
  <c r="C240" i="30"/>
  <c r="D240" i="30"/>
  <c r="H240" i="30"/>
  <c r="E240" i="30"/>
  <c r="C224" i="30"/>
  <c r="I224" i="30"/>
  <c r="H224" i="30"/>
  <c r="D224" i="30"/>
  <c r="E224" i="30"/>
  <c r="E211" i="30"/>
  <c r="D211" i="30"/>
  <c r="I211" i="30"/>
  <c r="C211" i="30"/>
  <c r="H211" i="30"/>
  <c r="E179" i="30"/>
  <c r="D179" i="30"/>
  <c r="C179" i="30"/>
  <c r="I179" i="30"/>
  <c r="H179" i="30"/>
  <c r="C147" i="30"/>
  <c r="I147" i="30"/>
  <c r="E147" i="30"/>
  <c r="H147" i="30"/>
  <c r="D147" i="30"/>
  <c r="C115" i="30"/>
  <c r="H115" i="30"/>
  <c r="I115" i="30"/>
  <c r="E115" i="30"/>
  <c r="D115" i="30"/>
  <c r="I76" i="30"/>
  <c r="H76" i="30"/>
  <c r="C76" i="30"/>
  <c r="E76" i="30"/>
  <c r="D76" i="30"/>
  <c r="C44" i="30"/>
  <c r="I44" i="30"/>
  <c r="E44" i="30"/>
  <c r="D44" i="30"/>
  <c r="H44" i="30"/>
  <c r="C19" i="30"/>
  <c r="D19" i="30"/>
  <c r="I19" i="30"/>
  <c r="E19" i="30"/>
  <c r="H19" i="30"/>
  <c r="C204" i="30"/>
  <c r="D204" i="30"/>
  <c r="E204" i="30"/>
  <c r="H204" i="30"/>
  <c r="I204" i="30"/>
  <c r="C188" i="30"/>
  <c r="H188" i="30"/>
  <c r="E188" i="30"/>
  <c r="D188" i="30"/>
  <c r="I188" i="30"/>
  <c r="C172" i="30"/>
  <c r="I172" i="30"/>
  <c r="H172" i="30"/>
  <c r="D172" i="30"/>
  <c r="E172" i="30"/>
  <c r="E156" i="30"/>
  <c r="D156" i="30"/>
  <c r="H156" i="30"/>
  <c r="C156" i="30"/>
  <c r="I156" i="30"/>
  <c r="C140" i="30"/>
  <c r="D140" i="30"/>
  <c r="I140" i="30"/>
  <c r="H140" i="30"/>
  <c r="E140" i="30"/>
  <c r="D124" i="30"/>
  <c r="I124" i="30"/>
  <c r="H124" i="30"/>
  <c r="C124" i="30"/>
  <c r="E124" i="30"/>
  <c r="E104" i="30"/>
  <c r="I104" i="30"/>
  <c r="H104" i="30"/>
  <c r="D104" i="30"/>
  <c r="C104" i="30"/>
  <c r="E89" i="30"/>
  <c r="H89" i="30"/>
  <c r="D89" i="30"/>
  <c r="I89" i="30"/>
  <c r="C89" i="30"/>
  <c r="D52" i="30"/>
  <c r="H52" i="30"/>
  <c r="C52" i="30"/>
  <c r="I52" i="30"/>
  <c r="E52" i="30"/>
  <c r="D25" i="30"/>
  <c r="H25" i="30"/>
  <c r="E25" i="30"/>
  <c r="C25" i="30"/>
  <c r="I25" i="30"/>
  <c r="E210" i="30"/>
  <c r="I210" i="30"/>
  <c r="C210" i="30"/>
  <c r="H210" i="30"/>
  <c r="D210" i="30"/>
  <c r="F210" i="30" s="1"/>
  <c r="C194" i="30"/>
  <c r="I194" i="30"/>
  <c r="E194" i="30"/>
  <c r="H194" i="30"/>
  <c r="D194" i="30"/>
  <c r="E178" i="30"/>
  <c r="H178" i="30"/>
  <c r="C178" i="30"/>
  <c r="D178" i="30"/>
  <c r="I178" i="30"/>
  <c r="E162" i="30"/>
  <c r="D162" i="30"/>
  <c r="I162" i="30"/>
  <c r="H162" i="30"/>
  <c r="C162" i="30"/>
  <c r="C146" i="30"/>
  <c r="H146" i="30"/>
  <c r="D146" i="30"/>
  <c r="E146" i="30"/>
  <c r="I146" i="30"/>
  <c r="C130" i="30"/>
  <c r="H130" i="30"/>
  <c r="E130" i="30"/>
  <c r="D130" i="30"/>
  <c r="I130" i="30"/>
  <c r="D114" i="30"/>
  <c r="E114" i="30"/>
  <c r="H114" i="30"/>
  <c r="I114" i="30"/>
  <c r="C114" i="30"/>
  <c r="C96" i="30"/>
  <c r="D96" i="30"/>
  <c r="I96" i="30"/>
  <c r="H96" i="30"/>
  <c r="E96" i="30"/>
  <c r="C85" i="30"/>
  <c r="E85" i="30"/>
  <c r="I85" i="30"/>
  <c r="H85" i="30"/>
  <c r="D85" i="30"/>
  <c r="I77" i="30"/>
  <c r="E77" i="30"/>
  <c r="H77" i="30"/>
  <c r="D77" i="30"/>
  <c r="C77" i="30"/>
  <c r="H63" i="30"/>
  <c r="E63" i="30"/>
  <c r="D63" i="30"/>
  <c r="I63" i="30"/>
  <c r="C63" i="30"/>
  <c r="C51" i="30"/>
  <c r="I51" i="30"/>
  <c r="E51" i="30"/>
  <c r="H51" i="30"/>
  <c r="D51" i="30"/>
  <c r="E38" i="30"/>
  <c r="D38" i="30"/>
  <c r="C38" i="30"/>
  <c r="H38" i="30"/>
  <c r="I38" i="30"/>
  <c r="C29" i="30"/>
  <c r="H29" i="30"/>
  <c r="E29" i="30"/>
  <c r="I29" i="30"/>
  <c r="D29" i="30"/>
  <c r="AP45" i="21"/>
  <c r="AP29" i="21"/>
  <c r="BJ30" i="21"/>
  <c r="AW39" i="15"/>
  <c r="AV66" i="21"/>
  <c r="AV133" i="15" s="1"/>
  <c r="AV31" i="21"/>
  <c r="AI42" i="15"/>
  <c r="AH67" i="21"/>
  <c r="AH136" i="15" s="1"/>
  <c r="BI39" i="21"/>
  <c r="AV66" i="15"/>
  <c r="AU75" i="21"/>
  <c r="AU160" i="15" s="1"/>
  <c r="AV47" i="21"/>
  <c r="AI90" i="15"/>
  <c r="AH83" i="21"/>
  <c r="AH184" i="15" s="1"/>
  <c r="AX37" i="21"/>
  <c r="AK60" i="15"/>
  <c r="AJ73" i="21"/>
  <c r="AJ154" i="15" s="1"/>
  <c r="BJ23" i="21"/>
  <c r="AW18" i="15"/>
  <c r="AV59" i="21"/>
  <c r="AV112" i="15" s="1"/>
  <c r="BJ31" i="21"/>
  <c r="AW42" i="15"/>
  <c r="AV67" i="21"/>
  <c r="AV136" i="15" s="1"/>
  <c r="BJ47" i="21"/>
  <c r="AV83" i="21"/>
  <c r="AV184" i="15" s="1"/>
  <c r="AV25" i="21"/>
  <c r="AI24" i="15"/>
  <c r="AH61" i="21"/>
  <c r="AH118" i="15" s="1"/>
  <c r="AT24" i="21"/>
  <c r="AG21" i="15"/>
  <c r="AF60" i="21"/>
  <c r="AF115" i="15" s="1"/>
  <c r="BI28" i="21"/>
  <c r="AV33" i="15"/>
  <c r="AU64" i="21"/>
  <c r="AU127" i="15" s="1"/>
  <c r="AU31" i="21"/>
  <c r="AH42" i="15"/>
  <c r="AG67" i="21"/>
  <c r="AG136" i="15" s="1"/>
  <c r="AU39" i="21"/>
  <c r="AH66" i="15"/>
  <c r="AG75" i="21"/>
  <c r="AG160" i="15" s="1"/>
  <c r="BH47" i="21"/>
  <c r="AU90" i="15"/>
  <c r="AT83" i="21"/>
  <c r="AT184" i="15" s="1"/>
  <c r="AT25" i="21"/>
  <c r="AG24" i="15"/>
  <c r="AF61" i="21"/>
  <c r="AF118" i="15" s="1"/>
  <c r="AT33" i="21"/>
  <c r="AG48" i="15"/>
  <c r="AF69" i="21"/>
  <c r="AF142" i="15" s="1"/>
  <c r="AS43" i="21"/>
  <c r="AF78" i="15"/>
  <c r="AE79" i="21"/>
  <c r="AE172" i="15" s="1"/>
  <c r="L24" i="22"/>
  <c r="Z24" i="22" s="1"/>
  <c r="AN24" i="22" s="1"/>
  <c r="BB24" i="22" s="1"/>
  <c r="BP24" i="22" s="1"/>
  <c r="CD24" i="22" s="1"/>
  <c r="CR24" i="22" s="1"/>
  <c r="P24" i="22"/>
  <c r="AD24" i="22" s="1"/>
  <c r="AR24" i="22" s="1"/>
  <c r="BF24" i="22" s="1"/>
  <c r="BT24" i="22" s="1"/>
  <c r="CH24" i="22" s="1"/>
  <c r="CV24" i="22" s="1"/>
  <c r="K24" i="22"/>
  <c r="Y24" i="22" s="1"/>
  <c r="AM24" i="22" s="1"/>
  <c r="BA24" i="22" s="1"/>
  <c r="BO24" i="22" s="1"/>
  <c r="CC24" i="22" s="1"/>
  <c r="CQ24" i="22" s="1"/>
  <c r="H24" i="22"/>
  <c r="V24" i="22" s="1"/>
  <c r="AJ24" i="22" s="1"/>
  <c r="AX24" i="22" s="1"/>
  <c r="BL24" i="22" s="1"/>
  <c r="BZ24" i="22" s="1"/>
  <c r="CN24" i="22" s="1"/>
  <c r="N16" i="22"/>
  <c r="Q16" i="22"/>
  <c r="P16" i="22"/>
  <c r="H16" i="22"/>
  <c r="M16" i="22"/>
  <c r="L16" i="22"/>
  <c r="O13" i="22"/>
  <c r="I13" i="22"/>
  <c r="P13" i="22"/>
  <c r="M13" i="22"/>
  <c r="J13" i="22"/>
  <c r="F13" i="22"/>
  <c r="L13" i="22"/>
  <c r="H13" i="22"/>
  <c r="Q13" i="22"/>
  <c r="N13" i="22"/>
  <c r="Q25" i="22"/>
  <c r="AE25" i="22" s="1"/>
  <c r="AS25" i="22" s="1"/>
  <c r="BG25" i="22" s="1"/>
  <c r="BU25" i="22" s="1"/>
  <c r="CI25" i="22" s="1"/>
  <c r="CW25" i="22" s="1"/>
  <c r="H25" i="22"/>
  <c r="V25" i="22" s="1"/>
  <c r="AJ25" i="22" s="1"/>
  <c r="AX25" i="22" s="1"/>
  <c r="BL25" i="22" s="1"/>
  <c r="BZ25" i="22" s="1"/>
  <c r="CN25" i="22" s="1"/>
  <c r="I25" i="22"/>
  <c r="W25" i="22" s="1"/>
  <c r="AK25" i="22" s="1"/>
  <c r="AY25" i="22" s="1"/>
  <c r="BM25" i="22" s="1"/>
  <c r="CA25" i="22" s="1"/>
  <c r="CO25" i="22" s="1"/>
  <c r="P25" i="22"/>
  <c r="AD25" i="22" s="1"/>
  <c r="AR25" i="22" s="1"/>
  <c r="BF25" i="22" s="1"/>
  <c r="BT25" i="22" s="1"/>
  <c r="CH25" i="22" s="1"/>
  <c r="CV25" i="22" s="1"/>
  <c r="H10" i="22"/>
  <c r="P10" i="22"/>
  <c r="K10" i="22"/>
  <c r="Q43" i="22"/>
  <c r="AD43" i="22" s="1"/>
  <c r="AQ43" i="22" s="1"/>
  <c r="BD43" i="22" s="1"/>
  <c r="BQ43" i="22" s="1"/>
  <c r="CD43" i="22" s="1"/>
  <c r="CQ43" i="22" s="1"/>
  <c r="P43" i="22"/>
  <c r="AC43" i="22" s="1"/>
  <c r="AP43" i="22" s="1"/>
  <c r="BC43" i="22" s="1"/>
  <c r="BP43" i="22" s="1"/>
  <c r="CC43" i="22" s="1"/>
  <c r="CP43" i="22" s="1"/>
  <c r="O43" i="22"/>
  <c r="AB43" i="22" s="1"/>
  <c r="AO43" i="22" s="1"/>
  <c r="BB43" i="22" s="1"/>
  <c r="BO43" i="22" s="1"/>
  <c r="CB43" i="22" s="1"/>
  <c r="CO43" i="22" s="1"/>
  <c r="N43" i="22"/>
  <c r="AA43" i="22" s="1"/>
  <c r="AN43" i="22" s="1"/>
  <c r="BA43" i="22" s="1"/>
  <c r="BN43" i="22" s="1"/>
  <c r="CA43" i="22" s="1"/>
  <c r="CN43" i="22" s="1"/>
  <c r="L43" i="22"/>
  <c r="Y43" i="22" s="1"/>
  <c r="AL43" i="22" s="1"/>
  <c r="AY43" i="22" s="1"/>
  <c r="BL43" i="22" s="1"/>
  <c r="BY43" i="22" s="1"/>
  <c r="CL43" i="22" s="1"/>
  <c r="K43" i="22"/>
  <c r="X43" i="22" s="1"/>
  <c r="AK43" i="22" s="1"/>
  <c r="AX43" i="22" s="1"/>
  <c r="BK43" i="22" s="1"/>
  <c r="BX43" i="22" s="1"/>
  <c r="CK43" i="22" s="1"/>
  <c r="I43" i="22"/>
  <c r="V43" i="22" s="1"/>
  <c r="AI43" i="22" s="1"/>
  <c r="AV43" i="22" s="1"/>
  <c r="BI43" i="22" s="1"/>
  <c r="BV43" i="22" s="1"/>
  <c r="CI43" i="22" s="1"/>
  <c r="H43" i="22"/>
  <c r="U43" i="22" s="1"/>
  <c r="AH43" i="22" s="1"/>
  <c r="AU43" i="22" s="1"/>
  <c r="BH43" i="22" s="1"/>
  <c r="BU43" i="22" s="1"/>
  <c r="CH43" i="22" s="1"/>
  <c r="G43" i="22"/>
  <c r="T43" i="22" s="1"/>
  <c r="AG43" i="22" s="1"/>
  <c r="AT43" i="22" s="1"/>
  <c r="BG43" i="22" s="1"/>
  <c r="BT43" i="22" s="1"/>
  <c r="CG43" i="22" s="1"/>
  <c r="F43" i="22"/>
  <c r="M43" i="22"/>
  <c r="Z43" i="22" s="1"/>
  <c r="AM43" i="22" s="1"/>
  <c r="AZ43" i="22" s="1"/>
  <c r="BM43" i="22" s="1"/>
  <c r="BZ43" i="22" s="1"/>
  <c r="CM43" i="22" s="1"/>
  <c r="J43" i="22"/>
  <c r="W43" i="22" s="1"/>
  <c r="AJ43" i="22" s="1"/>
  <c r="AW43" i="22" s="1"/>
  <c r="BJ43" i="22" s="1"/>
  <c r="BW43" i="22" s="1"/>
  <c r="CJ43" i="22" s="1"/>
  <c r="G39" i="22"/>
  <c r="T39" i="22" s="1"/>
  <c r="AG39" i="22" s="1"/>
  <c r="AT39" i="22" s="1"/>
  <c r="BG39" i="22" s="1"/>
  <c r="BT39" i="22" s="1"/>
  <c r="CG39" i="22" s="1"/>
  <c r="I39" i="22"/>
  <c r="V39" i="22" s="1"/>
  <c r="AI39" i="22" s="1"/>
  <c r="AV39" i="22" s="1"/>
  <c r="BI39" i="22" s="1"/>
  <c r="BV39" i="22" s="1"/>
  <c r="CI39" i="22" s="1"/>
  <c r="N39" i="22"/>
  <c r="AA39" i="22" s="1"/>
  <c r="AN39" i="22" s="1"/>
  <c r="BA39" i="22" s="1"/>
  <c r="BN39" i="22" s="1"/>
  <c r="CA39" i="22" s="1"/>
  <c r="CN39" i="22" s="1"/>
  <c r="M39" i="22"/>
  <c r="Z39" i="22" s="1"/>
  <c r="AM39" i="22" s="1"/>
  <c r="AZ39" i="22" s="1"/>
  <c r="BM39" i="22" s="1"/>
  <c r="BZ39" i="22" s="1"/>
  <c r="CM39" i="22" s="1"/>
  <c r="F39" i="22"/>
  <c r="S39" i="22" s="1"/>
  <c r="AF39" i="22" s="1"/>
  <c r="AS39" i="22" s="1"/>
  <c r="BF39" i="22" s="1"/>
  <c r="BS39" i="22" s="1"/>
  <c r="CF39" i="22" s="1"/>
  <c r="J39" i="22"/>
  <c r="W39" i="22" s="1"/>
  <c r="AJ39" i="22" s="1"/>
  <c r="AW39" i="22" s="1"/>
  <c r="BJ39" i="22" s="1"/>
  <c r="BW39" i="22" s="1"/>
  <c r="CJ39" i="22" s="1"/>
  <c r="L39" i="22"/>
  <c r="Y39" i="22" s="1"/>
  <c r="AL39" i="22" s="1"/>
  <c r="AY39" i="22" s="1"/>
  <c r="BL39" i="22" s="1"/>
  <c r="BY39" i="22" s="1"/>
  <c r="CL39" i="22" s="1"/>
  <c r="H39" i="22"/>
  <c r="U39" i="22" s="1"/>
  <c r="AH39" i="22" s="1"/>
  <c r="AU39" i="22" s="1"/>
  <c r="BH39" i="22" s="1"/>
  <c r="BU39" i="22" s="1"/>
  <c r="CH39" i="22" s="1"/>
  <c r="P39" i="22"/>
  <c r="AC39" i="22" s="1"/>
  <c r="AP39" i="22" s="1"/>
  <c r="BC39" i="22" s="1"/>
  <c r="BP39" i="22" s="1"/>
  <c r="CC39" i="22" s="1"/>
  <c r="CP39" i="22" s="1"/>
  <c r="Q39" i="22"/>
  <c r="AD39" i="22" s="1"/>
  <c r="AQ39" i="22" s="1"/>
  <c r="BD39" i="22" s="1"/>
  <c r="BQ39" i="22" s="1"/>
  <c r="CD39" i="22" s="1"/>
  <c r="CQ39" i="22" s="1"/>
  <c r="C19" i="15"/>
  <c r="B81" i="16"/>
  <c r="H81" i="16" s="1"/>
  <c r="B46" i="16"/>
  <c r="H46" i="16" s="1"/>
  <c r="B10" i="16"/>
  <c r="H10" i="16" s="1"/>
  <c r="C16" i="15"/>
  <c r="B80" i="16"/>
  <c r="H80" i="16" s="1"/>
  <c r="B9" i="16"/>
  <c r="H9" i="16" s="1"/>
  <c r="B45" i="16"/>
  <c r="H45" i="16" s="1"/>
  <c r="C7" i="15"/>
  <c r="B42" i="16"/>
  <c r="F5" i="4"/>
  <c r="B6" i="16"/>
  <c r="B77" i="16"/>
  <c r="C49" i="15"/>
  <c r="B91" i="16"/>
  <c r="H91" i="16" s="1"/>
  <c r="B56" i="16"/>
  <c r="H56" i="16" s="1"/>
  <c r="B20" i="16"/>
  <c r="H20" i="16" s="1"/>
  <c r="C94" i="15"/>
  <c r="B71" i="16"/>
  <c r="H71" i="16" s="1"/>
  <c r="B35" i="16"/>
  <c r="H35" i="16" s="1"/>
  <c r="B106" i="16"/>
  <c r="H106" i="16" s="1"/>
  <c r="C46" i="15"/>
  <c r="B55" i="16"/>
  <c r="H55" i="16" s="1"/>
  <c r="B19" i="16"/>
  <c r="H19" i="16" s="1"/>
  <c r="B90" i="16"/>
  <c r="H90" i="16" s="1"/>
  <c r="BO86" i="20"/>
  <c r="O86" i="20"/>
  <c r="B226" i="13" s="1"/>
  <c r="H47" i="1"/>
  <c r="H75" i="1"/>
  <c r="H61" i="1"/>
  <c r="A52" i="4"/>
  <c r="C52" i="19" s="1"/>
  <c r="F78" i="16"/>
  <c r="H50" i="1"/>
  <c r="H49" i="1"/>
  <c r="J292" i="30"/>
  <c r="F330" i="30"/>
  <c r="G330" i="30" s="1"/>
  <c r="E352" i="30"/>
  <c r="H352" i="30"/>
  <c r="I352" i="30"/>
  <c r="C352" i="30"/>
  <c r="D352" i="30"/>
  <c r="E320" i="30"/>
  <c r="I320" i="30"/>
  <c r="H320" i="30"/>
  <c r="C320" i="30"/>
  <c r="D320" i="30"/>
  <c r="E282" i="30"/>
  <c r="H282" i="30"/>
  <c r="D282" i="30"/>
  <c r="C282" i="30"/>
  <c r="I282" i="30"/>
  <c r="E254" i="30"/>
  <c r="H254" i="30"/>
  <c r="C254" i="30"/>
  <c r="D254" i="30"/>
  <c r="I254" i="30"/>
  <c r="E222" i="30"/>
  <c r="C222" i="30"/>
  <c r="D222" i="30"/>
  <c r="H222" i="30"/>
  <c r="I222" i="30"/>
  <c r="H153" i="30"/>
  <c r="C153" i="30"/>
  <c r="D153" i="30"/>
  <c r="E153" i="30"/>
  <c r="I153" i="30"/>
  <c r="D107" i="30"/>
  <c r="C107" i="30"/>
  <c r="I107" i="30"/>
  <c r="E107" i="30"/>
  <c r="H107" i="30"/>
  <c r="C65" i="30"/>
  <c r="D65" i="30"/>
  <c r="H65" i="30"/>
  <c r="E65" i="30"/>
  <c r="I65" i="30"/>
  <c r="C365" i="30"/>
  <c r="E365" i="30"/>
  <c r="I365" i="30"/>
  <c r="H365" i="30"/>
  <c r="D365" i="30"/>
  <c r="E333" i="30"/>
  <c r="D333" i="30"/>
  <c r="H333" i="30"/>
  <c r="I333" i="30"/>
  <c r="C333" i="30"/>
  <c r="E295" i="30"/>
  <c r="H295" i="30"/>
  <c r="D295" i="30"/>
  <c r="I295" i="30"/>
  <c r="C295" i="30"/>
  <c r="E263" i="30"/>
  <c r="I263" i="30"/>
  <c r="D263" i="30"/>
  <c r="H263" i="30"/>
  <c r="C263" i="30"/>
  <c r="E228" i="30"/>
  <c r="I228" i="30"/>
  <c r="C228" i="30"/>
  <c r="H228" i="30"/>
  <c r="D228" i="30"/>
  <c r="C160" i="30"/>
  <c r="E160" i="30"/>
  <c r="H160" i="30"/>
  <c r="I160" i="30"/>
  <c r="D160" i="30"/>
  <c r="I87" i="30"/>
  <c r="H87" i="30"/>
  <c r="E87" i="30"/>
  <c r="D87" i="30"/>
  <c r="C87" i="30"/>
  <c r="C32" i="30"/>
  <c r="E32" i="30"/>
  <c r="I32" i="30"/>
  <c r="H32" i="30"/>
  <c r="D32" i="30"/>
  <c r="E360" i="30"/>
  <c r="I360" i="30"/>
  <c r="D360" i="30"/>
  <c r="C360" i="30"/>
  <c r="H360" i="30"/>
  <c r="C328" i="30"/>
  <c r="H328" i="30"/>
  <c r="D328" i="30"/>
  <c r="I328" i="30"/>
  <c r="E328" i="30"/>
  <c r="C290" i="30"/>
  <c r="D290" i="30"/>
  <c r="I290" i="30"/>
  <c r="H290" i="30"/>
  <c r="E290" i="30"/>
  <c r="E258" i="30"/>
  <c r="H258" i="30"/>
  <c r="I258" i="30"/>
  <c r="C258" i="30"/>
  <c r="D258" i="30"/>
  <c r="C230" i="30"/>
  <c r="H230" i="30"/>
  <c r="E230" i="30"/>
  <c r="D230" i="30"/>
  <c r="I230" i="30"/>
  <c r="C174" i="30"/>
  <c r="I174" i="30"/>
  <c r="E174" i="30"/>
  <c r="D174" i="30"/>
  <c r="H174" i="30"/>
  <c r="C110" i="30"/>
  <c r="D110" i="30"/>
  <c r="H110" i="30"/>
  <c r="E110" i="30"/>
  <c r="I110" i="30"/>
  <c r="D72" i="30"/>
  <c r="H72" i="30"/>
  <c r="E72" i="30"/>
  <c r="I72" i="30"/>
  <c r="C72" i="30"/>
  <c r="C31" i="30"/>
  <c r="D31" i="30"/>
  <c r="H31" i="30"/>
  <c r="I31" i="30"/>
  <c r="E31" i="30"/>
  <c r="H366" i="30"/>
  <c r="D366" i="30"/>
  <c r="C366" i="30"/>
  <c r="I366" i="30"/>
  <c r="E366" i="30"/>
  <c r="H350" i="30"/>
  <c r="D350" i="30"/>
  <c r="E350" i="30"/>
  <c r="C350" i="30"/>
  <c r="I350" i="30"/>
  <c r="D334" i="30"/>
  <c r="H334" i="30"/>
  <c r="C334" i="30"/>
  <c r="I334" i="30"/>
  <c r="E334" i="30"/>
  <c r="H318" i="30"/>
  <c r="D318" i="30"/>
  <c r="C318" i="30"/>
  <c r="I318" i="30"/>
  <c r="E318" i="30"/>
  <c r="E304" i="30"/>
  <c r="D304" i="30"/>
  <c r="I304" i="30"/>
  <c r="C304" i="30"/>
  <c r="H304" i="30"/>
  <c r="E283" i="30"/>
  <c r="I283" i="30"/>
  <c r="C283" i="30"/>
  <c r="D283" i="30"/>
  <c r="H283" i="30"/>
  <c r="E267" i="30"/>
  <c r="H267" i="30"/>
  <c r="C267" i="30"/>
  <c r="I267" i="30"/>
  <c r="D267" i="30"/>
  <c r="D250" i="30"/>
  <c r="C250" i="30"/>
  <c r="I250" i="30"/>
  <c r="H250" i="30"/>
  <c r="E250" i="30"/>
  <c r="H234" i="30"/>
  <c r="D234" i="30"/>
  <c r="C234" i="30"/>
  <c r="I234" i="30"/>
  <c r="E234" i="30"/>
  <c r="C218" i="30"/>
  <c r="I218" i="30"/>
  <c r="H218" i="30"/>
  <c r="E218" i="30"/>
  <c r="D218" i="30"/>
  <c r="E193" i="30"/>
  <c r="I193" i="30"/>
  <c r="H193" i="30"/>
  <c r="C193" i="30"/>
  <c r="D193" i="30"/>
  <c r="C161" i="30"/>
  <c r="I161" i="30"/>
  <c r="E161" i="30"/>
  <c r="D161" i="30"/>
  <c r="H161" i="30"/>
  <c r="H129" i="30"/>
  <c r="E129" i="30"/>
  <c r="D129" i="30"/>
  <c r="C129" i="30"/>
  <c r="I129" i="30"/>
  <c r="I95" i="30"/>
  <c r="D95" i="30"/>
  <c r="C95" i="30"/>
  <c r="H95" i="30"/>
  <c r="E95" i="30"/>
  <c r="H60" i="30"/>
  <c r="C60" i="30"/>
  <c r="D60" i="30"/>
  <c r="I60" i="30"/>
  <c r="E60" i="30"/>
  <c r="E375" i="30"/>
  <c r="C375" i="30"/>
  <c r="I375" i="30"/>
  <c r="H375" i="30"/>
  <c r="D375" i="30"/>
  <c r="C359" i="30"/>
  <c r="E359" i="30"/>
  <c r="D359" i="30"/>
  <c r="I359" i="30"/>
  <c r="H359" i="30"/>
  <c r="E343" i="30"/>
  <c r="C343" i="30"/>
  <c r="I343" i="30"/>
  <c r="D343" i="30"/>
  <c r="H343" i="30"/>
  <c r="C327" i="30"/>
  <c r="E327" i="30"/>
  <c r="D327" i="30"/>
  <c r="H327" i="30"/>
  <c r="I327" i="30"/>
  <c r="E310" i="30"/>
  <c r="H310" i="30"/>
  <c r="D310" i="30"/>
  <c r="C310" i="30"/>
  <c r="I310" i="30"/>
  <c r="H299" i="30"/>
  <c r="I299" i="30"/>
  <c r="E299" i="30"/>
  <c r="D299" i="30"/>
  <c r="C299" i="30"/>
  <c r="H286" i="30"/>
  <c r="E286" i="30"/>
  <c r="D286" i="30"/>
  <c r="C286" i="30"/>
  <c r="I286" i="30"/>
  <c r="H270" i="30"/>
  <c r="C270" i="30"/>
  <c r="D270" i="30"/>
  <c r="E270" i="30"/>
  <c r="I270" i="30"/>
  <c r="C251" i="30"/>
  <c r="D251" i="30"/>
  <c r="E251" i="30"/>
  <c r="I251" i="30"/>
  <c r="H251" i="30"/>
  <c r="C235" i="30"/>
  <c r="E235" i="30"/>
  <c r="H235" i="30"/>
  <c r="I235" i="30"/>
  <c r="D235" i="30"/>
  <c r="C219" i="30"/>
  <c r="D219" i="30"/>
  <c r="E219" i="30"/>
  <c r="I219" i="30"/>
  <c r="H219" i="30"/>
  <c r="E200" i="30"/>
  <c r="C200" i="30"/>
  <c r="I200" i="30"/>
  <c r="H200" i="30"/>
  <c r="D200" i="30"/>
  <c r="E168" i="30"/>
  <c r="C168" i="30"/>
  <c r="D168" i="30"/>
  <c r="H168" i="30"/>
  <c r="I168" i="30"/>
  <c r="C136" i="30"/>
  <c r="E136" i="30"/>
  <c r="H136" i="30"/>
  <c r="I136" i="30"/>
  <c r="D136" i="30"/>
  <c r="C105" i="30"/>
  <c r="E105" i="30"/>
  <c r="D105" i="30"/>
  <c r="I105" i="30"/>
  <c r="H105" i="30"/>
  <c r="D62" i="30"/>
  <c r="H62" i="30"/>
  <c r="I62" i="30"/>
  <c r="E62" i="30"/>
  <c r="C62" i="30"/>
  <c r="I43" i="30"/>
  <c r="E43" i="30"/>
  <c r="H43" i="30"/>
  <c r="D43" i="30"/>
  <c r="C43" i="30"/>
  <c r="E215" i="30"/>
  <c r="D215" i="30"/>
  <c r="H215" i="30"/>
  <c r="C215" i="30"/>
  <c r="I215" i="30"/>
  <c r="E199" i="30"/>
  <c r="D199" i="30"/>
  <c r="H199" i="30"/>
  <c r="C199" i="30"/>
  <c r="I199" i="30"/>
  <c r="C183" i="30"/>
  <c r="D183" i="30"/>
  <c r="E183" i="30"/>
  <c r="I183" i="30"/>
  <c r="H183" i="30"/>
  <c r="E167" i="30"/>
  <c r="D167" i="30"/>
  <c r="I167" i="30"/>
  <c r="C167" i="30"/>
  <c r="H167" i="30"/>
  <c r="E151" i="30"/>
  <c r="D151" i="30"/>
  <c r="C151" i="30"/>
  <c r="I151" i="30"/>
  <c r="H151" i="30"/>
  <c r="E135" i="30"/>
  <c r="I135" i="30"/>
  <c r="H135" i="30"/>
  <c r="D135" i="30"/>
  <c r="C135" i="30"/>
  <c r="I119" i="30"/>
  <c r="C119" i="30"/>
  <c r="D119" i="30"/>
  <c r="H119" i="30"/>
  <c r="E119" i="30"/>
  <c r="C98" i="30"/>
  <c r="E98" i="30"/>
  <c r="H98" i="30"/>
  <c r="D98" i="30"/>
  <c r="I98" i="30"/>
  <c r="E75" i="30"/>
  <c r="D75" i="30"/>
  <c r="H75" i="30"/>
  <c r="I75" i="30"/>
  <c r="C75" i="30"/>
  <c r="E34" i="30"/>
  <c r="D34" i="30"/>
  <c r="I34" i="30"/>
  <c r="H34" i="30"/>
  <c r="C34" i="30"/>
  <c r="E20" i="30"/>
  <c r="I20" i="30"/>
  <c r="D20" i="30"/>
  <c r="H20" i="30"/>
  <c r="C20" i="30"/>
  <c r="C205" i="30"/>
  <c r="E205" i="30"/>
  <c r="D205" i="30"/>
  <c r="I205" i="30"/>
  <c r="H205" i="30"/>
  <c r="C189" i="30"/>
  <c r="E189" i="30"/>
  <c r="I189" i="30"/>
  <c r="H189" i="30"/>
  <c r="D189" i="30"/>
  <c r="C173" i="30"/>
  <c r="E173" i="30"/>
  <c r="H173" i="30"/>
  <c r="D173" i="30"/>
  <c r="I173" i="30"/>
  <c r="C157" i="30"/>
  <c r="E157" i="30"/>
  <c r="I157" i="30"/>
  <c r="H157" i="30"/>
  <c r="D157" i="30"/>
  <c r="E141" i="30"/>
  <c r="C141" i="30"/>
  <c r="D141" i="30"/>
  <c r="H141" i="30"/>
  <c r="I141" i="30"/>
  <c r="C125" i="30"/>
  <c r="H125" i="30"/>
  <c r="E125" i="30"/>
  <c r="I125" i="30"/>
  <c r="D125" i="30"/>
  <c r="C108" i="30"/>
  <c r="D108" i="30"/>
  <c r="E108" i="30"/>
  <c r="I108" i="30"/>
  <c r="H108" i="30"/>
  <c r="C94" i="30"/>
  <c r="D94" i="30"/>
  <c r="E94" i="30"/>
  <c r="H94" i="30"/>
  <c r="I94" i="30"/>
  <c r="D84" i="30"/>
  <c r="I84" i="30"/>
  <c r="H84" i="30"/>
  <c r="E84" i="30"/>
  <c r="C84" i="30"/>
  <c r="C73" i="30"/>
  <c r="I73" i="30"/>
  <c r="D73" i="30"/>
  <c r="H73" i="30"/>
  <c r="E73" i="30"/>
  <c r="E59" i="30"/>
  <c r="I59" i="30"/>
  <c r="C59" i="30"/>
  <c r="D59" i="30"/>
  <c r="H59" i="30"/>
  <c r="D47" i="30"/>
  <c r="E47" i="30"/>
  <c r="C47" i="30"/>
  <c r="I47" i="30"/>
  <c r="H47" i="30"/>
  <c r="E30" i="30"/>
  <c r="D30" i="30"/>
  <c r="C30" i="30"/>
  <c r="I30" i="30"/>
  <c r="H30" i="30"/>
  <c r="E48" i="30"/>
  <c r="D48" i="30"/>
  <c r="H48" i="30"/>
  <c r="C48" i="30"/>
  <c r="I48" i="30"/>
  <c r="E24" i="30"/>
  <c r="D24" i="30"/>
  <c r="H24" i="30"/>
  <c r="C24" i="30"/>
  <c r="I24" i="30"/>
  <c r="AQ12" i="15"/>
  <c r="BN46" i="21"/>
  <c r="BA87" i="15"/>
  <c r="AZ82" i="21"/>
  <c r="AZ181" i="15" s="1"/>
  <c r="CI37" i="21"/>
  <c r="BV60" i="15"/>
  <c r="BU73" i="21"/>
  <c r="BU154" i="15" s="1"/>
  <c r="BO25" i="21"/>
  <c r="BB24" i="15"/>
  <c r="BA61" i="21"/>
  <c r="BA118" i="15" s="1"/>
  <c r="BB61" i="21"/>
  <c r="BB118" i="15" s="1"/>
  <c r="CA43" i="21"/>
  <c r="BN78" i="15"/>
  <c r="BM79" i="21"/>
  <c r="BM172" i="15" s="1"/>
  <c r="BM43" i="21"/>
  <c r="AZ78" i="15"/>
  <c r="AY79" i="21"/>
  <c r="AY172" i="15" s="1"/>
  <c r="BL12" i="15"/>
  <c r="BK57" i="21"/>
  <c r="BK106" i="15" s="1"/>
  <c r="BX27" i="21"/>
  <c r="BK30" i="15"/>
  <c r="BJ63" i="21"/>
  <c r="BJ124" i="15" s="1"/>
  <c r="AR42" i="21"/>
  <c r="AE75" i="15"/>
  <c r="AD78" i="21"/>
  <c r="AD169" i="15" s="1"/>
  <c r="AQ40" i="21"/>
  <c r="AD69" i="15"/>
  <c r="BM31" i="21"/>
  <c r="AZ42" i="15"/>
  <c r="AY67" i="21"/>
  <c r="AY136" i="15" s="1"/>
  <c r="N19" i="22"/>
  <c r="AB19" i="22" s="1"/>
  <c r="AP19" i="22" s="1"/>
  <c r="BD19" i="22" s="1"/>
  <c r="BR19" i="22" s="1"/>
  <c r="CF19" i="22" s="1"/>
  <c r="CT19" i="22" s="1"/>
  <c r="P19" i="22"/>
  <c r="AD19" i="22" s="1"/>
  <c r="AR19" i="22" s="1"/>
  <c r="BF19" i="22" s="1"/>
  <c r="BT19" i="22" s="1"/>
  <c r="CH19" i="22" s="1"/>
  <c r="CV19" i="22" s="1"/>
  <c r="L19" i="22"/>
  <c r="Z19" i="22" s="1"/>
  <c r="AN19" i="22" s="1"/>
  <c r="BB19" i="22" s="1"/>
  <c r="BP19" i="22" s="1"/>
  <c r="CD19" i="22" s="1"/>
  <c r="CR19" i="22" s="1"/>
  <c r="H19" i="22"/>
  <c r="V19" i="22" s="1"/>
  <c r="AJ19" i="22" s="1"/>
  <c r="AX19" i="22" s="1"/>
  <c r="BL19" i="22" s="1"/>
  <c r="BZ19" i="22" s="1"/>
  <c r="CN19" i="22" s="1"/>
  <c r="Q19" i="22"/>
  <c r="AE19" i="22" s="1"/>
  <c r="AS19" i="22" s="1"/>
  <c r="BG19" i="22" s="1"/>
  <c r="BU19" i="22" s="1"/>
  <c r="CI19" i="22" s="1"/>
  <c r="CW19" i="22" s="1"/>
  <c r="I19" i="22"/>
  <c r="W19" i="22" s="1"/>
  <c r="AK19" i="22" s="1"/>
  <c r="AY19" i="22" s="1"/>
  <c r="BM19" i="22" s="1"/>
  <c r="CA19" i="22" s="1"/>
  <c r="CO19" i="22" s="1"/>
  <c r="M19" i="22"/>
  <c r="AA19" i="22" s="1"/>
  <c r="AO19" i="22" s="1"/>
  <c r="BC19" i="22" s="1"/>
  <c r="BQ19" i="22" s="1"/>
  <c r="CE19" i="22" s="1"/>
  <c r="CS19" i="22" s="1"/>
  <c r="Q11" i="22"/>
  <c r="H11" i="22"/>
  <c r="L15" i="22"/>
  <c r="H15" i="22"/>
  <c r="P28" i="22"/>
  <c r="AD28" i="22" s="1"/>
  <c r="AR28" i="22" s="1"/>
  <c r="BF28" i="22" s="1"/>
  <c r="BT28" i="22" s="1"/>
  <c r="CH28" i="22" s="1"/>
  <c r="CV28" i="22" s="1"/>
  <c r="K28" i="22"/>
  <c r="Y28" i="22" s="1"/>
  <c r="AM28" i="22" s="1"/>
  <c r="BA28" i="22" s="1"/>
  <c r="BO28" i="22" s="1"/>
  <c r="CC28" i="22" s="1"/>
  <c r="CQ28" i="22" s="1"/>
  <c r="H28" i="22"/>
  <c r="V28" i="22" s="1"/>
  <c r="AJ28" i="22" s="1"/>
  <c r="AX28" i="22" s="1"/>
  <c r="BL28" i="22" s="1"/>
  <c r="BZ28" i="22" s="1"/>
  <c r="CN28" i="22" s="1"/>
  <c r="L28" i="22"/>
  <c r="Z28" i="22" s="1"/>
  <c r="AN28" i="22" s="1"/>
  <c r="BB28" i="22" s="1"/>
  <c r="BP28" i="22" s="1"/>
  <c r="CD28" i="22" s="1"/>
  <c r="CR28" i="22" s="1"/>
  <c r="G12" i="22"/>
  <c r="Q12" i="22"/>
  <c r="F12" i="22"/>
  <c r="L12" i="22"/>
  <c r="O48" i="22"/>
  <c r="AB48" i="22" s="1"/>
  <c r="AO48" i="22" s="1"/>
  <c r="BB48" i="22" s="1"/>
  <c r="BO48" i="22" s="1"/>
  <c r="CB48" i="22" s="1"/>
  <c r="CO48" i="22" s="1"/>
  <c r="L48" i="22"/>
  <c r="Y48" i="22" s="1"/>
  <c r="AL48" i="22" s="1"/>
  <c r="AY48" i="22" s="1"/>
  <c r="BL48" i="22" s="1"/>
  <c r="BY48" i="22" s="1"/>
  <c r="CL48" i="22" s="1"/>
  <c r="H48" i="22"/>
  <c r="U48" i="22" s="1"/>
  <c r="AH48" i="22" s="1"/>
  <c r="AU48" i="22" s="1"/>
  <c r="BH48" i="22" s="1"/>
  <c r="BU48" i="22" s="1"/>
  <c r="CH48" i="22" s="1"/>
  <c r="P48" i="22"/>
  <c r="AC48" i="22" s="1"/>
  <c r="AP48" i="22" s="1"/>
  <c r="BC48" i="22" s="1"/>
  <c r="BP48" i="22" s="1"/>
  <c r="CC48" i="22" s="1"/>
  <c r="CP48" i="22" s="1"/>
  <c r="I48" i="22"/>
  <c r="V48" i="22" s="1"/>
  <c r="AI48" i="22" s="1"/>
  <c r="AV48" i="22" s="1"/>
  <c r="BI48" i="22" s="1"/>
  <c r="BV48" i="22" s="1"/>
  <c r="CI48" i="22" s="1"/>
  <c r="F48" i="22"/>
  <c r="G48" i="22"/>
  <c r="T48" i="22" s="1"/>
  <c r="AG48" i="22" s="1"/>
  <c r="AT48" i="22" s="1"/>
  <c r="BG48" i="22" s="1"/>
  <c r="BT48" i="22" s="1"/>
  <c r="CG48" i="22" s="1"/>
  <c r="Q48" i="22"/>
  <c r="AD48" i="22" s="1"/>
  <c r="AQ48" i="22" s="1"/>
  <c r="BD48" i="22" s="1"/>
  <c r="BQ48" i="22" s="1"/>
  <c r="CD48" i="22" s="1"/>
  <c r="CQ48" i="22" s="1"/>
  <c r="N48" i="22"/>
  <c r="AA48" i="22" s="1"/>
  <c r="AN48" i="22" s="1"/>
  <c r="BA48" i="22" s="1"/>
  <c r="BN48" i="22" s="1"/>
  <c r="CA48" i="22" s="1"/>
  <c r="CN48" i="22" s="1"/>
  <c r="J48" i="22"/>
  <c r="W48" i="22" s="1"/>
  <c r="AJ48" i="22" s="1"/>
  <c r="AW48" i="22" s="1"/>
  <c r="BJ48" i="22" s="1"/>
  <c r="BW48" i="22" s="1"/>
  <c r="CJ48" i="22" s="1"/>
  <c r="M48" i="22"/>
  <c r="Z48" i="22" s="1"/>
  <c r="AM48" i="22" s="1"/>
  <c r="AZ48" i="22" s="1"/>
  <c r="BM48" i="22" s="1"/>
  <c r="BZ48" i="22" s="1"/>
  <c r="CM48" i="22" s="1"/>
  <c r="K48" i="22"/>
  <c r="X48" i="22" s="1"/>
  <c r="AK48" i="22" s="1"/>
  <c r="AX48" i="22" s="1"/>
  <c r="BK48" i="22" s="1"/>
  <c r="BX48" i="22" s="1"/>
  <c r="CK48" i="22" s="1"/>
  <c r="Q45" i="22"/>
  <c r="AD45" i="22" s="1"/>
  <c r="AQ45" i="22" s="1"/>
  <c r="BD45" i="22" s="1"/>
  <c r="BQ45" i="22" s="1"/>
  <c r="CD45" i="22" s="1"/>
  <c r="CQ45" i="22" s="1"/>
  <c r="P45" i="22"/>
  <c r="AC45" i="22" s="1"/>
  <c r="AP45" i="22" s="1"/>
  <c r="BC45" i="22" s="1"/>
  <c r="BP45" i="22" s="1"/>
  <c r="CC45" i="22" s="1"/>
  <c r="CP45" i="22" s="1"/>
  <c r="K45" i="22"/>
  <c r="X45" i="22" s="1"/>
  <c r="AK45" i="22" s="1"/>
  <c r="AX45" i="22" s="1"/>
  <c r="BK45" i="22" s="1"/>
  <c r="BX45" i="22" s="1"/>
  <c r="CK45" i="22" s="1"/>
  <c r="F45" i="22"/>
  <c r="O45" i="22"/>
  <c r="AB45" i="22" s="1"/>
  <c r="AO45" i="22" s="1"/>
  <c r="BB45" i="22" s="1"/>
  <c r="BO45" i="22" s="1"/>
  <c r="CB45" i="22" s="1"/>
  <c r="CO45" i="22" s="1"/>
  <c r="L45" i="22"/>
  <c r="Y45" i="22" s="1"/>
  <c r="AL45" i="22" s="1"/>
  <c r="AY45" i="22" s="1"/>
  <c r="BL45" i="22" s="1"/>
  <c r="BY45" i="22" s="1"/>
  <c r="CL45" i="22" s="1"/>
  <c r="I45" i="22"/>
  <c r="V45" i="22" s="1"/>
  <c r="AI45" i="22" s="1"/>
  <c r="AV45" i="22" s="1"/>
  <c r="BI45" i="22" s="1"/>
  <c r="BV45" i="22" s="1"/>
  <c r="CI45" i="22" s="1"/>
  <c r="G45" i="22"/>
  <c r="T45" i="22" s="1"/>
  <c r="AG45" i="22" s="1"/>
  <c r="AT45" i="22" s="1"/>
  <c r="BG45" i="22" s="1"/>
  <c r="BT45" i="22" s="1"/>
  <c r="CG45" i="22" s="1"/>
  <c r="M45" i="22"/>
  <c r="Z45" i="22" s="1"/>
  <c r="AM45" i="22" s="1"/>
  <c r="AZ45" i="22" s="1"/>
  <c r="BM45" i="22" s="1"/>
  <c r="BZ45" i="22" s="1"/>
  <c r="CM45" i="22" s="1"/>
  <c r="J45" i="22"/>
  <c r="W45" i="22" s="1"/>
  <c r="AJ45" i="22" s="1"/>
  <c r="AW45" i="22" s="1"/>
  <c r="BJ45" i="22" s="1"/>
  <c r="BW45" i="22" s="1"/>
  <c r="CJ45" i="22" s="1"/>
  <c r="H45" i="22"/>
  <c r="U45" i="22" s="1"/>
  <c r="AH45" i="22" s="1"/>
  <c r="AU45" i="22" s="1"/>
  <c r="BH45" i="22" s="1"/>
  <c r="BU45" i="22" s="1"/>
  <c r="CH45" i="22" s="1"/>
  <c r="N45" i="22"/>
  <c r="AA45" i="22" s="1"/>
  <c r="AN45" i="22" s="1"/>
  <c r="BA45" i="22" s="1"/>
  <c r="BN45" i="22" s="1"/>
  <c r="CA45" i="22" s="1"/>
  <c r="CN45" i="22" s="1"/>
  <c r="C76" i="15"/>
  <c r="B100" i="16"/>
  <c r="H100" i="16" s="1"/>
  <c r="B65" i="16"/>
  <c r="H65" i="16" s="1"/>
  <c r="B29" i="16"/>
  <c r="H29" i="16" s="1"/>
  <c r="C88" i="15"/>
  <c r="B104" i="16"/>
  <c r="H104" i="16" s="1"/>
  <c r="B69" i="16"/>
  <c r="H69" i="16" s="1"/>
  <c r="B33" i="16"/>
  <c r="H33" i="16" s="1"/>
  <c r="C79" i="15"/>
  <c r="B66" i="16"/>
  <c r="H66" i="16" s="1"/>
  <c r="B101" i="16"/>
  <c r="H101" i="16" s="1"/>
  <c r="B30" i="16"/>
  <c r="H30" i="16" s="1"/>
  <c r="C85" i="15"/>
  <c r="B103" i="16"/>
  <c r="H103" i="16" s="1"/>
  <c r="B32" i="16"/>
  <c r="H32" i="16" s="1"/>
  <c r="B68" i="16"/>
  <c r="H68" i="16" s="1"/>
  <c r="C37" i="15"/>
  <c r="B87" i="16"/>
  <c r="H87" i="16" s="1"/>
  <c r="B52" i="16"/>
  <c r="H52" i="16" s="1"/>
  <c r="B16" i="16"/>
  <c r="H16" i="16" s="1"/>
  <c r="C82" i="15"/>
  <c r="B67" i="16"/>
  <c r="H67" i="16" s="1"/>
  <c r="B102" i="16"/>
  <c r="H102" i="16" s="1"/>
  <c r="B31" i="16"/>
  <c r="H31" i="16" s="1"/>
  <c r="C34" i="15"/>
  <c r="B51" i="16"/>
  <c r="H51" i="16" s="1"/>
  <c r="B15" i="16"/>
  <c r="H15" i="16" s="1"/>
  <c r="B86" i="16"/>
  <c r="H86" i="16" s="1"/>
  <c r="H62" i="1"/>
  <c r="H71" i="1"/>
  <c r="H60" i="1"/>
  <c r="H58" i="1"/>
  <c r="H55" i="1"/>
  <c r="H70" i="1"/>
  <c r="D347" i="30"/>
  <c r="H347" i="30"/>
  <c r="E347" i="30"/>
  <c r="I347" i="30"/>
  <c r="C347" i="30"/>
  <c r="I315" i="30"/>
  <c r="C315" i="30"/>
  <c r="E315" i="30"/>
  <c r="D315" i="30"/>
  <c r="H315" i="30"/>
  <c r="D277" i="30"/>
  <c r="H277" i="30"/>
  <c r="E277" i="30"/>
  <c r="C277" i="30"/>
  <c r="I277" i="30"/>
  <c r="C249" i="30"/>
  <c r="D249" i="30"/>
  <c r="E249" i="30"/>
  <c r="I249" i="30"/>
  <c r="H249" i="30"/>
  <c r="E190" i="30"/>
  <c r="I190" i="30"/>
  <c r="H190" i="30"/>
  <c r="D190" i="30"/>
  <c r="C190" i="30"/>
  <c r="E126" i="30"/>
  <c r="H126" i="30"/>
  <c r="D126" i="30"/>
  <c r="I126" i="30"/>
  <c r="C126" i="30"/>
  <c r="E99" i="30"/>
  <c r="I99" i="30"/>
  <c r="H99" i="30"/>
  <c r="C99" i="30"/>
  <c r="D99" i="30"/>
  <c r="I54" i="30"/>
  <c r="D54" i="30"/>
  <c r="H54" i="30"/>
  <c r="E54" i="30"/>
  <c r="C54" i="30"/>
  <c r="E354" i="30"/>
  <c r="C354" i="30"/>
  <c r="D354" i="30"/>
  <c r="I354" i="30"/>
  <c r="H354" i="30"/>
  <c r="E322" i="30"/>
  <c r="H322" i="30"/>
  <c r="C322" i="30"/>
  <c r="D322" i="30"/>
  <c r="I322" i="30"/>
  <c r="C284" i="30"/>
  <c r="I284" i="30"/>
  <c r="H284" i="30"/>
  <c r="E284" i="30"/>
  <c r="D284" i="30"/>
  <c r="I255" i="30"/>
  <c r="E255" i="30"/>
  <c r="D255" i="30"/>
  <c r="H255" i="30"/>
  <c r="C255" i="30"/>
  <c r="D223" i="30"/>
  <c r="I223" i="30"/>
  <c r="H223" i="30"/>
  <c r="C223" i="30"/>
  <c r="E223" i="30"/>
  <c r="C155" i="30"/>
  <c r="E155" i="30"/>
  <c r="I155" i="30"/>
  <c r="H155" i="30"/>
  <c r="D155" i="30"/>
  <c r="C67" i="30"/>
  <c r="D67" i="30"/>
  <c r="H67" i="30"/>
  <c r="I67" i="30"/>
  <c r="E67" i="30"/>
  <c r="I26" i="30"/>
  <c r="C26" i="30"/>
  <c r="E26" i="30"/>
  <c r="D26" i="30"/>
  <c r="H26" i="30"/>
  <c r="D355" i="30"/>
  <c r="E355" i="30"/>
  <c r="C355" i="30"/>
  <c r="H355" i="30"/>
  <c r="I355" i="30"/>
  <c r="I323" i="30"/>
  <c r="E323" i="30"/>
  <c r="D323" i="30"/>
  <c r="H323" i="30"/>
  <c r="C323" i="30"/>
  <c r="I285" i="30"/>
  <c r="H285" i="30"/>
  <c r="E285" i="30"/>
  <c r="D285" i="30"/>
  <c r="C285" i="30"/>
  <c r="C257" i="30"/>
  <c r="E257" i="30"/>
  <c r="H257" i="30"/>
  <c r="D257" i="30"/>
  <c r="I257" i="30"/>
  <c r="C225" i="30"/>
  <c r="D225" i="30"/>
  <c r="H225" i="30"/>
  <c r="I225" i="30"/>
  <c r="E225" i="30"/>
  <c r="H169" i="30"/>
  <c r="C169" i="30"/>
  <c r="E169" i="30"/>
  <c r="D169" i="30"/>
  <c r="I169" i="30"/>
  <c r="C106" i="30"/>
  <c r="D106" i="30"/>
  <c r="E106" i="30"/>
  <c r="I106" i="30"/>
  <c r="H106" i="30"/>
  <c r="E45" i="30"/>
  <c r="H45" i="30"/>
  <c r="C45" i="30"/>
  <c r="D45" i="30"/>
  <c r="I45" i="30"/>
  <c r="I18" i="30"/>
  <c r="E18" i="30"/>
  <c r="C18" i="30"/>
  <c r="H18" i="30"/>
  <c r="D18" i="30"/>
  <c r="E361" i="30"/>
  <c r="D361" i="30"/>
  <c r="C361" i="30"/>
  <c r="H361" i="30"/>
  <c r="I361" i="30"/>
  <c r="D345" i="30"/>
  <c r="E345" i="30"/>
  <c r="H345" i="30"/>
  <c r="I345" i="30"/>
  <c r="C345" i="30"/>
  <c r="E329" i="30"/>
  <c r="D329" i="30"/>
  <c r="I329" i="30"/>
  <c r="C329" i="30"/>
  <c r="H329" i="30"/>
  <c r="D311" i="30"/>
  <c r="C311" i="30"/>
  <c r="H311" i="30"/>
  <c r="E311" i="30"/>
  <c r="I311" i="30"/>
  <c r="I296" i="30"/>
  <c r="H296" i="30"/>
  <c r="D296" i="30"/>
  <c r="E296" i="30"/>
  <c r="C296" i="30"/>
  <c r="I280" i="30"/>
  <c r="H280" i="30"/>
  <c r="D280" i="30"/>
  <c r="E280" i="30"/>
  <c r="C280" i="30"/>
  <c r="H264" i="30"/>
  <c r="D264" i="30"/>
  <c r="I264" i="30"/>
  <c r="C264" i="30"/>
  <c r="E264" i="30"/>
  <c r="E245" i="30"/>
  <c r="H245" i="30"/>
  <c r="D245" i="30"/>
  <c r="C245" i="30"/>
  <c r="I245" i="30"/>
  <c r="D229" i="30"/>
  <c r="C229" i="30"/>
  <c r="H229" i="30"/>
  <c r="E229" i="30"/>
  <c r="I229" i="30"/>
  <c r="C214" i="30"/>
  <c r="E214" i="30"/>
  <c r="H214" i="30"/>
  <c r="D214" i="30"/>
  <c r="I214" i="30"/>
  <c r="E182" i="30"/>
  <c r="C182" i="30"/>
  <c r="I182" i="30"/>
  <c r="H182" i="30"/>
  <c r="D182" i="30"/>
  <c r="E150" i="30"/>
  <c r="C150" i="30"/>
  <c r="D150" i="30"/>
  <c r="H150" i="30"/>
  <c r="I150" i="30"/>
  <c r="E118" i="30"/>
  <c r="C118" i="30"/>
  <c r="H118" i="30"/>
  <c r="D118" i="30"/>
  <c r="I118" i="30"/>
  <c r="H81" i="30"/>
  <c r="C81" i="30"/>
  <c r="D81" i="30"/>
  <c r="E81" i="30"/>
  <c r="I81" i="30"/>
  <c r="D50" i="30"/>
  <c r="H50" i="30"/>
  <c r="C50" i="30"/>
  <c r="I50" i="30"/>
  <c r="E50" i="30"/>
  <c r="F50" i="30" s="1"/>
  <c r="E372" i="30"/>
  <c r="H372" i="30"/>
  <c r="D372" i="30"/>
  <c r="C372" i="30"/>
  <c r="I372" i="30"/>
  <c r="C356" i="30"/>
  <c r="I356" i="30"/>
  <c r="H356" i="30"/>
  <c r="D356" i="30"/>
  <c r="E356" i="30"/>
  <c r="C340" i="30"/>
  <c r="D340" i="30"/>
  <c r="I340" i="30"/>
  <c r="H340" i="30"/>
  <c r="E340" i="30"/>
  <c r="I324" i="30"/>
  <c r="H324" i="30"/>
  <c r="C324" i="30"/>
  <c r="D324" i="30"/>
  <c r="E324" i="30"/>
  <c r="E307" i="30"/>
  <c r="I307" i="30"/>
  <c r="H307" i="30"/>
  <c r="D307" i="30"/>
  <c r="C307" i="30"/>
  <c r="C297" i="30"/>
  <c r="D297" i="30"/>
  <c r="I297" i="30"/>
  <c r="H297" i="30"/>
  <c r="E297" i="30"/>
  <c r="C281" i="30"/>
  <c r="D281" i="30"/>
  <c r="E281" i="30"/>
  <c r="I281" i="30"/>
  <c r="H281" i="30"/>
  <c r="C265" i="30"/>
  <c r="I265" i="30"/>
  <c r="E265" i="30"/>
  <c r="D265" i="30"/>
  <c r="H265" i="30"/>
  <c r="E248" i="30"/>
  <c r="I248" i="30"/>
  <c r="H248" i="30"/>
  <c r="C248" i="30"/>
  <c r="D248" i="30"/>
  <c r="I232" i="30"/>
  <c r="H232" i="30"/>
  <c r="C232" i="30"/>
  <c r="E232" i="30"/>
  <c r="D232" i="30"/>
  <c r="C217" i="30"/>
  <c r="I217" i="30"/>
  <c r="H217" i="30"/>
  <c r="E217" i="30"/>
  <c r="D217" i="30"/>
  <c r="E195" i="30"/>
  <c r="D195" i="30"/>
  <c r="I195" i="30"/>
  <c r="H195" i="30"/>
  <c r="C195" i="30"/>
  <c r="C163" i="30"/>
  <c r="H163" i="30"/>
  <c r="D163" i="30"/>
  <c r="I163" i="30"/>
  <c r="E163" i="30"/>
  <c r="E131" i="30"/>
  <c r="I131" i="30"/>
  <c r="D131" i="30"/>
  <c r="H131" i="30"/>
  <c r="C131" i="30"/>
  <c r="D83" i="30"/>
  <c r="I83" i="30"/>
  <c r="E83" i="30"/>
  <c r="H83" i="30"/>
  <c r="C83" i="30"/>
  <c r="C61" i="30"/>
  <c r="I61" i="30"/>
  <c r="E61" i="30"/>
  <c r="H61" i="30"/>
  <c r="D61" i="30"/>
  <c r="E27" i="30"/>
  <c r="C27" i="30"/>
  <c r="D27" i="30"/>
  <c r="H27" i="30"/>
  <c r="I27" i="30"/>
  <c r="E212" i="30"/>
  <c r="D212" i="30"/>
  <c r="I212" i="30"/>
  <c r="H212" i="30"/>
  <c r="C212" i="30"/>
  <c r="I196" i="30"/>
  <c r="H196" i="30"/>
  <c r="E196" i="30"/>
  <c r="D196" i="30"/>
  <c r="C196" i="30"/>
  <c r="I180" i="30"/>
  <c r="C180" i="30"/>
  <c r="D180" i="30"/>
  <c r="H180" i="30"/>
  <c r="E180" i="30"/>
  <c r="C164" i="30"/>
  <c r="H164" i="30"/>
  <c r="D164" i="30"/>
  <c r="E164" i="30"/>
  <c r="I164" i="30"/>
  <c r="C148" i="30"/>
  <c r="D148" i="30"/>
  <c r="I148" i="30"/>
  <c r="H148" i="30"/>
  <c r="E148" i="30"/>
  <c r="H132" i="30"/>
  <c r="E132" i="30"/>
  <c r="D132" i="30"/>
  <c r="C132" i="30"/>
  <c r="I132" i="30"/>
  <c r="I116" i="30"/>
  <c r="C116" i="30"/>
  <c r="D116" i="30"/>
  <c r="E116" i="30"/>
  <c r="H116" i="30"/>
  <c r="E97" i="30"/>
  <c r="H97" i="30"/>
  <c r="I97" i="30"/>
  <c r="C97" i="30"/>
  <c r="D97" i="30"/>
  <c r="E74" i="30"/>
  <c r="D74" i="30"/>
  <c r="I74" i="30"/>
  <c r="H74" i="30"/>
  <c r="C74" i="30"/>
  <c r="D33" i="30"/>
  <c r="E33" i="30"/>
  <c r="C33" i="30"/>
  <c r="I33" i="30"/>
  <c r="H33" i="30"/>
  <c r="C202" i="30"/>
  <c r="H202" i="30"/>
  <c r="E202" i="30"/>
  <c r="D202" i="30"/>
  <c r="I202" i="30"/>
  <c r="C186" i="30"/>
  <c r="H186" i="30"/>
  <c r="E186" i="30"/>
  <c r="D186" i="30"/>
  <c r="I186" i="30"/>
  <c r="C170" i="30"/>
  <c r="I170" i="30"/>
  <c r="E170" i="30"/>
  <c r="H170" i="30"/>
  <c r="D170" i="30"/>
  <c r="C154" i="30"/>
  <c r="E154" i="30"/>
  <c r="I154" i="30"/>
  <c r="H154" i="30"/>
  <c r="D154" i="30"/>
  <c r="E138" i="30"/>
  <c r="H138" i="30"/>
  <c r="C138" i="30"/>
  <c r="I138" i="30"/>
  <c r="D138" i="30"/>
  <c r="D122" i="30"/>
  <c r="C122" i="30"/>
  <c r="H122" i="30"/>
  <c r="E122" i="30"/>
  <c r="I122" i="30"/>
  <c r="E103" i="30"/>
  <c r="I103" i="30"/>
  <c r="H103" i="30"/>
  <c r="D103" i="30"/>
  <c r="C103" i="30"/>
  <c r="E92" i="30"/>
  <c r="I92" i="30"/>
  <c r="C92" i="30"/>
  <c r="H92" i="30"/>
  <c r="D92" i="30"/>
  <c r="C80" i="30"/>
  <c r="D80" i="30"/>
  <c r="I80" i="30"/>
  <c r="E80" i="30"/>
  <c r="H80" i="30"/>
  <c r="C71" i="30"/>
  <c r="I71" i="30"/>
  <c r="E71" i="30"/>
  <c r="D71" i="30"/>
  <c r="H71" i="30"/>
  <c r="I58" i="30"/>
  <c r="H58" i="30"/>
  <c r="E58" i="30"/>
  <c r="D58" i="30"/>
  <c r="C58" i="30"/>
  <c r="C42" i="30"/>
  <c r="H42" i="30"/>
  <c r="D42" i="30"/>
  <c r="E42" i="30"/>
  <c r="I42" i="30"/>
  <c r="C22" i="30"/>
  <c r="E22" i="30"/>
  <c r="I22" i="30"/>
  <c r="H22" i="30"/>
  <c r="D22" i="30"/>
  <c r="E36" i="30"/>
  <c r="D36" i="30"/>
  <c r="C36" i="30"/>
  <c r="H36" i="30"/>
  <c r="I36" i="30"/>
  <c r="D23" i="30"/>
  <c r="I23" i="30"/>
  <c r="E23" i="30"/>
  <c r="H23" i="30"/>
  <c r="C23" i="30"/>
  <c r="F260" i="30"/>
  <c r="G260" i="30" s="1"/>
  <c r="BB55" i="20"/>
  <c r="AW22" i="21"/>
  <c r="AJ15" i="15"/>
  <c r="AI58" i="21"/>
  <c r="AI109" i="15" s="1"/>
  <c r="BV35" i="21"/>
  <c r="BI54" i="15"/>
  <c r="BH71" i="21"/>
  <c r="BH148" i="15" s="1"/>
  <c r="CI43" i="21"/>
  <c r="BU79" i="21"/>
  <c r="BU172" i="15" s="1"/>
  <c r="AH12" i="15"/>
  <c r="AG57" i="21"/>
  <c r="AG106" i="15" s="1"/>
  <c r="AW69" i="21"/>
  <c r="AW142" i="15" s="1"/>
  <c r="AX41" i="21"/>
  <c r="AK72" i="15"/>
  <c r="AJ77" i="21"/>
  <c r="AJ166" i="15" s="1"/>
  <c r="AW27" i="21"/>
  <c r="AJ30" i="15"/>
  <c r="AI63" i="21"/>
  <c r="AI124" i="15" s="1"/>
  <c r="BW43" i="21"/>
  <c r="BJ78" i="15"/>
  <c r="BI79" i="21"/>
  <c r="BI172" i="15" s="1"/>
  <c r="AV12" i="15"/>
  <c r="AU57" i="21"/>
  <c r="AU106" i="15" s="1"/>
  <c r="AU34" i="21"/>
  <c r="AH51" i="15"/>
  <c r="AG70" i="21"/>
  <c r="AG145" i="15" s="1"/>
  <c r="AT44" i="21"/>
  <c r="AG81" i="15"/>
  <c r="AF80" i="21"/>
  <c r="AF175" i="15" s="1"/>
  <c r="AU27" i="21"/>
  <c r="AH30" i="15"/>
  <c r="AG63" i="21"/>
  <c r="AG124" i="15" s="1"/>
  <c r="BH35" i="21"/>
  <c r="AU54" i="15"/>
  <c r="AT71" i="21"/>
  <c r="AT148" i="15" s="1"/>
  <c r="AT12" i="15"/>
  <c r="AS57" i="21"/>
  <c r="AS106" i="15" s="1"/>
  <c r="AT29" i="21"/>
  <c r="AG36" i="15"/>
  <c r="AF65" i="21"/>
  <c r="AF130" i="15" s="1"/>
  <c r="AQ47" i="21"/>
  <c r="AD90" i="15"/>
  <c r="J12" i="17"/>
  <c r="J43" i="17" s="1"/>
  <c r="H43" i="17"/>
  <c r="Q27" i="22"/>
  <c r="AE27" i="22" s="1"/>
  <c r="AS27" i="22" s="1"/>
  <c r="BG27" i="22" s="1"/>
  <c r="BU27" i="22" s="1"/>
  <c r="CI27" i="22" s="1"/>
  <c r="CW27" i="22" s="1"/>
  <c r="O27" i="22"/>
  <c r="AC27" i="22" s="1"/>
  <c r="AQ27" i="22" s="1"/>
  <c r="BE27" i="22" s="1"/>
  <c r="BS27" i="22" s="1"/>
  <c r="CG27" i="22" s="1"/>
  <c r="CU27" i="22" s="1"/>
  <c r="J27" i="22"/>
  <c r="X27" i="22" s="1"/>
  <c r="AL27" i="22" s="1"/>
  <c r="AZ27" i="22" s="1"/>
  <c r="BN27" i="22" s="1"/>
  <c r="CB27" i="22" s="1"/>
  <c r="CP27" i="22" s="1"/>
  <c r="F27" i="22"/>
  <c r="L27" i="22"/>
  <c r="Z27" i="22" s="1"/>
  <c r="AN27" i="22" s="1"/>
  <c r="BB27" i="22" s="1"/>
  <c r="BP27" i="22" s="1"/>
  <c r="CD27" i="22" s="1"/>
  <c r="CR27" i="22" s="1"/>
  <c r="H27" i="22"/>
  <c r="V27" i="22" s="1"/>
  <c r="AJ27" i="22" s="1"/>
  <c r="AX27" i="22" s="1"/>
  <c r="BL27" i="22" s="1"/>
  <c r="BZ27" i="22" s="1"/>
  <c r="CN27" i="22" s="1"/>
  <c r="G27" i="22"/>
  <c r="U27" i="22" s="1"/>
  <c r="AI27" i="22" s="1"/>
  <c r="AW27" i="22" s="1"/>
  <c r="BK27" i="22" s="1"/>
  <c r="BY27" i="22" s="1"/>
  <c r="CM27" i="22" s="1"/>
  <c r="P27" i="22"/>
  <c r="AD27" i="22" s="1"/>
  <c r="AR27" i="22" s="1"/>
  <c r="BF27" i="22" s="1"/>
  <c r="BT27" i="22" s="1"/>
  <c r="CH27" i="22" s="1"/>
  <c r="CV27" i="22" s="1"/>
  <c r="N27" i="22"/>
  <c r="AB27" i="22" s="1"/>
  <c r="AP27" i="22" s="1"/>
  <c r="BD27" i="22" s="1"/>
  <c r="BR27" i="22" s="1"/>
  <c r="CF27" i="22" s="1"/>
  <c r="CT27" i="22" s="1"/>
  <c r="I27" i="22"/>
  <c r="W27" i="22" s="1"/>
  <c r="AK27" i="22" s="1"/>
  <c r="AY27" i="22" s="1"/>
  <c r="BM27" i="22" s="1"/>
  <c r="CA27" i="22" s="1"/>
  <c r="CO27" i="22" s="1"/>
  <c r="M27" i="22"/>
  <c r="AA27" i="22" s="1"/>
  <c r="AO27" i="22" s="1"/>
  <c r="BC27" i="22" s="1"/>
  <c r="BQ27" i="22" s="1"/>
  <c r="CE27" i="22" s="1"/>
  <c r="CS27" i="22" s="1"/>
  <c r="K27" i="22"/>
  <c r="Y27" i="22" s="1"/>
  <c r="AM27" i="22" s="1"/>
  <c r="BA27" i="22" s="1"/>
  <c r="BO27" i="22" s="1"/>
  <c r="CC27" i="22" s="1"/>
  <c r="CQ27" i="22" s="1"/>
  <c r="O9" i="22"/>
  <c r="M9" i="22"/>
  <c r="J9" i="22"/>
  <c r="F9" i="22"/>
  <c r="L9" i="22"/>
  <c r="I9" i="22"/>
  <c r="H9" i="22"/>
  <c r="P9" i="22"/>
  <c r="G9" i="22"/>
  <c r="K9" i="22"/>
  <c r="Q49" i="22"/>
  <c r="AD49" i="22" s="1"/>
  <c r="AQ49" i="22" s="1"/>
  <c r="BD49" i="22" s="1"/>
  <c r="BQ49" i="22" s="1"/>
  <c r="CD49" i="22" s="1"/>
  <c r="CQ49" i="22" s="1"/>
  <c r="P49" i="22"/>
  <c r="AC49" i="22" s="1"/>
  <c r="AP49" i="22" s="1"/>
  <c r="BC49" i="22" s="1"/>
  <c r="BP49" i="22" s="1"/>
  <c r="CC49" i="22" s="1"/>
  <c r="CP49" i="22" s="1"/>
  <c r="K49" i="22"/>
  <c r="X49" i="22" s="1"/>
  <c r="AK49" i="22" s="1"/>
  <c r="AX49" i="22" s="1"/>
  <c r="BK49" i="22" s="1"/>
  <c r="BX49" i="22" s="1"/>
  <c r="CK49" i="22" s="1"/>
  <c r="H49" i="22"/>
  <c r="U49" i="22" s="1"/>
  <c r="AH49" i="22" s="1"/>
  <c r="AU49" i="22" s="1"/>
  <c r="BH49" i="22" s="1"/>
  <c r="BU49" i="22" s="1"/>
  <c r="CH49" i="22" s="1"/>
  <c r="N49" i="22"/>
  <c r="AA49" i="22" s="1"/>
  <c r="AN49" i="22" s="1"/>
  <c r="BA49" i="22" s="1"/>
  <c r="BN49" i="22" s="1"/>
  <c r="CA49" i="22" s="1"/>
  <c r="CN49" i="22" s="1"/>
  <c r="I49" i="22"/>
  <c r="V49" i="22" s="1"/>
  <c r="AI49" i="22" s="1"/>
  <c r="AV49" i="22" s="1"/>
  <c r="BI49" i="22" s="1"/>
  <c r="BV49" i="22" s="1"/>
  <c r="CI49" i="22" s="1"/>
  <c r="G49" i="22"/>
  <c r="T49" i="22" s="1"/>
  <c r="AG49" i="22" s="1"/>
  <c r="AT49" i="22" s="1"/>
  <c r="BG49" i="22" s="1"/>
  <c r="BT49" i="22" s="1"/>
  <c r="CG49" i="22" s="1"/>
  <c r="O49" i="22"/>
  <c r="AB49" i="22" s="1"/>
  <c r="AO49" i="22" s="1"/>
  <c r="BB49" i="22" s="1"/>
  <c r="BO49" i="22" s="1"/>
  <c r="CB49" i="22" s="1"/>
  <c r="CO49" i="22" s="1"/>
  <c r="L49" i="22"/>
  <c r="Y49" i="22" s="1"/>
  <c r="AL49" i="22" s="1"/>
  <c r="AY49" i="22" s="1"/>
  <c r="BL49" i="22" s="1"/>
  <c r="BY49" i="22" s="1"/>
  <c r="CL49" i="22" s="1"/>
  <c r="M49" i="22"/>
  <c r="Z49" i="22" s="1"/>
  <c r="AM49" i="22" s="1"/>
  <c r="AZ49" i="22" s="1"/>
  <c r="BM49" i="22" s="1"/>
  <c r="BZ49" i="22" s="1"/>
  <c r="CM49" i="22" s="1"/>
  <c r="J49" i="22"/>
  <c r="W49" i="22" s="1"/>
  <c r="AJ49" i="22" s="1"/>
  <c r="AW49" i="22" s="1"/>
  <c r="BJ49" i="22" s="1"/>
  <c r="BW49" i="22" s="1"/>
  <c r="CJ49" i="22" s="1"/>
  <c r="F49" i="22"/>
  <c r="N17" i="22"/>
  <c r="F17" i="22"/>
  <c r="J17" i="22"/>
  <c r="H17" i="22"/>
  <c r="P17" i="22"/>
  <c r="M17" i="22"/>
  <c r="K17" i="22"/>
  <c r="G17" i="22"/>
  <c r="Q17" i="22"/>
  <c r="O17" i="22"/>
  <c r="L17" i="22"/>
  <c r="I17" i="22"/>
  <c r="N20" i="22"/>
  <c r="AB20" i="22" s="1"/>
  <c r="AP20" i="22" s="1"/>
  <c r="BD20" i="22" s="1"/>
  <c r="BR20" i="22" s="1"/>
  <c r="CF20" i="22" s="1"/>
  <c r="CT20" i="22" s="1"/>
  <c r="P20" i="22"/>
  <c r="AD20" i="22" s="1"/>
  <c r="AR20" i="22" s="1"/>
  <c r="BF20" i="22" s="1"/>
  <c r="BT20" i="22" s="1"/>
  <c r="CH20" i="22" s="1"/>
  <c r="CV20" i="22" s="1"/>
  <c r="L20" i="22"/>
  <c r="Z20" i="22" s="1"/>
  <c r="AN20" i="22" s="1"/>
  <c r="BB20" i="22" s="1"/>
  <c r="BP20" i="22" s="1"/>
  <c r="CD20" i="22" s="1"/>
  <c r="CR20" i="22" s="1"/>
  <c r="F20" i="22"/>
  <c r="T20" i="22" s="1"/>
  <c r="AH20" i="22" s="1"/>
  <c r="AV20" i="22" s="1"/>
  <c r="BJ20" i="22" s="1"/>
  <c r="BX20" i="22" s="1"/>
  <c r="CL20" i="22" s="1"/>
  <c r="M20" i="22"/>
  <c r="AA20" i="22" s="1"/>
  <c r="AO20" i="22" s="1"/>
  <c r="BC20" i="22" s="1"/>
  <c r="BQ20" i="22" s="1"/>
  <c r="CE20" i="22" s="1"/>
  <c r="CS20" i="22" s="1"/>
  <c r="Q20" i="22"/>
  <c r="AE20" i="22" s="1"/>
  <c r="AS20" i="22" s="1"/>
  <c r="BG20" i="22" s="1"/>
  <c r="BU20" i="22" s="1"/>
  <c r="CI20" i="22" s="1"/>
  <c r="CW20" i="22" s="1"/>
  <c r="C91" i="15"/>
  <c r="B105" i="16"/>
  <c r="H105" i="16" s="1"/>
  <c r="B34" i="16"/>
  <c r="H34" i="16" s="1"/>
  <c r="B70" i="16"/>
  <c r="H70" i="16" s="1"/>
  <c r="C52" i="15"/>
  <c r="B92" i="16"/>
  <c r="H92" i="16" s="1"/>
  <c r="B57" i="16"/>
  <c r="H57" i="16" s="1"/>
  <c r="B21" i="16"/>
  <c r="H21" i="16" s="1"/>
  <c r="K46" i="22"/>
  <c r="X46" i="22" s="1"/>
  <c r="AK46" i="22" s="1"/>
  <c r="AX46" i="22" s="1"/>
  <c r="BK46" i="22" s="1"/>
  <c r="BX46" i="22" s="1"/>
  <c r="CK46" i="22" s="1"/>
  <c r="P46" i="22"/>
  <c r="AC46" i="22" s="1"/>
  <c r="AP46" i="22" s="1"/>
  <c r="BC46" i="22" s="1"/>
  <c r="BP46" i="22" s="1"/>
  <c r="CC46" i="22" s="1"/>
  <c r="CP46" i="22" s="1"/>
  <c r="H46" i="22"/>
  <c r="U46" i="22" s="1"/>
  <c r="AH46" i="22" s="1"/>
  <c r="AU46" i="22" s="1"/>
  <c r="BH46" i="22" s="1"/>
  <c r="BU46" i="22" s="1"/>
  <c r="CH46" i="22" s="1"/>
  <c r="L46" i="22"/>
  <c r="Y46" i="22" s="1"/>
  <c r="AL46" i="22" s="1"/>
  <c r="AY46" i="22" s="1"/>
  <c r="BL46" i="22" s="1"/>
  <c r="BY46" i="22" s="1"/>
  <c r="CL46" i="22" s="1"/>
  <c r="C28" i="15"/>
  <c r="B84" i="16"/>
  <c r="H84" i="16" s="1"/>
  <c r="B49" i="16"/>
  <c r="H49" i="16" s="1"/>
  <c r="B13" i="16"/>
  <c r="H13" i="16" s="1"/>
  <c r="C64" i="15"/>
  <c r="B96" i="16"/>
  <c r="H96" i="16" s="1"/>
  <c r="B61" i="16"/>
  <c r="H61" i="16" s="1"/>
  <c r="B25" i="16"/>
  <c r="H25" i="16" s="1"/>
  <c r="C55" i="15"/>
  <c r="B58" i="16"/>
  <c r="H58" i="16" s="1"/>
  <c r="B93" i="16"/>
  <c r="H93" i="16" s="1"/>
  <c r="B22" i="16"/>
  <c r="H22" i="16" s="1"/>
  <c r="C73" i="15"/>
  <c r="B28" i="16"/>
  <c r="H28" i="16" s="1"/>
  <c r="B99" i="16"/>
  <c r="H99" i="16" s="1"/>
  <c r="B64" i="16"/>
  <c r="H64" i="16" s="1"/>
  <c r="C25" i="15"/>
  <c r="B83" i="16"/>
  <c r="H83" i="16" s="1"/>
  <c r="B48" i="16"/>
  <c r="H48" i="16" s="1"/>
  <c r="B12" i="16"/>
  <c r="H12" i="16" s="1"/>
  <c r="C70" i="15"/>
  <c r="B27" i="16"/>
  <c r="H27" i="16" s="1"/>
  <c r="B63" i="16"/>
  <c r="H63" i="16" s="1"/>
  <c r="B98" i="16"/>
  <c r="H98" i="16" s="1"/>
  <c r="C22" i="15"/>
  <c r="B47" i="16"/>
  <c r="H47" i="16" s="1"/>
  <c r="B11" i="16"/>
  <c r="H11" i="16" s="1"/>
  <c r="B82" i="16"/>
  <c r="H82" i="16" s="1"/>
  <c r="G216" i="13"/>
  <c r="G242" i="13" s="1"/>
  <c r="H66" i="1"/>
  <c r="H64" i="1"/>
  <c r="H48" i="1"/>
  <c r="H63" i="1"/>
  <c r="H72" i="1"/>
  <c r="H59" i="1"/>
  <c r="E368" i="30"/>
  <c r="C368" i="30"/>
  <c r="I368" i="30"/>
  <c r="H368" i="30"/>
  <c r="D368" i="30"/>
  <c r="C336" i="30"/>
  <c r="I336" i="30"/>
  <c r="H336" i="30"/>
  <c r="D336" i="30"/>
  <c r="E336" i="30"/>
  <c r="H312" i="30"/>
  <c r="E312" i="30"/>
  <c r="I312" i="30"/>
  <c r="D312" i="30"/>
  <c r="C312" i="30"/>
  <c r="E266" i="30"/>
  <c r="H266" i="30"/>
  <c r="D266" i="30"/>
  <c r="C266" i="30"/>
  <c r="I266" i="30"/>
  <c r="C238" i="30"/>
  <c r="H238" i="30"/>
  <c r="E238" i="30"/>
  <c r="D238" i="30"/>
  <c r="I238" i="30"/>
  <c r="D185" i="30"/>
  <c r="I185" i="30"/>
  <c r="E185" i="30"/>
  <c r="H185" i="30"/>
  <c r="C185" i="30"/>
  <c r="D121" i="30"/>
  <c r="I121" i="30"/>
  <c r="E121" i="30"/>
  <c r="H121" i="30"/>
  <c r="C121" i="30"/>
  <c r="D93" i="30"/>
  <c r="C93" i="30"/>
  <c r="I93" i="30"/>
  <c r="H93" i="30"/>
  <c r="E93" i="30"/>
  <c r="C349" i="30"/>
  <c r="H349" i="30"/>
  <c r="D349" i="30"/>
  <c r="I349" i="30"/>
  <c r="E349" i="30"/>
  <c r="C317" i="30"/>
  <c r="D317" i="30"/>
  <c r="H317" i="30"/>
  <c r="E317" i="30"/>
  <c r="I317" i="30"/>
  <c r="C279" i="30"/>
  <c r="I279" i="30"/>
  <c r="H279" i="30"/>
  <c r="D279" i="30"/>
  <c r="E279" i="30"/>
  <c r="E244" i="30"/>
  <c r="I244" i="30"/>
  <c r="H244" i="30"/>
  <c r="D244" i="30"/>
  <c r="C244" i="30"/>
  <c r="E192" i="30"/>
  <c r="C192" i="30"/>
  <c r="H192" i="30"/>
  <c r="I192" i="30"/>
  <c r="D192" i="30"/>
  <c r="E128" i="30"/>
  <c r="D128" i="30"/>
  <c r="C128" i="30"/>
  <c r="I128" i="30"/>
  <c r="H128" i="30"/>
  <c r="I56" i="30"/>
  <c r="C56" i="30"/>
  <c r="E56" i="30"/>
  <c r="H56" i="30"/>
  <c r="D56" i="30"/>
  <c r="C376" i="30"/>
  <c r="I376" i="30"/>
  <c r="H376" i="30"/>
  <c r="E376" i="30"/>
  <c r="D376" i="30"/>
  <c r="C344" i="30"/>
  <c r="D344" i="30"/>
  <c r="I344" i="30"/>
  <c r="H344" i="30"/>
  <c r="E344" i="30"/>
  <c r="C308" i="30"/>
  <c r="I308" i="30"/>
  <c r="E308" i="30"/>
  <c r="H308" i="30"/>
  <c r="D308" i="30"/>
  <c r="C274" i="30"/>
  <c r="I274" i="30"/>
  <c r="H274" i="30"/>
  <c r="D274" i="30"/>
  <c r="E274" i="30"/>
  <c r="C246" i="30"/>
  <c r="E246" i="30"/>
  <c r="H246" i="30"/>
  <c r="D246" i="30"/>
  <c r="I246" i="30"/>
  <c r="E206" i="30"/>
  <c r="I206" i="30"/>
  <c r="H206" i="30"/>
  <c r="C206" i="30"/>
  <c r="D206" i="30"/>
  <c r="C142" i="30"/>
  <c r="I142" i="30"/>
  <c r="D142" i="30"/>
  <c r="E142" i="30"/>
  <c r="H142" i="30"/>
  <c r="I100" i="30"/>
  <c r="E100" i="30"/>
  <c r="D100" i="30"/>
  <c r="C100" i="30"/>
  <c r="H100" i="30"/>
  <c r="E40" i="30"/>
  <c r="I40" i="30"/>
  <c r="C40" i="30"/>
  <c r="H40" i="30"/>
  <c r="D40" i="30"/>
  <c r="F40" i="30" s="1"/>
  <c r="E374" i="30"/>
  <c r="C374" i="30"/>
  <c r="H374" i="30"/>
  <c r="D374" i="30"/>
  <c r="I374" i="30"/>
  <c r="E358" i="30"/>
  <c r="C358" i="30"/>
  <c r="I358" i="30"/>
  <c r="H358" i="30"/>
  <c r="D358" i="30"/>
  <c r="F358" i="30" s="1"/>
  <c r="H342" i="30"/>
  <c r="E342" i="30"/>
  <c r="C342" i="30"/>
  <c r="D342" i="30"/>
  <c r="I342" i="30"/>
  <c r="H326" i="30"/>
  <c r="E326" i="30"/>
  <c r="C326" i="30"/>
  <c r="D326" i="30"/>
  <c r="I326" i="30"/>
  <c r="D309" i="30"/>
  <c r="I309" i="30"/>
  <c r="H309" i="30"/>
  <c r="E309" i="30"/>
  <c r="C309" i="30"/>
  <c r="D291" i="30"/>
  <c r="C291" i="30"/>
  <c r="H291" i="30"/>
  <c r="I291" i="30"/>
  <c r="E291" i="30"/>
  <c r="D275" i="30"/>
  <c r="E275" i="30"/>
  <c r="I275" i="30"/>
  <c r="H275" i="30"/>
  <c r="C275" i="30"/>
  <c r="E259" i="30"/>
  <c r="H259" i="30"/>
  <c r="I259" i="30"/>
  <c r="C259" i="30"/>
  <c r="D259" i="30"/>
  <c r="F259" i="30" s="1"/>
  <c r="J259" i="30" s="1"/>
  <c r="H242" i="30"/>
  <c r="D242" i="30"/>
  <c r="I242" i="30"/>
  <c r="C242" i="30"/>
  <c r="E242" i="30"/>
  <c r="H226" i="30"/>
  <c r="C226" i="30"/>
  <c r="I226" i="30"/>
  <c r="E226" i="30"/>
  <c r="D226" i="30"/>
  <c r="E209" i="30"/>
  <c r="I209" i="30"/>
  <c r="H209" i="30"/>
  <c r="D209" i="30"/>
  <c r="C209" i="30"/>
  <c r="C177" i="30"/>
  <c r="D177" i="30"/>
  <c r="I177" i="30"/>
  <c r="H177" i="30"/>
  <c r="E177" i="30"/>
  <c r="C145" i="30"/>
  <c r="I145" i="30"/>
  <c r="E145" i="30"/>
  <c r="H145" i="30"/>
  <c r="D145" i="30"/>
  <c r="D113" i="30"/>
  <c r="I113" i="30"/>
  <c r="C113" i="30"/>
  <c r="E113" i="30"/>
  <c r="H113" i="30"/>
  <c r="D70" i="30"/>
  <c r="H70" i="30"/>
  <c r="C70" i="30"/>
  <c r="I70" i="30"/>
  <c r="E70" i="30"/>
  <c r="E46" i="30"/>
  <c r="C46" i="30"/>
  <c r="I46" i="30"/>
  <c r="D46" i="30"/>
  <c r="H46" i="30"/>
  <c r="C367" i="30"/>
  <c r="E367" i="30"/>
  <c r="I367" i="30"/>
  <c r="H367" i="30"/>
  <c r="D367" i="30"/>
  <c r="E351" i="30"/>
  <c r="D351" i="30"/>
  <c r="C351" i="30"/>
  <c r="I351" i="30"/>
  <c r="H351" i="30"/>
  <c r="E335" i="30"/>
  <c r="D335" i="30"/>
  <c r="C335" i="30"/>
  <c r="H335" i="30"/>
  <c r="I335" i="30"/>
  <c r="C319" i="30"/>
  <c r="E319" i="30"/>
  <c r="I319" i="30"/>
  <c r="H319" i="30"/>
  <c r="D319" i="30"/>
  <c r="C302" i="30"/>
  <c r="H302" i="30"/>
  <c r="E302" i="30"/>
  <c r="D302" i="30"/>
  <c r="I302" i="30"/>
  <c r="H294" i="30"/>
  <c r="C294" i="30"/>
  <c r="E294" i="30"/>
  <c r="D294" i="30"/>
  <c r="I294" i="30"/>
  <c r="H278" i="30"/>
  <c r="E278" i="30"/>
  <c r="C278" i="30"/>
  <c r="D278" i="30"/>
  <c r="I278" i="30"/>
  <c r="H262" i="30"/>
  <c r="E262" i="30"/>
  <c r="C262" i="30"/>
  <c r="D262" i="30"/>
  <c r="I262" i="30"/>
  <c r="E243" i="30"/>
  <c r="C243" i="30"/>
  <c r="I243" i="30"/>
  <c r="D243" i="30"/>
  <c r="H243" i="30"/>
  <c r="C227" i="30"/>
  <c r="E227" i="30"/>
  <c r="H227" i="30"/>
  <c r="I227" i="30"/>
  <c r="D227" i="30"/>
  <c r="E216" i="30"/>
  <c r="I216" i="30"/>
  <c r="H216" i="30"/>
  <c r="D216" i="30"/>
  <c r="C216" i="30"/>
  <c r="C184" i="30"/>
  <c r="E184" i="30"/>
  <c r="D184" i="30"/>
  <c r="H184" i="30"/>
  <c r="I184" i="30"/>
  <c r="C152" i="30"/>
  <c r="E152" i="30"/>
  <c r="D152" i="30"/>
  <c r="I152" i="30"/>
  <c r="H152" i="30"/>
  <c r="C120" i="30"/>
  <c r="D120" i="30"/>
  <c r="I120" i="30"/>
  <c r="E120" i="30"/>
  <c r="H120" i="30"/>
  <c r="C82" i="30"/>
  <c r="H82" i="30"/>
  <c r="E82" i="30"/>
  <c r="D82" i="30"/>
  <c r="I82" i="30"/>
  <c r="C53" i="30"/>
  <c r="I53" i="30"/>
  <c r="E53" i="30"/>
  <c r="H53" i="30"/>
  <c r="D53" i="30"/>
  <c r="D21" i="30"/>
  <c r="C21" i="30"/>
  <c r="E21" i="30"/>
  <c r="I21" i="30"/>
  <c r="H21" i="30"/>
  <c r="E207" i="30"/>
  <c r="D207" i="30"/>
  <c r="C207" i="30"/>
  <c r="H207" i="30"/>
  <c r="I207" i="30"/>
  <c r="E191" i="30"/>
  <c r="D191" i="30"/>
  <c r="C191" i="30"/>
  <c r="H191" i="30"/>
  <c r="I191" i="30"/>
  <c r="E175" i="30"/>
  <c r="D175" i="30"/>
  <c r="C175" i="30"/>
  <c r="I175" i="30"/>
  <c r="H175" i="30"/>
  <c r="C159" i="30"/>
  <c r="H159" i="30"/>
  <c r="E159" i="30"/>
  <c r="I159" i="30"/>
  <c r="D159" i="30"/>
  <c r="C143" i="30"/>
  <c r="D143" i="30"/>
  <c r="I143" i="30"/>
  <c r="E143" i="30"/>
  <c r="H143" i="30"/>
  <c r="I127" i="30"/>
  <c r="E127" i="30"/>
  <c r="D127" i="30"/>
  <c r="C127" i="30"/>
  <c r="H127" i="30"/>
  <c r="E111" i="30"/>
  <c r="D111" i="30"/>
  <c r="C111" i="30"/>
  <c r="H111" i="30"/>
  <c r="I111" i="30"/>
  <c r="E90" i="30"/>
  <c r="I90" i="30"/>
  <c r="D90" i="30"/>
  <c r="C90" i="30"/>
  <c r="H90" i="30"/>
  <c r="E68" i="30"/>
  <c r="C68" i="30"/>
  <c r="I68" i="30"/>
  <c r="D68" i="30"/>
  <c r="H68" i="30"/>
  <c r="D28" i="30"/>
  <c r="E28" i="30"/>
  <c r="I28" i="30"/>
  <c r="H28" i="30"/>
  <c r="C28" i="30"/>
  <c r="C213" i="30"/>
  <c r="E213" i="30"/>
  <c r="D213" i="30"/>
  <c r="I213" i="30"/>
  <c r="H213" i="30"/>
  <c r="C197" i="30"/>
  <c r="E197" i="30"/>
  <c r="I197" i="30"/>
  <c r="H197" i="30"/>
  <c r="D197" i="30"/>
  <c r="E181" i="30"/>
  <c r="C181" i="30"/>
  <c r="D181" i="30"/>
  <c r="I181" i="30"/>
  <c r="H181" i="30"/>
  <c r="E165" i="30"/>
  <c r="C165" i="30"/>
  <c r="H165" i="30"/>
  <c r="I165" i="30"/>
  <c r="D165" i="30"/>
  <c r="E149" i="30"/>
  <c r="C149" i="30"/>
  <c r="D149" i="30"/>
  <c r="H149" i="30"/>
  <c r="I149" i="30"/>
  <c r="E133" i="30"/>
  <c r="C133" i="30"/>
  <c r="H133" i="30"/>
  <c r="D133" i="30"/>
  <c r="I133" i="30"/>
  <c r="E117" i="30"/>
  <c r="H117" i="30"/>
  <c r="C117" i="30"/>
  <c r="D117" i="30"/>
  <c r="I117" i="30"/>
  <c r="C101" i="30"/>
  <c r="E101" i="30"/>
  <c r="D101" i="30"/>
  <c r="I101" i="30"/>
  <c r="H101" i="30"/>
  <c r="I91" i="30"/>
  <c r="H91" i="30"/>
  <c r="D91" i="30"/>
  <c r="C91" i="30"/>
  <c r="E91" i="30"/>
  <c r="E78" i="30"/>
  <c r="D78" i="30"/>
  <c r="C78" i="30"/>
  <c r="H78" i="30"/>
  <c r="I78" i="30"/>
  <c r="C64" i="30"/>
  <c r="I64" i="30"/>
  <c r="E64" i="30"/>
  <c r="D64" i="30"/>
  <c r="H64" i="30"/>
  <c r="C55" i="30"/>
  <c r="D55" i="30"/>
  <c r="H55" i="30"/>
  <c r="E55" i="30"/>
  <c r="I55" i="30"/>
  <c r="C39" i="30"/>
  <c r="H39" i="30"/>
  <c r="E39" i="30"/>
  <c r="D39" i="30"/>
  <c r="I39" i="30"/>
  <c r="D35" i="30"/>
  <c r="I35" i="30"/>
  <c r="H35" i="30"/>
  <c r="C35" i="30"/>
  <c r="E35" i="30"/>
  <c r="E17" i="30"/>
  <c r="C17" i="30"/>
  <c r="I17" i="30"/>
  <c r="H17" i="30"/>
  <c r="AO55" i="20"/>
  <c r="W38" i="20"/>
  <c r="W39" i="20" s="1"/>
  <c r="AC178" i="15"/>
  <c r="AC184" i="15"/>
  <c r="AC42" i="15"/>
  <c r="AC130" i="15"/>
  <c r="AC48" i="15"/>
  <c r="AC75" i="15"/>
  <c r="AC124" i="15"/>
  <c r="AC60" i="15"/>
  <c r="AC118" i="15"/>
  <c r="AC90" i="15"/>
  <c r="AC24" i="15"/>
  <c r="AC142" i="15"/>
  <c r="AC151" i="15"/>
  <c r="AC136" i="15"/>
  <c r="AC166" i="15"/>
  <c r="AC84" i="15"/>
  <c r="AC12" i="15"/>
  <c r="AC36" i="15"/>
  <c r="AC54" i="15"/>
  <c r="BB27" i="21"/>
  <c r="AO30" i="15"/>
  <c r="AN63" i="21"/>
  <c r="AN124" i="15" s="1"/>
  <c r="AO63" i="21"/>
  <c r="AO124" i="15" s="1"/>
  <c r="AY47" i="21"/>
  <c r="AL90" i="15"/>
  <c r="AK83" i="21"/>
  <c r="AK184" i="15" s="1"/>
  <c r="CD37" i="21"/>
  <c r="CD60" i="15" s="1"/>
  <c r="AC66" i="21"/>
  <c r="AD61" i="21"/>
  <c r="AD118" i="15" s="1"/>
  <c r="AD77" i="21"/>
  <c r="AD166" i="15" s="1"/>
  <c r="AC61" i="21"/>
  <c r="AC106" i="15"/>
  <c r="AC169" i="15"/>
  <c r="AE61" i="21"/>
  <c r="AE118" i="15" s="1"/>
  <c r="AP27" i="21"/>
  <c r="AP35" i="21"/>
  <c r="AC72" i="15"/>
  <c r="AC67" i="21"/>
  <c r="AM57" i="21"/>
  <c r="AM106" i="15" s="1"/>
  <c r="AC18" i="15"/>
  <c r="AZ23" i="21"/>
  <c r="AZ18" i="15" s="1"/>
  <c r="AS37" i="21"/>
  <c r="BF37" i="21" s="1"/>
  <c r="AP25" i="21"/>
  <c r="AI51" i="15"/>
  <c r="AZ30" i="21"/>
  <c r="AM39" i="15"/>
  <c r="AL66" i="21"/>
  <c r="AL133" i="15" s="1"/>
  <c r="AZ41" i="21"/>
  <c r="AM72" i="15"/>
  <c r="AL77" i="21"/>
  <c r="AL166" i="15" s="1"/>
  <c r="AY23" i="21"/>
  <c r="AL18" i="15"/>
  <c r="AK59" i="21"/>
  <c r="AK112" i="15" s="1"/>
  <c r="AY35" i="21"/>
  <c r="AL54" i="15"/>
  <c r="AK71" i="21"/>
  <c r="AK148" i="15" s="1"/>
  <c r="AW25" i="21"/>
  <c r="AJ24" i="15"/>
  <c r="AI61" i="21"/>
  <c r="AI118" i="15" s="1"/>
  <c r="AW45" i="21"/>
  <c r="AJ84" i="15"/>
  <c r="AI81" i="21"/>
  <c r="AI178" i="15" s="1"/>
  <c r="AV45" i="21"/>
  <c r="AH81" i="21"/>
  <c r="AH178" i="15" s="1"/>
  <c r="AI84" i="15"/>
  <c r="AU29" i="21"/>
  <c r="AH36" i="15"/>
  <c r="AG65" i="21"/>
  <c r="AG130" i="15" s="1"/>
  <c r="AU45" i="21"/>
  <c r="AH84" i="15"/>
  <c r="AG81" i="21"/>
  <c r="AG178" i="15" s="1"/>
  <c r="AT27" i="21"/>
  <c r="AG30" i="15"/>
  <c r="AF63" i="21"/>
  <c r="AF124" i="15" s="1"/>
  <c r="AF12" i="15"/>
  <c r="AE57" i="21"/>
  <c r="AE106" i="15" s="1"/>
  <c r="BB35" i="21"/>
  <c r="AO54" i="15"/>
  <c r="AN71" i="21"/>
  <c r="AN148" i="15" s="1"/>
  <c r="AO71" i="21"/>
  <c r="AO148" i="15" s="1"/>
  <c r="BB43" i="21"/>
  <c r="AO78" i="15"/>
  <c r="AO79" i="21"/>
  <c r="AO172" i="15" s="1"/>
  <c r="AN79" i="21"/>
  <c r="AN172" i="15" s="1"/>
  <c r="BA33" i="21"/>
  <c r="AN48" i="15"/>
  <c r="AM69" i="21"/>
  <c r="AM142" i="15" s="1"/>
  <c r="BA41" i="21"/>
  <c r="AN72" i="15"/>
  <c r="AM77" i="21"/>
  <c r="AM166" i="15" s="1"/>
  <c r="AZ45" i="21"/>
  <c r="AM84" i="15"/>
  <c r="AL81" i="21"/>
  <c r="AL178" i="15" s="1"/>
  <c r="AY39" i="21"/>
  <c r="AL66" i="15"/>
  <c r="AK75" i="21"/>
  <c r="AK160" i="15" s="1"/>
  <c r="AX25" i="21"/>
  <c r="AK24" i="15"/>
  <c r="AJ61" i="21"/>
  <c r="AJ118" i="15" s="1"/>
  <c r="AX47" i="21"/>
  <c r="AK90" i="15"/>
  <c r="AJ83" i="21"/>
  <c r="AW29" i="21"/>
  <c r="AJ36" i="15"/>
  <c r="AI65" i="21"/>
  <c r="AI130" i="15" s="1"/>
  <c r="AW37" i="21"/>
  <c r="AJ60" i="15"/>
  <c r="AI73" i="21"/>
  <c r="AI154" i="15" s="1"/>
  <c r="AU22" i="21"/>
  <c r="AH15" i="15"/>
  <c r="AG58" i="21"/>
  <c r="AG109" i="15" s="1"/>
  <c r="AU33" i="21"/>
  <c r="AH48" i="15"/>
  <c r="AG69" i="21"/>
  <c r="AG142" i="15" s="1"/>
  <c r="AT31" i="21"/>
  <c r="AG42" i="15"/>
  <c r="AF67" i="21"/>
  <c r="AF136" i="15" s="1"/>
  <c r="AC77" i="21"/>
  <c r="AC71" i="21"/>
  <c r="AC73" i="21"/>
  <c r="AP31" i="21"/>
  <c r="AP41" i="21"/>
  <c r="AN12" i="15"/>
  <c r="AC66" i="15"/>
  <c r="AJ68" i="21"/>
  <c r="AJ139" i="15" s="1"/>
  <c r="BB31" i="21"/>
  <c r="AO42" i="15"/>
  <c r="AN67" i="21"/>
  <c r="AN136" i="15" s="1"/>
  <c r="AO67" i="21"/>
  <c r="AO136" i="15" s="1"/>
  <c r="BB47" i="21"/>
  <c r="AO90" i="15"/>
  <c r="AO83" i="21"/>
  <c r="AO184" i="15" s="1"/>
  <c r="AN83" i="21"/>
  <c r="AN184" i="15" s="1"/>
  <c r="BA37" i="21"/>
  <c r="AN60" i="15"/>
  <c r="AM73" i="21"/>
  <c r="AM154" i="15" s="1"/>
  <c r="AZ26" i="21"/>
  <c r="AM27" i="15"/>
  <c r="AL62" i="21"/>
  <c r="AL121" i="15" s="1"/>
  <c r="AY43" i="21"/>
  <c r="AL78" i="15"/>
  <c r="AK79" i="21"/>
  <c r="AK172" i="15" s="1"/>
  <c r="AK12" i="15"/>
  <c r="AJ57" i="21"/>
  <c r="AJ106" i="15" s="1"/>
  <c r="AX29" i="21"/>
  <c r="AK36" i="15"/>
  <c r="AJ65" i="21"/>
  <c r="AJ130" i="15" s="1"/>
  <c r="BK39" i="21"/>
  <c r="AX66" i="15"/>
  <c r="AW75" i="21"/>
  <c r="AW160" i="15" s="1"/>
  <c r="AW33" i="21"/>
  <c r="AJ48" i="15"/>
  <c r="AI69" i="21"/>
  <c r="AI142" i="15" s="1"/>
  <c r="AW41" i="21"/>
  <c r="AJ72" i="15"/>
  <c r="AI77" i="21"/>
  <c r="AI166" i="15" s="1"/>
  <c r="AV27" i="21"/>
  <c r="AI30" i="15"/>
  <c r="AH63" i="21"/>
  <c r="AH124" i="15" s="1"/>
  <c r="AU41" i="21"/>
  <c r="AH72" i="15"/>
  <c r="AG77" i="21"/>
  <c r="AG166" i="15" s="1"/>
  <c r="AT35" i="21"/>
  <c r="AG54" i="15"/>
  <c r="AF71" i="21"/>
  <c r="AF148" i="15" s="1"/>
  <c r="AS44" i="21"/>
  <c r="AF81" i="15"/>
  <c r="AE80" i="21"/>
  <c r="AC79" i="21"/>
  <c r="AC148" i="15"/>
  <c r="AC154" i="15"/>
  <c r="AP47" i="21"/>
  <c r="AC30" i="15"/>
  <c r="AC69" i="21"/>
  <c r="AP21" i="21"/>
  <c r="AY27" i="21"/>
  <c r="AK63" i="21"/>
  <c r="AK124" i="15" s="1"/>
  <c r="AL30" i="15"/>
  <c r="AJ12" i="15"/>
  <c r="AI57" i="21"/>
  <c r="AI106" i="15" s="1"/>
  <c r="AV23" i="21"/>
  <c r="AI18" i="15"/>
  <c r="AH59" i="21"/>
  <c r="AH112" i="15" s="1"/>
  <c r="AU25" i="21"/>
  <c r="AG61" i="21"/>
  <c r="AG118" i="15" s="1"/>
  <c r="AH24" i="15"/>
  <c r="AU37" i="21"/>
  <c r="AH60" i="15"/>
  <c r="AG73" i="21"/>
  <c r="AG154" i="15" s="1"/>
  <c r="AT23" i="21"/>
  <c r="AG18" i="15"/>
  <c r="AF59" i="21"/>
  <c r="AF112" i="15" s="1"/>
  <c r="J71" i="4"/>
  <c r="K71" i="4" s="1"/>
  <c r="E19" i="26"/>
  <c r="AA67" i="20" s="1"/>
  <c r="AA68" i="20" s="1"/>
  <c r="J79" i="4"/>
  <c r="K79" i="4" s="1"/>
  <c r="J130" i="4"/>
  <c r="K130" i="4" s="1"/>
  <c r="J115" i="4"/>
  <c r="K115" i="4" s="1"/>
  <c r="J103" i="4"/>
  <c r="K103" i="4" s="1"/>
  <c r="J113" i="4"/>
  <c r="K113" i="4" s="1"/>
  <c r="J81" i="17"/>
  <c r="CO55" i="20"/>
  <c r="M38" i="20"/>
  <c r="M39" i="20" s="1"/>
  <c r="U67" i="20"/>
  <c r="U68" i="20" s="1"/>
  <c r="X38" i="20"/>
  <c r="X39" i="20" s="1"/>
  <c r="L38" i="20"/>
  <c r="L39" i="20" s="1"/>
  <c r="R38" i="20"/>
  <c r="R39" i="20" s="1"/>
  <c r="Q38" i="20"/>
  <c r="Q39" i="20" s="1"/>
  <c r="P38" i="20"/>
  <c r="P39" i="20" s="1"/>
  <c r="N38" i="20"/>
  <c r="N39" i="20" s="1"/>
  <c r="S38" i="20"/>
  <c r="S39" i="20" s="1"/>
  <c r="K38" i="20"/>
  <c r="K39" i="20" s="1"/>
  <c r="I38" i="20"/>
  <c r="I39" i="20" s="1"/>
  <c r="U38" i="20"/>
  <c r="U39" i="20" s="1"/>
  <c r="AA38" i="20"/>
  <c r="AA39" i="20" s="1"/>
  <c r="Z38" i="20"/>
  <c r="Z39" i="20" s="1"/>
  <c r="J38" i="20"/>
  <c r="J39" i="20" s="1"/>
  <c r="Y38" i="20"/>
  <c r="Y39" i="20" s="1"/>
  <c r="AC45" i="15"/>
  <c r="AC172" i="15"/>
  <c r="AC63" i="15"/>
  <c r="BN32" i="21"/>
  <c r="AD79" i="21"/>
  <c r="AD172" i="15" s="1"/>
  <c r="BN29" i="21"/>
  <c r="BA36" i="15"/>
  <c r="AZ65" i="21"/>
  <c r="AZ130" i="15" s="1"/>
  <c r="AC63" i="21"/>
  <c r="AE78" i="15"/>
  <c r="BL33" i="21"/>
  <c r="AX69" i="21"/>
  <c r="AX142" i="15" s="1"/>
  <c r="AY48" i="15"/>
  <c r="BH26" i="21"/>
  <c r="AT62" i="21"/>
  <c r="AT121" i="15" s="1"/>
  <c r="AU27" i="15"/>
  <c r="AP39" i="21"/>
  <c r="BJ40" i="21"/>
  <c r="AV76" i="21"/>
  <c r="AV163" i="15" s="1"/>
  <c r="AW69" i="15"/>
  <c r="BI34" i="21"/>
  <c r="AU70" i="21"/>
  <c r="AU145" i="15" s="1"/>
  <c r="AV51" i="15"/>
  <c r="AS72" i="21"/>
  <c r="AS151" i="15" s="1"/>
  <c r="BI26" i="21"/>
  <c r="AV27" i="15"/>
  <c r="AU62" i="21"/>
  <c r="AU121" i="15" s="1"/>
  <c r="AS34" i="21"/>
  <c r="AS51" i="15" s="1"/>
  <c r="BL30" i="21"/>
  <c r="BY30" i="21" s="1"/>
  <c r="AP23" i="21"/>
  <c r="BH28" i="21"/>
  <c r="AT64" i="21"/>
  <c r="AT127" i="15" s="1"/>
  <c r="AU33" i="15"/>
  <c r="BD27" i="21"/>
  <c r="AQ30" i="15"/>
  <c r="BO28" i="21"/>
  <c r="BB33" i="15"/>
  <c r="BA64" i="21"/>
  <c r="BA127" i="15" s="1"/>
  <c r="BB64" i="21"/>
  <c r="BB127" i="15" s="1"/>
  <c r="AV82" i="21"/>
  <c r="AV181" i="15" s="1"/>
  <c r="BA12" i="15"/>
  <c r="BH30" i="21"/>
  <c r="AT66" i="21"/>
  <c r="AT133" i="15" s="1"/>
  <c r="AU39" i="15"/>
  <c r="BL46" i="21"/>
  <c r="AY87" i="15"/>
  <c r="AX82" i="21"/>
  <c r="AX181" i="15" s="1"/>
  <c r="AC76" i="21"/>
  <c r="BG28" i="21"/>
  <c r="AT33" i="15"/>
  <c r="AS64" i="21"/>
  <c r="AS127" i="15" s="1"/>
  <c r="BM27" i="21"/>
  <c r="AZ30" i="15"/>
  <c r="AY63" i="21"/>
  <c r="AY124" i="15" s="1"/>
  <c r="BK35" i="21"/>
  <c r="AX54" i="15"/>
  <c r="AW71" i="21"/>
  <c r="AW148" i="15" s="1"/>
  <c r="BA76" i="21"/>
  <c r="BA163" i="15" s="1"/>
  <c r="BM44" i="21"/>
  <c r="AZ81" i="15"/>
  <c r="AY80" i="21"/>
  <c r="AY175" i="15" s="1"/>
  <c r="AC112" i="15"/>
  <c r="AC78" i="15"/>
  <c r="AC133" i="15"/>
  <c r="AC33" i="15"/>
  <c r="AC87" i="15"/>
  <c r="AC163" i="15"/>
  <c r="AC39" i="15"/>
  <c r="AC51" i="15"/>
  <c r="BO36" i="21"/>
  <c r="BB57" i="15"/>
  <c r="BA72" i="21"/>
  <c r="BA151" i="15" s="1"/>
  <c r="BB72" i="21"/>
  <c r="BB151" i="15" s="1"/>
  <c r="BI24" i="21"/>
  <c r="AV21" i="15"/>
  <c r="AU60" i="21"/>
  <c r="AU115" i="15" s="1"/>
  <c r="AU69" i="15"/>
  <c r="BH40" i="21"/>
  <c r="AT76" i="21"/>
  <c r="AT163" i="15" s="1"/>
  <c r="AS75" i="21"/>
  <c r="AS160" i="15" s="1"/>
  <c r="BL38" i="21"/>
  <c r="AY63" i="15"/>
  <c r="AX74" i="21"/>
  <c r="AX157" i="15" s="1"/>
  <c r="BS42" i="21"/>
  <c r="BF75" i="15"/>
  <c r="BE78" i="21"/>
  <c r="BE169" i="15" s="1"/>
  <c r="AQ36" i="15"/>
  <c r="BM40" i="21"/>
  <c r="AZ69" i="15"/>
  <c r="AY76" i="21"/>
  <c r="AY163" i="15" s="1"/>
  <c r="AR71" i="21"/>
  <c r="AR148" i="15" s="1"/>
  <c r="BD12" i="15"/>
  <c r="BD36" i="15"/>
  <c r="AD63" i="21"/>
  <c r="AD124" i="15" s="1"/>
  <c r="AR35" i="21"/>
  <c r="BE35" i="21" s="1"/>
  <c r="AC15" i="15"/>
  <c r="AP38" i="21"/>
  <c r="BK38" i="21"/>
  <c r="AX63" i="15"/>
  <c r="AW74" i="21"/>
  <c r="AW157" i="15" s="1"/>
  <c r="AV72" i="21"/>
  <c r="AV151" i="15" s="1"/>
  <c r="BI40" i="21"/>
  <c r="AV69" i="15"/>
  <c r="AU76" i="21"/>
  <c r="AU163" i="15" s="1"/>
  <c r="AU81" i="15"/>
  <c r="BH44" i="21"/>
  <c r="AT80" i="21"/>
  <c r="AZ12" i="15"/>
  <c r="BM35" i="21"/>
  <c r="AZ54" i="15"/>
  <c r="AY71" i="21"/>
  <c r="AY148" i="15" s="1"/>
  <c r="BL25" i="21"/>
  <c r="AY24" i="15"/>
  <c r="AX61" i="21"/>
  <c r="AX118" i="15" s="1"/>
  <c r="BK28" i="21"/>
  <c r="AX33" i="15"/>
  <c r="AW64" i="21"/>
  <c r="AW127" i="15" s="1"/>
  <c r="BI32" i="21"/>
  <c r="AV45" i="15"/>
  <c r="AU68" i="21"/>
  <c r="AU139" i="15" s="1"/>
  <c r="BK32" i="21"/>
  <c r="AX45" i="15"/>
  <c r="AW68" i="21"/>
  <c r="AW139" i="15" s="1"/>
  <c r="BH46" i="21"/>
  <c r="AU87" i="15"/>
  <c r="AT82" i="21"/>
  <c r="AT181" i="15" s="1"/>
  <c r="BD23" i="21"/>
  <c r="AQ18" i="15"/>
  <c r="AC157" i="15"/>
  <c r="BS26" i="21"/>
  <c r="BF27" i="15"/>
  <c r="BE62" i="21"/>
  <c r="BE121" i="15" s="1"/>
  <c r="BO44" i="21"/>
  <c r="BF27" i="21"/>
  <c r="AS30" i="15"/>
  <c r="AR63" i="21"/>
  <c r="AR124" i="15" s="1"/>
  <c r="BL41" i="21"/>
  <c r="AY72" i="15"/>
  <c r="AX77" i="21"/>
  <c r="AX166" i="15" s="1"/>
  <c r="BJ38" i="21"/>
  <c r="AW63" i="15"/>
  <c r="AV74" i="21"/>
  <c r="AV157" i="15" s="1"/>
  <c r="AU75" i="15"/>
  <c r="BH42" i="21"/>
  <c r="AT78" i="21"/>
  <c r="AT169" i="15" s="1"/>
  <c r="BF35" i="21"/>
  <c r="BS35" i="21" s="1"/>
  <c r="AT42" i="21"/>
  <c r="AG75" i="15"/>
  <c r="AF78" i="21"/>
  <c r="AF169" i="15" s="1"/>
  <c r="AT37" i="21"/>
  <c r="AG60" i="15"/>
  <c r="AF73" i="21"/>
  <c r="AF154" i="15" s="1"/>
  <c r="BF39" i="21"/>
  <c r="AP37" i="21"/>
  <c r="AW28" i="21"/>
  <c r="AJ33" i="15"/>
  <c r="AI64" i="21"/>
  <c r="AI127" i="15" s="1"/>
  <c r="AR46" i="21"/>
  <c r="AE87" i="15"/>
  <c r="AD82" i="21"/>
  <c r="AD181" i="15" s="1"/>
  <c r="BI22" i="21"/>
  <c r="AV15" i="15"/>
  <c r="AU58" i="21"/>
  <c r="AU109" i="15" s="1"/>
  <c r="BK40" i="21"/>
  <c r="AX69" i="15"/>
  <c r="AW76" i="21"/>
  <c r="AW163" i="15" s="1"/>
  <c r="AV63" i="15"/>
  <c r="AF51" i="15"/>
  <c r="BD51" i="15"/>
  <c r="AP46" i="21"/>
  <c r="AC74" i="21"/>
  <c r="AE30" i="15"/>
  <c r="AS24" i="21"/>
  <c r="AF21" i="15"/>
  <c r="AE60" i="21"/>
  <c r="AP24" i="21"/>
  <c r="BF45" i="21"/>
  <c r="AS84" i="15"/>
  <c r="AR81" i="21"/>
  <c r="AR178" i="15" s="1"/>
  <c r="BD35" i="21"/>
  <c r="AQ54" i="15"/>
  <c r="BD25" i="21"/>
  <c r="AQ24" i="15"/>
  <c r="AQ41" i="21"/>
  <c r="AD72" i="15"/>
  <c r="V160" i="15"/>
  <c r="AC160" i="15" s="1"/>
  <c r="AC75" i="21"/>
  <c r="BH38" i="21"/>
  <c r="AU63" i="15"/>
  <c r="AT74" i="21"/>
  <c r="AT157" i="15" s="1"/>
  <c r="AR30" i="21"/>
  <c r="AE39" i="15"/>
  <c r="AD66" i="21"/>
  <c r="BJ42" i="21"/>
  <c r="AW75" i="15"/>
  <c r="AV78" i="21"/>
  <c r="AV169" i="15" s="1"/>
  <c r="AP34" i="21"/>
  <c r="AU23" i="21"/>
  <c r="AH18" i="15"/>
  <c r="AG59" i="21"/>
  <c r="AG112" i="15" s="1"/>
  <c r="BG47" i="21"/>
  <c r="AQ26" i="21"/>
  <c r="AD27" i="15"/>
  <c r="BV41" i="21"/>
  <c r="BI72" i="15"/>
  <c r="BH77" i="21"/>
  <c r="BH166" i="15" s="1"/>
  <c r="BJ34" i="21"/>
  <c r="AR27" i="21"/>
  <c r="AQ63" i="21" s="1"/>
  <c r="AD71" i="21"/>
  <c r="AD148" i="15" s="1"/>
  <c r="BG32" i="21"/>
  <c r="AT45" i="15"/>
  <c r="AS68" i="21"/>
  <c r="AS139" i="15" s="1"/>
  <c r="AT84" i="15"/>
  <c r="AR38" i="21"/>
  <c r="AE63" i="15"/>
  <c r="AD74" i="21"/>
  <c r="AQ43" i="21"/>
  <c r="AD78" i="15"/>
  <c r="AT30" i="21"/>
  <c r="AG39" i="15"/>
  <c r="AF66" i="21"/>
  <c r="AF133" i="15" s="1"/>
  <c r="AC59" i="21"/>
  <c r="AE54" i="15"/>
  <c r="R115" i="15"/>
  <c r="AC115" i="15" s="1"/>
  <c r="AC60" i="21"/>
  <c r="AS30" i="21"/>
  <c r="AF39" i="15"/>
  <c r="AE66" i="21"/>
  <c r="AE133" i="15" s="1"/>
  <c r="AS38" i="21"/>
  <c r="AF63" i="15"/>
  <c r="AE74" i="21"/>
  <c r="AE157" i="15" s="1"/>
  <c r="AP43" i="21"/>
  <c r="AR22" i="21"/>
  <c r="AE15" i="15"/>
  <c r="AD58" i="21"/>
  <c r="AD109" i="15" s="1"/>
  <c r="AD45" i="15"/>
  <c r="AQ32" i="21"/>
  <c r="AW39" i="21"/>
  <c r="AJ66" i="15"/>
  <c r="AI75" i="21"/>
  <c r="AI160" i="15" s="1"/>
  <c r="BI46" i="21"/>
  <c r="AV87" i="15"/>
  <c r="AU82" i="21"/>
  <c r="AU181" i="15" s="1"/>
  <c r="BB12" i="15"/>
  <c r="BB57" i="21"/>
  <c r="BB106" i="15" s="1"/>
  <c r="BA57" i="21"/>
  <c r="BA106" i="15" s="1"/>
  <c r="AP42" i="21"/>
  <c r="AP26" i="21"/>
  <c r="BD42" i="21"/>
  <c r="AQ75" i="15"/>
  <c r="BQ24" i="21"/>
  <c r="BD21" i="15"/>
  <c r="R127" i="15"/>
  <c r="AC127" i="15" s="1"/>
  <c r="AC64" i="21"/>
  <c r="BN28" i="21"/>
  <c r="BA33" i="15"/>
  <c r="AZ64" i="21"/>
  <c r="AZ127" i="15" s="1"/>
  <c r="BN42" i="21"/>
  <c r="BA75" i="15"/>
  <c r="AZ78" i="21"/>
  <c r="AZ169" i="15" s="1"/>
  <c r="BL42" i="21"/>
  <c r="AY75" i="15"/>
  <c r="AX78" i="21"/>
  <c r="AX169" i="15" s="1"/>
  <c r="AZ22" i="21"/>
  <c r="AM15" i="15"/>
  <c r="AL58" i="21"/>
  <c r="AD160" i="15"/>
  <c r="BE43" i="21"/>
  <c r="AQ79" i="21"/>
  <c r="AR78" i="15"/>
  <c r="AZ67" i="21"/>
  <c r="AZ136" i="15" s="1"/>
  <c r="AC70" i="21"/>
  <c r="Y145" i="15"/>
  <c r="AC145" i="15" s="1"/>
  <c r="AK145" i="15"/>
  <c r="BL37" i="21"/>
  <c r="AY60" i="15"/>
  <c r="AX73" i="21"/>
  <c r="AX154" i="15" s="1"/>
  <c r="BW26" i="21"/>
  <c r="BJ27" i="15"/>
  <c r="BI62" i="21"/>
  <c r="BI121" i="15" s="1"/>
  <c r="BR28" i="21"/>
  <c r="BE33" i="15"/>
  <c r="BD64" i="21"/>
  <c r="BQ12" i="15"/>
  <c r="CD29" i="21"/>
  <c r="CD36" i="15" s="1"/>
  <c r="BQ36" i="15"/>
  <c r="CD34" i="21"/>
  <c r="CD51" i="15" s="1"/>
  <c r="BQ51" i="15"/>
  <c r="BO39" i="21"/>
  <c r="AY32" i="21"/>
  <c r="AL45" i="15"/>
  <c r="AK68" i="21"/>
  <c r="AT46" i="21"/>
  <c r="AG87" i="15"/>
  <c r="AF82" i="21"/>
  <c r="BE25" i="21"/>
  <c r="AR24" i="15"/>
  <c r="AQ61" i="21"/>
  <c r="AD154" i="15"/>
  <c r="BE41" i="21"/>
  <c r="AQ77" i="21"/>
  <c r="AR72" i="15"/>
  <c r="BO45" i="21"/>
  <c r="BN45" i="21"/>
  <c r="BA84" i="15"/>
  <c r="AZ81" i="21"/>
  <c r="AZ178" i="15" s="1"/>
  <c r="AX109" i="15"/>
  <c r="AY40" i="21"/>
  <c r="AL69" i="15"/>
  <c r="AK76" i="21"/>
  <c r="BE23" i="21"/>
  <c r="AR18" i="15"/>
  <c r="AQ59" i="21"/>
  <c r="BE39" i="21"/>
  <c r="AQ75" i="21"/>
  <c r="AR66" i="15"/>
  <c r="AY72" i="21"/>
  <c r="AD106" i="15"/>
  <c r="AP32" i="21"/>
  <c r="BG43" i="21"/>
  <c r="AS79" i="21"/>
  <c r="AS172" i="15" s="1"/>
  <c r="AT78" i="15"/>
  <c r="CF47" i="21"/>
  <c r="BR83" i="21"/>
  <c r="BR184" i="15" s="1"/>
  <c r="BS90" i="15"/>
  <c r="BR36" i="21"/>
  <c r="BE57" i="15"/>
  <c r="BD72" i="21"/>
  <c r="BD38" i="21"/>
  <c r="AQ63" i="15"/>
  <c r="AS28" i="21"/>
  <c r="AF33" i="15"/>
  <c r="AE64" i="21"/>
  <c r="AP22" i="21"/>
  <c r="BB65" i="21"/>
  <c r="BB130" i="15" s="1"/>
  <c r="BN38" i="21"/>
  <c r="BA63" i="15"/>
  <c r="AZ74" i="21"/>
  <c r="AZ157" i="15" s="1"/>
  <c r="AK169" i="15"/>
  <c r="BL45" i="21"/>
  <c r="AY84" i="15"/>
  <c r="AX81" i="21"/>
  <c r="AX178" i="15" s="1"/>
  <c r="BE37" i="21"/>
  <c r="AQ73" i="21"/>
  <c r="AR60" i="15"/>
  <c r="AQ83" i="21"/>
  <c r="BN34" i="21"/>
  <c r="BA51" i="15"/>
  <c r="AZ70" i="21"/>
  <c r="AZ145" i="15" s="1"/>
  <c r="Y109" i="15"/>
  <c r="AC109" i="15" s="1"/>
  <c r="AC58" i="21"/>
  <c r="BO42" i="21"/>
  <c r="BB75" i="15"/>
  <c r="BA78" i="21"/>
  <c r="BA169" i="15" s="1"/>
  <c r="BB78" i="21"/>
  <c r="BB169" i="15" s="1"/>
  <c r="AZ34" i="21"/>
  <c r="AM51" i="15"/>
  <c r="AL70" i="21"/>
  <c r="AL145" i="15" s="1"/>
  <c r="BL34" i="21"/>
  <c r="AY51" i="15"/>
  <c r="AX70" i="21"/>
  <c r="AX145" i="15" s="1"/>
  <c r="AV121" i="15"/>
  <c r="BR44" i="21"/>
  <c r="BE81" i="15"/>
  <c r="BD80" i="21"/>
  <c r="AD33" i="15"/>
  <c r="AQ28" i="21"/>
  <c r="AP28" i="21"/>
  <c r="AQ30" i="21"/>
  <c r="AD39" i="15"/>
  <c r="BD46" i="21"/>
  <c r="AQ87" i="15"/>
  <c r="BD39" i="21"/>
  <c r="AQ66" i="15"/>
  <c r="AQ22" i="21"/>
  <c r="AD15" i="15"/>
  <c r="X139" i="15"/>
  <c r="AC139" i="15" s="1"/>
  <c r="AC68" i="21"/>
  <c r="S181" i="15"/>
  <c r="AC181" i="15" s="1"/>
  <c r="AC82" i="21"/>
  <c r="AD130" i="15"/>
  <c r="BY22" i="21"/>
  <c r="BL15" i="15"/>
  <c r="BK58" i="21"/>
  <c r="BK109" i="15" s="1"/>
  <c r="BF25" i="21"/>
  <c r="AS24" i="15"/>
  <c r="AR61" i="21"/>
  <c r="AR118" i="15" s="1"/>
  <c r="BE31" i="21"/>
  <c r="AQ67" i="21"/>
  <c r="AR42" i="15"/>
  <c r="BO26" i="21"/>
  <c r="BB27" i="15"/>
  <c r="BB62" i="21"/>
  <c r="BB121" i="15" s="1"/>
  <c r="BA62" i="21"/>
  <c r="BA121" i="15" s="1"/>
  <c r="AR12" i="15"/>
  <c r="AQ57" i="21"/>
  <c r="AP40" i="21"/>
  <c r="AP30" i="21"/>
  <c r="J84" i="17"/>
  <c r="B134" i="13"/>
  <c r="B154" i="13" s="1"/>
  <c r="E6" i="27"/>
  <c r="B57" i="20"/>
  <c r="B57" i="36"/>
  <c r="J86" i="17"/>
  <c r="I67" i="20"/>
  <c r="I68" i="20" s="1"/>
  <c r="CP130" i="22"/>
  <c r="CJ130" i="22"/>
  <c r="CI130" i="22"/>
  <c r="CA130" i="22"/>
  <c r="BZ130" i="22"/>
  <c r="BU130" i="22"/>
  <c r="BN130" i="22"/>
  <c r="AZ130" i="22"/>
  <c r="BI130" i="22"/>
  <c r="BB130" i="22"/>
  <c r="AS130" i="22"/>
  <c r="BG130" i="22"/>
  <c r="AQ130" i="22"/>
  <c r="AL130" i="22"/>
  <c r="Y130" i="22"/>
  <c r="Z130" i="22"/>
  <c r="X130" i="22"/>
  <c r="AN130" i="22"/>
  <c r="F130" i="22"/>
  <c r="I130" i="22"/>
  <c r="H130" i="22"/>
  <c r="CL130" i="22"/>
  <c r="CF130" i="22"/>
  <c r="CG130" i="22"/>
  <c r="BW130" i="22"/>
  <c r="BV130" i="22"/>
  <c r="CB130" i="22"/>
  <c r="BJ130" i="22"/>
  <c r="AV130" i="22"/>
  <c r="BP130" i="22"/>
  <c r="AX130" i="22"/>
  <c r="AU130" i="22"/>
  <c r="BC130" i="22"/>
  <c r="AM130" i="22"/>
  <c r="AH130" i="22"/>
  <c r="U130" i="22"/>
  <c r="AO130" i="22"/>
  <c r="T130" i="22"/>
  <c r="AF130" i="22"/>
  <c r="CN130" i="22"/>
  <c r="CK130" i="22"/>
  <c r="BY130" i="22"/>
  <c r="BD130" i="22"/>
  <c r="BH130" i="22"/>
  <c r="AY130" i="22"/>
  <c r="AP130" i="22"/>
  <c r="AK130" i="22"/>
  <c r="S130" i="22"/>
  <c r="P130" i="22"/>
  <c r="J130" i="22"/>
  <c r="CQ130" i="22"/>
  <c r="BS130" i="22"/>
  <c r="BX130" i="22"/>
  <c r="BQ130" i="22"/>
  <c r="AT130" i="22"/>
  <c r="BK130" i="22"/>
  <c r="AJ130" i="22"/>
  <c r="AG130" i="22"/>
  <c r="AD130" i="22"/>
  <c r="O130" i="22"/>
  <c r="G130" i="22"/>
  <c r="CM130" i="22"/>
  <c r="BT130" i="22"/>
  <c r="BA130" i="22"/>
  <c r="AC130" i="22"/>
  <c r="V130" i="22"/>
  <c r="L130" i="22"/>
  <c r="CH130" i="22"/>
  <c r="BL130" i="22"/>
  <c r="AA130" i="22"/>
  <c r="Q130" i="22"/>
  <c r="CO130" i="22"/>
  <c r="BF130" i="22"/>
  <c r="BO130" i="22"/>
  <c r="W130" i="22"/>
  <c r="K130" i="22"/>
  <c r="CD130" i="22"/>
  <c r="BM130" i="22"/>
  <c r="AW130" i="22"/>
  <c r="AB130" i="22"/>
  <c r="N130" i="22"/>
  <c r="CC130" i="22"/>
  <c r="AI130" i="22"/>
  <c r="M130" i="22"/>
  <c r="CP128" i="22"/>
  <c r="CJ128" i="22"/>
  <c r="CI128" i="22"/>
  <c r="CA128" i="22"/>
  <c r="BZ128" i="22"/>
  <c r="BU128" i="22"/>
  <c r="BN128" i="22"/>
  <c r="AZ128" i="22"/>
  <c r="BI128" i="22"/>
  <c r="BB128" i="22"/>
  <c r="BA128" i="22"/>
  <c r="BG128" i="22"/>
  <c r="AQ128" i="22"/>
  <c r="AL128" i="22"/>
  <c r="Y128" i="22"/>
  <c r="Z128" i="22"/>
  <c r="X128" i="22"/>
  <c r="V128" i="22"/>
  <c r="M128" i="22"/>
  <c r="J128" i="22"/>
  <c r="N128" i="22"/>
  <c r="CL128" i="22"/>
  <c r="CF128" i="22"/>
  <c r="CO128" i="22"/>
  <c r="BW128" i="22"/>
  <c r="BV128" i="22"/>
  <c r="CB128" i="22"/>
  <c r="BJ128" i="22"/>
  <c r="AV128" i="22"/>
  <c r="BP128" i="22"/>
  <c r="AX128" i="22"/>
  <c r="AS128" i="22"/>
  <c r="AY128" i="22"/>
  <c r="AM128" i="22"/>
  <c r="AH128" i="22"/>
  <c r="U128" i="22"/>
  <c r="AO128" i="22"/>
  <c r="T128" i="22"/>
  <c r="AN128" i="22"/>
  <c r="CN128" i="22"/>
  <c r="CG128" i="22"/>
  <c r="BY128" i="22"/>
  <c r="BD128" i="22"/>
  <c r="BH128" i="22"/>
  <c r="BC128" i="22"/>
  <c r="AP128" i="22"/>
  <c r="AK128" i="22"/>
  <c r="S128" i="22"/>
  <c r="H128" i="22"/>
  <c r="P128" i="22"/>
  <c r="CQ128" i="22"/>
  <c r="BS128" i="22"/>
  <c r="BX128" i="22"/>
  <c r="BQ128" i="22"/>
  <c r="AT128" i="22"/>
  <c r="AW128" i="22"/>
  <c r="AJ128" i="22"/>
  <c r="AG128" i="22"/>
  <c r="AF128" i="22"/>
  <c r="F128" i="22"/>
  <c r="G128" i="22"/>
  <c r="Q128" i="22"/>
  <c r="CD128" i="22"/>
  <c r="BM128" i="22"/>
  <c r="AU128" i="22"/>
  <c r="AB128" i="22"/>
  <c r="I128" i="22"/>
  <c r="BF128" i="22"/>
  <c r="W128" i="22"/>
  <c r="O128" i="22"/>
  <c r="CH128" i="22"/>
  <c r="CC128" i="22"/>
  <c r="BL128" i="22"/>
  <c r="AI128" i="22"/>
  <c r="AA128" i="22"/>
  <c r="L128" i="22"/>
  <c r="CM128" i="22"/>
  <c r="BT128" i="22"/>
  <c r="BK128" i="22"/>
  <c r="AC128" i="22"/>
  <c r="AD128" i="22"/>
  <c r="K128" i="22"/>
  <c r="CK128" i="22"/>
  <c r="BO128" i="22"/>
  <c r="CO112" i="22"/>
  <c r="CJ112" i="22"/>
  <c r="CH112" i="22"/>
  <c r="CA112" i="22"/>
  <c r="BZ112" i="22"/>
  <c r="BU112" i="22"/>
  <c r="BB112" i="22"/>
  <c r="BJ112" i="22"/>
  <c r="BI112" i="22"/>
  <c r="BL112" i="22"/>
  <c r="BH112" i="22"/>
  <c r="AU112" i="22"/>
  <c r="AQ112" i="22"/>
  <c r="Z112" i="22"/>
  <c r="AM112" i="22"/>
  <c r="Y112" i="22"/>
  <c r="W112" i="22"/>
  <c r="AA112" i="22"/>
  <c r="CQ112" i="22"/>
  <c r="CK112" i="22"/>
  <c r="CF112" i="22"/>
  <c r="CB112" i="22"/>
  <c r="BW112" i="22"/>
  <c r="BV112" i="22"/>
  <c r="BO112" i="22"/>
  <c r="AX112" i="22"/>
  <c r="BF112" i="22"/>
  <c r="BD112" i="22"/>
  <c r="BA112" i="22"/>
  <c r="AY112" i="22"/>
  <c r="AN112" i="22"/>
  <c r="AL112" i="22"/>
  <c r="V112" i="22"/>
  <c r="AP112" i="22"/>
  <c r="U112" i="22"/>
  <c r="AO112" i="22"/>
  <c r="CM112" i="22"/>
  <c r="CP112" i="22"/>
  <c r="BS112" i="22"/>
  <c r="BK112" i="22"/>
  <c r="BQ112" i="22"/>
  <c r="AS112" i="22"/>
  <c r="AJ112" i="22"/>
  <c r="AB112" i="22"/>
  <c r="X112" i="22"/>
  <c r="J112" i="22"/>
  <c r="O112" i="22"/>
  <c r="L112" i="22"/>
  <c r="CI112" i="22"/>
  <c r="CL112" i="22"/>
  <c r="CD112" i="22"/>
  <c r="BG112" i="22"/>
  <c r="BM112" i="22"/>
  <c r="BC112" i="22"/>
  <c r="AF112" i="22"/>
  <c r="T112" i="22"/>
  <c r="AH112" i="22"/>
  <c r="CN112" i="22"/>
  <c r="BY112" i="22"/>
  <c r="AV112" i="22"/>
  <c r="AD112" i="22"/>
  <c r="S112" i="22"/>
  <c r="P112" i="22"/>
  <c r="N112" i="22"/>
  <c r="Q112" i="22"/>
  <c r="BX112" i="22"/>
  <c r="AT112" i="22"/>
  <c r="AW112" i="22"/>
  <c r="AK112" i="22"/>
  <c r="F112" i="22"/>
  <c r="I112" i="22"/>
  <c r="BT112" i="22"/>
  <c r="BP112" i="22"/>
  <c r="G112" i="22"/>
  <c r="CG112" i="22"/>
  <c r="H112" i="22"/>
  <c r="CC112" i="22"/>
  <c r="AG112" i="22"/>
  <c r="K112" i="22"/>
  <c r="BN112" i="22"/>
  <c r="AC112" i="22"/>
  <c r="M112" i="22"/>
  <c r="AZ112" i="22"/>
  <c r="AI112" i="22"/>
  <c r="CP136" i="22"/>
  <c r="CJ136" i="22"/>
  <c r="CI136" i="22"/>
  <c r="CA136" i="22"/>
  <c r="BZ136" i="22"/>
  <c r="BU136" i="22"/>
  <c r="BN136" i="22"/>
  <c r="AZ136" i="22"/>
  <c r="BI136" i="22"/>
  <c r="BB136" i="22"/>
  <c r="BA136" i="22"/>
  <c r="AY136" i="22"/>
  <c r="AQ136" i="22"/>
  <c r="AL136" i="22"/>
  <c r="Y136" i="22"/>
  <c r="Z136" i="22"/>
  <c r="X136" i="22"/>
  <c r="AD136" i="22"/>
  <c r="F136" i="22"/>
  <c r="M136" i="22"/>
  <c r="N136" i="22"/>
  <c r="CL136" i="22"/>
  <c r="CF136" i="22"/>
  <c r="CO136" i="22"/>
  <c r="BW136" i="22"/>
  <c r="BV136" i="22"/>
  <c r="CB136" i="22"/>
  <c r="BJ136" i="22"/>
  <c r="AV136" i="22"/>
  <c r="BP136" i="22"/>
  <c r="AX136" i="22"/>
  <c r="AS136" i="22"/>
  <c r="AW136" i="22"/>
  <c r="AM136" i="22"/>
  <c r="AH136" i="22"/>
  <c r="U136" i="22"/>
  <c r="AO136" i="22"/>
  <c r="T136" i="22"/>
  <c r="AN136" i="22"/>
  <c r="CN136" i="22"/>
  <c r="CG136" i="22"/>
  <c r="BY136" i="22"/>
  <c r="BD136" i="22"/>
  <c r="BH136" i="22"/>
  <c r="BG136" i="22"/>
  <c r="AP136" i="22"/>
  <c r="W136" i="22"/>
  <c r="AK136" i="22"/>
  <c r="L136" i="22"/>
  <c r="H136" i="22"/>
  <c r="CQ136" i="22"/>
  <c r="BS136" i="22"/>
  <c r="BX136" i="22"/>
  <c r="BQ136" i="22"/>
  <c r="AT136" i="22"/>
  <c r="BO136" i="22"/>
  <c r="AJ136" i="22"/>
  <c r="AG136" i="22"/>
  <c r="AF136" i="22"/>
  <c r="O136" i="22"/>
  <c r="I136" i="22"/>
  <c r="CD136" i="22"/>
  <c r="BM136" i="22"/>
  <c r="AU136" i="22"/>
  <c r="AB136" i="22"/>
  <c r="J136" i="22"/>
  <c r="CK136" i="22"/>
  <c r="AA136" i="22"/>
  <c r="K136" i="22"/>
  <c r="CH136" i="22"/>
  <c r="CC136" i="22"/>
  <c r="BL136" i="22"/>
  <c r="AI136" i="22"/>
  <c r="S136" i="22"/>
  <c r="G136" i="22"/>
  <c r="CM136" i="22"/>
  <c r="BT136" i="22"/>
  <c r="BK136" i="22"/>
  <c r="AC136" i="22"/>
  <c r="V136" i="22"/>
  <c r="Q136" i="22"/>
  <c r="BF136" i="22"/>
  <c r="BC136" i="22"/>
  <c r="P136" i="22"/>
  <c r="AE66" i="22"/>
  <c r="BC34" i="22"/>
  <c r="AR34" i="22"/>
  <c r="CN140" i="22"/>
  <c r="CM140" i="22"/>
  <c r="CG140" i="22"/>
  <c r="CD140" i="22"/>
  <c r="BY140" i="22"/>
  <c r="BT140" i="22"/>
  <c r="BD140" i="22"/>
  <c r="BM140" i="22"/>
  <c r="BH140" i="22"/>
  <c r="BK140" i="22"/>
  <c r="BG140" i="22"/>
  <c r="BC140" i="22"/>
  <c r="AP140" i="22"/>
  <c r="AC140" i="22"/>
  <c r="AK140" i="22"/>
  <c r="AB140" i="22"/>
  <c r="S140" i="22"/>
  <c r="V140" i="22"/>
  <c r="CP140" i="22"/>
  <c r="CJ140" i="22"/>
  <c r="CI140" i="22"/>
  <c r="CA140" i="22"/>
  <c r="BZ140" i="22"/>
  <c r="BU140" i="22"/>
  <c r="BN140" i="22"/>
  <c r="AZ140" i="22"/>
  <c r="BI140" i="22"/>
  <c r="BB140" i="22"/>
  <c r="BA140" i="22"/>
  <c r="AY140" i="22"/>
  <c r="AQ140" i="22"/>
  <c r="AL140" i="22"/>
  <c r="Y140" i="22"/>
  <c r="Z140" i="22"/>
  <c r="X140" i="22"/>
  <c r="AD140" i="22"/>
  <c r="CL140" i="22"/>
  <c r="CO140" i="22"/>
  <c r="BV140" i="22"/>
  <c r="BJ140" i="22"/>
  <c r="BP140" i="22"/>
  <c r="AS140" i="22"/>
  <c r="AM140" i="22"/>
  <c r="U140" i="22"/>
  <c r="T140" i="22"/>
  <c r="H140" i="22"/>
  <c r="G140" i="22"/>
  <c r="F140" i="22"/>
  <c r="CH140" i="22"/>
  <c r="CK140" i="22"/>
  <c r="CC140" i="22"/>
  <c r="BF140" i="22"/>
  <c r="BL140" i="22"/>
  <c r="BO140" i="22"/>
  <c r="AI140" i="22"/>
  <c r="W140" i="22"/>
  <c r="AA140" i="22"/>
  <c r="CQ140" i="22"/>
  <c r="BX140" i="22"/>
  <c r="AT140" i="22"/>
  <c r="AJ140" i="22"/>
  <c r="AF140" i="22"/>
  <c r="M140" i="22"/>
  <c r="O140" i="22"/>
  <c r="J140" i="22"/>
  <c r="BW140" i="22"/>
  <c r="AV140" i="22"/>
  <c r="AU140" i="22"/>
  <c r="AO140" i="22"/>
  <c r="K140" i="22"/>
  <c r="I140" i="22"/>
  <c r="BQ140" i="22"/>
  <c r="AG140" i="22"/>
  <c r="L140" i="22"/>
  <c r="CB140" i="22"/>
  <c r="P140" i="22"/>
  <c r="CF140" i="22"/>
  <c r="AX140" i="22"/>
  <c r="AN140" i="22"/>
  <c r="Q140" i="22"/>
  <c r="BS140" i="22"/>
  <c r="AW140" i="22"/>
  <c r="N140" i="22"/>
  <c r="AH140" i="22"/>
  <c r="CN126" i="22"/>
  <c r="CM126" i="22"/>
  <c r="CA126" i="22"/>
  <c r="CD126" i="22"/>
  <c r="BY126" i="22"/>
  <c r="BT126" i="22"/>
  <c r="BD126" i="22"/>
  <c r="BM126" i="22"/>
  <c r="BH126" i="22"/>
  <c r="BA126" i="22"/>
  <c r="BO126" i="22"/>
  <c r="BC126" i="22"/>
  <c r="AP126" i="22"/>
  <c r="AC126" i="22"/>
  <c r="S126" i="22"/>
  <c r="AB126" i="22"/>
  <c r="AK126" i="22"/>
  <c r="AD126" i="22"/>
  <c r="CP126" i="22"/>
  <c r="CJ126" i="22"/>
  <c r="CI126" i="22"/>
  <c r="BW126" i="22"/>
  <c r="BZ126" i="22"/>
  <c r="BU126" i="22"/>
  <c r="BN126" i="22"/>
  <c r="AZ126" i="22"/>
  <c r="BI126" i="22"/>
  <c r="BB126" i="22"/>
  <c r="AS126" i="22"/>
  <c r="AY126" i="22"/>
  <c r="AQ126" i="22"/>
  <c r="AL126" i="22"/>
  <c r="Y126" i="22"/>
  <c r="V126" i="22"/>
  <c r="X126" i="22"/>
  <c r="Z126" i="22"/>
  <c r="CL126" i="22"/>
  <c r="CG126" i="22"/>
  <c r="BV126" i="22"/>
  <c r="BJ126" i="22"/>
  <c r="BP126" i="22"/>
  <c r="BG126" i="22"/>
  <c r="AM126" i="22"/>
  <c r="U126" i="22"/>
  <c r="T126" i="22"/>
  <c r="K126" i="22"/>
  <c r="G126" i="22"/>
  <c r="H126" i="22"/>
  <c r="CH126" i="22"/>
  <c r="CO126" i="22"/>
  <c r="CC126" i="22"/>
  <c r="BF126" i="22"/>
  <c r="BL126" i="22"/>
  <c r="AU126" i="22"/>
  <c r="AI126" i="22"/>
  <c r="AA126" i="22"/>
  <c r="W126" i="22"/>
  <c r="CK126" i="22"/>
  <c r="BQ126" i="22"/>
  <c r="AW126" i="22"/>
  <c r="AG126" i="22"/>
  <c r="L126" i="22"/>
  <c r="O126" i="22"/>
  <c r="CF126" i="22"/>
  <c r="CB126" i="22"/>
  <c r="AX126" i="22"/>
  <c r="AH126" i="22"/>
  <c r="AN126" i="22"/>
  <c r="P126" i="22"/>
  <c r="N126" i="22"/>
  <c r="M126" i="22"/>
  <c r="BX126" i="22"/>
  <c r="AJ126" i="22"/>
  <c r="J126" i="22"/>
  <c r="BS126" i="22"/>
  <c r="Q126" i="22"/>
  <c r="AV126" i="22"/>
  <c r="AO126" i="22"/>
  <c r="I126" i="22"/>
  <c r="CQ126" i="22"/>
  <c r="AT126" i="22"/>
  <c r="AF126" i="22"/>
  <c r="F126" i="22"/>
  <c r="BK126" i="22"/>
  <c r="CG110" i="22"/>
  <c r="CL110" i="22"/>
  <c r="CM110" i="22"/>
  <c r="CA110" i="22"/>
  <c r="BZ110" i="22"/>
  <c r="BU110" i="22"/>
  <c r="BB110" i="22"/>
  <c r="BJ110" i="22"/>
  <c r="BI110" i="22"/>
  <c r="BA110" i="22"/>
  <c r="AY110" i="22"/>
  <c r="AU110" i="22"/>
  <c r="AO110" i="22"/>
  <c r="V110" i="22"/>
  <c r="AM110" i="22"/>
  <c r="U110" i="22"/>
  <c r="S110" i="22"/>
  <c r="AA110" i="22"/>
  <c r="CQ110" i="22"/>
  <c r="CN110" i="22"/>
  <c r="CI110" i="22"/>
  <c r="CB110" i="22"/>
  <c r="BW110" i="22"/>
  <c r="BV110" i="22"/>
  <c r="BO110" i="22"/>
  <c r="AX110" i="22"/>
  <c r="BF110" i="22"/>
  <c r="BD110" i="22"/>
  <c r="AS110" i="22"/>
  <c r="BL110" i="22"/>
  <c r="AN110" i="22"/>
  <c r="AI110" i="22"/>
  <c r="X110" i="22"/>
  <c r="AH110" i="22"/>
  <c r="AB110" i="22"/>
  <c r="AQ110" i="22"/>
  <c r="CO110" i="22"/>
  <c r="CP110" i="22"/>
  <c r="BS110" i="22"/>
  <c r="BK110" i="22"/>
  <c r="BQ110" i="22"/>
  <c r="BC110" i="22"/>
  <c r="AJ110" i="22"/>
  <c r="AK110" i="22"/>
  <c r="T110" i="22"/>
  <c r="F110" i="22"/>
  <c r="H110" i="22"/>
  <c r="I110" i="22"/>
  <c r="CK110" i="22"/>
  <c r="CH110" i="22"/>
  <c r="CD110" i="22"/>
  <c r="BG110" i="22"/>
  <c r="BM110" i="22"/>
  <c r="BP110" i="22"/>
  <c r="AF110" i="22"/>
  <c r="W110" i="22"/>
  <c r="AP110" i="22"/>
  <c r="BT110" i="22"/>
  <c r="BN110" i="22"/>
  <c r="BH110" i="22"/>
  <c r="Y110" i="22"/>
  <c r="M110" i="22"/>
  <c r="G110" i="22"/>
  <c r="CJ110" i="22"/>
  <c r="CC110" i="22"/>
  <c r="AZ110" i="22"/>
  <c r="AD110" i="22"/>
  <c r="AL110" i="22"/>
  <c r="O110" i="22"/>
  <c r="L110" i="22"/>
  <c r="CF110" i="22"/>
  <c r="AV110" i="22"/>
  <c r="AG110" i="22"/>
  <c r="N110" i="22"/>
  <c r="AT110" i="22"/>
  <c r="BX110" i="22"/>
  <c r="AW110" i="22"/>
  <c r="P110" i="22"/>
  <c r="K110" i="22"/>
  <c r="BY110" i="22"/>
  <c r="Z110" i="22"/>
  <c r="Q110" i="22"/>
  <c r="AC110" i="22"/>
  <c r="J110" i="22"/>
  <c r="CP108" i="22"/>
  <c r="CK108" i="22"/>
  <c r="CB108" i="22"/>
  <c r="CA108" i="22"/>
  <c r="BZ108" i="22"/>
  <c r="BU108" i="22"/>
  <c r="BB108" i="22"/>
  <c r="BJ108" i="22"/>
  <c r="BI108" i="22"/>
  <c r="BL108" i="22"/>
  <c r="BH108" i="22"/>
  <c r="BC108" i="22"/>
  <c r="AQ108" i="22"/>
  <c r="Z108" i="22"/>
  <c r="AP108" i="22"/>
  <c r="U108" i="22"/>
  <c r="AA108" i="22"/>
  <c r="W108" i="22"/>
  <c r="CQ108" i="22"/>
  <c r="CL108" i="22"/>
  <c r="CG108" i="22"/>
  <c r="BX108" i="22"/>
  <c r="BW108" i="22"/>
  <c r="BV108" i="22"/>
  <c r="BO108" i="22"/>
  <c r="AX108" i="22"/>
  <c r="BF108" i="22"/>
  <c r="BD108" i="22"/>
  <c r="BA108" i="22"/>
  <c r="AY108" i="22"/>
  <c r="AN108" i="22"/>
  <c r="AL108" i="22"/>
  <c r="V108" i="22"/>
  <c r="AK108" i="22"/>
  <c r="AB108" i="22"/>
  <c r="AO108" i="22"/>
  <c r="CM108" i="22"/>
  <c r="CJ108" i="22"/>
  <c r="BS108" i="22"/>
  <c r="BK108" i="22"/>
  <c r="BQ108" i="22"/>
  <c r="AS108" i="22"/>
  <c r="AJ108" i="22"/>
  <c r="X108" i="22"/>
  <c r="T108" i="22"/>
  <c r="J108" i="22"/>
  <c r="K108" i="22"/>
  <c r="H108" i="22"/>
  <c r="CI108" i="22"/>
  <c r="CF108" i="22"/>
  <c r="CD108" i="22"/>
  <c r="BG108" i="22"/>
  <c r="BM108" i="22"/>
  <c r="AU108" i="22"/>
  <c r="AF108" i="22"/>
  <c r="AM108" i="22"/>
  <c r="AH108" i="22"/>
  <c r="CO108" i="22"/>
  <c r="BY108" i="22"/>
  <c r="AV108" i="22"/>
  <c r="AD108" i="22"/>
  <c r="S108" i="22"/>
  <c r="G108" i="22"/>
  <c r="O108" i="22"/>
  <c r="BT108" i="22"/>
  <c r="AT108" i="22"/>
  <c r="BP108" i="22"/>
  <c r="AC108" i="22"/>
  <c r="M108" i="22"/>
  <c r="N108" i="22"/>
  <c r="BN108" i="22"/>
  <c r="Y108" i="22"/>
  <c r="Q108" i="22"/>
  <c r="CC108" i="22"/>
  <c r="CH108" i="22"/>
  <c r="AZ108" i="22"/>
  <c r="AI108" i="22"/>
  <c r="F108" i="22"/>
  <c r="CN108" i="22"/>
  <c r="AW108" i="22"/>
  <c r="P108" i="22"/>
  <c r="L108" i="22"/>
  <c r="AG108" i="22"/>
  <c r="I108" i="22"/>
  <c r="CO114" i="22"/>
  <c r="CJ114" i="22"/>
  <c r="CL114" i="22"/>
  <c r="CA114" i="22"/>
  <c r="BZ114" i="22"/>
  <c r="BU114" i="22"/>
  <c r="BB114" i="22"/>
  <c r="BJ114" i="22"/>
  <c r="BI114" i="22"/>
  <c r="BA114" i="22"/>
  <c r="BP114" i="22"/>
  <c r="BC114" i="22"/>
  <c r="AO114" i="22"/>
  <c r="V114" i="22"/>
  <c r="AM114" i="22"/>
  <c r="U114" i="22"/>
  <c r="AL114" i="22"/>
  <c r="AP114" i="22"/>
  <c r="CQ114" i="22"/>
  <c r="CK114" i="22"/>
  <c r="CF114" i="22"/>
  <c r="CB114" i="22"/>
  <c r="BW114" i="22"/>
  <c r="BV114" i="22"/>
  <c r="BO114" i="22"/>
  <c r="AX114" i="22"/>
  <c r="BF114" i="22"/>
  <c r="BD114" i="22"/>
  <c r="AS114" i="22"/>
  <c r="AY114" i="22"/>
  <c r="AN114" i="22"/>
  <c r="AI114" i="22"/>
  <c r="AB114" i="22"/>
  <c r="AH114" i="22"/>
  <c r="X114" i="22"/>
  <c r="AG114" i="22"/>
  <c r="CM114" i="22"/>
  <c r="CH114" i="22"/>
  <c r="BS114" i="22"/>
  <c r="BK114" i="22"/>
  <c r="BQ114" i="22"/>
  <c r="BH114" i="22"/>
  <c r="AJ114" i="22"/>
  <c r="T114" i="22"/>
  <c r="S114" i="22"/>
  <c r="J114" i="22"/>
  <c r="G114" i="22"/>
  <c r="Q114" i="22"/>
  <c r="CI114" i="22"/>
  <c r="CP114" i="22"/>
  <c r="CD114" i="22"/>
  <c r="BG114" i="22"/>
  <c r="BM114" i="22"/>
  <c r="AU114" i="22"/>
  <c r="AF114" i="22"/>
  <c r="AK114" i="22"/>
  <c r="AQ114" i="22"/>
  <c r="BT114" i="22"/>
  <c r="BN114" i="22"/>
  <c r="AW114" i="22"/>
  <c r="Y114" i="22"/>
  <c r="P114" i="22"/>
  <c r="H114" i="22"/>
  <c r="L114" i="22"/>
  <c r="CG114" i="22"/>
  <c r="CC114" i="22"/>
  <c r="AZ114" i="22"/>
  <c r="AD114" i="22"/>
  <c r="AA114" i="22"/>
  <c r="I114" i="22"/>
  <c r="F114" i="22"/>
  <c r="BY114" i="22"/>
  <c r="Z114" i="22"/>
  <c r="K114" i="22"/>
  <c r="BX114" i="22"/>
  <c r="N114" i="22"/>
  <c r="AT114" i="22"/>
  <c r="AC114" i="22"/>
  <c r="M114" i="22"/>
  <c r="CN114" i="22"/>
  <c r="AV114" i="22"/>
  <c r="W114" i="22"/>
  <c r="O114" i="22"/>
  <c r="BL114" i="22"/>
  <c r="CN138" i="22"/>
  <c r="CM138" i="22"/>
  <c r="CK138" i="22"/>
  <c r="CD138" i="22"/>
  <c r="BY138" i="22"/>
  <c r="BT138" i="22"/>
  <c r="BD138" i="22"/>
  <c r="BM138" i="22"/>
  <c r="BH138" i="22"/>
  <c r="BA138" i="22"/>
  <c r="BO138" i="22"/>
  <c r="BC138" i="22"/>
  <c r="AP138" i="22"/>
  <c r="AC138" i="22"/>
  <c r="S138" i="22"/>
  <c r="AB138" i="22"/>
  <c r="AK138" i="22"/>
  <c r="AD138" i="22"/>
  <c r="CP138" i="22"/>
  <c r="CJ138" i="22"/>
  <c r="CI138" i="22"/>
  <c r="CA138" i="22"/>
  <c r="BZ138" i="22"/>
  <c r="BU138" i="22"/>
  <c r="BN138" i="22"/>
  <c r="AZ138" i="22"/>
  <c r="BI138" i="22"/>
  <c r="BB138" i="22"/>
  <c r="AS138" i="22"/>
  <c r="AY138" i="22"/>
  <c r="AQ138" i="22"/>
  <c r="AL138" i="22"/>
  <c r="Y138" i="22"/>
  <c r="V138" i="22"/>
  <c r="X138" i="22"/>
  <c r="Z138" i="22"/>
  <c r="CL138" i="22"/>
  <c r="CG138" i="22"/>
  <c r="BV138" i="22"/>
  <c r="BJ138" i="22"/>
  <c r="BP138" i="22"/>
  <c r="BG138" i="22"/>
  <c r="AM138" i="22"/>
  <c r="U138" i="22"/>
  <c r="T138" i="22"/>
  <c r="Q138" i="22"/>
  <c r="M138" i="22"/>
  <c r="P138" i="22"/>
  <c r="CH138" i="22"/>
  <c r="CO138" i="22"/>
  <c r="CC138" i="22"/>
  <c r="BF138" i="22"/>
  <c r="BL138" i="22"/>
  <c r="AU138" i="22"/>
  <c r="AI138" i="22"/>
  <c r="AA138" i="22"/>
  <c r="W138" i="22"/>
  <c r="CQ138" i="22"/>
  <c r="BX138" i="22"/>
  <c r="AT138" i="22"/>
  <c r="AJ138" i="22"/>
  <c r="AF138" i="22"/>
  <c r="N138" i="22"/>
  <c r="O138" i="22"/>
  <c r="BW138" i="22"/>
  <c r="AV138" i="22"/>
  <c r="BK138" i="22"/>
  <c r="AO138" i="22"/>
  <c r="I138" i="22"/>
  <c r="G138" i="22"/>
  <c r="F138" i="22"/>
  <c r="CB138" i="22"/>
  <c r="AH138" i="22"/>
  <c r="H138" i="22"/>
  <c r="AW138" i="22"/>
  <c r="J138" i="22"/>
  <c r="BQ138" i="22"/>
  <c r="AG138" i="22"/>
  <c r="K138" i="22"/>
  <c r="CF138" i="22"/>
  <c r="AX138" i="22"/>
  <c r="AN138" i="22"/>
  <c r="L138" i="22"/>
  <c r="BS138" i="22"/>
  <c r="CP124" i="22"/>
  <c r="CJ124" i="22"/>
  <c r="CI124" i="22"/>
  <c r="CA124" i="22"/>
  <c r="BZ124" i="22"/>
  <c r="BU124" i="22"/>
  <c r="BN124" i="22"/>
  <c r="AZ124" i="22"/>
  <c r="BI124" i="22"/>
  <c r="BB124" i="22"/>
  <c r="BA124" i="22"/>
  <c r="AY124" i="22"/>
  <c r="AQ124" i="22"/>
  <c r="AL124" i="22"/>
  <c r="Y124" i="22"/>
  <c r="S124" i="22"/>
  <c r="AG124" i="22"/>
  <c r="AD124" i="22"/>
  <c r="P124" i="22"/>
  <c r="L124" i="22"/>
  <c r="O124" i="22"/>
  <c r="CL124" i="22"/>
  <c r="CF124" i="22"/>
  <c r="CO124" i="22"/>
  <c r="BW124" i="22"/>
  <c r="BV124" i="22"/>
  <c r="CB124" i="22"/>
  <c r="BJ124" i="22"/>
  <c r="AV124" i="22"/>
  <c r="BP124" i="22"/>
  <c r="AX124" i="22"/>
  <c r="AS124" i="22"/>
  <c r="AU124" i="22"/>
  <c r="AM124" i="22"/>
  <c r="AH124" i="22"/>
  <c r="U124" i="22"/>
  <c r="AK124" i="22"/>
  <c r="AB124" i="22"/>
  <c r="AN124" i="22"/>
  <c r="CN124" i="22"/>
  <c r="CG124" i="22"/>
  <c r="BY124" i="22"/>
  <c r="BD124" i="22"/>
  <c r="BH124" i="22"/>
  <c r="BG124" i="22"/>
  <c r="AP124" i="22"/>
  <c r="W124" i="22"/>
  <c r="T124" i="22"/>
  <c r="H124" i="22"/>
  <c r="M124" i="22"/>
  <c r="CQ124" i="22"/>
  <c r="BS124" i="22"/>
  <c r="BX124" i="22"/>
  <c r="BQ124" i="22"/>
  <c r="AT124" i="22"/>
  <c r="AW124" i="22"/>
  <c r="AJ124" i="22"/>
  <c r="Z124" i="22"/>
  <c r="AF124" i="22"/>
  <c r="I124" i="22"/>
  <c r="J124" i="22"/>
  <c r="CM124" i="22"/>
  <c r="BT124" i="22"/>
  <c r="BK124" i="22"/>
  <c r="AC124" i="22"/>
  <c r="V124" i="22"/>
  <c r="N124" i="22"/>
  <c r="CC124" i="22"/>
  <c r="AI124" i="22"/>
  <c r="G124" i="22"/>
  <c r="CK124" i="22"/>
  <c r="BF124" i="22"/>
  <c r="BC124" i="22"/>
  <c r="AA124" i="22"/>
  <c r="F124" i="22"/>
  <c r="CD124" i="22"/>
  <c r="BM124" i="22"/>
  <c r="BO124" i="22"/>
  <c r="AO124" i="22"/>
  <c r="Q124" i="22"/>
  <c r="CH124" i="22"/>
  <c r="BL124" i="22"/>
  <c r="X124" i="22"/>
  <c r="K124" i="22"/>
  <c r="CP104" i="22"/>
  <c r="CK104" i="22"/>
  <c r="CN104" i="22"/>
  <c r="CA104" i="22"/>
  <c r="BZ104" i="22"/>
  <c r="BU104" i="22"/>
  <c r="BB104" i="22"/>
  <c r="BJ104" i="22"/>
  <c r="BI104" i="22"/>
  <c r="BL104" i="22"/>
  <c r="BC104" i="22"/>
  <c r="AU104" i="22"/>
  <c r="AD104" i="22"/>
  <c r="AK104" i="22"/>
  <c r="AC104" i="22"/>
  <c r="T104" i="22"/>
  <c r="AL104" i="22"/>
  <c r="W104" i="22"/>
  <c r="CQ104" i="22"/>
  <c r="CL104" i="22"/>
  <c r="CG104" i="22"/>
  <c r="CB104" i="22"/>
  <c r="BW104" i="22"/>
  <c r="BV104" i="22"/>
  <c r="BO104" i="22"/>
  <c r="AX104" i="22"/>
  <c r="BF104" i="22"/>
  <c r="BD104" i="22"/>
  <c r="BA104" i="22"/>
  <c r="BH104" i="22"/>
  <c r="AN104" i="22"/>
  <c r="Z104" i="22"/>
  <c r="AQ104" i="22"/>
  <c r="Y104" i="22"/>
  <c r="AG104" i="22"/>
  <c r="AH104" i="22"/>
  <c r="CM104" i="22"/>
  <c r="CJ104" i="22"/>
  <c r="BS104" i="22"/>
  <c r="BK104" i="22"/>
  <c r="BQ104" i="22"/>
  <c r="AS104" i="22"/>
  <c r="AJ104" i="22"/>
  <c r="AM104" i="22"/>
  <c r="AA104" i="22"/>
  <c r="G104" i="22"/>
  <c r="K104" i="22"/>
  <c r="H104" i="22"/>
  <c r="CI104" i="22"/>
  <c r="CF104" i="22"/>
  <c r="CD104" i="22"/>
  <c r="BG104" i="22"/>
  <c r="BM104" i="22"/>
  <c r="BP104" i="22"/>
  <c r="AF104" i="22"/>
  <c r="AI104" i="22"/>
  <c r="AP104" i="22"/>
  <c r="CO104" i="22"/>
  <c r="BY104" i="22"/>
  <c r="AV104" i="22"/>
  <c r="X104" i="22"/>
  <c r="S104" i="22"/>
  <c r="P104" i="22"/>
  <c r="N104" i="22"/>
  <c r="L104" i="22"/>
  <c r="BX104" i="22"/>
  <c r="AT104" i="22"/>
  <c r="AY104" i="22"/>
  <c r="U104" i="22"/>
  <c r="Q104" i="22"/>
  <c r="I104" i="22"/>
  <c r="BT104" i="22"/>
  <c r="AW104" i="22"/>
  <c r="M104" i="22"/>
  <c r="CH104" i="22"/>
  <c r="J104" i="22"/>
  <c r="CC104" i="22"/>
  <c r="V104" i="22"/>
  <c r="F104" i="22"/>
  <c r="BN104" i="22"/>
  <c r="AB104" i="22"/>
  <c r="O104" i="22"/>
  <c r="AZ104" i="22"/>
  <c r="AO104" i="22"/>
  <c r="BE66" i="22"/>
  <c r="CR66" i="22"/>
  <c r="D125" i="13"/>
  <c r="D138" i="9" s="1"/>
  <c r="G124" i="17"/>
  <c r="G44" i="17"/>
  <c r="H92" i="17"/>
  <c r="G205" i="13"/>
  <c r="F197" i="9"/>
  <c r="J37" i="4"/>
  <c r="K37" i="4" s="1"/>
  <c r="J87" i="4"/>
  <c r="K87" i="4" s="1"/>
  <c r="J41" i="4"/>
  <c r="K41" i="4" s="1"/>
  <c r="J27" i="4"/>
  <c r="K27" i="4" s="1"/>
  <c r="J60" i="4"/>
  <c r="K60" i="4" s="1"/>
  <c r="J40" i="4"/>
  <c r="K40" i="4" s="1"/>
  <c r="J34" i="4"/>
  <c r="K34" i="4" s="1"/>
  <c r="J69" i="4"/>
  <c r="K69" i="4" s="1"/>
  <c r="J82" i="4"/>
  <c r="K82" i="4" s="1"/>
  <c r="J76" i="4"/>
  <c r="K76" i="4" s="1"/>
  <c r="J66" i="4"/>
  <c r="K66" i="4" s="1"/>
  <c r="J70" i="4"/>
  <c r="K70" i="4" s="1"/>
  <c r="J86" i="4"/>
  <c r="K86" i="4" s="1"/>
  <c r="J121" i="4"/>
  <c r="K121" i="4" s="1"/>
  <c r="J123" i="4"/>
  <c r="K123" i="4" s="1"/>
  <c r="J117" i="4"/>
  <c r="K117" i="4" s="1"/>
  <c r="J104" i="4"/>
  <c r="K104" i="4" s="1"/>
  <c r="J106" i="4"/>
  <c r="K106" i="4" s="1"/>
  <c r="J26" i="4"/>
  <c r="K26" i="4" s="1"/>
  <c r="J107" i="4"/>
  <c r="K107" i="4" s="1"/>
  <c r="J111" i="4"/>
  <c r="K111" i="4" s="1"/>
  <c r="J124" i="4"/>
  <c r="K124" i="4" s="1"/>
  <c r="J122" i="4"/>
  <c r="K122" i="4" s="1"/>
  <c r="J120" i="4"/>
  <c r="K120" i="4" s="1"/>
  <c r="J118" i="4"/>
  <c r="K118" i="4" s="1"/>
  <c r="J46" i="4"/>
  <c r="K46" i="4" s="1"/>
  <c r="J30" i="4"/>
  <c r="K30" i="4" s="1"/>
  <c r="J102" i="4"/>
  <c r="K102" i="4" s="1"/>
  <c r="J108" i="4"/>
  <c r="K108" i="4" s="1"/>
  <c r="J101" i="4"/>
  <c r="J24" i="4"/>
  <c r="K24" i="4" s="1"/>
  <c r="J43" i="4"/>
  <c r="K43" i="4" s="1"/>
  <c r="J29" i="4"/>
  <c r="K29" i="4" s="1"/>
  <c r="J105" i="4"/>
  <c r="K105" i="4" s="1"/>
  <c r="J42" i="4"/>
  <c r="K42" i="4" s="1"/>
  <c r="J25" i="4"/>
  <c r="K25" i="4" s="1"/>
  <c r="J28" i="4"/>
  <c r="K28" i="4" s="1"/>
  <c r="J45" i="4"/>
  <c r="K45" i="4" s="1"/>
  <c r="J38" i="4"/>
  <c r="K38" i="4" s="1"/>
  <c r="J39" i="4"/>
  <c r="K39" i="4" s="1"/>
  <c r="J31" i="4"/>
  <c r="K31" i="4" s="1"/>
  <c r="J35" i="4"/>
  <c r="K35" i="4" s="1"/>
  <c r="J33" i="4"/>
  <c r="K33" i="4" s="1"/>
  <c r="J32" i="4"/>
  <c r="K32" i="4" s="1"/>
  <c r="R88" i="22" l="1"/>
  <c r="BR88" i="22"/>
  <c r="R66" i="22"/>
  <c r="G208" i="30"/>
  <c r="BE58" i="22"/>
  <c r="CE58" i="22"/>
  <c r="AR88" i="22"/>
  <c r="F19" i="4"/>
  <c r="J19" i="4" s="1"/>
  <c r="K19" i="4" s="1"/>
  <c r="BE64" i="22"/>
  <c r="CR58" i="22"/>
  <c r="BE88" i="22"/>
  <c r="CR88" i="22"/>
  <c r="AE88" i="22"/>
  <c r="CE88" i="22"/>
  <c r="F35" i="13"/>
  <c r="F36" i="13" s="1"/>
  <c r="F21" i="4"/>
  <c r="J21" i="4" s="1"/>
  <c r="K21" i="4" s="1"/>
  <c r="N17" i="4"/>
  <c r="N22" i="4"/>
  <c r="N18" i="4"/>
  <c r="F23" i="4"/>
  <c r="J23" i="4" s="1"/>
  <c r="K23" i="4" s="1"/>
  <c r="AE58" i="22"/>
  <c r="F15" i="4"/>
  <c r="J15" i="4" s="1"/>
  <c r="K15" i="4" s="1"/>
  <c r="N15" i="4"/>
  <c r="CE64" i="22"/>
  <c r="BR58" i="22"/>
  <c r="AE64" i="22"/>
  <c r="AR64" i="22"/>
  <c r="AZ57" i="15"/>
  <c r="AX48" i="15"/>
  <c r="BV29" i="21"/>
  <c r="AR27" i="15"/>
  <c r="BB80" i="21"/>
  <c r="BB175" i="15" s="1"/>
  <c r="AS77" i="21"/>
  <c r="AS166" i="15" s="1"/>
  <c r="BA80" i="21"/>
  <c r="BA175" i="15" s="1"/>
  <c r="BG41" i="21"/>
  <c r="BT41" i="21" s="1"/>
  <c r="AZ21" i="15"/>
  <c r="BE24" i="21"/>
  <c r="BR24" i="21" s="1"/>
  <c r="AR21" i="15"/>
  <c r="BE26" i="21"/>
  <c r="BR26" i="21" s="1"/>
  <c r="CE26" i="21" s="1"/>
  <c r="AQ69" i="21"/>
  <c r="BJ36" i="21"/>
  <c r="BO40" i="21"/>
  <c r="BB76" i="21"/>
  <c r="BB163" i="15" s="1"/>
  <c r="BF33" i="21"/>
  <c r="BS33" i="21" s="1"/>
  <c r="CR64" i="22"/>
  <c r="BR64" i="22"/>
  <c r="R64" i="22"/>
  <c r="AR58" i="22"/>
  <c r="R58" i="22"/>
  <c r="BA81" i="21"/>
  <c r="BA178" i="15" s="1"/>
  <c r="AV60" i="21"/>
  <c r="AV115" i="15" s="1"/>
  <c r="BN31" i="21"/>
  <c r="BB81" i="21"/>
  <c r="BB178" i="15" s="1"/>
  <c r="AR75" i="21"/>
  <c r="AR160" i="15" s="1"/>
  <c r="AW21" i="15"/>
  <c r="AY69" i="21"/>
  <c r="AY142" i="15" s="1"/>
  <c r="BA65" i="21"/>
  <c r="BA130" i="15" s="1"/>
  <c r="AT66" i="15"/>
  <c r="BB36" i="15"/>
  <c r="BA75" i="21"/>
  <c r="BA160" i="15" s="1"/>
  <c r="AU66" i="21"/>
  <c r="AU133" i="15" s="1"/>
  <c r="AS83" i="21"/>
  <c r="AS184" i="15" s="1"/>
  <c r="CF23" i="21"/>
  <c r="CF18" i="15" s="1"/>
  <c r="BA45" i="15"/>
  <c r="BB66" i="15"/>
  <c r="BI30" i="21"/>
  <c r="BV30" i="21" s="1"/>
  <c r="AU74" i="21"/>
  <c r="AU157" i="15" s="1"/>
  <c r="AZ48" i="15"/>
  <c r="AW82" i="21"/>
  <c r="AW181" i="15" s="1"/>
  <c r="F247" i="30"/>
  <c r="J247" i="30" s="1"/>
  <c r="F287" i="30"/>
  <c r="R82" i="22"/>
  <c r="AU72" i="21"/>
  <c r="AU151" i="15" s="1"/>
  <c r="AW87" i="15"/>
  <c r="AX87" i="15"/>
  <c r="BE45" i="21"/>
  <c r="F325" i="30"/>
  <c r="G325" i="30" s="1"/>
  <c r="Q67" i="20"/>
  <c r="Q68" i="20" s="1"/>
  <c r="CE82" i="22"/>
  <c r="BR82" i="22"/>
  <c r="AE82" i="22"/>
  <c r="AR82" i="22"/>
  <c r="BE82" i="22"/>
  <c r="CR82" i="22"/>
  <c r="H32" i="13"/>
  <c r="G32" i="13"/>
  <c r="AW81" i="21"/>
  <c r="AW178" i="15" s="1"/>
  <c r="BK45" i="21"/>
  <c r="J301" i="30"/>
  <c r="BB77" i="21"/>
  <c r="BB166" i="15" s="1"/>
  <c r="F314" i="30"/>
  <c r="J67" i="20"/>
  <c r="J68" i="20" s="1"/>
  <c r="AR84" i="15"/>
  <c r="BG45" i="21"/>
  <c r="BG84" i="15" s="1"/>
  <c r="F276" i="30"/>
  <c r="G276" i="30" s="1"/>
  <c r="F231" i="30"/>
  <c r="J231" i="30" s="1"/>
  <c r="CR60" i="22"/>
  <c r="CE131" i="22"/>
  <c r="BR107" i="22"/>
  <c r="E35" i="13"/>
  <c r="E36" i="13" s="1"/>
  <c r="I62" i="4"/>
  <c r="C51" i="19"/>
  <c r="R51" i="22"/>
  <c r="P90" i="22"/>
  <c r="M15" i="20" s="1"/>
  <c r="CE84" i="22"/>
  <c r="BE139" i="22"/>
  <c r="X90" i="22"/>
  <c r="U15" i="20" s="1"/>
  <c r="BR61" i="22"/>
  <c r="BE61" i="22"/>
  <c r="S90" i="22"/>
  <c r="P15" i="20" s="1"/>
  <c r="Y90" i="22"/>
  <c r="V15" i="20" s="1"/>
  <c r="BR111" i="22"/>
  <c r="CE139" i="22"/>
  <c r="AE131" i="22"/>
  <c r="BR132" i="22"/>
  <c r="R47" i="22"/>
  <c r="R42" i="22"/>
  <c r="BT40" i="21"/>
  <c r="CG40" i="21" s="1"/>
  <c r="BF76" i="21"/>
  <c r="BF163" i="15" s="1"/>
  <c r="BB59" i="21"/>
  <c r="BB112" i="15" s="1"/>
  <c r="BS46" i="21"/>
  <c r="CF46" i="21" s="1"/>
  <c r="R41" i="22"/>
  <c r="BA59" i="21"/>
  <c r="BA112" i="15" s="1"/>
  <c r="BF87" i="15"/>
  <c r="F271" i="30"/>
  <c r="J271" i="30" s="1"/>
  <c r="AF90" i="22"/>
  <c r="AC15" i="20" s="1"/>
  <c r="J66" i="30"/>
  <c r="BO41" i="21"/>
  <c r="BO72" i="15" s="1"/>
  <c r="CR111" i="22"/>
  <c r="BB18" i="15"/>
  <c r="BG69" i="15"/>
  <c r="AQ65" i="21"/>
  <c r="AQ130" i="15" s="1"/>
  <c r="AQ42" i="15"/>
  <c r="AR69" i="21"/>
  <c r="AR142" i="15" s="1"/>
  <c r="AT57" i="15"/>
  <c r="BB60" i="21"/>
  <c r="BB115" i="15" s="1"/>
  <c r="BA77" i="21"/>
  <c r="BA166" i="15" s="1"/>
  <c r="AR139" i="22"/>
  <c r="BD60" i="21"/>
  <c r="BD115" i="15" s="1"/>
  <c r="BJ79" i="21"/>
  <c r="BJ172" i="15" s="1"/>
  <c r="AY61" i="21"/>
  <c r="AY118" i="15" s="1"/>
  <c r="AX78" i="15"/>
  <c r="CR98" i="22"/>
  <c r="AE89" i="22"/>
  <c r="BR131" i="22"/>
  <c r="AE103" i="22"/>
  <c r="BE127" i="22"/>
  <c r="H35" i="13"/>
  <c r="H36" i="13" s="1"/>
  <c r="I35" i="13"/>
  <c r="I36" i="13" s="1"/>
  <c r="D35" i="13"/>
  <c r="D36" i="13" s="1"/>
  <c r="C35" i="13"/>
  <c r="C36" i="13" s="1"/>
  <c r="B128" i="13"/>
  <c r="C128" i="13" s="1"/>
  <c r="B219" i="13"/>
  <c r="D49" i="26" s="1"/>
  <c r="J171" i="30"/>
  <c r="G171" i="30"/>
  <c r="G314" i="30"/>
  <c r="AZ75" i="21"/>
  <c r="AZ160" i="15" s="1"/>
  <c r="CE111" i="22"/>
  <c r="R50" i="22"/>
  <c r="BD76" i="21"/>
  <c r="AR65" i="21"/>
  <c r="AR130" i="15" s="1"/>
  <c r="AQ21" i="15"/>
  <c r="J346" i="30"/>
  <c r="J314" i="30"/>
  <c r="BA66" i="15"/>
  <c r="W90" i="22"/>
  <c r="T15" i="20" s="1"/>
  <c r="BA24" i="15"/>
  <c r="BQ33" i="21"/>
  <c r="CD33" i="21" s="1"/>
  <c r="CD48" i="15" s="1"/>
  <c r="R85" i="22"/>
  <c r="F88" i="30"/>
  <c r="J88" i="30" s="1"/>
  <c r="F170" i="30"/>
  <c r="J170" i="30" s="1"/>
  <c r="F117" i="30"/>
  <c r="J117" i="30" s="1"/>
  <c r="F233" i="30"/>
  <c r="J233" i="30" s="1"/>
  <c r="AE107" i="22"/>
  <c r="AE111" i="22"/>
  <c r="J373" i="30"/>
  <c r="F245" i="30"/>
  <c r="G245" i="30" s="1"/>
  <c r="F134" i="30"/>
  <c r="J134" i="30" s="1"/>
  <c r="F274" i="30"/>
  <c r="G274" i="30" s="1"/>
  <c r="F239" i="30"/>
  <c r="G239" i="30" s="1"/>
  <c r="AE63" i="22"/>
  <c r="AR111" i="22"/>
  <c r="BX90" i="22"/>
  <c r="BU15" i="20" s="1"/>
  <c r="CR141" i="22"/>
  <c r="F214" i="30"/>
  <c r="G214" i="30" s="1"/>
  <c r="F95" i="30"/>
  <c r="J95" i="30" s="1"/>
  <c r="F240" i="30"/>
  <c r="J240" i="30" s="1"/>
  <c r="BR102" i="22"/>
  <c r="BE132" i="22"/>
  <c r="BR89" i="22"/>
  <c r="R106" i="22"/>
  <c r="BE100" i="22"/>
  <c r="BR68" i="22"/>
  <c r="AR67" i="22"/>
  <c r="AO90" i="22"/>
  <c r="AL15" i="20" s="1"/>
  <c r="AC90" i="22"/>
  <c r="Z15" i="20" s="1"/>
  <c r="CE60" i="22"/>
  <c r="AR100" i="22"/>
  <c r="BP90" i="22"/>
  <c r="BM15" i="20" s="1"/>
  <c r="CE107" i="22"/>
  <c r="BE98" i="22"/>
  <c r="CN90" i="22"/>
  <c r="CK15" i="20" s="1"/>
  <c r="CE85" i="22"/>
  <c r="BE85" i="22"/>
  <c r="BE63" i="22"/>
  <c r="CE98" i="22"/>
  <c r="R137" i="22"/>
  <c r="AE137" i="22"/>
  <c r="BE137" i="22"/>
  <c r="CH90" i="22"/>
  <c r="CE15" i="20" s="1"/>
  <c r="AP90" i="22"/>
  <c r="AM15" i="20" s="1"/>
  <c r="AZ90" i="22"/>
  <c r="AW15" i="20" s="1"/>
  <c r="AE98" i="22"/>
  <c r="F362" i="30"/>
  <c r="F203" i="30"/>
  <c r="AE84" i="22"/>
  <c r="CE141" i="22"/>
  <c r="AE127" i="22"/>
  <c r="CB90" i="22"/>
  <c r="BY15" i="20" s="1"/>
  <c r="R68" i="22"/>
  <c r="AI90" i="22"/>
  <c r="AF15" i="20" s="1"/>
  <c r="BM90" i="22"/>
  <c r="BJ15" i="20" s="1"/>
  <c r="G341" i="30"/>
  <c r="E6" i="29"/>
  <c r="D17" i="29" s="1"/>
  <c r="AR90" i="15"/>
  <c r="BE69" i="15"/>
  <c r="BE29" i="21"/>
  <c r="BD65" i="21" s="1"/>
  <c r="AY73" i="21"/>
  <c r="AY154" i="15" s="1"/>
  <c r="BN25" i="21"/>
  <c r="CA25" i="21" s="1"/>
  <c r="AS36" i="15"/>
  <c r="AV57" i="15"/>
  <c r="AZ24" i="15"/>
  <c r="BA60" i="21"/>
  <c r="BA115" i="15" s="1"/>
  <c r="AV70" i="21"/>
  <c r="AV145" i="15" s="1"/>
  <c r="AZ60" i="15"/>
  <c r="AR67" i="21"/>
  <c r="AR136" i="15" s="1"/>
  <c r="BB21" i="15"/>
  <c r="CA35" i="21"/>
  <c r="BZ71" i="21" s="1"/>
  <c r="BZ148" i="15" s="1"/>
  <c r="AX64" i="21"/>
  <c r="AX127" i="15" s="1"/>
  <c r="AW66" i="21"/>
  <c r="AW133" i="15" s="1"/>
  <c r="R18" i="22"/>
  <c r="CE127" i="22"/>
  <c r="AR132" i="22"/>
  <c r="AE85" i="22"/>
  <c r="BR85" i="22"/>
  <c r="BO90" i="22"/>
  <c r="BL15" i="20" s="1"/>
  <c r="BA90" i="22"/>
  <c r="AX15" i="20" s="1"/>
  <c r="AR60" i="22"/>
  <c r="CC90" i="22"/>
  <c r="BZ15" i="20" s="1"/>
  <c r="AR107" i="22"/>
  <c r="BI90" i="22"/>
  <c r="BF15" i="20" s="1"/>
  <c r="AG90" i="22"/>
  <c r="AD15" i="20" s="1"/>
  <c r="CE61" i="22"/>
  <c r="CR107" i="22"/>
  <c r="BE107" i="22"/>
  <c r="BS90" i="22"/>
  <c r="BP15" i="20" s="1"/>
  <c r="AR137" i="22"/>
  <c r="BR98" i="22"/>
  <c r="AR98" i="22"/>
  <c r="BW90" i="22"/>
  <c r="BT15" i="20" s="1"/>
  <c r="BR134" i="22"/>
  <c r="R139" i="22"/>
  <c r="BR62" i="22"/>
  <c r="CR85" i="22"/>
  <c r="AR85" i="22"/>
  <c r="BF90" i="22"/>
  <c r="BC15" i="20" s="1"/>
  <c r="BE141" i="22"/>
  <c r="R107" i="22"/>
  <c r="R21" i="22"/>
  <c r="BR137" i="22"/>
  <c r="BR63" i="22"/>
  <c r="BR83" i="22"/>
  <c r="AE83" i="22"/>
  <c r="CE87" i="22"/>
  <c r="AR86" i="22"/>
  <c r="CE103" i="22"/>
  <c r="BE102" i="22"/>
  <c r="AE102" i="22"/>
  <c r="AE139" i="22"/>
  <c r="CE132" i="22"/>
  <c r="BE89" i="22"/>
  <c r="AR89" i="22"/>
  <c r="R62" i="22"/>
  <c r="CP90" i="22"/>
  <c r="CM15" i="20" s="1"/>
  <c r="R8" i="22"/>
  <c r="R15" i="22"/>
  <c r="R10" i="22"/>
  <c r="R13" i="22"/>
  <c r="J38" i="17"/>
  <c r="G35" i="13"/>
  <c r="G36" i="13" s="1"/>
  <c r="G67" i="13" s="1"/>
  <c r="G80" i="13" s="1"/>
  <c r="G171" i="13" s="1"/>
  <c r="R46" i="22"/>
  <c r="R28" i="22"/>
  <c r="CR63" i="22"/>
  <c r="CE102" i="22"/>
  <c r="AR62" i="22"/>
  <c r="BR59" i="22"/>
  <c r="AE65" i="22"/>
  <c r="R14" i="22"/>
  <c r="AR106" i="22"/>
  <c r="R141" i="22"/>
  <c r="BR141" i="22"/>
  <c r="R60" i="22"/>
  <c r="AH90" i="22"/>
  <c r="AE15" i="20" s="1"/>
  <c r="AE68" i="22"/>
  <c r="CR68" i="22"/>
  <c r="CR61" i="22"/>
  <c r="AN90" i="22"/>
  <c r="AK15" i="20" s="1"/>
  <c r="BD90" i="22"/>
  <c r="BA15" i="20" s="1"/>
  <c r="R109" i="22"/>
  <c r="Q90" i="22"/>
  <c r="N15" i="20" s="1"/>
  <c r="CQ90" i="22"/>
  <c r="CN15" i="20" s="1"/>
  <c r="BY90" i="22"/>
  <c r="BV15" i="20" s="1"/>
  <c r="BU90" i="22"/>
  <c r="BR15" i="20" s="1"/>
  <c r="AL90" i="22"/>
  <c r="AI15" i="20" s="1"/>
  <c r="CE134" i="22"/>
  <c r="BQ90" i="22"/>
  <c r="BN15" i="20" s="1"/>
  <c r="J92" i="17"/>
  <c r="J124" i="17" s="1"/>
  <c r="H127" i="17"/>
  <c r="H130" i="17" s="1"/>
  <c r="AC29" i="22"/>
  <c r="BI42" i="21"/>
  <c r="BI75" i="15" s="1"/>
  <c r="F169" i="30"/>
  <c r="J169" i="30" s="1"/>
  <c r="AY33" i="15"/>
  <c r="F151" i="30"/>
  <c r="J151" i="30" s="1"/>
  <c r="F366" i="30"/>
  <c r="J366" i="30" s="1"/>
  <c r="F211" i="30"/>
  <c r="J211" i="30" s="1"/>
  <c r="F289" i="30"/>
  <c r="J289" i="30" s="1"/>
  <c r="G90" i="22"/>
  <c r="D15" i="20" s="1"/>
  <c r="CA90" i="22"/>
  <c r="BX15" i="20" s="1"/>
  <c r="AQ90" i="22"/>
  <c r="AN15" i="20" s="1"/>
  <c r="R83" i="22"/>
  <c r="CF90" i="22"/>
  <c r="CC15" i="20" s="1"/>
  <c r="BE111" i="22"/>
  <c r="AT90" i="22"/>
  <c r="AQ15" i="20" s="1"/>
  <c r="K90" i="22"/>
  <c r="H15" i="20" s="1"/>
  <c r="CE86" i="22"/>
  <c r="V90" i="22"/>
  <c r="S15" i="20" s="1"/>
  <c r="BE65" i="22"/>
  <c r="CR127" i="22"/>
  <c r="CE106" i="22"/>
  <c r="BE131" i="22"/>
  <c r="BL90" i="22"/>
  <c r="BI15" i="20" s="1"/>
  <c r="CR103" i="22"/>
  <c r="N90" i="22"/>
  <c r="K15" i="20" s="1"/>
  <c r="F277" i="30"/>
  <c r="G277" i="30" s="1"/>
  <c r="J341" i="30"/>
  <c r="F175" i="30"/>
  <c r="G175" i="30" s="1"/>
  <c r="F103" i="30"/>
  <c r="J103" i="30" s="1"/>
  <c r="F249" i="30"/>
  <c r="J249" i="30" s="1"/>
  <c r="J252" i="30"/>
  <c r="F156" i="30"/>
  <c r="G156" i="30" s="1"/>
  <c r="F188" i="30"/>
  <c r="J188" i="30" s="1"/>
  <c r="F101" i="30"/>
  <c r="J101" i="30" s="1"/>
  <c r="F374" i="30"/>
  <c r="J374" i="30" s="1"/>
  <c r="F317" i="30"/>
  <c r="G317" i="30" s="1"/>
  <c r="F121" i="30"/>
  <c r="G121" i="30" s="1"/>
  <c r="F23" i="30"/>
  <c r="J23" i="30" s="1"/>
  <c r="F281" i="30"/>
  <c r="J281" i="30" s="1"/>
  <c r="F350" i="30"/>
  <c r="G350" i="30" s="1"/>
  <c r="BU80" i="21"/>
  <c r="BU175" i="15" s="1"/>
  <c r="F371" i="30"/>
  <c r="G371" i="30" s="1"/>
  <c r="R26" i="22"/>
  <c r="V116" i="22"/>
  <c r="R45" i="20" s="1"/>
  <c r="BH116" i="22"/>
  <c r="BD45" i="20" s="1"/>
  <c r="F53" i="30"/>
  <c r="G53" i="30" s="1"/>
  <c r="F376" i="30"/>
  <c r="J376" i="30" s="1"/>
  <c r="F80" i="30"/>
  <c r="J80" i="30" s="1"/>
  <c r="F92" i="30"/>
  <c r="G92" i="30" s="1"/>
  <c r="F212" i="30"/>
  <c r="G212" i="30" s="1"/>
  <c r="G29" i="22"/>
  <c r="D43" i="20" s="1"/>
  <c r="Q43" i="20" s="1"/>
  <c r="F160" i="30"/>
  <c r="J160" i="30" s="1"/>
  <c r="F295" i="30"/>
  <c r="J295" i="30" s="1"/>
  <c r="CI44" i="21"/>
  <c r="CI81" i="15" s="1"/>
  <c r="F109" i="30"/>
  <c r="J109" i="30" s="1"/>
  <c r="CR137" i="22"/>
  <c r="R98" i="22"/>
  <c r="CR87" i="22"/>
  <c r="BE87" i="22"/>
  <c r="AE134" i="22"/>
  <c r="CR102" i="22"/>
  <c r="CE89" i="22"/>
  <c r="CR89" i="22"/>
  <c r="AX90" i="22"/>
  <c r="AU15" i="20" s="1"/>
  <c r="BE84" i="22"/>
  <c r="CR134" i="22"/>
  <c r="BE106" i="22"/>
  <c r="CR109" i="22"/>
  <c r="M29" i="22"/>
  <c r="J43" i="20" s="1"/>
  <c r="W43" i="20" s="1"/>
  <c r="AK90" i="22"/>
  <c r="AH15" i="20" s="1"/>
  <c r="H44" i="17"/>
  <c r="F43" i="17" s="1"/>
  <c r="R127" i="22"/>
  <c r="CE100" i="22"/>
  <c r="AE60" i="22"/>
  <c r="BE68" i="22"/>
  <c r="CR131" i="22"/>
  <c r="AW90" i="22"/>
  <c r="AT15" i="20" s="1"/>
  <c r="AV90" i="22"/>
  <c r="AS15" i="20" s="1"/>
  <c r="AA90" i="22"/>
  <c r="X15" i="20" s="1"/>
  <c r="Z90" i="22"/>
  <c r="W15" i="20" s="1"/>
  <c r="AE109" i="22"/>
  <c r="BE134" i="22"/>
  <c r="R84" i="22"/>
  <c r="I90" i="22"/>
  <c r="F15" i="20" s="1"/>
  <c r="CG90" i="22"/>
  <c r="CD15" i="20" s="1"/>
  <c r="CD90" i="22"/>
  <c r="CA15" i="20" s="1"/>
  <c r="BZ90" i="22"/>
  <c r="BW15" i="20" s="1"/>
  <c r="BT90" i="22"/>
  <c r="BQ15" i="20" s="1"/>
  <c r="CJ90" i="22"/>
  <c r="CG15" i="20" s="1"/>
  <c r="BE67" i="22"/>
  <c r="AB90" i="22"/>
  <c r="Y15" i="20" s="1"/>
  <c r="AR61" i="22"/>
  <c r="BE59" i="22"/>
  <c r="CM90" i="22"/>
  <c r="CJ15" i="20" s="1"/>
  <c r="BE109" i="22"/>
  <c r="BR106" i="22"/>
  <c r="L90" i="22"/>
  <c r="I15" i="20" s="1"/>
  <c r="AE106" i="22"/>
  <c r="AE67" i="22"/>
  <c r="CO90" i="22"/>
  <c r="CL15" i="20" s="1"/>
  <c r="CR100" i="22"/>
  <c r="BR67" i="22"/>
  <c r="F90" i="22"/>
  <c r="C15" i="20" s="1"/>
  <c r="BR100" i="22"/>
  <c r="CE109" i="22"/>
  <c r="AE100" i="22"/>
  <c r="BB90" i="22"/>
  <c r="AY15" i="20" s="1"/>
  <c r="R9" i="22"/>
  <c r="F356" i="30"/>
  <c r="G356" i="30" s="1"/>
  <c r="F81" i="30"/>
  <c r="G81" i="30" s="1"/>
  <c r="AR141" i="22"/>
  <c r="R67" i="22"/>
  <c r="AS90" i="22"/>
  <c r="AP15" i="20" s="1"/>
  <c r="BG90" i="22"/>
  <c r="BD15" i="20" s="1"/>
  <c r="BV90" i="22"/>
  <c r="BS15" i="20" s="1"/>
  <c r="AU90" i="22"/>
  <c r="AR15" i="20" s="1"/>
  <c r="CE68" i="22"/>
  <c r="CR67" i="22"/>
  <c r="BR84" i="22"/>
  <c r="BK78" i="15"/>
  <c r="BL27" i="15"/>
  <c r="AX67" i="21"/>
  <c r="AX136" i="15" s="1"/>
  <c r="F133" i="30"/>
  <c r="J133" i="30" s="1"/>
  <c r="BE62" i="22"/>
  <c r="K29" i="22"/>
  <c r="H43" i="20" s="1"/>
  <c r="U43" i="20" s="1"/>
  <c r="CK90" i="22"/>
  <c r="CH15" i="20" s="1"/>
  <c r="O116" i="22"/>
  <c r="L45" i="20" s="1"/>
  <c r="M116" i="22"/>
  <c r="J45" i="20" s="1"/>
  <c r="CF116" i="22"/>
  <c r="AS116" i="22"/>
  <c r="Y116" i="22"/>
  <c r="U45" i="20" s="1"/>
  <c r="K142" i="22"/>
  <c r="H74" i="20" s="1"/>
  <c r="CD142" i="22"/>
  <c r="BZ74" i="20" s="1"/>
  <c r="L142" i="22"/>
  <c r="I74" i="20" s="1"/>
  <c r="R20" i="22"/>
  <c r="R44" i="22"/>
  <c r="AW72" i="21"/>
  <c r="AW151" i="15" s="1"/>
  <c r="AY42" i="15"/>
  <c r="CR65" i="22"/>
  <c r="CE63" i="22"/>
  <c r="AR68" i="22"/>
  <c r="AM90" i="22"/>
  <c r="AJ15" i="20" s="1"/>
  <c r="AS58" i="21"/>
  <c r="AS109" i="15" s="1"/>
  <c r="AX57" i="15"/>
  <c r="AS74" i="21"/>
  <c r="AS157" i="15" s="1"/>
  <c r="F213" i="30"/>
  <c r="J213" i="30" s="1"/>
  <c r="F248" i="30"/>
  <c r="J248" i="30" s="1"/>
  <c r="F307" i="30"/>
  <c r="G307" i="30" s="1"/>
  <c r="AY90" i="22"/>
  <c r="AV15" i="20" s="1"/>
  <c r="G303" i="30"/>
  <c r="F298" i="30"/>
  <c r="G298" i="30" s="1"/>
  <c r="O29" i="22"/>
  <c r="L43" i="20" s="1"/>
  <c r="Y43" i="20" s="1"/>
  <c r="AR77" i="21"/>
  <c r="AR166" i="15" s="1"/>
  <c r="AT15" i="15"/>
  <c r="AT63" i="15"/>
  <c r="F192" i="30"/>
  <c r="J192" i="30" s="1"/>
  <c r="F136" i="30"/>
  <c r="G136" i="30" s="1"/>
  <c r="F364" i="30"/>
  <c r="G364" i="30" s="1"/>
  <c r="J303" i="30"/>
  <c r="AR63" i="22"/>
  <c r="AS72" i="15"/>
  <c r="F65" i="30"/>
  <c r="G65" i="30" s="1"/>
  <c r="F222" i="30"/>
  <c r="G222" i="30" s="1"/>
  <c r="CR62" i="22"/>
  <c r="AR131" i="22"/>
  <c r="BP116" i="22"/>
  <c r="BL45" i="20" s="1"/>
  <c r="CB116" i="22"/>
  <c r="BX45" i="20" s="1"/>
  <c r="Q142" i="22"/>
  <c r="N74" i="20" s="1"/>
  <c r="BK142" i="22"/>
  <c r="BG74" i="20" s="1"/>
  <c r="AW142" i="22"/>
  <c r="AS74" i="20" s="1"/>
  <c r="R24" i="22"/>
  <c r="BQ116" i="22"/>
  <c r="BM45" i="20" s="1"/>
  <c r="R25" i="22"/>
  <c r="F35" i="30"/>
  <c r="J35" i="30" s="1"/>
  <c r="F24" i="30"/>
  <c r="J24" i="30" s="1"/>
  <c r="F34" i="30"/>
  <c r="G34" i="30" s="1"/>
  <c r="F124" i="30"/>
  <c r="J124" i="30" s="1"/>
  <c r="F273" i="30"/>
  <c r="G273" i="30" s="1"/>
  <c r="CR86" i="22"/>
  <c r="R39" i="22"/>
  <c r="R19" i="22"/>
  <c r="CD45" i="21"/>
  <c r="CD84" i="15" s="1"/>
  <c r="F52" i="30"/>
  <c r="G52" i="30" s="1"/>
  <c r="F165" i="30"/>
  <c r="G165" i="30" s="1"/>
  <c r="F319" i="30"/>
  <c r="J319" i="30" s="1"/>
  <c r="F21" i="30"/>
  <c r="J21" i="30" s="1"/>
  <c r="F186" i="30"/>
  <c r="G186" i="30" s="1"/>
  <c r="F282" i="30"/>
  <c r="J282" i="30" s="1"/>
  <c r="F268" i="30"/>
  <c r="J268" i="30" s="1"/>
  <c r="F127" i="30"/>
  <c r="G127" i="30" s="1"/>
  <c r="F226" i="30"/>
  <c r="G226" i="30" s="1"/>
  <c r="F166" i="30"/>
  <c r="G166" i="30" s="1"/>
  <c r="R131" i="22"/>
  <c r="F267" i="30"/>
  <c r="J267" i="30" s="1"/>
  <c r="F363" i="30"/>
  <c r="J363" i="30" s="1"/>
  <c r="E242" i="13"/>
  <c r="BE60" i="22"/>
  <c r="F77" i="30"/>
  <c r="G77" i="30" s="1"/>
  <c r="BR139" i="22"/>
  <c r="BE113" i="22"/>
  <c r="F291" i="30"/>
  <c r="G291" i="30" s="1"/>
  <c r="AH116" i="22"/>
  <c r="AD45" i="20" s="1"/>
  <c r="AP116" i="22"/>
  <c r="AL45" i="20" s="1"/>
  <c r="F368" i="30"/>
  <c r="J368" i="30" s="1"/>
  <c r="F71" i="30"/>
  <c r="G71" i="30" s="1"/>
  <c r="F67" i="30"/>
  <c r="J67" i="30" s="1"/>
  <c r="T90" i="22"/>
  <c r="Q15" i="20" s="1"/>
  <c r="AR134" i="22"/>
  <c r="CE67" i="22"/>
  <c r="F58" i="30"/>
  <c r="G58" i="30" s="1"/>
  <c r="F148" i="30"/>
  <c r="J148" i="30" s="1"/>
  <c r="F217" i="30"/>
  <c r="G217" i="30" s="1"/>
  <c r="F265" i="30"/>
  <c r="J265" i="30" s="1"/>
  <c r="F182" i="30"/>
  <c r="G182" i="30" s="1"/>
  <c r="F229" i="30"/>
  <c r="G229" i="30" s="1"/>
  <c r="F26" i="30"/>
  <c r="J26" i="30" s="1"/>
  <c r="F327" i="30"/>
  <c r="G327" i="30" s="1"/>
  <c r="F102" i="30"/>
  <c r="J102" i="30" s="1"/>
  <c r="BR127" i="22"/>
  <c r="F216" i="30"/>
  <c r="G216" i="30" s="1"/>
  <c r="F106" i="30"/>
  <c r="J106" i="30" s="1"/>
  <c r="F125" i="30"/>
  <c r="G125" i="30" s="1"/>
  <c r="F20" i="30"/>
  <c r="G20" i="30" s="1"/>
  <c r="F62" i="30"/>
  <c r="G62" i="30" s="1"/>
  <c r="F286" i="30"/>
  <c r="G286" i="30" s="1"/>
  <c r="F254" i="30"/>
  <c r="J254" i="30" s="1"/>
  <c r="F96" i="30"/>
  <c r="J96" i="30" s="1"/>
  <c r="F162" i="30"/>
  <c r="G162" i="30" s="1"/>
  <c r="F194" i="30"/>
  <c r="G194" i="30" s="1"/>
  <c r="F19" i="30"/>
  <c r="J19" i="30" s="1"/>
  <c r="F179" i="30"/>
  <c r="G179" i="30" s="1"/>
  <c r="F69" i="30"/>
  <c r="G69" i="30" s="1"/>
  <c r="F37" i="30"/>
  <c r="G37" i="30" s="1"/>
  <c r="F201" i="30"/>
  <c r="G201" i="30" s="1"/>
  <c r="F158" i="30"/>
  <c r="G158" i="30" s="1"/>
  <c r="R132" i="22"/>
  <c r="BR60" i="22"/>
  <c r="F111" i="30"/>
  <c r="J111" i="30" s="1"/>
  <c r="F191" i="30"/>
  <c r="J191" i="30" s="1"/>
  <c r="F207" i="30"/>
  <c r="J207" i="30" s="1"/>
  <c r="F120" i="30"/>
  <c r="J120" i="30" s="1"/>
  <c r="F262" i="30"/>
  <c r="G262" i="30" s="1"/>
  <c r="F326" i="30"/>
  <c r="G326" i="30" s="1"/>
  <c r="F42" i="30"/>
  <c r="J42" i="30" s="1"/>
  <c r="F131" i="30"/>
  <c r="G131" i="30" s="1"/>
  <c r="F45" i="30"/>
  <c r="J45" i="30" s="1"/>
  <c r="F205" i="30"/>
  <c r="G205" i="30" s="1"/>
  <c r="F75" i="30"/>
  <c r="G75" i="30" s="1"/>
  <c r="F270" i="30"/>
  <c r="J270" i="30" s="1"/>
  <c r="F343" i="30"/>
  <c r="G343" i="30" s="1"/>
  <c r="F29" i="30"/>
  <c r="G29" i="30" s="1"/>
  <c r="F38" i="30"/>
  <c r="G38" i="30" s="1"/>
  <c r="F369" i="30"/>
  <c r="J369" i="30" s="1"/>
  <c r="F241" i="30"/>
  <c r="J241" i="30" s="1"/>
  <c r="F187" i="30"/>
  <c r="J187" i="30" s="1"/>
  <c r="F370" i="30"/>
  <c r="J370" i="30" s="1"/>
  <c r="F79" i="30"/>
  <c r="J79" i="30" s="1"/>
  <c r="G313" i="30"/>
  <c r="BE83" i="22"/>
  <c r="CR83" i="22"/>
  <c r="BN90" i="22"/>
  <c r="BK15" i="20" s="1"/>
  <c r="R87" i="22"/>
  <c r="AR127" i="22"/>
  <c r="BR109" i="22"/>
  <c r="AE62" i="22"/>
  <c r="F206" i="30"/>
  <c r="G206" i="30" s="1"/>
  <c r="CG116" i="22"/>
  <c r="CC45" i="20" s="1"/>
  <c r="CP116" i="22"/>
  <c r="CL45" i="20" s="1"/>
  <c r="F335" i="30"/>
  <c r="J335" i="30" s="1"/>
  <c r="F74" i="30"/>
  <c r="J74" i="30" s="1"/>
  <c r="F116" i="30"/>
  <c r="G116" i="30" s="1"/>
  <c r="F324" i="30"/>
  <c r="J324" i="30" s="1"/>
  <c r="F340" i="30"/>
  <c r="G340" i="30" s="1"/>
  <c r="F251" i="30"/>
  <c r="J251" i="30" s="1"/>
  <c r="F359" i="30"/>
  <c r="J359" i="30" s="1"/>
  <c r="F250" i="30"/>
  <c r="G250" i="30" s="1"/>
  <c r="F114" i="30"/>
  <c r="J114" i="30" s="1"/>
  <c r="F172" i="30"/>
  <c r="J172" i="30" s="1"/>
  <c r="F123" i="30"/>
  <c r="G123" i="30" s="1"/>
  <c r="CE137" i="22"/>
  <c r="R63" i="22"/>
  <c r="AR83" i="22"/>
  <c r="R111" i="22"/>
  <c r="BC90" i="22"/>
  <c r="AZ15" i="20" s="1"/>
  <c r="H90" i="22"/>
  <c r="E15" i="20" s="1"/>
  <c r="CE59" i="22"/>
  <c r="BR65" i="22"/>
  <c r="J90" i="22"/>
  <c r="G15" i="20" s="1"/>
  <c r="R65" i="22"/>
  <c r="CE83" i="22"/>
  <c r="AE87" i="22"/>
  <c r="O90" i="22"/>
  <c r="L15" i="20" s="1"/>
  <c r="AR125" i="22"/>
  <c r="CR101" i="22"/>
  <c r="AE141" i="22"/>
  <c r="R100" i="22"/>
  <c r="BJ90" i="22"/>
  <c r="BG15" i="20" s="1"/>
  <c r="M90" i="22"/>
  <c r="J15" i="20" s="1"/>
  <c r="CI90" i="22"/>
  <c r="CF15" i="20" s="1"/>
  <c r="AD90" i="22"/>
  <c r="AA15" i="20" s="1"/>
  <c r="BR86" i="22"/>
  <c r="CL90" i="22"/>
  <c r="CI15" i="20" s="1"/>
  <c r="R61" i="22"/>
  <c r="AE61" i="22"/>
  <c r="CR59" i="22"/>
  <c r="AR84" i="22"/>
  <c r="AE59" i="22"/>
  <c r="BH90" i="22"/>
  <c r="BE15" i="20" s="1"/>
  <c r="H124" i="17"/>
  <c r="Z67" i="20"/>
  <c r="Z68" i="20" s="1"/>
  <c r="P67" i="20"/>
  <c r="P68" i="20" s="1"/>
  <c r="W67" i="20"/>
  <c r="W68" i="20" s="1"/>
  <c r="F197" i="30"/>
  <c r="G197" i="30" s="1"/>
  <c r="F351" i="30"/>
  <c r="G351" i="30" s="1"/>
  <c r="F209" i="30"/>
  <c r="J209" i="30" s="1"/>
  <c r="F342" i="30"/>
  <c r="G342" i="30" s="1"/>
  <c r="F56" i="30"/>
  <c r="J56" i="30" s="1"/>
  <c r="F244" i="30"/>
  <c r="J244" i="30" s="1"/>
  <c r="F336" i="30"/>
  <c r="G336" i="30" s="1"/>
  <c r="F61" i="30"/>
  <c r="G61" i="30" s="1"/>
  <c r="F264" i="30"/>
  <c r="G264" i="30" s="1"/>
  <c r="F354" i="30"/>
  <c r="J354" i="30" s="1"/>
  <c r="F219" i="30"/>
  <c r="J219" i="30" s="1"/>
  <c r="F161" i="30"/>
  <c r="J161" i="30" s="1"/>
  <c r="F283" i="30"/>
  <c r="G283" i="30" s="1"/>
  <c r="F304" i="30"/>
  <c r="G304" i="30" s="1"/>
  <c r="AR87" i="22"/>
  <c r="AR109" i="22"/>
  <c r="J144" i="30"/>
  <c r="AZ116" i="22"/>
  <c r="AV45" i="20" s="1"/>
  <c r="CH116" i="22"/>
  <c r="CD45" i="20" s="1"/>
  <c r="I116" i="22"/>
  <c r="F45" i="20" s="1"/>
  <c r="P116" i="22"/>
  <c r="M45" i="20" s="1"/>
  <c r="CH142" i="22"/>
  <c r="CD74" i="20" s="1"/>
  <c r="CC116" i="22"/>
  <c r="BY45" i="20" s="1"/>
  <c r="AE108" i="22"/>
  <c r="CR110" i="22"/>
  <c r="BM116" i="22"/>
  <c r="BI45" i="20" s="1"/>
  <c r="X116" i="22"/>
  <c r="T45" i="20" s="1"/>
  <c r="BI116" i="22"/>
  <c r="BE45" i="20" s="1"/>
  <c r="BZ116" i="22"/>
  <c r="BV45" i="20" s="1"/>
  <c r="R67" i="20"/>
  <c r="R68" i="20" s="1"/>
  <c r="F149" i="30"/>
  <c r="G149" i="30" s="1"/>
  <c r="F181" i="30"/>
  <c r="G181" i="30" s="1"/>
  <c r="F278" i="30"/>
  <c r="G278" i="30" s="1"/>
  <c r="F185" i="30"/>
  <c r="G185" i="30" s="1"/>
  <c r="F312" i="30"/>
  <c r="G312" i="30" s="1"/>
  <c r="F154" i="30"/>
  <c r="G154" i="30" s="1"/>
  <c r="F83" i="30"/>
  <c r="G83" i="30" s="1"/>
  <c r="F345" i="30"/>
  <c r="J345" i="30" s="1"/>
  <c r="F315" i="30"/>
  <c r="J315" i="30" s="1"/>
  <c r="F48" i="30"/>
  <c r="G48" i="30" s="1"/>
  <c r="F59" i="30"/>
  <c r="J59" i="30" s="1"/>
  <c r="F310" i="30"/>
  <c r="G310" i="30" s="1"/>
  <c r="F334" i="30"/>
  <c r="J334" i="30" s="1"/>
  <c r="F360" i="30"/>
  <c r="G360" i="30" s="1"/>
  <c r="F89" i="30"/>
  <c r="G89" i="30" s="1"/>
  <c r="F224" i="30"/>
  <c r="G224" i="30" s="1"/>
  <c r="F332" i="30"/>
  <c r="J332" i="30" s="1"/>
  <c r="F348" i="30"/>
  <c r="G348" i="30" s="1"/>
  <c r="BR87" i="22"/>
  <c r="BK90" i="22"/>
  <c r="BH15" i="20" s="1"/>
  <c r="CE135" i="22"/>
  <c r="BR135" i="22"/>
  <c r="AR102" i="22"/>
  <c r="R102" i="22"/>
  <c r="CR139" i="22"/>
  <c r="CR132" i="22"/>
  <c r="AE132" i="22"/>
  <c r="R89" i="22"/>
  <c r="CE62" i="22"/>
  <c r="CE65" i="22"/>
  <c r="AJ90" i="22"/>
  <c r="AG15" i="20" s="1"/>
  <c r="CR84" i="22"/>
  <c r="AA116" i="22"/>
  <c r="W45" i="20" s="1"/>
  <c r="CM116" i="22"/>
  <c r="CI45" i="20" s="1"/>
  <c r="BO116" i="22"/>
  <c r="BK45" i="20" s="1"/>
  <c r="AL116" i="22"/>
  <c r="AH45" i="20" s="1"/>
  <c r="AD116" i="22"/>
  <c r="Z45" i="20" s="1"/>
  <c r="BT142" i="22"/>
  <c r="BP74" i="20" s="1"/>
  <c r="CQ142" i="22"/>
  <c r="CM74" i="20" s="1"/>
  <c r="AX142" i="22"/>
  <c r="AT74" i="20" s="1"/>
  <c r="Y142" i="22"/>
  <c r="U74" i="20" s="1"/>
  <c r="BA142" i="22"/>
  <c r="AW74" i="20" s="1"/>
  <c r="BN142" i="22"/>
  <c r="BJ74" i="20" s="1"/>
  <c r="CI142" i="22"/>
  <c r="CE74" i="20" s="1"/>
  <c r="BR130" i="22"/>
  <c r="F17" i="30"/>
  <c r="G17" i="30" s="1"/>
  <c r="F39" i="30"/>
  <c r="G39" i="30" s="1"/>
  <c r="F329" i="30"/>
  <c r="J329" i="30" s="1"/>
  <c r="AO116" i="22"/>
  <c r="AK45" i="20" s="1"/>
  <c r="BT116" i="22"/>
  <c r="BP45" i="20" s="1"/>
  <c r="AV116" i="22"/>
  <c r="AR45" i="20" s="1"/>
  <c r="CL116" i="22"/>
  <c r="CH45" i="20" s="1"/>
  <c r="AP142" i="22"/>
  <c r="AL74" i="20" s="1"/>
  <c r="BY142" i="22"/>
  <c r="BU74" i="20" s="1"/>
  <c r="BP142" i="22"/>
  <c r="BL74" i="20" s="1"/>
  <c r="CL142" i="22"/>
  <c r="CH74" i="20" s="1"/>
  <c r="F78" i="30"/>
  <c r="J78" i="30" s="1"/>
  <c r="F28" i="30"/>
  <c r="J28" i="30" s="1"/>
  <c r="F159" i="30"/>
  <c r="J159" i="30" s="1"/>
  <c r="F97" i="30"/>
  <c r="J97" i="30" s="1"/>
  <c r="F195" i="30"/>
  <c r="J195" i="30" s="1"/>
  <c r="X67" i="20"/>
  <c r="X68" i="20" s="1"/>
  <c r="M67" i="20"/>
  <c r="M68" i="20" s="1"/>
  <c r="V67" i="20"/>
  <c r="L67" i="20"/>
  <c r="L68" i="20" s="1"/>
  <c r="F227" i="30"/>
  <c r="G227" i="30" s="1"/>
  <c r="F128" i="30"/>
  <c r="J128" i="30" s="1"/>
  <c r="F22" i="30"/>
  <c r="G22" i="30" s="1"/>
  <c r="F138" i="30"/>
  <c r="J138" i="30" s="1"/>
  <c r="Q116" i="22"/>
  <c r="N45" i="20" s="1"/>
  <c r="BX116" i="22"/>
  <c r="BT45" i="20" s="1"/>
  <c r="S116" i="22"/>
  <c r="CO116" i="22"/>
  <c r="CK45" i="20" s="1"/>
  <c r="G116" i="22"/>
  <c r="D45" i="20" s="1"/>
  <c r="CJ116" i="22"/>
  <c r="CF45" i="20" s="1"/>
  <c r="AX116" i="22"/>
  <c r="AT45" i="20" s="1"/>
  <c r="W116" i="22"/>
  <c r="S45" i="20" s="1"/>
  <c r="AK116" i="22"/>
  <c r="AG45" i="20" s="1"/>
  <c r="BL116" i="22"/>
  <c r="BH45" i="20" s="1"/>
  <c r="BU116" i="22"/>
  <c r="BQ45" i="20" s="1"/>
  <c r="CK116" i="22"/>
  <c r="CG45" i="20" s="1"/>
  <c r="CC142" i="22"/>
  <c r="BY74" i="20" s="1"/>
  <c r="I142" i="22"/>
  <c r="F74" i="20" s="1"/>
  <c r="T142" i="22"/>
  <c r="P74" i="20" s="1"/>
  <c r="BH142" i="22"/>
  <c r="BD74" i="20" s="1"/>
  <c r="CN142" i="22"/>
  <c r="CJ74" i="20" s="1"/>
  <c r="U142" i="22"/>
  <c r="Q74" i="20" s="1"/>
  <c r="BJ142" i="22"/>
  <c r="BF74" i="20" s="1"/>
  <c r="CO142" i="22"/>
  <c r="CK74" i="20" s="1"/>
  <c r="AY142" i="22"/>
  <c r="AU74" i="20" s="1"/>
  <c r="AZ142" i="22"/>
  <c r="AV74" i="20" s="1"/>
  <c r="CA142" i="22"/>
  <c r="BW74" i="20" s="1"/>
  <c r="CE138" i="22"/>
  <c r="F143" i="30"/>
  <c r="G143" i="30" s="1"/>
  <c r="BE115" i="22"/>
  <c r="CR115" i="22"/>
  <c r="AR115" i="22"/>
  <c r="AR99" i="22"/>
  <c r="BR99" i="22"/>
  <c r="AR103" i="22"/>
  <c r="AQ68" i="21"/>
  <c r="AQ139" i="15" s="1"/>
  <c r="BE32" i="21"/>
  <c r="AR45" i="15"/>
  <c r="CR135" i="22"/>
  <c r="AR65" i="22"/>
  <c r="BR103" i="22"/>
  <c r="CE125" i="22"/>
  <c r="BR129" i="22"/>
  <c r="CE129" i="22"/>
  <c r="R105" i="22"/>
  <c r="AE105" i="22"/>
  <c r="CE123" i="22"/>
  <c r="BM29" i="21"/>
  <c r="AY65" i="21"/>
  <c r="AY130" i="15" s="1"/>
  <c r="AZ36" i="15"/>
  <c r="F302" i="30"/>
  <c r="G302" i="30" s="1"/>
  <c r="F367" i="30"/>
  <c r="G367" i="30" s="1"/>
  <c r="F113" i="30"/>
  <c r="G113" i="30" s="1"/>
  <c r="F242" i="30"/>
  <c r="J242" i="30" s="1"/>
  <c r="F202" i="30"/>
  <c r="G202" i="30" s="1"/>
  <c r="F132" i="30"/>
  <c r="G132" i="30" s="1"/>
  <c r="F280" i="30"/>
  <c r="G280" i="30" s="1"/>
  <c r="F155" i="30"/>
  <c r="J155" i="30" s="1"/>
  <c r="F255" i="30"/>
  <c r="J255" i="30" s="1"/>
  <c r="F99" i="30"/>
  <c r="J99" i="30" s="1"/>
  <c r="F84" i="30"/>
  <c r="G84" i="30" s="1"/>
  <c r="F94" i="30"/>
  <c r="G94" i="30" s="1"/>
  <c r="F157" i="30"/>
  <c r="J157" i="30" s="1"/>
  <c r="F183" i="30"/>
  <c r="J183" i="30" s="1"/>
  <c r="F153" i="30"/>
  <c r="J153" i="30" s="1"/>
  <c r="F130" i="30"/>
  <c r="G130" i="30" s="1"/>
  <c r="F204" i="30"/>
  <c r="G204" i="30" s="1"/>
  <c r="F198" i="30"/>
  <c r="G198" i="30" s="1"/>
  <c r="F293" i="30"/>
  <c r="J293" i="30" s="1"/>
  <c r="J29" i="22"/>
  <c r="G43" i="20" s="1"/>
  <c r="T43" i="20" s="1"/>
  <c r="N29" i="22"/>
  <c r="K43" i="20" s="1"/>
  <c r="X43" i="20" s="1"/>
  <c r="R115" i="22"/>
  <c r="AE99" i="22"/>
  <c r="CE99" i="22"/>
  <c r="CE133" i="22"/>
  <c r="AR135" i="22"/>
  <c r="AE86" i="22"/>
  <c r="CR106" i="22"/>
  <c r="BK24" i="21"/>
  <c r="AW60" i="21"/>
  <c r="AW115" i="15" s="1"/>
  <c r="AX21" i="15"/>
  <c r="BR125" i="22"/>
  <c r="BR101" i="22"/>
  <c r="AE101" i="22"/>
  <c r="BM32" i="21"/>
  <c r="AY68" i="21"/>
  <c r="AY139" i="15" s="1"/>
  <c r="AZ45" i="15"/>
  <c r="AR105" i="22"/>
  <c r="BR97" i="22"/>
  <c r="R113" i="22"/>
  <c r="AR113" i="22"/>
  <c r="CR113" i="22"/>
  <c r="CE113" i="22"/>
  <c r="AE113" i="22"/>
  <c r="F91" i="30"/>
  <c r="G91" i="30" s="1"/>
  <c r="F152" i="30"/>
  <c r="G152" i="30" s="1"/>
  <c r="F100" i="30"/>
  <c r="J100" i="30" s="1"/>
  <c r="F142" i="30"/>
  <c r="G142" i="30" s="1"/>
  <c r="F308" i="30"/>
  <c r="G308" i="30" s="1"/>
  <c r="F238" i="30"/>
  <c r="J238" i="30" s="1"/>
  <c r="F163" i="30"/>
  <c r="J163" i="30" s="1"/>
  <c r="F311" i="30"/>
  <c r="J311" i="30" s="1"/>
  <c r="F361" i="30"/>
  <c r="J361" i="30" s="1"/>
  <c r="F323" i="30"/>
  <c r="J323" i="30" s="1"/>
  <c r="F284" i="30"/>
  <c r="G284" i="30" s="1"/>
  <c r="F126" i="30"/>
  <c r="G126" i="30" s="1"/>
  <c r="F347" i="30"/>
  <c r="J347" i="30" s="1"/>
  <c r="BM71" i="21"/>
  <c r="BM148" i="15" s="1"/>
  <c r="F47" i="30"/>
  <c r="G47" i="30" s="1"/>
  <c r="F173" i="30"/>
  <c r="G173" i="30" s="1"/>
  <c r="F189" i="30"/>
  <c r="G189" i="30" s="1"/>
  <c r="F98" i="30"/>
  <c r="G98" i="30" s="1"/>
  <c r="F119" i="30"/>
  <c r="G119" i="30" s="1"/>
  <c r="F215" i="30"/>
  <c r="G215" i="30" s="1"/>
  <c r="F43" i="30"/>
  <c r="J43" i="30" s="1"/>
  <c r="F230" i="30"/>
  <c r="J230" i="30" s="1"/>
  <c r="F290" i="30"/>
  <c r="J290" i="30" s="1"/>
  <c r="F333" i="30"/>
  <c r="J333" i="30" s="1"/>
  <c r="F178" i="30"/>
  <c r="G178" i="30" s="1"/>
  <c r="F44" i="30"/>
  <c r="G44" i="30" s="1"/>
  <c r="F76" i="30"/>
  <c r="J76" i="30" s="1"/>
  <c r="F300" i="30"/>
  <c r="G300" i="30" s="1"/>
  <c r="F321" i="30"/>
  <c r="J321" i="30" s="1"/>
  <c r="F137" i="30"/>
  <c r="J137" i="30" s="1"/>
  <c r="F49" i="30"/>
  <c r="G49" i="30" s="1"/>
  <c r="F261" i="30"/>
  <c r="J261" i="30" s="1"/>
  <c r="J112" i="30"/>
  <c r="AX39" i="15"/>
  <c r="BR115" i="22"/>
  <c r="R99" i="22"/>
  <c r="CR99" i="22"/>
  <c r="AE133" i="22"/>
  <c r="R133" i="22"/>
  <c r="CR133" i="22"/>
  <c r="BR133" i="22"/>
  <c r="R59" i="22"/>
  <c r="BE86" i="22"/>
  <c r="R134" i="22"/>
  <c r="BM28" i="21"/>
  <c r="AY64" i="21"/>
  <c r="AY127" i="15" s="1"/>
  <c r="AZ33" i="15"/>
  <c r="R135" i="22"/>
  <c r="BE135" i="22"/>
  <c r="U90" i="22"/>
  <c r="R15" i="20" s="1"/>
  <c r="CR125" i="22"/>
  <c r="AE125" i="22"/>
  <c r="R129" i="22"/>
  <c r="AE129" i="22"/>
  <c r="BE129" i="22"/>
  <c r="AR129" i="22"/>
  <c r="R101" i="22"/>
  <c r="AR101" i="22"/>
  <c r="BE101" i="22"/>
  <c r="AR59" i="22"/>
  <c r="CE105" i="22"/>
  <c r="BR105" i="22"/>
  <c r="BE105" i="22"/>
  <c r="R97" i="22"/>
  <c r="CE97" i="22"/>
  <c r="BE97" i="22"/>
  <c r="BR113" i="22"/>
  <c r="AR123" i="22"/>
  <c r="R123" i="22"/>
  <c r="BE123" i="22"/>
  <c r="F64" i="30"/>
  <c r="G64" i="30" s="1"/>
  <c r="F68" i="30"/>
  <c r="J68" i="30" s="1"/>
  <c r="F90" i="30"/>
  <c r="J90" i="30" s="1"/>
  <c r="F82" i="30"/>
  <c r="G82" i="30" s="1"/>
  <c r="F184" i="30"/>
  <c r="J184" i="30" s="1"/>
  <c r="F243" i="30"/>
  <c r="J243" i="30" s="1"/>
  <c r="F46" i="30"/>
  <c r="J46" i="30" s="1"/>
  <c r="F309" i="30"/>
  <c r="G309" i="30" s="1"/>
  <c r="F246" i="30"/>
  <c r="J246" i="30" s="1"/>
  <c r="F266" i="30"/>
  <c r="J266" i="30" s="1"/>
  <c r="F36" i="30"/>
  <c r="G36" i="30" s="1"/>
  <c r="F196" i="30"/>
  <c r="G196" i="30" s="1"/>
  <c r="F232" i="30"/>
  <c r="J232" i="30" s="1"/>
  <c r="F297" i="30"/>
  <c r="J297" i="30" s="1"/>
  <c r="F150" i="30"/>
  <c r="G150" i="30" s="1"/>
  <c r="F18" i="30"/>
  <c r="G18" i="30" s="1"/>
  <c r="F225" i="30"/>
  <c r="J225" i="30" s="1"/>
  <c r="F257" i="30"/>
  <c r="G257" i="30" s="1"/>
  <c r="F355" i="30"/>
  <c r="J355" i="30" s="1"/>
  <c r="F223" i="30"/>
  <c r="G223" i="30" s="1"/>
  <c r="F54" i="30"/>
  <c r="J54" i="30" s="1"/>
  <c r="F190" i="30"/>
  <c r="G190" i="30" s="1"/>
  <c r="F73" i="30"/>
  <c r="G73" i="30" s="1"/>
  <c r="F108" i="30"/>
  <c r="G108" i="30" s="1"/>
  <c r="F141" i="30"/>
  <c r="G141" i="30" s="1"/>
  <c r="F199" i="30"/>
  <c r="G199" i="30" s="1"/>
  <c r="F105" i="30"/>
  <c r="G105" i="30" s="1"/>
  <c r="F235" i="30"/>
  <c r="G235" i="30" s="1"/>
  <c r="F129" i="30"/>
  <c r="G129" i="30" s="1"/>
  <c r="F193" i="30"/>
  <c r="G193" i="30" s="1"/>
  <c r="F72" i="30"/>
  <c r="J72" i="30" s="1"/>
  <c r="F328" i="30"/>
  <c r="G328" i="30" s="1"/>
  <c r="F263" i="30"/>
  <c r="G263" i="30" s="1"/>
  <c r="F365" i="30"/>
  <c r="J365" i="30" s="1"/>
  <c r="F107" i="30"/>
  <c r="J107" i="30" s="1"/>
  <c r="F51" i="30"/>
  <c r="J51" i="30" s="1"/>
  <c r="F63" i="30"/>
  <c r="G63" i="30" s="1"/>
  <c r="F146" i="30"/>
  <c r="G146" i="30" s="1"/>
  <c r="F25" i="30"/>
  <c r="G25" i="30" s="1"/>
  <c r="F104" i="30"/>
  <c r="G104" i="30" s="1"/>
  <c r="F115" i="30"/>
  <c r="J115" i="30" s="1"/>
  <c r="F316" i="30"/>
  <c r="G316" i="30" s="1"/>
  <c r="F253" i="30"/>
  <c r="G253" i="30" s="1"/>
  <c r="F288" i="30"/>
  <c r="J288" i="30" s="1"/>
  <c r="J260" i="30"/>
  <c r="I29" i="22"/>
  <c r="F43" i="20" s="1"/>
  <c r="S43" i="20" s="1"/>
  <c r="CE115" i="22"/>
  <c r="AE115" i="22"/>
  <c r="BE99" i="22"/>
  <c r="AR133" i="22"/>
  <c r="BE133" i="22"/>
  <c r="AS76" i="21"/>
  <c r="AS163" i="15" s="1"/>
  <c r="AT69" i="15"/>
  <c r="R103" i="22"/>
  <c r="AE135" i="22"/>
  <c r="R86" i="22"/>
  <c r="J41" i="17"/>
  <c r="J44" i="17" s="1"/>
  <c r="C21" i="13" s="1"/>
  <c r="BB68" i="21"/>
  <c r="BB139" i="15" s="1"/>
  <c r="BA68" i="21"/>
  <c r="BA139" i="15" s="1"/>
  <c r="BO32" i="21"/>
  <c r="BB45" i="15"/>
  <c r="R125" i="22"/>
  <c r="BE125" i="22"/>
  <c r="CR129" i="22"/>
  <c r="CE101" i="22"/>
  <c r="BE103" i="22"/>
  <c r="CR105" i="22"/>
  <c r="AR97" i="22"/>
  <c r="AE97" i="22"/>
  <c r="CR97" i="22"/>
  <c r="CR123" i="22"/>
  <c r="AE123" i="22"/>
  <c r="BR123" i="22"/>
  <c r="I86" i="4"/>
  <c r="I84" i="4"/>
  <c r="R11" i="22"/>
  <c r="F29" i="22"/>
  <c r="C43" i="20" s="1"/>
  <c r="P43" i="20" s="1"/>
  <c r="AT12" i="22"/>
  <c r="Q29" i="22"/>
  <c r="N43" i="20" s="1"/>
  <c r="AA43" i="20" s="1"/>
  <c r="R16" i="22"/>
  <c r="P29" i="22"/>
  <c r="M43" i="20" s="1"/>
  <c r="Z43" i="20" s="1"/>
  <c r="BH12" i="22"/>
  <c r="R12" i="22"/>
  <c r="AF12" i="22"/>
  <c r="L29" i="22"/>
  <c r="I43" i="20" s="1"/>
  <c r="V43" i="20" s="1"/>
  <c r="R7" i="22"/>
  <c r="H29" i="22"/>
  <c r="V29" i="22"/>
  <c r="R6" i="22"/>
  <c r="AJ29" i="22"/>
  <c r="I70" i="4"/>
  <c r="BE33" i="21"/>
  <c r="BR33" i="21" s="1"/>
  <c r="BE21" i="15"/>
  <c r="AR73" i="21"/>
  <c r="AR154" i="15" s="1"/>
  <c r="AS60" i="15"/>
  <c r="AV75" i="15"/>
  <c r="AT60" i="21"/>
  <c r="AT115" i="15" s="1"/>
  <c r="AW79" i="21"/>
  <c r="AW172" i="15" s="1"/>
  <c r="AU21" i="15"/>
  <c r="AQ70" i="21"/>
  <c r="AQ145" i="15" s="1"/>
  <c r="BE34" i="21"/>
  <c r="AR51" i="15"/>
  <c r="BE58" i="21"/>
  <c r="BE109" i="15" s="1"/>
  <c r="AS42" i="15"/>
  <c r="BY26" i="21"/>
  <c r="BY27" i="15" s="1"/>
  <c r="BF15" i="15"/>
  <c r="BG79" i="21"/>
  <c r="BG172" i="15" s="1"/>
  <c r="BU43" i="21"/>
  <c r="BH78" i="15"/>
  <c r="BW35" i="21"/>
  <c r="BI71" i="21"/>
  <c r="BI148" i="15" s="1"/>
  <c r="BJ54" i="15"/>
  <c r="CB33" i="21"/>
  <c r="BN69" i="21"/>
  <c r="BN142" i="15" s="1"/>
  <c r="BO48" i="15"/>
  <c r="BO69" i="21"/>
  <c r="BO142" i="15" s="1"/>
  <c r="CN23" i="21"/>
  <c r="BZ59" i="21"/>
  <c r="BZ112" i="15" s="1"/>
  <c r="CA18" i="15"/>
  <c r="BN77" i="21"/>
  <c r="BN166" i="15" s="1"/>
  <c r="BI33" i="21"/>
  <c r="AV48" i="15"/>
  <c r="AU69" i="21"/>
  <c r="AU142" i="15" s="1"/>
  <c r="BO37" i="21"/>
  <c r="BA73" i="21"/>
  <c r="BA154" i="15" s="1"/>
  <c r="BB73" i="21"/>
  <c r="BB154" i="15" s="1"/>
  <c r="BB60" i="15"/>
  <c r="BF34" i="21"/>
  <c r="BE70" i="21" s="1"/>
  <c r="BE145" i="15" s="1"/>
  <c r="BF54" i="15"/>
  <c r="I73" i="4"/>
  <c r="I88" i="4"/>
  <c r="BJ80" i="21"/>
  <c r="BJ175" i="15" s="1"/>
  <c r="I83" i="4"/>
  <c r="BC21" i="21"/>
  <c r="BZ24" i="21"/>
  <c r="BY60" i="21" s="1"/>
  <c r="BY115" i="15" s="1"/>
  <c r="H79" i="16"/>
  <c r="AP151" i="15"/>
  <c r="BC36" i="21"/>
  <c r="AP65" i="21"/>
  <c r="BE71" i="21"/>
  <c r="BE148" i="15" s="1"/>
  <c r="BL60" i="21"/>
  <c r="BL115" i="15" s="1"/>
  <c r="BR59" i="21"/>
  <c r="BR112" i="15" s="1"/>
  <c r="AP61" i="21"/>
  <c r="AP73" i="21"/>
  <c r="BC33" i="21"/>
  <c r="BC47" i="21"/>
  <c r="BC45" i="21"/>
  <c r="BE27" i="21"/>
  <c r="BE30" i="15" s="1"/>
  <c r="BC39" i="21"/>
  <c r="BC31" i="21"/>
  <c r="AP57" i="15"/>
  <c r="AP59" i="21"/>
  <c r="AP79" i="21"/>
  <c r="BC41" i="21"/>
  <c r="BK81" i="15"/>
  <c r="AX72" i="21"/>
  <c r="AX151" i="15" s="1"/>
  <c r="BL36" i="21"/>
  <c r="AY57" i="15"/>
  <c r="BH32" i="21"/>
  <c r="AU45" i="15"/>
  <c r="AT68" i="21"/>
  <c r="AT139" i="15" s="1"/>
  <c r="BZ42" i="21"/>
  <c r="BM75" i="15"/>
  <c r="BL78" i="21"/>
  <c r="BL169" i="15" s="1"/>
  <c r="BF36" i="21"/>
  <c r="AR72" i="21"/>
  <c r="AR151" i="15" s="1"/>
  <c r="AS57" i="15"/>
  <c r="AW70" i="21"/>
  <c r="AW145" i="15" s="1"/>
  <c r="AX51" i="15"/>
  <c r="BK34" i="21"/>
  <c r="BK42" i="21"/>
  <c r="AX75" i="15"/>
  <c r="AW78" i="21"/>
  <c r="AW169" i="15" s="1"/>
  <c r="BF32" i="21"/>
  <c r="AR68" i="21"/>
  <c r="AR139" i="15" s="1"/>
  <c r="AS45" i="15"/>
  <c r="AR70" i="21"/>
  <c r="AR145" i="15" s="1"/>
  <c r="AP72" i="21"/>
  <c r="BK26" i="21"/>
  <c r="AX27" i="15"/>
  <c r="AW62" i="21"/>
  <c r="AW121" i="15" s="1"/>
  <c r="AS62" i="21"/>
  <c r="AS121" i="15" s="1"/>
  <c r="BG26" i="21"/>
  <c r="AT27" i="15"/>
  <c r="BL24" i="21"/>
  <c r="AY21" i="15"/>
  <c r="AX60" i="21"/>
  <c r="AX115" i="15" s="1"/>
  <c r="BJ32" i="21"/>
  <c r="AW45" i="15"/>
  <c r="AV68" i="21"/>
  <c r="AV139" i="15" s="1"/>
  <c r="BN40" i="21"/>
  <c r="BA69" i="15"/>
  <c r="AZ76" i="21"/>
  <c r="AZ163" i="15" s="1"/>
  <c r="BN24" i="21"/>
  <c r="BA21" i="15"/>
  <c r="AZ60" i="21"/>
  <c r="AZ115" i="15" s="1"/>
  <c r="BO34" i="21"/>
  <c r="BB51" i="15"/>
  <c r="BA70" i="21"/>
  <c r="BA145" i="15" s="1"/>
  <c r="BB70" i="21"/>
  <c r="BB145" i="15" s="1"/>
  <c r="BN44" i="21"/>
  <c r="BA81" i="15"/>
  <c r="AZ80" i="21"/>
  <c r="AZ175" i="15" s="1"/>
  <c r="BG34" i="21"/>
  <c r="AT51" i="15"/>
  <c r="AS70" i="21"/>
  <c r="AS145" i="15" s="1"/>
  <c r="BM46" i="21"/>
  <c r="AZ87" i="15"/>
  <c r="AY82" i="21"/>
  <c r="AY181" i="15" s="1"/>
  <c r="BC40" i="21"/>
  <c r="AP81" i="21"/>
  <c r="AP57" i="21"/>
  <c r="AP67" i="21"/>
  <c r="BC42" i="21"/>
  <c r="AP121" i="15"/>
  <c r="BJ44" i="21"/>
  <c r="AW81" i="15"/>
  <c r="AV80" i="21"/>
  <c r="AV175" i="15" s="1"/>
  <c r="BF40" i="21"/>
  <c r="AS69" i="15"/>
  <c r="AR76" i="21"/>
  <c r="AR163" i="15" s="1"/>
  <c r="BL44" i="21"/>
  <c r="AY81" i="15"/>
  <c r="AX80" i="21"/>
  <c r="AX175" i="15" s="1"/>
  <c r="BN36" i="21"/>
  <c r="BA57" i="15"/>
  <c r="AZ72" i="21"/>
  <c r="AZ151" i="15" s="1"/>
  <c r="AW58" i="21"/>
  <c r="AW109" i="15" s="1"/>
  <c r="BK22" i="21"/>
  <c r="AX15" i="15"/>
  <c r="CB46" i="21"/>
  <c r="BO87" i="15"/>
  <c r="BN82" i="21"/>
  <c r="BN181" i="15" s="1"/>
  <c r="BO82" i="21"/>
  <c r="BO181" i="15" s="1"/>
  <c r="BO38" i="21"/>
  <c r="BB63" i="15"/>
  <c r="BB74" i="21"/>
  <c r="BB157" i="15" s="1"/>
  <c r="BA74" i="21"/>
  <c r="BA157" i="15" s="1"/>
  <c r="CO30" i="21"/>
  <c r="CB39" i="15"/>
  <c r="CA66" i="21"/>
  <c r="CA133" i="15" s="1"/>
  <c r="CB66" i="21"/>
  <c r="CB133" i="15" s="1"/>
  <c r="BO22" i="21"/>
  <c r="BB58" i="21"/>
  <c r="BB109" i="15" s="1"/>
  <c r="BA58" i="21"/>
  <c r="BA109" i="15" s="1"/>
  <c r="BB15" i="15"/>
  <c r="BH36" i="21"/>
  <c r="AU57" i="15"/>
  <c r="AT72" i="21"/>
  <c r="AT151" i="15" s="1"/>
  <c r="BM38" i="21"/>
  <c r="AZ63" i="15"/>
  <c r="AY74" i="21"/>
  <c r="AY157" i="15" s="1"/>
  <c r="BQ44" i="21"/>
  <c r="BD81" i="15"/>
  <c r="AP69" i="15"/>
  <c r="I82" i="4"/>
  <c r="I74" i="4"/>
  <c r="I64" i="4"/>
  <c r="I72" i="4"/>
  <c r="I78" i="4"/>
  <c r="I81" i="4"/>
  <c r="I77" i="4"/>
  <c r="AP21" i="15"/>
  <c r="I60" i="4"/>
  <c r="I66" i="4"/>
  <c r="I59" i="4"/>
  <c r="I76" i="4"/>
  <c r="I69" i="4"/>
  <c r="I65" i="4"/>
  <c r="I80" i="4"/>
  <c r="I75" i="4"/>
  <c r="I68" i="4"/>
  <c r="AP75" i="15"/>
  <c r="G358" i="30"/>
  <c r="J358" i="30"/>
  <c r="G50" i="30"/>
  <c r="J50" i="30"/>
  <c r="J264" i="30"/>
  <c r="J65" i="30"/>
  <c r="J210" i="30"/>
  <c r="G210" i="30"/>
  <c r="G259" i="30"/>
  <c r="G40" i="30"/>
  <c r="J40" i="30"/>
  <c r="AP77" i="21"/>
  <c r="F70" i="30"/>
  <c r="G70" i="30" s="1"/>
  <c r="R17" i="22"/>
  <c r="AQ90" i="15"/>
  <c r="BD47" i="21"/>
  <c r="BH34" i="21"/>
  <c r="AU51" i="15"/>
  <c r="AT70" i="21"/>
  <c r="AT145" i="15" s="1"/>
  <c r="BJ22" i="21"/>
  <c r="AW15" i="15"/>
  <c r="AV58" i="21"/>
  <c r="AV109" i="15" s="1"/>
  <c r="BZ31" i="21"/>
  <c r="BM42" i="15"/>
  <c r="BL67" i="21"/>
  <c r="BL136" i="15" s="1"/>
  <c r="CN43" i="21"/>
  <c r="CA78" i="15"/>
  <c r="BZ79" i="21"/>
  <c r="BZ172" i="15" s="1"/>
  <c r="F218" i="30"/>
  <c r="G218" i="30" s="1"/>
  <c r="F110" i="30"/>
  <c r="J110" i="30" s="1"/>
  <c r="C52" i="4"/>
  <c r="I67" i="4"/>
  <c r="I85" i="4"/>
  <c r="C50" i="19"/>
  <c r="I61" i="4"/>
  <c r="AS61" i="21"/>
  <c r="AS118" i="15" s="1"/>
  <c r="AT24" i="15"/>
  <c r="BG25" i="21"/>
  <c r="BV28" i="21"/>
  <c r="BI33" i="15"/>
  <c r="BH64" i="21"/>
  <c r="BH127" i="15" s="1"/>
  <c r="BI25" i="21"/>
  <c r="AU61" i="21"/>
  <c r="AU118" i="15" s="1"/>
  <c r="AV24" i="15"/>
  <c r="BW23" i="21"/>
  <c r="BJ18" i="15"/>
  <c r="BI59" i="21"/>
  <c r="BI112" i="15" s="1"/>
  <c r="BV39" i="21"/>
  <c r="BI66" i="15"/>
  <c r="BH75" i="21"/>
  <c r="BH160" i="15" s="1"/>
  <c r="F305" i="30"/>
  <c r="G305" i="30" s="1"/>
  <c r="AH26" i="22"/>
  <c r="AF26" i="22"/>
  <c r="BG60" i="21"/>
  <c r="BG115" i="15" s="1"/>
  <c r="BU24" i="21"/>
  <c r="BH21" i="15"/>
  <c r="CA39" i="21"/>
  <c r="BN66" i="15"/>
  <c r="BM75" i="21"/>
  <c r="BM160" i="15" s="1"/>
  <c r="BX30" i="21"/>
  <c r="BK39" i="15"/>
  <c r="BJ66" i="21"/>
  <c r="BJ133" i="15" s="1"/>
  <c r="AB116" i="22"/>
  <c r="X45" i="20" s="1"/>
  <c r="AW116" i="22"/>
  <c r="AS45" i="20" s="1"/>
  <c r="U116" i="22"/>
  <c r="Q45" i="20" s="1"/>
  <c r="L116" i="22"/>
  <c r="I45" i="20" s="1"/>
  <c r="CI116" i="22"/>
  <c r="CE45" i="20" s="1"/>
  <c r="AQ116" i="22"/>
  <c r="AM45" i="20" s="1"/>
  <c r="BA116" i="22"/>
  <c r="AW45" i="20" s="1"/>
  <c r="X142" i="22"/>
  <c r="T74" i="20" s="1"/>
  <c r="AO142" i="22"/>
  <c r="AK74" i="20" s="1"/>
  <c r="CK142" i="22"/>
  <c r="CG74" i="20" s="1"/>
  <c r="N142" i="22"/>
  <c r="K74" i="20" s="1"/>
  <c r="AT142" i="22"/>
  <c r="AP74" i="20" s="1"/>
  <c r="W142" i="22"/>
  <c r="S74" i="20" s="1"/>
  <c r="BD142" i="22"/>
  <c r="AZ74" i="20" s="1"/>
  <c r="AN142" i="22"/>
  <c r="AJ74" i="20" s="1"/>
  <c r="AH142" i="22"/>
  <c r="AD74" i="20" s="1"/>
  <c r="CB142" i="22"/>
  <c r="BX74" i="20" s="1"/>
  <c r="P142" i="22"/>
  <c r="M74" i="20" s="1"/>
  <c r="AR114" i="22"/>
  <c r="T67" i="20"/>
  <c r="T68" i="20" s="1"/>
  <c r="F294" i="30"/>
  <c r="J294" i="30" s="1"/>
  <c r="F279" i="30"/>
  <c r="G279" i="30" s="1"/>
  <c r="F349" i="30"/>
  <c r="J349" i="30" s="1"/>
  <c r="G287" i="30"/>
  <c r="J287" i="30"/>
  <c r="T27" i="22"/>
  <c r="R27" i="22"/>
  <c r="AS80" i="21"/>
  <c r="AS175" i="15" s="1"/>
  <c r="AT81" i="15"/>
  <c r="BG44" i="21"/>
  <c r="BJ27" i="21"/>
  <c r="AW30" i="15"/>
  <c r="AV63" i="21"/>
  <c r="AV124" i="15" s="1"/>
  <c r="AU12" i="15"/>
  <c r="AT57" i="21"/>
  <c r="AT106" i="15" s="1"/>
  <c r="F122" i="30"/>
  <c r="G122" i="30" s="1"/>
  <c r="F27" i="30"/>
  <c r="J27" i="30" s="1"/>
  <c r="F372" i="30"/>
  <c r="J372" i="30" s="1"/>
  <c r="F118" i="30"/>
  <c r="J118" i="30" s="1"/>
  <c r="F296" i="30"/>
  <c r="J296" i="30" s="1"/>
  <c r="F322" i="30"/>
  <c r="J322" i="30" s="1"/>
  <c r="D34" i="15"/>
  <c r="C35" i="15"/>
  <c r="D82" i="15"/>
  <c r="C83" i="15"/>
  <c r="D37" i="15"/>
  <c r="C38" i="15"/>
  <c r="D85" i="15"/>
  <c r="C86" i="15"/>
  <c r="D79" i="15"/>
  <c r="C80" i="15"/>
  <c r="D88" i="15"/>
  <c r="C89" i="15"/>
  <c r="D76" i="15"/>
  <c r="C77" i="15"/>
  <c r="S48" i="22"/>
  <c r="R48" i="22"/>
  <c r="BE42" i="21"/>
  <c r="AQ78" i="21"/>
  <c r="AQ169" i="15" s="1"/>
  <c r="AR75" i="15"/>
  <c r="BZ43" i="21"/>
  <c r="BM78" i="15"/>
  <c r="BL79" i="21"/>
  <c r="BL172" i="15" s="1"/>
  <c r="F30" i="30"/>
  <c r="G30" i="30" s="1"/>
  <c r="F135" i="30"/>
  <c r="G135" i="30" s="1"/>
  <c r="F168" i="30"/>
  <c r="J168" i="30" s="1"/>
  <c r="F200" i="30"/>
  <c r="J200" i="30" s="1"/>
  <c r="F299" i="30"/>
  <c r="J299" i="30" s="1"/>
  <c r="F375" i="30"/>
  <c r="G375" i="30" s="1"/>
  <c r="F60" i="30"/>
  <c r="J60" i="30" s="1"/>
  <c r="F318" i="30"/>
  <c r="J318" i="30" s="1"/>
  <c r="F174" i="30"/>
  <c r="G174" i="30" s="1"/>
  <c r="F258" i="30"/>
  <c r="G258" i="30" s="1"/>
  <c r="F32" i="30"/>
  <c r="J32" i="30" s="1"/>
  <c r="F228" i="30"/>
  <c r="G228" i="30" s="1"/>
  <c r="F320" i="30"/>
  <c r="G320" i="30" s="1"/>
  <c r="F352" i="30"/>
  <c r="J352" i="30" s="1"/>
  <c r="J330" i="30"/>
  <c r="D7" i="15"/>
  <c r="C8" i="15"/>
  <c r="D16" i="15"/>
  <c r="C17" i="15"/>
  <c r="D19" i="15"/>
  <c r="C20" i="15"/>
  <c r="AS69" i="21"/>
  <c r="AS142" i="15" s="1"/>
  <c r="AT48" i="15"/>
  <c r="BG33" i="21"/>
  <c r="BH31" i="21"/>
  <c r="AU42" i="15"/>
  <c r="AT67" i="21"/>
  <c r="AT136" i="15" s="1"/>
  <c r="BW31" i="21"/>
  <c r="BJ42" i="15"/>
  <c r="BI67" i="21"/>
  <c r="BI136" i="15" s="1"/>
  <c r="BI47" i="21"/>
  <c r="AV90" i="15"/>
  <c r="AU83" i="21"/>
  <c r="AU184" i="15" s="1"/>
  <c r="F85" i="30"/>
  <c r="G85" i="30" s="1"/>
  <c r="F140" i="30"/>
  <c r="J140" i="30" s="1"/>
  <c r="F147" i="30"/>
  <c r="G147" i="30" s="1"/>
  <c r="F41" i="30"/>
  <c r="J41" i="30" s="1"/>
  <c r="F221" i="30"/>
  <c r="G221" i="30" s="1"/>
  <c r="F237" i="30"/>
  <c r="G237" i="30" s="1"/>
  <c r="F272" i="30"/>
  <c r="G272" i="30" s="1"/>
  <c r="F306" i="30"/>
  <c r="G306" i="30" s="1"/>
  <c r="F337" i="30"/>
  <c r="J337" i="30" s="1"/>
  <c r="F86" i="30"/>
  <c r="J86" i="30" s="1"/>
  <c r="F269" i="30"/>
  <c r="J269" i="30" s="1"/>
  <c r="F339" i="30"/>
  <c r="G339" i="30" s="1"/>
  <c r="G233" i="30"/>
  <c r="D10" i="15"/>
  <c r="C11" i="15"/>
  <c r="D58" i="15"/>
  <c r="C59" i="15"/>
  <c r="D13" i="15"/>
  <c r="C14" i="15"/>
  <c r="D61" i="15"/>
  <c r="C62" i="15"/>
  <c r="D31" i="15"/>
  <c r="C32" i="15"/>
  <c r="D40" i="15"/>
  <c r="C41" i="15"/>
  <c r="D67" i="15"/>
  <c r="C68" i="15"/>
  <c r="D43" i="15"/>
  <c r="C44" i="15"/>
  <c r="T23" i="22"/>
  <c r="R23" i="22"/>
  <c r="BD36" i="21"/>
  <c r="AQ57" i="15"/>
  <c r="CM66" i="15"/>
  <c r="CL75" i="21"/>
  <c r="CL160" i="15" s="1"/>
  <c r="CI29" i="21"/>
  <c r="BV36" i="15"/>
  <c r="BU65" i="21"/>
  <c r="BU130" i="15" s="1"/>
  <c r="I87" i="4"/>
  <c r="J176" i="30"/>
  <c r="BN116" i="22"/>
  <c r="BJ45" i="20" s="1"/>
  <c r="J116" i="22"/>
  <c r="G45" i="20" s="1"/>
  <c r="AY116" i="22"/>
  <c r="AU45" i="20" s="1"/>
  <c r="N116" i="22"/>
  <c r="K45" i="20" s="1"/>
  <c r="AI116" i="22"/>
  <c r="AE45" i="20" s="1"/>
  <c r="BG116" i="22"/>
  <c r="BC45" i="20" s="1"/>
  <c r="H116" i="22"/>
  <c r="E45" i="20" s="1"/>
  <c r="AM116" i="22"/>
  <c r="AI45" i="20" s="1"/>
  <c r="BK116" i="22"/>
  <c r="BG45" i="20" s="1"/>
  <c r="Z116" i="22"/>
  <c r="V45" i="20" s="1"/>
  <c r="BD116" i="22"/>
  <c r="AZ45" i="20" s="1"/>
  <c r="BV116" i="22"/>
  <c r="BR45" i="20" s="1"/>
  <c r="T116" i="22"/>
  <c r="P45" i="20" s="1"/>
  <c r="AU116" i="22"/>
  <c r="AQ45" i="20" s="1"/>
  <c r="BJ116" i="22"/>
  <c r="BF45" i="20" s="1"/>
  <c r="CA116" i="22"/>
  <c r="BW45" i="20" s="1"/>
  <c r="BL142" i="22"/>
  <c r="BH74" i="20" s="1"/>
  <c r="BO142" i="22"/>
  <c r="BK74" i="20" s="1"/>
  <c r="AA142" i="22"/>
  <c r="W74" i="20" s="1"/>
  <c r="G142" i="22"/>
  <c r="D74" i="20" s="1"/>
  <c r="V142" i="22"/>
  <c r="R74" i="20" s="1"/>
  <c r="CM142" i="22"/>
  <c r="CI74" i="20" s="1"/>
  <c r="Z142" i="22"/>
  <c r="V74" i="20" s="1"/>
  <c r="BQ142" i="22"/>
  <c r="BM74" i="20" s="1"/>
  <c r="M142" i="22"/>
  <c r="J74" i="20" s="1"/>
  <c r="AB142" i="22"/>
  <c r="X74" i="20" s="1"/>
  <c r="AM142" i="22"/>
  <c r="AI74" i="20" s="1"/>
  <c r="BV142" i="22"/>
  <c r="BR74" i="20" s="1"/>
  <c r="AD142" i="22"/>
  <c r="Z74" i="20" s="1"/>
  <c r="AL142" i="22"/>
  <c r="AH74" i="20" s="1"/>
  <c r="BB142" i="22"/>
  <c r="AX74" i="20" s="1"/>
  <c r="BU142" i="22"/>
  <c r="BQ74" i="20" s="1"/>
  <c r="CJ142" i="22"/>
  <c r="CF74" i="20" s="1"/>
  <c r="CE140" i="22"/>
  <c r="CR140" i="22"/>
  <c r="BR136" i="22"/>
  <c r="AR128" i="22"/>
  <c r="BK66" i="21"/>
  <c r="BK133" i="15" s="1"/>
  <c r="BC37" i="21"/>
  <c r="N67" i="20"/>
  <c r="N68" i="20" s="1"/>
  <c r="Y67" i="20"/>
  <c r="Y68" i="20" s="1"/>
  <c r="F145" i="30"/>
  <c r="J145" i="30" s="1"/>
  <c r="F177" i="30"/>
  <c r="G177" i="30" s="1"/>
  <c r="F275" i="30"/>
  <c r="J275" i="30" s="1"/>
  <c r="F344" i="30"/>
  <c r="J344" i="30" s="1"/>
  <c r="F93" i="30"/>
  <c r="G93" i="30" s="1"/>
  <c r="G22" i="13"/>
  <c r="D22" i="13"/>
  <c r="E22" i="13"/>
  <c r="H22" i="13"/>
  <c r="C22" i="13"/>
  <c r="F22" i="13"/>
  <c r="BG12" i="15"/>
  <c r="BF57" i="21"/>
  <c r="BF106" i="15" s="1"/>
  <c r="BH27" i="21"/>
  <c r="AU30" i="15"/>
  <c r="AT63" i="21"/>
  <c r="AT124" i="15" s="1"/>
  <c r="CJ43" i="21"/>
  <c r="BW78" i="15"/>
  <c r="BV79" i="21"/>
  <c r="BV172" i="15" s="1"/>
  <c r="BJ69" i="21"/>
  <c r="BJ142" i="15" s="1"/>
  <c r="BX33" i="21"/>
  <c r="BK48" i="15"/>
  <c r="CI35" i="21"/>
  <c r="BV54" i="15"/>
  <c r="BU71" i="21"/>
  <c r="BU148" i="15" s="1"/>
  <c r="I79" i="4"/>
  <c r="F164" i="30"/>
  <c r="G164" i="30" s="1"/>
  <c r="S45" i="22"/>
  <c r="R45" i="22"/>
  <c r="AQ69" i="15"/>
  <c r="BD40" i="21"/>
  <c r="BY12" i="15"/>
  <c r="BX57" i="21"/>
  <c r="BX106" i="15" s="1"/>
  <c r="CI60" i="15"/>
  <c r="CH73" i="21"/>
  <c r="CH154" i="15" s="1"/>
  <c r="CA46" i="21"/>
  <c r="BN87" i="15"/>
  <c r="BM82" i="21"/>
  <c r="BM181" i="15" s="1"/>
  <c r="J125" i="30"/>
  <c r="G270" i="30"/>
  <c r="F234" i="30"/>
  <c r="G234" i="30" s="1"/>
  <c r="F31" i="30"/>
  <c r="J31" i="30" s="1"/>
  <c r="AF8" i="22"/>
  <c r="D46" i="15"/>
  <c r="C47" i="15"/>
  <c r="D94" i="15"/>
  <c r="C95" i="15"/>
  <c r="D49" i="15"/>
  <c r="C50" i="15"/>
  <c r="AS78" i="15"/>
  <c r="BF43" i="21"/>
  <c r="AR79" i="21"/>
  <c r="AR172" i="15" s="1"/>
  <c r="BH39" i="21"/>
  <c r="AU66" i="15"/>
  <c r="AT75" i="21"/>
  <c r="AT160" i="15" s="1"/>
  <c r="BW47" i="21"/>
  <c r="BJ90" i="15"/>
  <c r="BI83" i="21"/>
  <c r="BI184" i="15" s="1"/>
  <c r="BK37" i="21"/>
  <c r="AX60" i="15"/>
  <c r="AW73" i="21"/>
  <c r="AW154" i="15" s="1"/>
  <c r="BI66" i="21"/>
  <c r="BI133" i="15" s="1"/>
  <c r="BJ39" i="15"/>
  <c r="BW30" i="21"/>
  <c r="F256" i="30"/>
  <c r="J256" i="30" s="1"/>
  <c r="F353" i="30"/>
  <c r="J353" i="30" s="1"/>
  <c r="F338" i="30"/>
  <c r="G338" i="30" s="1"/>
  <c r="G236" i="30"/>
  <c r="H78" i="16"/>
  <c r="T22" i="22"/>
  <c r="R22" i="22"/>
  <c r="CM90" i="15"/>
  <c r="CL83" i="21"/>
  <c r="CL184" i="15" s="1"/>
  <c r="CA22" i="21"/>
  <c r="BN15" i="15"/>
  <c r="BM58" i="21"/>
  <c r="BM109" i="15" s="1"/>
  <c r="AT116" i="22"/>
  <c r="AP45" i="20" s="1"/>
  <c r="BY116" i="22"/>
  <c r="BU45" i="20" s="1"/>
  <c r="AR104" i="22"/>
  <c r="CD116" i="22"/>
  <c r="BZ45" i="20" s="1"/>
  <c r="K116" i="22"/>
  <c r="H45" i="20" s="1"/>
  <c r="AJ116" i="22"/>
  <c r="AF45" i="20" s="1"/>
  <c r="AG116" i="22"/>
  <c r="AC45" i="20" s="1"/>
  <c r="AN116" i="22"/>
  <c r="AJ45" i="20" s="1"/>
  <c r="BR104" i="22"/>
  <c r="BW116" i="22"/>
  <c r="BS45" i="20" s="1"/>
  <c r="CQ116" i="22"/>
  <c r="CM45" i="20" s="1"/>
  <c r="AC116" i="22"/>
  <c r="Y45" i="20" s="1"/>
  <c r="BC116" i="22"/>
  <c r="AY45" i="20" s="1"/>
  <c r="BB116" i="22"/>
  <c r="AX45" i="20" s="1"/>
  <c r="CN116" i="22"/>
  <c r="CJ45" i="20" s="1"/>
  <c r="BM142" i="22"/>
  <c r="BI74" i="20" s="1"/>
  <c r="BC142" i="22"/>
  <c r="AY74" i="20" s="1"/>
  <c r="AI142" i="22"/>
  <c r="AE74" i="20" s="1"/>
  <c r="AC142" i="22"/>
  <c r="Y74" i="20" s="1"/>
  <c r="J142" i="22"/>
  <c r="G74" i="20" s="1"/>
  <c r="AJ142" i="22"/>
  <c r="AF74" i="20" s="1"/>
  <c r="BX142" i="22"/>
  <c r="BT74" i="20" s="1"/>
  <c r="H142" i="22"/>
  <c r="E74" i="20" s="1"/>
  <c r="BG142" i="22"/>
  <c r="BC74" i="20" s="1"/>
  <c r="CG142" i="22"/>
  <c r="CC74" i="20" s="1"/>
  <c r="AK142" i="22"/>
  <c r="AG74" i="20" s="1"/>
  <c r="AU142" i="22"/>
  <c r="AQ74" i="20" s="1"/>
  <c r="AV142" i="22"/>
  <c r="AR74" i="20" s="1"/>
  <c r="BW142" i="22"/>
  <c r="BS74" i="20" s="1"/>
  <c r="O142" i="22"/>
  <c r="L74" i="20" s="1"/>
  <c r="AQ142" i="22"/>
  <c r="AM74" i="20" s="1"/>
  <c r="BI142" i="22"/>
  <c r="BE74" i="20" s="1"/>
  <c r="BZ142" i="22"/>
  <c r="BV74" i="20" s="1"/>
  <c r="BL39" i="15"/>
  <c r="AP75" i="21"/>
  <c r="BC43" i="21"/>
  <c r="BM23" i="21"/>
  <c r="BL59" i="21" s="1"/>
  <c r="BL112" i="15" s="1"/>
  <c r="S67" i="20"/>
  <c r="S68" i="20" s="1"/>
  <c r="K67" i="20"/>
  <c r="K68" i="20" s="1"/>
  <c r="AP81" i="15"/>
  <c r="K17" i="30"/>
  <c r="K24" i="30"/>
  <c r="K29" i="30"/>
  <c r="K30" i="30"/>
  <c r="K32" i="30"/>
  <c r="K20" i="30"/>
  <c r="K27" i="30"/>
  <c r="K33" i="30"/>
  <c r="K42" i="30"/>
  <c r="K45" i="30"/>
  <c r="K46" i="30"/>
  <c r="K57" i="30"/>
  <c r="K60" i="30"/>
  <c r="K61" i="30"/>
  <c r="K79" i="30"/>
  <c r="K82" i="30"/>
  <c r="K83" i="30"/>
  <c r="K86" i="30"/>
  <c r="K98" i="30"/>
  <c r="K102" i="30"/>
  <c r="K106" i="30"/>
  <c r="K107" i="30"/>
  <c r="K111" i="30"/>
  <c r="K115" i="30"/>
  <c r="K123" i="30"/>
  <c r="K130" i="30"/>
  <c r="K131" i="30"/>
  <c r="K19" i="30"/>
  <c r="K31" i="30"/>
  <c r="K35" i="30"/>
  <c r="K40" i="30"/>
  <c r="K41" i="30"/>
  <c r="K43" i="30"/>
  <c r="K44" i="30"/>
  <c r="K49" i="30"/>
  <c r="K53" i="30"/>
  <c r="K54" i="30"/>
  <c r="K56" i="30"/>
  <c r="K58" i="30"/>
  <c r="K59" i="30"/>
  <c r="K64" i="30"/>
  <c r="K66" i="30"/>
  <c r="K71" i="30"/>
  <c r="K74" i="30"/>
  <c r="K76" i="30"/>
  <c r="K80" i="30"/>
  <c r="K87" i="30"/>
  <c r="K91" i="30"/>
  <c r="K92" i="30"/>
  <c r="K95" i="30"/>
  <c r="K96" i="30"/>
  <c r="K99" i="30"/>
  <c r="K103" i="30"/>
  <c r="K112" i="30"/>
  <c r="K119" i="30"/>
  <c r="K120" i="30"/>
  <c r="K127" i="30"/>
  <c r="K22" i="30"/>
  <c r="K25" i="30"/>
  <c r="K36" i="30"/>
  <c r="K47" i="30"/>
  <c r="K48" i="30"/>
  <c r="K63" i="30"/>
  <c r="K67" i="30"/>
  <c r="K72" i="30"/>
  <c r="K78" i="30"/>
  <c r="K81" i="30"/>
  <c r="K89" i="30"/>
  <c r="K94" i="30"/>
  <c r="K110" i="30"/>
  <c r="K118" i="30"/>
  <c r="K126" i="30"/>
  <c r="K129" i="30"/>
  <c r="K134" i="30"/>
  <c r="K138" i="30"/>
  <c r="K141" i="30"/>
  <c r="K146" i="30"/>
  <c r="K150" i="30"/>
  <c r="K152" i="30"/>
  <c r="K153" i="30"/>
  <c r="K156" i="30"/>
  <c r="K165" i="30"/>
  <c r="K168" i="30"/>
  <c r="K169" i="30"/>
  <c r="K173" i="30"/>
  <c r="K176" i="30"/>
  <c r="K179" i="30"/>
  <c r="K184" i="30"/>
  <c r="K187" i="30"/>
  <c r="K188" i="30"/>
  <c r="K192" i="30"/>
  <c r="K204" i="30"/>
  <c r="K207" i="30"/>
  <c r="K218" i="30"/>
  <c r="K221" i="30"/>
  <c r="K225" i="30"/>
  <c r="K226" i="30"/>
  <c r="K229" i="30"/>
  <c r="K237" i="30"/>
  <c r="K245" i="30"/>
  <c r="K249" i="30"/>
  <c r="K254" i="30"/>
  <c r="K257" i="30"/>
  <c r="K262" i="30"/>
  <c r="K266" i="30"/>
  <c r="K270" i="30"/>
  <c r="K277" i="30"/>
  <c r="K281" i="30"/>
  <c r="K282" i="30"/>
  <c r="K286" i="30"/>
  <c r="K289" i="30"/>
  <c r="K290" i="30"/>
  <c r="K293" i="30"/>
  <c r="K294" i="30"/>
  <c r="K297" i="30"/>
  <c r="K298" i="30"/>
  <c r="K301" i="30"/>
  <c r="K305" i="30"/>
  <c r="K306" i="30"/>
  <c r="K314" i="30"/>
  <c r="K317" i="30"/>
  <c r="K318" i="30"/>
  <c r="K322" i="30"/>
  <c r="K329" i="30"/>
  <c r="K333" i="30"/>
  <c r="K337" i="30"/>
  <c r="K341" i="30"/>
  <c r="K345" i="30"/>
  <c r="K349" i="30"/>
  <c r="K350" i="30"/>
  <c r="K18" i="30"/>
  <c r="K26" i="30"/>
  <c r="K51" i="30"/>
  <c r="K52" i="30"/>
  <c r="K62" i="30"/>
  <c r="K77" i="30"/>
  <c r="K85" i="30"/>
  <c r="K88" i="30"/>
  <c r="K104" i="30"/>
  <c r="K109" i="30"/>
  <c r="K117" i="30"/>
  <c r="K128" i="30"/>
  <c r="K135" i="30"/>
  <c r="K142" i="30"/>
  <c r="K143" i="30"/>
  <c r="K147" i="30"/>
  <c r="K157" i="30"/>
  <c r="K161" i="30"/>
  <c r="K162" i="30"/>
  <c r="K166" i="30"/>
  <c r="K170" i="30"/>
  <c r="K172" i="30"/>
  <c r="K177" i="30"/>
  <c r="K180" i="30"/>
  <c r="K181" i="30"/>
  <c r="K185" i="30"/>
  <c r="K189" i="30"/>
  <c r="K193" i="30"/>
  <c r="K196" i="30"/>
  <c r="K200" i="30"/>
  <c r="K201" i="30"/>
  <c r="K205" i="30"/>
  <c r="K208" i="30"/>
  <c r="K213" i="30"/>
  <c r="K216" i="30"/>
  <c r="K217" i="30"/>
  <c r="K220" i="30"/>
  <c r="K232" i="30"/>
  <c r="K233" i="30"/>
  <c r="K236" i="30"/>
  <c r="K240" i="30"/>
  <c r="K241" i="30"/>
  <c r="K244" i="30"/>
  <c r="K252" i="30"/>
  <c r="K253" i="30"/>
  <c r="K256" i="30"/>
  <c r="K260" i="30"/>
  <c r="K261" i="30"/>
  <c r="K265" i="30"/>
  <c r="K269" i="30"/>
  <c r="K272" i="30"/>
  <c r="K273" i="30"/>
  <c r="K284" i="30"/>
  <c r="K285" i="30"/>
  <c r="K296" i="30"/>
  <c r="K308" i="30"/>
  <c r="K309" i="30"/>
  <c r="K313" i="30"/>
  <c r="K321" i="30"/>
  <c r="K324" i="30"/>
  <c r="K325" i="30"/>
  <c r="K336" i="30"/>
  <c r="K348" i="30"/>
  <c r="K353" i="30"/>
  <c r="K39" i="30"/>
  <c r="K73" i="30"/>
  <c r="K97" i="30"/>
  <c r="K108" i="30"/>
  <c r="K113" i="30"/>
  <c r="K124" i="30"/>
  <c r="K133" i="30"/>
  <c r="K144" i="30"/>
  <c r="K149" i="30"/>
  <c r="K158" i="30"/>
  <c r="K178" i="30"/>
  <c r="K182" i="30"/>
  <c r="K206" i="30"/>
  <c r="K209" i="30"/>
  <c r="K212" i="30"/>
  <c r="K219" i="30"/>
  <c r="K228" i="30"/>
  <c r="K243" i="30"/>
  <c r="K251" i="30"/>
  <c r="K268" i="30"/>
  <c r="K275" i="30"/>
  <c r="K276" i="30"/>
  <c r="K283" i="30"/>
  <c r="K292" i="30"/>
  <c r="K300" i="30"/>
  <c r="K307" i="30"/>
  <c r="K315" i="30"/>
  <c r="K316" i="30"/>
  <c r="K323" i="30"/>
  <c r="K331" i="30"/>
  <c r="K332" i="30"/>
  <c r="K339" i="30"/>
  <c r="K340" i="30"/>
  <c r="K38" i="30"/>
  <c r="K55" i="30"/>
  <c r="K65" i="30"/>
  <c r="K69" i="30"/>
  <c r="K75" i="30"/>
  <c r="K90" i="30"/>
  <c r="K101" i="30"/>
  <c r="K122" i="30"/>
  <c r="K155" i="30"/>
  <c r="K160" i="30"/>
  <c r="K163" i="30"/>
  <c r="K174" i="30"/>
  <c r="K190" i="30"/>
  <c r="K195" i="30"/>
  <c r="K198" i="30"/>
  <c r="K203" i="30"/>
  <c r="K211" i="30"/>
  <c r="K227" i="30"/>
  <c r="K234" i="30"/>
  <c r="K235" i="30"/>
  <c r="K242" i="30"/>
  <c r="K250" i="30"/>
  <c r="K258" i="30"/>
  <c r="K259" i="30"/>
  <c r="K267" i="30"/>
  <c r="K274" i="30"/>
  <c r="K291" i="30"/>
  <c r="K299" i="30"/>
  <c r="K330" i="30"/>
  <c r="K338" i="30"/>
  <c r="K346" i="30"/>
  <c r="K347" i="30"/>
  <c r="K354" i="30"/>
  <c r="K358" i="30"/>
  <c r="K361" i="30"/>
  <c r="K365" i="30"/>
  <c r="K366" i="30"/>
  <c r="K370" i="30"/>
  <c r="K374" i="30"/>
  <c r="K343" i="30"/>
  <c r="K352" i="30"/>
  <c r="K376" i="30"/>
  <c r="K21" i="30"/>
  <c r="K23" i="30"/>
  <c r="K28" i="30"/>
  <c r="K34" i="30"/>
  <c r="K37" i="30"/>
  <c r="K68" i="30"/>
  <c r="K84" i="30"/>
  <c r="K100" i="30"/>
  <c r="K105" i="30"/>
  <c r="K116" i="30"/>
  <c r="K121" i="30"/>
  <c r="K132" i="30"/>
  <c r="K137" i="30"/>
  <c r="K140" i="30"/>
  <c r="K145" i="30"/>
  <c r="K148" i="30"/>
  <c r="K154" i="30"/>
  <c r="K159" i="30"/>
  <c r="K167" i="30"/>
  <c r="K171" i="30"/>
  <c r="K175" i="30"/>
  <c r="K186" i="30"/>
  <c r="K194" i="30"/>
  <c r="K197" i="30"/>
  <c r="K210" i="30"/>
  <c r="K223" i="30"/>
  <c r="K224" i="30"/>
  <c r="K247" i="30"/>
  <c r="K248" i="30"/>
  <c r="K255" i="30"/>
  <c r="K263" i="30"/>
  <c r="K264" i="30"/>
  <c r="K271" i="30"/>
  <c r="K279" i="30"/>
  <c r="K280" i="30"/>
  <c r="K287" i="30"/>
  <c r="K288" i="30"/>
  <c r="K304" i="30"/>
  <c r="K312" i="30"/>
  <c r="K319" i="30"/>
  <c r="K320" i="30"/>
  <c r="K328" i="30"/>
  <c r="K344" i="30"/>
  <c r="K351" i="30"/>
  <c r="K356" i="30"/>
  <c r="K357" i="30"/>
  <c r="K364" i="30"/>
  <c r="K368" i="30"/>
  <c r="K369" i="30"/>
  <c r="K373" i="30"/>
  <c r="K114" i="30"/>
  <c r="K151" i="30"/>
  <c r="K183" i="30"/>
  <c r="K214" i="30"/>
  <c r="K246" i="30"/>
  <c r="K278" i="30"/>
  <c r="K310" i="30"/>
  <c r="K342" i="30"/>
  <c r="K50" i="30"/>
  <c r="K359" i="30"/>
  <c r="K70" i="30"/>
  <c r="K125" i="30"/>
  <c r="K164" i="30"/>
  <c r="K191" i="30"/>
  <c r="K215" i="30"/>
  <c r="K238" i="30"/>
  <c r="K302" i="30"/>
  <c r="K311" i="30"/>
  <c r="K334" i="30"/>
  <c r="K363" i="30"/>
  <c r="K371" i="30"/>
  <c r="K372" i="30"/>
  <c r="K93" i="30"/>
  <c r="K222" i="30"/>
  <c r="K231" i="30"/>
  <c r="K295" i="30"/>
  <c r="K327" i="30"/>
  <c r="K136" i="30"/>
  <c r="K199" i="30"/>
  <c r="K230" i="30"/>
  <c r="K239" i="30"/>
  <c r="K303" i="30"/>
  <c r="K326" i="30"/>
  <c r="K335" i="30"/>
  <c r="K355" i="30"/>
  <c r="K362" i="30"/>
  <c r="K367" i="30"/>
  <c r="K375" i="30"/>
  <c r="K139" i="30"/>
  <c r="K202" i="30"/>
  <c r="K360" i="30"/>
  <c r="F55" i="30"/>
  <c r="J55" i="30" s="1"/>
  <c r="H216" i="13"/>
  <c r="D22" i="15"/>
  <c r="C23" i="15"/>
  <c r="D70" i="15"/>
  <c r="C71" i="15"/>
  <c r="D25" i="15"/>
  <c r="C26" i="15"/>
  <c r="D73" i="15"/>
  <c r="C74" i="15"/>
  <c r="D55" i="15"/>
  <c r="C56" i="15"/>
  <c r="D64" i="15"/>
  <c r="C65" i="15"/>
  <c r="D28" i="15"/>
  <c r="C29" i="15"/>
  <c r="D52" i="15"/>
  <c r="C53" i="15"/>
  <c r="D91" i="15"/>
  <c r="C92" i="15"/>
  <c r="S49" i="22"/>
  <c r="R49" i="22"/>
  <c r="BG29" i="21"/>
  <c r="AT36" i="15"/>
  <c r="AS65" i="21"/>
  <c r="AS130" i="15" s="1"/>
  <c r="BU35" i="21"/>
  <c r="BH54" i="15"/>
  <c r="BG71" i="21"/>
  <c r="BG148" i="15" s="1"/>
  <c r="BI12" i="15"/>
  <c r="BH57" i="21"/>
  <c r="BH106" i="15" s="1"/>
  <c r="BK41" i="21"/>
  <c r="AX72" i="15"/>
  <c r="AW77" i="21"/>
  <c r="AW166" i="15" s="1"/>
  <c r="CI78" i="15"/>
  <c r="CH79" i="21"/>
  <c r="CH172" i="15" s="1"/>
  <c r="I71" i="4"/>
  <c r="F33" i="30"/>
  <c r="J33" i="30" s="1"/>
  <c r="F180" i="30"/>
  <c r="J180" i="30" s="1"/>
  <c r="F285" i="30"/>
  <c r="J285" i="30" s="1"/>
  <c r="J357" i="30"/>
  <c r="CK27" i="21"/>
  <c r="BX30" i="15"/>
  <c r="BW63" i="21"/>
  <c r="BW124" i="15" s="1"/>
  <c r="CB25" i="21"/>
  <c r="BO24" i="15"/>
  <c r="BN61" i="21"/>
  <c r="BN118" i="15" s="1"/>
  <c r="BO61" i="21"/>
  <c r="BO118" i="15" s="1"/>
  <c r="BK64" i="21"/>
  <c r="BK127" i="15" s="1"/>
  <c r="BL33" i="15"/>
  <c r="BY28" i="21"/>
  <c r="F167" i="30"/>
  <c r="J167" i="30" s="1"/>
  <c r="F87" i="30"/>
  <c r="G87" i="30" s="1"/>
  <c r="B246" i="13"/>
  <c r="C226" i="13"/>
  <c r="S43" i="22"/>
  <c r="R43" i="22"/>
  <c r="AF14" i="22"/>
  <c r="BU47" i="21"/>
  <c r="BH90" i="15"/>
  <c r="BG83" i="21"/>
  <c r="BG184" i="15" s="1"/>
  <c r="BG24" i="21"/>
  <c r="AT21" i="15"/>
  <c r="AS60" i="21"/>
  <c r="AS115" i="15" s="1"/>
  <c r="BX45" i="21"/>
  <c r="BK84" i="15"/>
  <c r="BJ81" i="21"/>
  <c r="BJ178" i="15" s="1"/>
  <c r="BI31" i="21"/>
  <c r="AV42" i="15"/>
  <c r="AU67" i="21"/>
  <c r="AU136" i="15" s="1"/>
  <c r="F331" i="30"/>
  <c r="G331" i="30" s="1"/>
  <c r="BX23" i="21"/>
  <c r="BK18" i="15"/>
  <c r="BJ59" i="21"/>
  <c r="BJ112" i="15" s="1"/>
  <c r="CA27" i="21"/>
  <c r="BN30" i="15"/>
  <c r="BM63" i="21"/>
  <c r="BM124" i="15" s="1"/>
  <c r="I63" i="4"/>
  <c r="AP42" i="15"/>
  <c r="AP136" i="15"/>
  <c r="AP106" i="15"/>
  <c r="AP166" i="15"/>
  <c r="AP54" i="15"/>
  <c r="AP24" i="15"/>
  <c r="AP118" i="15"/>
  <c r="AP30" i="15"/>
  <c r="AP90" i="15"/>
  <c r="AP48" i="15"/>
  <c r="AP27" i="15"/>
  <c r="AP60" i="15"/>
  <c r="AP12" i="15"/>
  <c r="AP148" i="15"/>
  <c r="AP36" i="15"/>
  <c r="AP84" i="15"/>
  <c r="AP178" i="15"/>
  <c r="AP130" i="15"/>
  <c r="AP18" i="15"/>
  <c r="AP72" i="15"/>
  <c r="BH25" i="21"/>
  <c r="AU24" i="15"/>
  <c r="AT61" i="21"/>
  <c r="AT118" i="15" s="1"/>
  <c r="AR80" i="21"/>
  <c r="AR175" i="15" s="1"/>
  <c r="BF44" i="21"/>
  <c r="AS81" i="15"/>
  <c r="BJ41" i="21"/>
  <c r="AW72" i="15"/>
  <c r="AV77" i="21"/>
  <c r="AV166" i="15" s="1"/>
  <c r="AX12" i="15"/>
  <c r="AW57" i="21"/>
  <c r="AW106" i="15" s="1"/>
  <c r="BJ29" i="21"/>
  <c r="AV65" i="21"/>
  <c r="AV130" i="15" s="1"/>
  <c r="AW36" i="15"/>
  <c r="AY81" i="21"/>
  <c r="AY178" i="15" s="1"/>
  <c r="AZ84" i="15"/>
  <c r="BM45" i="21"/>
  <c r="BH45" i="21"/>
  <c r="AU84" i="15"/>
  <c r="AT81" i="21"/>
  <c r="AT178" i="15" s="1"/>
  <c r="BJ25" i="21"/>
  <c r="AW24" i="15"/>
  <c r="AV61" i="21"/>
  <c r="AV118" i="15" s="1"/>
  <c r="BM30" i="21"/>
  <c r="AZ39" i="15"/>
  <c r="AY66" i="21"/>
  <c r="AY133" i="15" s="1"/>
  <c r="BM57" i="21"/>
  <c r="BM106" i="15" s="1"/>
  <c r="AP172" i="15"/>
  <c r="AP69" i="21"/>
  <c r="BC25" i="21"/>
  <c r="BC38" i="21"/>
  <c r="AP71" i="21"/>
  <c r="BC44" i="21"/>
  <c r="AY59" i="21"/>
  <c r="AY112" i="15" s="1"/>
  <c r="AP63" i="21"/>
  <c r="AP62" i="21"/>
  <c r="BH37" i="21"/>
  <c r="AU60" i="15"/>
  <c r="AT73" i="21"/>
  <c r="AT154" i="15" s="1"/>
  <c r="AY30" i="15"/>
  <c r="BL27" i="21"/>
  <c r="AX63" i="21"/>
  <c r="AX124" i="15" s="1"/>
  <c r="BI27" i="21"/>
  <c r="AV30" i="15"/>
  <c r="AU63" i="21"/>
  <c r="AU124" i="15" s="1"/>
  <c r="BK29" i="21"/>
  <c r="AX36" i="15"/>
  <c r="AW65" i="21"/>
  <c r="AW130" i="15" s="1"/>
  <c r="BN37" i="21"/>
  <c r="BA60" i="15"/>
  <c r="AZ73" i="21"/>
  <c r="AZ154" i="15" s="1"/>
  <c r="BO47" i="21"/>
  <c r="BB90" i="15"/>
  <c r="BA83" i="21"/>
  <c r="BA184" i="15" s="1"/>
  <c r="BB83" i="21"/>
  <c r="BB184" i="15" s="1"/>
  <c r="BO31" i="21"/>
  <c r="BB42" i="15"/>
  <c r="BB67" i="21"/>
  <c r="BB136" i="15" s="1"/>
  <c r="BA67" i="21"/>
  <c r="BA136" i="15" s="1"/>
  <c r="AS67" i="21"/>
  <c r="AS136" i="15" s="1"/>
  <c r="BG31" i="21"/>
  <c r="AT42" i="15"/>
  <c r="AV73" i="21"/>
  <c r="AV154" i="15" s="1"/>
  <c r="AW60" i="15"/>
  <c r="BJ37" i="21"/>
  <c r="AJ184" i="15"/>
  <c r="AP184" i="15" s="1"/>
  <c r="AP83" i="21"/>
  <c r="BL39" i="21"/>
  <c r="AY66" i="15"/>
  <c r="AX75" i="21"/>
  <c r="AX160" i="15" s="1"/>
  <c r="AS63" i="21"/>
  <c r="AS124" i="15" s="1"/>
  <c r="BG27" i="21"/>
  <c r="AT30" i="15"/>
  <c r="BJ45" i="21"/>
  <c r="AW84" i="15"/>
  <c r="AV81" i="21"/>
  <c r="AV178" i="15" s="1"/>
  <c r="BM41" i="21"/>
  <c r="AZ72" i="15"/>
  <c r="AY77" i="21"/>
  <c r="AY166" i="15" s="1"/>
  <c r="AP124" i="15"/>
  <c r="AP142" i="15"/>
  <c r="BC29" i="21"/>
  <c r="AP66" i="15"/>
  <c r="AS59" i="21"/>
  <c r="AS112" i="15" s="1"/>
  <c r="BG23" i="21"/>
  <c r="AT18" i="15"/>
  <c r="AW12" i="15"/>
  <c r="AV57" i="21"/>
  <c r="AV106" i="15" s="1"/>
  <c r="AE175" i="15"/>
  <c r="AP175" i="15" s="1"/>
  <c r="AP80" i="21"/>
  <c r="BH41" i="21"/>
  <c r="AU72" i="15"/>
  <c r="AT77" i="21"/>
  <c r="AT166" i="15" s="1"/>
  <c r="BX39" i="21"/>
  <c r="BJ75" i="21"/>
  <c r="BJ160" i="15" s="1"/>
  <c r="BK66" i="15"/>
  <c r="BM26" i="21"/>
  <c r="AZ27" i="15"/>
  <c r="AY62" i="21"/>
  <c r="AY121" i="15" s="1"/>
  <c r="BH22" i="21"/>
  <c r="AU15" i="15"/>
  <c r="AT58" i="21"/>
  <c r="AT109" i="15" s="1"/>
  <c r="BK25" i="21"/>
  <c r="AX24" i="15"/>
  <c r="AW61" i="21"/>
  <c r="AW118" i="15" s="1"/>
  <c r="BN33" i="21"/>
  <c r="BA48" i="15"/>
  <c r="AZ69" i="21"/>
  <c r="AZ142" i="15" s="1"/>
  <c r="BO43" i="21"/>
  <c r="BB78" i="15"/>
  <c r="BB79" i="21"/>
  <c r="BB172" i="15" s="1"/>
  <c r="BA79" i="21"/>
  <c r="BA172" i="15" s="1"/>
  <c r="BO35" i="21"/>
  <c r="BB54" i="15"/>
  <c r="BB71" i="21"/>
  <c r="BB148" i="15" s="1"/>
  <c r="BA71" i="21"/>
  <c r="BA148" i="15" s="1"/>
  <c r="AS12" i="15"/>
  <c r="AR57" i="21"/>
  <c r="AR106" i="15" s="1"/>
  <c r="BI45" i="21"/>
  <c r="AU81" i="21"/>
  <c r="AU178" i="15" s="1"/>
  <c r="AV84" i="15"/>
  <c r="AX59" i="21"/>
  <c r="AX112" i="15" s="1"/>
  <c r="AY18" i="15"/>
  <c r="BL23" i="21"/>
  <c r="BC23" i="21"/>
  <c r="BI23" i="21"/>
  <c r="AV18" i="15"/>
  <c r="AU59" i="21"/>
  <c r="AU112" i="15" s="1"/>
  <c r="AS71" i="21"/>
  <c r="AS148" i="15" s="1"/>
  <c r="AT54" i="15"/>
  <c r="BG35" i="21"/>
  <c r="AV69" i="21"/>
  <c r="AV142" i="15" s="1"/>
  <c r="BJ33" i="21"/>
  <c r="AW48" i="15"/>
  <c r="BL43" i="21"/>
  <c r="AY78" i="15"/>
  <c r="AX79" i="21"/>
  <c r="AX172" i="15" s="1"/>
  <c r="BH33" i="21"/>
  <c r="AU48" i="15"/>
  <c r="AT69" i="21"/>
  <c r="AT142" i="15" s="1"/>
  <c r="BK47" i="21"/>
  <c r="AX90" i="15"/>
  <c r="AW83" i="21"/>
  <c r="AW184" i="15" s="1"/>
  <c r="BN41" i="21"/>
  <c r="BA72" i="15"/>
  <c r="AZ77" i="21"/>
  <c r="AZ166" i="15" s="1"/>
  <c r="BH29" i="21"/>
  <c r="AU36" i="15"/>
  <c r="AT65" i="21"/>
  <c r="AT130" i="15" s="1"/>
  <c r="BL35" i="21"/>
  <c r="AY54" i="15"/>
  <c r="AX71" i="21"/>
  <c r="AX148" i="15" s="1"/>
  <c r="BL47" i="21"/>
  <c r="AY90" i="15"/>
  <c r="AX83" i="21"/>
  <c r="AX184" i="15" s="1"/>
  <c r="BO27" i="21"/>
  <c r="BB30" i="15"/>
  <c r="BA63" i="21"/>
  <c r="BA124" i="15" s="1"/>
  <c r="BB63" i="21"/>
  <c r="BB124" i="15" s="1"/>
  <c r="E38" i="36"/>
  <c r="E39" i="36" s="1"/>
  <c r="H38" i="36"/>
  <c r="H39" i="36" s="1"/>
  <c r="F38" i="36"/>
  <c r="F39" i="36" s="1"/>
  <c r="J38" i="36"/>
  <c r="J39" i="36" s="1"/>
  <c r="G38" i="36"/>
  <c r="G39" i="36" s="1"/>
  <c r="V68" i="20"/>
  <c r="AP169" i="15"/>
  <c r="AP78" i="15"/>
  <c r="BW40" i="21"/>
  <c r="BI76" i="21"/>
  <c r="BI163" i="15" s="1"/>
  <c r="BJ69" i="15"/>
  <c r="BG62" i="21"/>
  <c r="BG121" i="15" s="1"/>
  <c r="BH27" i="15"/>
  <c r="BU26" i="21"/>
  <c r="CB24" i="21"/>
  <c r="BN60" i="21"/>
  <c r="BN115" i="15" s="1"/>
  <c r="BO60" i="21"/>
  <c r="BO115" i="15" s="1"/>
  <c r="BO21" i="15"/>
  <c r="BN12" i="15"/>
  <c r="BV34" i="21"/>
  <c r="BI51" i="15"/>
  <c r="BH70" i="21"/>
  <c r="BH145" i="15" s="1"/>
  <c r="BC35" i="21"/>
  <c r="AP51" i="15"/>
  <c r="BC32" i="21"/>
  <c r="AP45" i="15"/>
  <c r="BF72" i="21"/>
  <c r="BF151" i="15" s="1"/>
  <c r="BG57" i="15"/>
  <c r="BT36" i="21"/>
  <c r="CA29" i="21"/>
  <c r="BM65" i="21"/>
  <c r="BM130" i="15" s="1"/>
  <c r="BN36" i="15"/>
  <c r="BC34" i="21"/>
  <c r="BY33" i="21"/>
  <c r="BK69" i="21"/>
  <c r="BK142" i="15" s="1"/>
  <c r="BL48" i="15"/>
  <c r="CA32" i="21"/>
  <c r="BN45" i="15"/>
  <c r="BM68" i="21"/>
  <c r="BM139" i="15" s="1"/>
  <c r="BC30" i="21"/>
  <c r="AR54" i="15"/>
  <c r="BF64" i="21"/>
  <c r="BF127" i="15" s="1"/>
  <c r="BG33" i="15"/>
  <c r="BT28" i="21"/>
  <c r="BZ25" i="21"/>
  <c r="BM24" i="15"/>
  <c r="BL61" i="21"/>
  <c r="BL118" i="15" s="1"/>
  <c r="CB28" i="21"/>
  <c r="BO33" i="15"/>
  <c r="BO64" i="21"/>
  <c r="BO127" i="15" s="1"/>
  <c r="BN64" i="21"/>
  <c r="BN127" i="15" s="1"/>
  <c r="BX46" i="21"/>
  <c r="BK87" i="15"/>
  <c r="BJ82" i="21"/>
  <c r="BJ181" i="15" s="1"/>
  <c r="BY46" i="21"/>
  <c r="BL87" i="15"/>
  <c r="BK82" i="21"/>
  <c r="BK181" i="15" s="1"/>
  <c r="BY31" i="21"/>
  <c r="BL42" i="15"/>
  <c r="BK67" i="21"/>
  <c r="BK136" i="15" s="1"/>
  <c r="AQ71" i="21"/>
  <c r="AQ148" i="15" s="1"/>
  <c r="BC26" i="21"/>
  <c r="BZ44" i="21"/>
  <c r="BM81" i="15"/>
  <c r="BL80" i="21"/>
  <c r="BL175" i="15" s="1"/>
  <c r="CB40" i="21"/>
  <c r="BO69" i="15"/>
  <c r="BN76" i="21"/>
  <c r="BN163" i="15" s="1"/>
  <c r="BO76" i="21"/>
  <c r="BO163" i="15" s="1"/>
  <c r="BZ27" i="21"/>
  <c r="BM30" i="15"/>
  <c r="BL63" i="21"/>
  <c r="BL124" i="15" s="1"/>
  <c r="BZ33" i="21"/>
  <c r="BM48" i="15"/>
  <c r="BL69" i="21"/>
  <c r="BL142" i="15" s="1"/>
  <c r="BW46" i="21"/>
  <c r="BJ87" i="15"/>
  <c r="BI82" i="21"/>
  <c r="BI181" i="15" s="1"/>
  <c r="BG64" i="21"/>
  <c r="BG127" i="15" s="1"/>
  <c r="BH33" i="15"/>
  <c r="BU28" i="21"/>
  <c r="AP78" i="21"/>
  <c r="BV36" i="21"/>
  <c r="BI57" i="15"/>
  <c r="BH72" i="21"/>
  <c r="BH151" i="15" s="1"/>
  <c r="BX35" i="21"/>
  <c r="BK54" i="15"/>
  <c r="BJ71" i="21"/>
  <c r="BJ148" i="15" s="1"/>
  <c r="BU30" i="21"/>
  <c r="BH39" i="15"/>
  <c r="BG66" i="21"/>
  <c r="BG133" i="15" s="1"/>
  <c r="BQ27" i="21"/>
  <c r="BD30" i="15"/>
  <c r="BV26" i="21"/>
  <c r="BI27" i="15"/>
  <c r="BH62" i="21"/>
  <c r="BH121" i="15" s="1"/>
  <c r="AP112" i="15"/>
  <c r="AP160" i="15"/>
  <c r="AP154" i="15"/>
  <c r="AP15" i="15"/>
  <c r="BS37" i="21"/>
  <c r="BF60" i="15"/>
  <c r="BE73" i="21"/>
  <c r="BE154" i="15" s="1"/>
  <c r="CK44" i="21"/>
  <c r="BX81" i="15"/>
  <c r="BW80" i="21"/>
  <c r="BW175" i="15" s="1"/>
  <c r="BW24" i="21"/>
  <c r="BJ21" i="15"/>
  <c r="BI60" i="21"/>
  <c r="BI115" i="15" s="1"/>
  <c r="BZ35" i="21"/>
  <c r="BM54" i="15"/>
  <c r="BL71" i="21"/>
  <c r="BL148" i="15" s="1"/>
  <c r="BW36" i="21"/>
  <c r="BJ57" i="15"/>
  <c r="BI72" i="21"/>
  <c r="BI151" i="15" s="1"/>
  <c r="BS29" i="21"/>
  <c r="BF36" i="15"/>
  <c r="BE65" i="21"/>
  <c r="BE130" i="15" s="1"/>
  <c r="BR78" i="21"/>
  <c r="BR169" i="15" s="1"/>
  <c r="BS75" i="15"/>
  <c r="CF42" i="21"/>
  <c r="BT39" i="21"/>
  <c r="BG66" i="15"/>
  <c r="BF75" i="21"/>
  <c r="BF160" i="15" s="1"/>
  <c r="BT38" i="21"/>
  <c r="BG63" i="15"/>
  <c r="BF74" i="21"/>
  <c r="BF157" i="15" s="1"/>
  <c r="BG78" i="21"/>
  <c r="BG169" i="15" s="1"/>
  <c r="BH75" i="15"/>
  <c r="BU42" i="21"/>
  <c r="BT22" i="21"/>
  <c r="BG15" i="15"/>
  <c r="BF58" i="21"/>
  <c r="BF109" i="15" s="1"/>
  <c r="BU46" i="21"/>
  <c r="BH87" i="15"/>
  <c r="BG82" i="21"/>
  <c r="BG181" i="15" s="1"/>
  <c r="BY25" i="21"/>
  <c r="BL24" i="15"/>
  <c r="BK61" i="21"/>
  <c r="BK118" i="15" s="1"/>
  <c r="BF42" i="15"/>
  <c r="BE67" i="21"/>
  <c r="BE136" i="15" s="1"/>
  <c r="BS31" i="21"/>
  <c r="AT175" i="15"/>
  <c r="BV40" i="21"/>
  <c r="BI69" i="15"/>
  <c r="BH76" i="21"/>
  <c r="BH163" i="15" s="1"/>
  <c r="BC27" i="21"/>
  <c r="AR30" i="15"/>
  <c r="BY41" i="21"/>
  <c r="BL72" i="15"/>
  <c r="BK77" i="21"/>
  <c r="BK166" i="15" s="1"/>
  <c r="CF26" i="21"/>
  <c r="BS27" i="15"/>
  <c r="BR62" i="21"/>
  <c r="BR121" i="15" s="1"/>
  <c r="BD18" i="15"/>
  <c r="BQ23" i="21"/>
  <c r="BX28" i="21"/>
  <c r="BK33" i="15"/>
  <c r="BJ64" i="21"/>
  <c r="BJ127" i="15" s="1"/>
  <c r="BU44" i="21"/>
  <c r="BH81" i="15"/>
  <c r="BG80" i="21"/>
  <c r="BG175" i="15" s="1"/>
  <c r="BX36" i="21"/>
  <c r="BK57" i="15"/>
  <c r="BJ72" i="21"/>
  <c r="BJ151" i="15" s="1"/>
  <c r="BH69" i="15"/>
  <c r="BU40" i="21"/>
  <c r="BG76" i="21"/>
  <c r="BG163" i="15" s="1"/>
  <c r="CB36" i="21"/>
  <c r="BO57" i="15"/>
  <c r="BN72" i="21"/>
  <c r="BN151" i="15" s="1"/>
  <c r="BO72" i="21"/>
  <c r="BO151" i="15" s="1"/>
  <c r="AP39" i="15"/>
  <c r="AP87" i="15"/>
  <c r="BC24" i="21"/>
  <c r="BW38" i="21"/>
  <c r="BJ63" i="15"/>
  <c r="BI74" i="21"/>
  <c r="BI157" i="15" s="1"/>
  <c r="BS27" i="21"/>
  <c r="BF30" i="15"/>
  <c r="BE63" i="21"/>
  <c r="BE124" i="15" s="1"/>
  <c r="CB44" i="21"/>
  <c r="BO81" i="15"/>
  <c r="BO80" i="21"/>
  <c r="BO175" i="15" s="1"/>
  <c r="BN80" i="21"/>
  <c r="BN175" i="15" s="1"/>
  <c r="BZ37" i="21"/>
  <c r="BM60" i="15"/>
  <c r="BL73" i="21"/>
  <c r="BL154" i="15" s="1"/>
  <c r="BX32" i="21"/>
  <c r="BK45" i="15"/>
  <c r="BJ68" i="21"/>
  <c r="BJ139" i="15" s="1"/>
  <c r="BV32" i="21"/>
  <c r="BI45" i="15"/>
  <c r="BH68" i="21"/>
  <c r="BH139" i="15" s="1"/>
  <c r="BX38" i="21"/>
  <c r="BK63" i="15"/>
  <c r="BJ74" i="21"/>
  <c r="BJ157" i="15" s="1"/>
  <c r="BZ40" i="21"/>
  <c r="BM69" i="15"/>
  <c r="BL76" i="21"/>
  <c r="BL163" i="15" s="1"/>
  <c r="BY38" i="21"/>
  <c r="BL63" i="15"/>
  <c r="BK74" i="21"/>
  <c r="BK157" i="15" s="1"/>
  <c r="BV24" i="21"/>
  <c r="BI21" i="15"/>
  <c r="BH60" i="21"/>
  <c r="BH115" i="15" s="1"/>
  <c r="BV46" i="21"/>
  <c r="BI87" i="15"/>
  <c r="BH82" i="21"/>
  <c r="BH181" i="15" s="1"/>
  <c r="AQ45" i="15"/>
  <c r="BD32" i="21"/>
  <c r="AR66" i="21"/>
  <c r="AR133" i="15" s="1"/>
  <c r="BF30" i="21"/>
  <c r="AS39" i="15"/>
  <c r="AQ74" i="21"/>
  <c r="AQ157" i="15" s="1"/>
  <c r="BE38" i="21"/>
  <c r="AR63" i="15"/>
  <c r="BF84" i="15"/>
  <c r="BS45" i="21"/>
  <c r="BE81" i="21"/>
  <c r="BE178" i="15" s="1"/>
  <c r="BF24" i="21"/>
  <c r="AS21" i="15"/>
  <c r="AR60" i="21"/>
  <c r="BG37" i="21"/>
  <c r="AT60" i="15"/>
  <c r="AS73" i="21"/>
  <c r="AS154" i="15" s="1"/>
  <c r="BO12" i="15"/>
  <c r="BO57" i="21"/>
  <c r="BO106" i="15" s="1"/>
  <c r="BN57" i="21"/>
  <c r="BN106" i="15" s="1"/>
  <c r="BF38" i="21"/>
  <c r="AS63" i="15"/>
  <c r="AR74" i="21"/>
  <c r="AR157" i="15" s="1"/>
  <c r="BG30" i="21"/>
  <c r="AT39" i="15"/>
  <c r="AS66" i="21"/>
  <c r="AS133" i="15" s="1"/>
  <c r="BQ31" i="21"/>
  <c r="BD42" i="15"/>
  <c r="CI41" i="21"/>
  <c r="BV72" i="15"/>
  <c r="BU77" i="21"/>
  <c r="BU166" i="15" s="1"/>
  <c r="BH23" i="21"/>
  <c r="AU18" i="15"/>
  <c r="AT59" i="21"/>
  <c r="AT112" i="15" s="1"/>
  <c r="BW42" i="21"/>
  <c r="BJ75" i="15"/>
  <c r="BI78" i="21"/>
  <c r="BI169" i="15" s="1"/>
  <c r="AD133" i="15"/>
  <c r="AP133" i="15" s="1"/>
  <c r="AP66" i="21"/>
  <c r="BD41" i="21"/>
  <c r="AQ72" i="15"/>
  <c r="BQ35" i="21"/>
  <c r="BD54" i="15"/>
  <c r="BX40" i="21"/>
  <c r="BK69" i="15"/>
  <c r="BJ76" i="21"/>
  <c r="BJ163" i="15" s="1"/>
  <c r="BF66" i="15"/>
  <c r="BE75" i="21"/>
  <c r="BE160" i="15" s="1"/>
  <c r="BS39" i="21"/>
  <c r="BG42" i="21"/>
  <c r="AT75" i="15"/>
  <c r="AS78" i="21"/>
  <c r="AD157" i="15"/>
  <c r="AP157" i="15" s="1"/>
  <c r="AP74" i="21"/>
  <c r="BF68" i="21"/>
  <c r="BF139" i="15" s="1"/>
  <c r="BG45" i="15"/>
  <c r="BT32" i="21"/>
  <c r="BW34" i="21"/>
  <c r="BJ51" i="15"/>
  <c r="BI70" i="21"/>
  <c r="BI145" i="15" s="1"/>
  <c r="BT47" i="21"/>
  <c r="BG90" i="15"/>
  <c r="BF83" i="21"/>
  <c r="BF184" i="15" s="1"/>
  <c r="BU38" i="21"/>
  <c r="BH63" i="15"/>
  <c r="BG74" i="21"/>
  <c r="BG157" i="15" s="1"/>
  <c r="AE115" i="15"/>
  <c r="AP115" i="15" s="1"/>
  <c r="AP60" i="21"/>
  <c r="BV38" i="21"/>
  <c r="BI63" i="15"/>
  <c r="BH74" i="21"/>
  <c r="BH157" i="15" s="1"/>
  <c r="AR87" i="15"/>
  <c r="AQ82" i="21"/>
  <c r="AQ181" i="15" s="1"/>
  <c r="BE46" i="21"/>
  <c r="BC28" i="21"/>
  <c r="BJ39" i="21"/>
  <c r="AW66" i="15"/>
  <c r="AV75" i="21"/>
  <c r="AV160" i="15" s="1"/>
  <c r="AQ58" i="21"/>
  <c r="AQ109" i="15" s="1"/>
  <c r="BE22" i="21"/>
  <c r="AR15" i="15"/>
  <c r="BD43" i="21"/>
  <c r="AQ78" i="15"/>
  <c r="AP63" i="15"/>
  <c r="AQ27" i="15"/>
  <c r="BD26" i="21"/>
  <c r="BE30" i="21"/>
  <c r="AR39" i="15"/>
  <c r="AQ66" i="21"/>
  <c r="CK43" i="21"/>
  <c r="BX78" i="15"/>
  <c r="BW79" i="21"/>
  <c r="BW172" i="15" s="1"/>
  <c r="BQ25" i="21"/>
  <c r="BD24" i="15"/>
  <c r="BV22" i="21"/>
  <c r="BI15" i="15"/>
  <c r="BH58" i="21"/>
  <c r="BH109" i="15" s="1"/>
  <c r="BJ28" i="21"/>
  <c r="AW33" i="15"/>
  <c r="AV64" i="21"/>
  <c r="AV127" i="15" s="1"/>
  <c r="CB26" i="21"/>
  <c r="BO27" i="15"/>
  <c r="BN62" i="21"/>
  <c r="BN121" i="15" s="1"/>
  <c r="BO62" i="21"/>
  <c r="BO121" i="15" s="1"/>
  <c r="AQ136" i="15"/>
  <c r="AP33" i="15"/>
  <c r="BD175" i="15"/>
  <c r="BY34" i="21"/>
  <c r="BL51" i="15"/>
  <c r="BK70" i="21"/>
  <c r="BK145" i="15" s="1"/>
  <c r="BR35" i="21"/>
  <c r="BE54" i="15"/>
  <c r="BD71" i="21"/>
  <c r="CA34" i="21"/>
  <c r="BN51" i="15"/>
  <c r="BM70" i="21"/>
  <c r="BM145" i="15" s="1"/>
  <c r="CB23" i="21"/>
  <c r="BO18" i="15"/>
  <c r="BN59" i="21"/>
  <c r="BN112" i="15" s="1"/>
  <c r="BO59" i="21"/>
  <c r="BO112" i="15" s="1"/>
  <c r="BD163" i="15"/>
  <c r="AY151" i="15"/>
  <c r="AQ160" i="15"/>
  <c r="AQ112" i="15"/>
  <c r="BL40" i="21"/>
  <c r="AY69" i="15"/>
  <c r="AX76" i="21"/>
  <c r="BR41" i="21"/>
  <c r="BD77" i="21"/>
  <c r="BE72" i="15"/>
  <c r="AF181" i="15"/>
  <c r="AP181" i="15" s="1"/>
  <c r="AP82" i="21"/>
  <c r="CD12" i="15"/>
  <c r="CE24" i="21"/>
  <c r="BR21" i="15"/>
  <c r="BQ60" i="21"/>
  <c r="AP70" i="21"/>
  <c r="CA31" i="21"/>
  <c r="BN42" i="15"/>
  <c r="BM67" i="21"/>
  <c r="BM136" i="15" s="1"/>
  <c r="BR43" i="21"/>
  <c r="BE78" i="15"/>
  <c r="BD79" i="21"/>
  <c r="BR45" i="21"/>
  <c r="BD81" i="21"/>
  <c r="BE84" i="15"/>
  <c r="BY42" i="21"/>
  <c r="BL75" i="15"/>
  <c r="BK78" i="21"/>
  <c r="BK169" i="15" s="1"/>
  <c r="BQ42" i="21"/>
  <c r="BD75" i="15"/>
  <c r="AQ106" i="15"/>
  <c r="BR31" i="21"/>
  <c r="BE42" i="15"/>
  <c r="BD67" i="21"/>
  <c r="BQ39" i="21"/>
  <c r="BD66" i="15"/>
  <c r="BD30" i="21"/>
  <c r="AQ39" i="15"/>
  <c r="AQ184" i="15"/>
  <c r="AQ154" i="15"/>
  <c r="AE127" i="15"/>
  <c r="AP127" i="15" s="1"/>
  <c r="AP64" i="21"/>
  <c r="CE36" i="21"/>
  <c r="BR57" i="15"/>
  <c r="BQ72" i="21"/>
  <c r="BT43" i="21"/>
  <c r="BG78" i="15"/>
  <c r="BF79" i="21"/>
  <c r="BF172" i="15" s="1"/>
  <c r="BR39" i="21"/>
  <c r="BE66" i="15"/>
  <c r="BD75" i="21"/>
  <c r="CA45" i="21"/>
  <c r="BN84" i="15"/>
  <c r="BM81" i="21"/>
  <c r="BM178" i="15" s="1"/>
  <c r="CB45" i="21"/>
  <c r="BO84" i="15"/>
  <c r="BO81" i="21"/>
  <c r="BO178" i="15" s="1"/>
  <c r="BN81" i="21"/>
  <c r="BN178" i="15" s="1"/>
  <c r="BR25" i="21"/>
  <c r="BD61" i="21"/>
  <c r="BE24" i="15"/>
  <c r="AK139" i="15"/>
  <c r="AP139" i="15" s="1"/>
  <c r="AP68" i="21"/>
  <c r="CE28" i="21"/>
  <c r="BR33" i="15"/>
  <c r="BQ64" i="21"/>
  <c r="CF22" i="21"/>
  <c r="BS15" i="15"/>
  <c r="BR58" i="21"/>
  <c r="BR109" i="15" s="1"/>
  <c r="BM22" i="21"/>
  <c r="AZ15" i="15"/>
  <c r="AY58" i="21"/>
  <c r="BS25" i="21"/>
  <c r="BF24" i="15"/>
  <c r="BE61" i="21"/>
  <c r="BE118" i="15" s="1"/>
  <c r="CA12" i="15"/>
  <c r="BZ57" i="21"/>
  <c r="BZ106" i="15" s="1"/>
  <c r="AQ142" i="15"/>
  <c r="CE44" i="21"/>
  <c r="BR81" i="15"/>
  <c r="BQ80" i="21"/>
  <c r="BR37" i="21"/>
  <c r="BD73" i="21"/>
  <c r="BE60" i="15"/>
  <c r="BY45" i="21"/>
  <c r="BL84" i="15"/>
  <c r="BK81" i="21"/>
  <c r="BK178" i="15" s="1"/>
  <c r="CA38" i="21"/>
  <c r="BN63" i="15"/>
  <c r="BM74" i="21"/>
  <c r="BM157" i="15" s="1"/>
  <c r="CB29" i="21"/>
  <c r="BO36" i="15"/>
  <c r="BN65" i="21"/>
  <c r="BN130" i="15" s="1"/>
  <c r="BO65" i="21"/>
  <c r="BO130" i="15" s="1"/>
  <c r="BQ38" i="21"/>
  <c r="BD63" i="15"/>
  <c r="CE40" i="21"/>
  <c r="BR69" i="15"/>
  <c r="BQ76" i="21"/>
  <c r="CF35" i="21"/>
  <c r="BS54" i="15"/>
  <c r="BR71" i="21"/>
  <c r="BR148" i="15" s="1"/>
  <c r="BZ36" i="21"/>
  <c r="BM57" i="15"/>
  <c r="BL72" i="21"/>
  <c r="BL151" i="15" s="1"/>
  <c r="BR23" i="21"/>
  <c r="BD59" i="21"/>
  <c r="BE18" i="15"/>
  <c r="AK163" i="15"/>
  <c r="AP163" i="15" s="1"/>
  <c r="AP76" i="21"/>
  <c r="BG46" i="21"/>
  <c r="AT87" i="15"/>
  <c r="AS82" i="21"/>
  <c r="BY37" i="21"/>
  <c r="BL60" i="15"/>
  <c r="BK73" i="21"/>
  <c r="BK154" i="15" s="1"/>
  <c r="AQ124" i="15"/>
  <c r="AQ178" i="15"/>
  <c r="CA28" i="21"/>
  <c r="BN33" i="15"/>
  <c r="BM64" i="21"/>
  <c r="BM127" i="15" s="1"/>
  <c r="BS41" i="21"/>
  <c r="BF72" i="15"/>
  <c r="BE77" i="21"/>
  <c r="BE166" i="15" s="1"/>
  <c r="BE12" i="15"/>
  <c r="BD57" i="21"/>
  <c r="CL22" i="21"/>
  <c r="BY15" i="15"/>
  <c r="BX58" i="21"/>
  <c r="BX109" i="15" s="1"/>
  <c r="BD22" i="21"/>
  <c r="AQ15" i="15"/>
  <c r="BQ46" i="21"/>
  <c r="BD87" i="15"/>
  <c r="BD28" i="21"/>
  <c r="AQ33" i="15"/>
  <c r="BM34" i="21"/>
  <c r="AZ51" i="15"/>
  <c r="AY70" i="21"/>
  <c r="AY145" i="15" s="1"/>
  <c r="CB42" i="21"/>
  <c r="BO75" i="15"/>
  <c r="BN78" i="21"/>
  <c r="BN169" i="15" s="1"/>
  <c r="BO78" i="21"/>
  <c r="BO169" i="15" s="1"/>
  <c r="CL30" i="21"/>
  <c r="BY39" i="15"/>
  <c r="BX66" i="21"/>
  <c r="BX133" i="15" s="1"/>
  <c r="BR47" i="21"/>
  <c r="BE90" i="15"/>
  <c r="BD83" i="21"/>
  <c r="BC22" i="21"/>
  <c r="BF28" i="21"/>
  <c r="AS33" i="15"/>
  <c r="AR64" i="21"/>
  <c r="BD151" i="15"/>
  <c r="CF90" i="15"/>
  <c r="CE83" i="21"/>
  <c r="CE184" i="15" s="1"/>
  <c r="AQ166" i="15"/>
  <c r="AQ118" i="15"/>
  <c r="BL32" i="21"/>
  <c r="AY45" i="15"/>
  <c r="AX68" i="21"/>
  <c r="CB39" i="21"/>
  <c r="BO66" i="15"/>
  <c r="BO75" i="21"/>
  <c r="BO160" i="15" s="1"/>
  <c r="BN75" i="21"/>
  <c r="BN160" i="15" s="1"/>
  <c r="BD127" i="15"/>
  <c r="CJ26" i="21"/>
  <c r="BW27" i="15"/>
  <c r="BV62" i="21"/>
  <c r="BV121" i="15" s="1"/>
  <c r="AP145" i="15"/>
  <c r="AQ172" i="15"/>
  <c r="BR27" i="21"/>
  <c r="BD63" i="21"/>
  <c r="AL109" i="15"/>
  <c r="AP109" i="15" s="1"/>
  <c r="AP58" i="21"/>
  <c r="CA42" i="21"/>
  <c r="BN75" i="15"/>
  <c r="BM78" i="21"/>
  <c r="BM169" i="15" s="1"/>
  <c r="BC46" i="21"/>
  <c r="BQ21" i="15"/>
  <c r="CD24" i="21"/>
  <c r="CD21" i="15" s="1"/>
  <c r="A17" i="27"/>
  <c r="I7" i="27"/>
  <c r="I6" i="27"/>
  <c r="D17" i="27"/>
  <c r="BB57" i="20"/>
  <c r="CO57" i="20"/>
  <c r="BO57" i="20"/>
  <c r="AO57" i="20"/>
  <c r="O57" i="20"/>
  <c r="B135" i="13" s="1"/>
  <c r="CB57" i="20"/>
  <c r="C114" i="13"/>
  <c r="J87" i="17"/>
  <c r="C113" i="13" s="1"/>
  <c r="E125" i="13"/>
  <c r="R104" i="22"/>
  <c r="F116" i="22"/>
  <c r="C45" i="20" s="1"/>
  <c r="CE104" i="22"/>
  <c r="AR138" i="22"/>
  <c r="R114" i="22"/>
  <c r="CE114" i="22"/>
  <c r="BR114" i="22"/>
  <c r="R108" i="22"/>
  <c r="CR108" i="22"/>
  <c r="BE108" i="22"/>
  <c r="AR110" i="22"/>
  <c r="CE110" i="22"/>
  <c r="BR110" i="22"/>
  <c r="R126" i="22"/>
  <c r="CE126" i="22"/>
  <c r="AE126" i="22"/>
  <c r="AF6" i="22"/>
  <c r="AI20" i="22"/>
  <c r="AF20" i="22"/>
  <c r="CE136" i="22"/>
  <c r="BE136" i="22"/>
  <c r="CR112" i="22"/>
  <c r="AF42" i="22"/>
  <c r="AE42" i="22"/>
  <c r="AF7" i="22"/>
  <c r="AF44" i="22"/>
  <c r="AE44" i="22"/>
  <c r="AR130" i="22"/>
  <c r="CR130" i="22"/>
  <c r="R130" i="22"/>
  <c r="BE130" i="22"/>
  <c r="AE104" i="22"/>
  <c r="CR104" i="22"/>
  <c r="BE104" i="22"/>
  <c r="D60" i="13"/>
  <c r="AG142" i="22"/>
  <c r="AC74" i="20" s="1"/>
  <c r="CP142" i="22"/>
  <c r="CL74" i="20" s="1"/>
  <c r="BE138" i="22"/>
  <c r="AF18" i="22"/>
  <c r="AH24" i="22"/>
  <c r="AF24" i="22"/>
  <c r="AF50" i="22"/>
  <c r="AE50" i="22"/>
  <c r="R110" i="22"/>
  <c r="AR126" i="22"/>
  <c r="AR140" i="22"/>
  <c r="BE140" i="22"/>
  <c r="AF15" i="22"/>
  <c r="AR136" i="22"/>
  <c r="CR136" i="22"/>
  <c r="R136" i="22"/>
  <c r="BR128" i="22"/>
  <c r="R128" i="22"/>
  <c r="CE128" i="22"/>
  <c r="AE128" i="22"/>
  <c r="BE128" i="22"/>
  <c r="AH28" i="22"/>
  <c r="AF28" i="22"/>
  <c r="BR124" i="22"/>
  <c r="BF142" i="22"/>
  <c r="BS142" i="22"/>
  <c r="CE124" i="22"/>
  <c r="AS142" i="22"/>
  <c r="BE124" i="22"/>
  <c r="S142" i="22"/>
  <c r="AE124" i="22"/>
  <c r="CR138" i="22"/>
  <c r="BR138" i="22"/>
  <c r="AE114" i="22"/>
  <c r="BE114" i="22"/>
  <c r="CR114" i="22"/>
  <c r="BE110" i="22"/>
  <c r="AE110" i="22"/>
  <c r="BE126" i="22"/>
  <c r="AE140" i="22"/>
  <c r="AH21" i="22"/>
  <c r="AF21" i="22"/>
  <c r="BS116" i="22"/>
  <c r="AE136" i="22"/>
  <c r="AR112" i="22"/>
  <c r="CE112" i="22"/>
  <c r="BR112" i="22"/>
  <c r="CR128" i="22"/>
  <c r="AH25" i="22"/>
  <c r="AF25" i="22"/>
  <c r="AF41" i="22"/>
  <c r="AE41" i="22"/>
  <c r="AF47" i="22"/>
  <c r="AE47" i="22"/>
  <c r="AF51" i="22"/>
  <c r="AE51" i="22"/>
  <c r="D151" i="13"/>
  <c r="R124" i="22"/>
  <c r="F142" i="22"/>
  <c r="C74" i="20" s="1"/>
  <c r="AR124" i="22"/>
  <c r="AF142" i="22"/>
  <c r="CF142" i="22"/>
  <c r="CR124" i="22"/>
  <c r="R138" i="22"/>
  <c r="AE138" i="22"/>
  <c r="AF10" i="22"/>
  <c r="AF13" i="22"/>
  <c r="AF46" i="22"/>
  <c r="AE46" i="22"/>
  <c r="AK39" i="22"/>
  <c r="AE39" i="22"/>
  <c r="AR108" i="22"/>
  <c r="CE108" i="22"/>
  <c r="BR108" i="22"/>
  <c r="CR126" i="22"/>
  <c r="BR126" i="22"/>
  <c r="BR140" i="22"/>
  <c r="R140" i="22"/>
  <c r="BP34" i="22"/>
  <c r="BE34" i="22"/>
  <c r="BF116" i="22"/>
  <c r="AF116" i="22"/>
  <c r="R112" i="22"/>
  <c r="AE112" i="22"/>
  <c r="BE112" i="22"/>
  <c r="AH19" i="22"/>
  <c r="AF19" i="22"/>
  <c r="CE130" i="22"/>
  <c r="AE130" i="22"/>
  <c r="AF16" i="22"/>
  <c r="W29" i="22"/>
  <c r="Y29" i="22"/>
  <c r="AD29" i="22"/>
  <c r="X29" i="22"/>
  <c r="U29" i="22"/>
  <c r="Z29" i="22"/>
  <c r="BV12" i="22"/>
  <c r="AF11" i="22"/>
  <c r="AA29" i="22"/>
  <c r="AQ29" i="22"/>
  <c r="AX29" i="22"/>
  <c r="AE29" i="22"/>
  <c r="AB29" i="22"/>
  <c r="AF9" i="22"/>
  <c r="B43" i="13"/>
  <c r="B69" i="13" s="1"/>
  <c r="B25" i="36"/>
  <c r="I32" i="1"/>
  <c r="E6" i="24"/>
  <c r="B25" i="20"/>
  <c r="H205" i="13"/>
  <c r="G197" i="9"/>
  <c r="B48" i="36"/>
  <c r="B77" i="36"/>
  <c r="B77" i="20"/>
  <c r="O77" i="20" s="1"/>
  <c r="B48" i="20"/>
  <c r="O48" i="20" s="1"/>
  <c r="B36" i="13"/>
  <c r="B18" i="20"/>
  <c r="B18" i="36"/>
  <c r="E49" i="4"/>
  <c r="H49" i="4"/>
  <c r="K101" i="4"/>
  <c r="E91" i="4" s="1"/>
  <c r="H91" i="4"/>
  <c r="G19" i="30" l="1"/>
  <c r="G80" i="30"/>
  <c r="J350" i="30"/>
  <c r="G247" i="30"/>
  <c r="G289" i="30"/>
  <c r="G160" i="30"/>
  <c r="J166" i="30"/>
  <c r="F67" i="13"/>
  <c r="F80" i="13" s="1"/>
  <c r="F171" i="13" s="1"/>
  <c r="E5" i="4"/>
  <c r="H5" i="4"/>
  <c r="BF77" i="21"/>
  <c r="BF166" i="15" s="1"/>
  <c r="BQ62" i="21"/>
  <c r="BR27" i="15"/>
  <c r="BH66" i="21"/>
  <c r="BH133" i="15" s="1"/>
  <c r="BG72" i="15"/>
  <c r="BD62" i="21"/>
  <c r="BD121" i="15" s="1"/>
  <c r="BI39" i="15"/>
  <c r="BS87" i="15"/>
  <c r="BQ48" i="15"/>
  <c r="BE27" i="15"/>
  <c r="BL57" i="21"/>
  <c r="BL106" i="15" s="1"/>
  <c r="BE69" i="21"/>
  <c r="BE142" i="15" s="1"/>
  <c r="BF48" i="15"/>
  <c r="BT69" i="15"/>
  <c r="BT45" i="21"/>
  <c r="BM12" i="15"/>
  <c r="CE59" i="21"/>
  <c r="CE112" i="15" s="1"/>
  <c r="BF81" i="21"/>
  <c r="BF178" i="15" s="1"/>
  <c r="BS76" i="21"/>
  <c r="BS163" i="15" s="1"/>
  <c r="BE48" i="15"/>
  <c r="J291" i="30"/>
  <c r="J348" i="30"/>
  <c r="J154" i="30"/>
  <c r="J48" i="30"/>
  <c r="BO77" i="21"/>
  <c r="BO166" i="15" s="1"/>
  <c r="J175" i="30"/>
  <c r="J325" i="30"/>
  <c r="J317" i="30"/>
  <c r="J190" i="30"/>
  <c r="CB41" i="21"/>
  <c r="CB72" i="15" s="1"/>
  <c r="G281" i="30"/>
  <c r="J156" i="30"/>
  <c r="J229" i="30"/>
  <c r="J116" i="30"/>
  <c r="BR82" i="21"/>
  <c r="BR181" i="15" s="1"/>
  <c r="B159" i="13"/>
  <c r="J276" i="30"/>
  <c r="BE36" i="15"/>
  <c r="G240" i="30"/>
  <c r="J29" i="30"/>
  <c r="J274" i="30"/>
  <c r="J105" i="30"/>
  <c r="G355" i="30"/>
  <c r="J158" i="30"/>
  <c r="G96" i="30"/>
  <c r="J34" i="30"/>
  <c r="J165" i="30"/>
  <c r="J278" i="30"/>
  <c r="J239" i="30"/>
  <c r="G265" i="30"/>
  <c r="G106" i="30"/>
  <c r="G213" i="30"/>
  <c r="G271" i="30"/>
  <c r="J63" i="30"/>
  <c r="J73" i="30"/>
  <c r="G169" i="30"/>
  <c r="J245" i="30"/>
  <c r="G124" i="30"/>
  <c r="J127" i="30"/>
  <c r="G366" i="30"/>
  <c r="J302" i="30"/>
  <c r="G288" i="30"/>
  <c r="G114" i="30"/>
  <c r="J327" i="30"/>
  <c r="G72" i="30"/>
  <c r="G231" i="30"/>
  <c r="C67" i="13"/>
  <c r="C80" i="13" s="1"/>
  <c r="C171" i="13" s="1"/>
  <c r="I67" i="13"/>
  <c r="I80" i="13" s="1"/>
  <c r="I171" i="13" s="1"/>
  <c r="C49" i="26"/>
  <c r="C36" i="26" s="1"/>
  <c r="H67" i="13"/>
  <c r="H80" i="13" s="1"/>
  <c r="H171" i="13" s="1"/>
  <c r="B130" i="13"/>
  <c r="C15" i="36"/>
  <c r="H15" i="36"/>
  <c r="B250" i="13"/>
  <c r="B221" i="13"/>
  <c r="C219" i="13"/>
  <c r="C250" i="13" s="1"/>
  <c r="C262" i="13" s="1"/>
  <c r="B262" i="13"/>
  <c r="D67" i="13"/>
  <c r="D80" i="13" s="1"/>
  <c r="D171" i="13" s="1"/>
  <c r="G361" i="30"/>
  <c r="J216" i="30"/>
  <c r="CM24" i="21"/>
  <c r="CM21" i="15" s="1"/>
  <c r="BV42" i="21"/>
  <c r="J196" i="30"/>
  <c r="G321" i="30"/>
  <c r="J69" i="30"/>
  <c r="G246" i="30"/>
  <c r="G238" i="30"/>
  <c r="G333" i="30"/>
  <c r="Y15" i="36"/>
  <c r="E67" i="13"/>
  <c r="E80" i="13" s="1"/>
  <c r="E171" i="13" s="1"/>
  <c r="BR29" i="21"/>
  <c r="BR36" i="15" s="1"/>
  <c r="G332" i="30"/>
  <c r="J312" i="30"/>
  <c r="J58" i="30"/>
  <c r="G374" i="30"/>
  <c r="G117" i="30"/>
  <c r="G153" i="30"/>
  <c r="G267" i="30"/>
  <c r="J197" i="30"/>
  <c r="J61" i="30"/>
  <c r="G369" i="30"/>
  <c r="D72" i="20"/>
  <c r="BS34" i="21"/>
  <c r="BR70" i="21" s="1"/>
  <c r="BR145" i="15" s="1"/>
  <c r="J141" i="30"/>
  <c r="G211" i="30"/>
  <c r="J342" i="30"/>
  <c r="J39" i="30"/>
  <c r="G109" i="30"/>
  <c r="G192" i="30"/>
  <c r="G242" i="30"/>
  <c r="G376" i="30"/>
  <c r="G67" i="30"/>
  <c r="J77" i="30"/>
  <c r="G161" i="30"/>
  <c r="J152" i="30"/>
  <c r="G335" i="30"/>
  <c r="J181" i="30"/>
  <c r="G138" i="30"/>
  <c r="J308" i="30"/>
  <c r="J371" i="30"/>
  <c r="H72" i="20"/>
  <c r="CL26" i="21"/>
  <c r="CA54" i="15"/>
  <c r="G23" i="30"/>
  <c r="CH80" i="21"/>
  <c r="CH175" i="15" s="1"/>
  <c r="J204" i="30"/>
  <c r="J75" i="30"/>
  <c r="G207" i="30"/>
  <c r="G268" i="30"/>
  <c r="J62" i="30"/>
  <c r="H13" i="20"/>
  <c r="J277" i="30"/>
  <c r="J38" i="30"/>
  <c r="J71" i="30"/>
  <c r="N15" i="36"/>
  <c r="S15" i="36"/>
  <c r="R15" i="36"/>
  <c r="H45" i="36"/>
  <c r="V15" i="36"/>
  <c r="J235" i="30"/>
  <c r="CN35" i="21"/>
  <c r="CN54" i="15" s="1"/>
  <c r="G370" i="30"/>
  <c r="J162" i="30"/>
  <c r="L13" i="20"/>
  <c r="L72" i="20"/>
  <c r="L15" i="36"/>
  <c r="BX62" i="21"/>
  <c r="BX121" i="15" s="1"/>
  <c r="BH78" i="21"/>
  <c r="BH169" i="15" s="1"/>
  <c r="G35" i="30"/>
  <c r="J53" i="30"/>
  <c r="G107" i="30"/>
  <c r="G249" i="30"/>
  <c r="J222" i="30"/>
  <c r="G155" i="30"/>
  <c r="G170" i="30"/>
  <c r="G290" i="30"/>
  <c r="J273" i="30"/>
  <c r="J81" i="30"/>
  <c r="J212" i="30"/>
  <c r="G101" i="30"/>
  <c r="G319" i="30"/>
  <c r="AC15" i="36"/>
  <c r="G26" i="30"/>
  <c r="G42" i="30"/>
  <c r="G95" i="30"/>
  <c r="U15" i="36"/>
  <c r="F13" i="20"/>
  <c r="BF51" i="15"/>
  <c r="BZ21" i="15"/>
  <c r="G100" i="30"/>
  <c r="J123" i="30"/>
  <c r="J113" i="30"/>
  <c r="U45" i="36"/>
  <c r="J263" i="30"/>
  <c r="J20" i="30"/>
  <c r="G354" i="30"/>
  <c r="J364" i="30"/>
  <c r="J83" i="30"/>
  <c r="G209" i="30"/>
  <c r="G68" i="30"/>
  <c r="G59" i="30"/>
  <c r="M72" i="20"/>
  <c r="G282" i="30"/>
  <c r="J199" i="30"/>
  <c r="P45" i="36"/>
  <c r="G187" i="30"/>
  <c r="J326" i="30"/>
  <c r="G293" i="30"/>
  <c r="G359" i="30"/>
  <c r="J205" i="30"/>
  <c r="G244" i="30"/>
  <c r="G151" i="30"/>
  <c r="G191" i="30"/>
  <c r="J214" i="30"/>
  <c r="W15" i="36"/>
  <c r="F72" i="20"/>
  <c r="J72" i="20"/>
  <c r="M13" i="20"/>
  <c r="BM61" i="21"/>
  <c r="BM118" i="15" s="1"/>
  <c r="J179" i="30"/>
  <c r="G255" i="30"/>
  <c r="J25" i="30"/>
  <c r="J98" i="30"/>
  <c r="J304" i="30"/>
  <c r="G295" i="30"/>
  <c r="G45" i="36"/>
  <c r="BR90" i="22"/>
  <c r="AO15" i="20"/>
  <c r="Q15" i="36"/>
  <c r="P74" i="36"/>
  <c r="I6" i="29"/>
  <c r="J15" i="36"/>
  <c r="F15" i="36"/>
  <c r="D15" i="36"/>
  <c r="G21" i="13"/>
  <c r="G57" i="13" s="1"/>
  <c r="K15" i="36"/>
  <c r="G15" i="36"/>
  <c r="AB15" i="36"/>
  <c r="AD15" i="36"/>
  <c r="M15" i="36"/>
  <c r="G74" i="30"/>
  <c r="G172" i="30"/>
  <c r="J351" i="30"/>
  <c r="G251" i="30"/>
  <c r="G134" i="30"/>
  <c r="G76" i="30"/>
  <c r="J298" i="30"/>
  <c r="G133" i="30"/>
  <c r="G45" i="30"/>
  <c r="G88" i="30"/>
  <c r="J182" i="30"/>
  <c r="J49" i="30"/>
  <c r="G241" i="30"/>
  <c r="J316" i="30"/>
  <c r="J126" i="30"/>
  <c r="G311" i="30"/>
  <c r="G225" i="30"/>
  <c r="J360" i="30"/>
  <c r="G56" i="30"/>
  <c r="G232" i="30"/>
  <c r="J201" i="30"/>
  <c r="J343" i="30"/>
  <c r="J262" i="30"/>
  <c r="G248" i="30"/>
  <c r="G115" i="30"/>
  <c r="J18" i="30"/>
  <c r="G315" i="30"/>
  <c r="G21" i="30"/>
  <c r="BN24" i="15"/>
  <c r="G60" i="30"/>
  <c r="F74" i="36"/>
  <c r="G79" i="30"/>
  <c r="J136" i="30"/>
  <c r="G102" i="30"/>
  <c r="J202" i="30"/>
  <c r="J194" i="30"/>
  <c r="G324" i="30"/>
  <c r="G230" i="30"/>
  <c r="J336" i="30"/>
  <c r="G120" i="30"/>
  <c r="J13" i="20"/>
  <c r="G163" i="30"/>
  <c r="J356" i="30"/>
  <c r="AB74" i="36"/>
  <c r="G363" i="30"/>
  <c r="G195" i="30"/>
  <c r="J186" i="30"/>
  <c r="G103" i="30"/>
  <c r="G188" i="30"/>
  <c r="J36" i="30"/>
  <c r="J52" i="30"/>
  <c r="E15" i="36"/>
  <c r="K72" i="20"/>
  <c r="J121" i="30"/>
  <c r="J286" i="30"/>
  <c r="J84" i="30"/>
  <c r="J226" i="30"/>
  <c r="G137" i="30"/>
  <c r="J92" i="30"/>
  <c r="H74" i="36"/>
  <c r="J257" i="30"/>
  <c r="AC45" i="36"/>
  <c r="J310" i="30"/>
  <c r="J185" i="30"/>
  <c r="G219" i="30"/>
  <c r="J131" i="30"/>
  <c r="BD69" i="21"/>
  <c r="BD142" i="15" s="1"/>
  <c r="J320" i="30"/>
  <c r="G43" i="30"/>
  <c r="J91" i="30"/>
  <c r="J189" i="30"/>
  <c r="G46" i="30"/>
  <c r="G148" i="30"/>
  <c r="Q74" i="36"/>
  <c r="J250" i="30"/>
  <c r="H21" i="13"/>
  <c r="H57" i="13" s="1"/>
  <c r="K13" i="20"/>
  <c r="J108" i="30"/>
  <c r="G97" i="30"/>
  <c r="J132" i="30"/>
  <c r="G74" i="36"/>
  <c r="G365" i="30"/>
  <c r="J104" i="30"/>
  <c r="G28" i="30"/>
  <c r="AR90" i="22"/>
  <c r="AB15" i="20"/>
  <c r="P15" i="36"/>
  <c r="J300" i="30"/>
  <c r="G90" i="30"/>
  <c r="X45" i="36"/>
  <c r="T29" i="22"/>
  <c r="J328" i="30"/>
  <c r="G243" i="30"/>
  <c r="G99" i="30"/>
  <c r="J215" i="30"/>
  <c r="J173" i="30"/>
  <c r="F45" i="36"/>
  <c r="AA45" i="36"/>
  <c r="AE90" i="22"/>
  <c r="J203" i="30"/>
  <c r="G203" i="30"/>
  <c r="J130" i="30"/>
  <c r="J367" i="30"/>
  <c r="BB15" i="20"/>
  <c r="J362" i="30"/>
  <c r="G362" i="30"/>
  <c r="J70" i="30"/>
  <c r="S45" i="36"/>
  <c r="AA15" i="36"/>
  <c r="O15" i="20"/>
  <c r="X15" i="36"/>
  <c r="CB15" i="20"/>
  <c r="Z15" i="36"/>
  <c r="I7" i="29"/>
  <c r="A17" i="29"/>
  <c r="A18" i="29" s="1"/>
  <c r="A19" i="29" s="1"/>
  <c r="A20" i="29" s="1"/>
  <c r="A21" i="29" s="1"/>
  <c r="C21" i="29" s="1"/>
  <c r="A22" i="29"/>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E85" i="29" s="1"/>
  <c r="J127" i="17"/>
  <c r="J130" i="17" s="1"/>
  <c r="C204" i="13" s="1"/>
  <c r="C239" i="13" s="1"/>
  <c r="G72" i="20"/>
  <c r="L45" i="36"/>
  <c r="AC74" i="36"/>
  <c r="C72" i="20"/>
  <c r="O15" i="36"/>
  <c r="CO15" i="20"/>
  <c r="AA74" i="36"/>
  <c r="D43" i="36"/>
  <c r="G13" i="20"/>
  <c r="I15" i="36"/>
  <c r="C13" i="20"/>
  <c r="U74" i="36"/>
  <c r="Y45" i="36"/>
  <c r="D13" i="20"/>
  <c r="C57" i="13"/>
  <c r="F21" i="13"/>
  <c r="F57" i="13" s="1"/>
  <c r="D21" i="13"/>
  <c r="D45" i="9" s="1"/>
  <c r="E21" i="13"/>
  <c r="E57" i="13" s="1"/>
  <c r="F41" i="17"/>
  <c r="F42" i="17"/>
  <c r="C37" i="13"/>
  <c r="C38" i="13" s="1"/>
  <c r="I22" i="13"/>
  <c r="I46" i="9" s="1"/>
  <c r="H46" i="9"/>
  <c r="E151" i="13"/>
  <c r="E138" i="9"/>
  <c r="J174" i="30"/>
  <c r="X74" i="36"/>
  <c r="D45" i="36"/>
  <c r="O45" i="36"/>
  <c r="R29" i="22"/>
  <c r="C17" i="13" s="1"/>
  <c r="C109" i="13" s="1"/>
  <c r="C200" i="13" s="1"/>
  <c r="J279" i="30"/>
  <c r="G67" i="36"/>
  <c r="G68" i="36" s="1"/>
  <c r="I67" i="36"/>
  <c r="I68" i="36" s="1"/>
  <c r="I205" i="13"/>
  <c r="H197" i="9"/>
  <c r="S74" i="36"/>
  <c r="J283" i="30"/>
  <c r="T74" i="36"/>
  <c r="W45" i="36"/>
  <c r="W74" i="36"/>
  <c r="J305" i="30"/>
  <c r="AB45" i="36"/>
  <c r="E45" i="36"/>
  <c r="R90" i="22"/>
  <c r="H39" i="1" s="1"/>
  <c r="J39" i="1" s="1"/>
  <c r="C19" i="13" s="1"/>
  <c r="CR90" i="22"/>
  <c r="BO15" i="20"/>
  <c r="CE90" i="22"/>
  <c r="D74" i="36"/>
  <c r="BE90" i="22"/>
  <c r="G159" i="30"/>
  <c r="J253" i="30"/>
  <c r="G157" i="30"/>
  <c r="E67" i="36"/>
  <c r="E68" i="36" s="1"/>
  <c r="G347" i="30"/>
  <c r="G345" i="30"/>
  <c r="J340" i="30"/>
  <c r="G266" i="30"/>
  <c r="G254" i="30"/>
  <c r="T15" i="36"/>
  <c r="J149" i="30"/>
  <c r="J142" i="30"/>
  <c r="G24" i="30"/>
  <c r="J217" i="30"/>
  <c r="J206" i="30"/>
  <c r="G261" i="30"/>
  <c r="J280" i="30"/>
  <c r="J178" i="30"/>
  <c r="J129" i="30"/>
  <c r="G368" i="30"/>
  <c r="J119" i="30"/>
  <c r="J37" i="30"/>
  <c r="J94" i="30"/>
  <c r="J307" i="30"/>
  <c r="J44" i="30"/>
  <c r="J64" i="30"/>
  <c r="G51" i="30"/>
  <c r="J224" i="30"/>
  <c r="J150" i="30"/>
  <c r="J223" i="30"/>
  <c r="J82" i="30"/>
  <c r="J22" i="30"/>
  <c r="G110" i="30"/>
  <c r="AR116" i="22"/>
  <c r="AN45" i="20" s="1"/>
  <c r="N45" i="36" s="1"/>
  <c r="J218" i="30"/>
  <c r="J227" i="30"/>
  <c r="J89" i="30"/>
  <c r="BR116" i="22"/>
  <c r="BN45" i="20" s="1"/>
  <c r="V45" i="36" s="1"/>
  <c r="G78" i="30"/>
  <c r="G111" i="30"/>
  <c r="J306" i="30"/>
  <c r="J147" i="30"/>
  <c r="G334" i="30"/>
  <c r="G269" i="30"/>
  <c r="G183" i="30"/>
  <c r="G128" i="30"/>
  <c r="G297" i="30"/>
  <c r="G329" i="30"/>
  <c r="G180" i="30"/>
  <c r="G372" i="30"/>
  <c r="BX24" i="21"/>
  <c r="BJ60" i="21"/>
  <c r="BJ115" i="15" s="1"/>
  <c r="BK21" i="15"/>
  <c r="BD68" i="21"/>
  <c r="BD139" i="15" s="1"/>
  <c r="BR32" i="21"/>
  <c r="BE45" i="15"/>
  <c r="J143" i="30"/>
  <c r="G337" i="30"/>
  <c r="J338" i="30"/>
  <c r="G33" i="30"/>
  <c r="BZ28" i="21"/>
  <c r="BL64" i="21"/>
  <c r="BL127" i="15" s="1"/>
  <c r="BM33" i="15"/>
  <c r="G184" i="30"/>
  <c r="BZ29" i="21"/>
  <c r="BL65" i="21"/>
  <c r="BL130" i="15" s="1"/>
  <c r="BM36" i="15"/>
  <c r="J193" i="30"/>
  <c r="J17" i="30"/>
  <c r="AR142" i="22"/>
  <c r="AN74" i="20" s="1"/>
  <c r="N74" i="36" s="1"/>
  <c r="G31" i="30"/>
  <c r="G140" i="30"/>
  <c r="J177" i="30"/>
  <c r="G344" i="30"/>
  <c r="G41" i="30"/>
  <c r="BN68" i="21"/>
  <c r="BN139" i="15" s="1"/>
  <c r="CB32" i="21"/>
  <c r="BO45" i="15"/>
  <c r="BO68" i="21"/>
  <c r="BO139" i="15" s="1"/>
  <c r="G54" i="30"/>
  <c r="BZ32" i="21"/>
  <c r="BL68" i="21"/>
  <c r="BL139" i="15" s="1"/>
  <c r="BM45" i="15"/>
  <c r="J47" i="30"/>
  <c r="G323" i="30"/>
  <c r="G55" i="30"/>
  <c r="J146" i="30"/>
  <c r="J309" i="30"/>
  <c r="J284" i="30"/>
  <c r="J198" i="30"/>
  <c r="F46" i="9"/>
  <c r="D37" i="13"/>
  <c r="G46" i="9"/>
  <c r="I74" i="36"/>
  <c r="M45" i="36"/>
  <c r="N72" i="20"/>
  <c r="P72" i="20" s="1"/>
  <c r="Y72" i="20" s="1"/>
  <c r="N13" i="20"/>
  <c r="P13" i="20" s="1"/>
  <c r="Z13" i="20" s="1"/>
  <c r="I72" i="20"/>
  <c r="I13" i="20"/>
  <c r="O74" i="36"/>
  <c r="E74" i="36"/>
  <c r="T45" i="36"/>
  <c r="K45" i="36"/>
  <c r="Y74" i="36"/>
  <c r="M74" i="36"/>
  <c r="Q45" i="36"/>
  <c r="E43" i="20"/>
  <c r="R43" i="20" s="1"/>
  <c r="G43" i="36" s="1"/>
  <c r="E13" i="20"/>
  <c r="E72" i="20"/>
  <c r="I45" i="36"/>
  <c r="BM18" i="15"/>
  <c r="BD70" i="21"/>
  <c r="BD145" i="15" s="1"/>
  <c r="BE51" i="15"/>
  <c r="BR34" i="21"/>
  <c r="BP40" i="21"/>
  <c r="BZ23" i="21"/>
  <c r="CM23" i="21" s="1"/>
  <c r="BC71" i="21"/>
  <c r="BP39" i="21"/>
  <c r="BC79" i="21"/>
  <c r="BP47" i="21"/>
  <c r="CJ35" i="21"/>
  <c r="BV71" i="21"/>
  <c r="BV148" i="15" s="1"/>
  <c r="BW54" i="15"/>
  <c r="CN18" i="15"/>
  <c r="CM59" i="21"/>
  <c r="CM112" i="15" s="1"/>
  <c r="CO33" i="21"/>
  <c r="CA69" i="21"/>
  <c r="CA142" i="15" s="1"/>
  <c r="CB69" i="21"/>
  <c r="CB142" i="15" s="1"/>
  <c r="CB48" i="15"/>
  <c r="BH69" i="21"/>
  <c r="BH142" i="15" s="1"/>
  <c r="BI48" i="15"/>
  <c r="BV33" i="21"/>
  <c r="CO41" i="21"/>
  <c r="BU78" i="15"/>
  <c r="CH43" i="21"/>
  <c r="BT79" i="21"/>
  <c r="BT172" i="15" s="1"/>
  <c r="CB37" i="21"/>
  <c r="BN73" i="21"/>
  <c r="BN154" i="15" s="1"/>
  <c r="BO73" i="21"/>
  <c r="BO154" i="15" s="1"/>
  <c r="BO60" i="15"/>
  <c r="BP37" i="21"/>
  <c r="BP31" i="21"/>
  <c r="BP45" i="21"/>
  <c r="BP25" i="21"/>
  <c r="BP42" i="21"/>
  <c r="BP36" i="21"/>
  <c r="BC73" i="21"/>
  <c r="BC65" i="21"/>
  <c r="BC61" i="21"/>
  <c r="BC62" i="21"/>
  <c r="BC72" i="21"/>
  <c r="BP23" i="21"/>
  <c r="BP27" i="21"/>
  <c r="BC151" i="15"/>
  <c r="BC75" i="15"/>
  <c r="BP35" i="21"/>
  <c r="BP29" i="21"/>
  <c r="BP21" i="21"/>
  <c r="BP44" i="21"/>
  <c r="BC57" i="15"/>
  <c r="BC121" i="15"/>
  <c r="BP30" i="21"/>
  <c r="BQ81" i="15"/>
  <c r="CD44" i="21"/>
  <c r="CD81" i="15" s="1"/>
  <c r="BJ58" i="21"/>
  <c r="BJ109" i="15" s="1"/>
  <c r="BK15" i="15"/>
  <c r="BX22" i="21"/>
  <c r="CA36" i="21"/>
  <c r="BN57" i="15"/>
  <c r="BM72" i="21"/>
  <c r="BM151" i="15" s="1"/>
  <c r="CA24" i="21"/>
  <c r="BN21" i="15"/>
  <c r="BM60" i="21"/>
  <c r="BM115" i="15" s="1"/>
  <c r="BS32" i="21"/>
  <c r="BF45" i="15"/>
  <c r="BE68" i="21"/>
  <c r="BE139" i="15" s="1"/>
  <c r="BJ70" i="21"/>
  <c r="BJ145" i="15" s="1"/>
  <c r="BX34" i="21"/>
  <c r="BK51" i="15"/>
  <c r="CM42" i="21"/>
  <c r="BZ75" i="15"/>
  <c r="BY78" i="21"/>
  <c r="BY169" i="15" s="1"/>
  <c r="BI80" i="21"/>
  <c r="BI175" i="15" s="1"/>
  <c r="BW44" i="21"/>
  <c r="BJ81" i="15"/>
  <c r="CA44" i="21"/>
  <c r="BN81" i="15"/>
  <c r="BM80" i="21"/>
  <c r="BM175" i="15" s="1"/>
  <c r="CB34" i="21"/>
  <c r="BO51" i="15"/>
  <c r="BN70" i="21"/>
  <c r="BN145" i="15" s="1"/>
  <c r="BO70" i="21"/>
  <c r="BO145" i="15" s="1"/>
  <c r="BL21" i="15"/>
  <c r="BY24" i="21"/>
  <c r="BK60" i="21"/>
  <c r="BK115" i="15" s="1"/>
  <c r="BS36" i="21"/>
  <c r="BF57" i="15"/>
  <c r="BE72" i="21"/>
  <c r="BE151" i="15" s="1"/>
  <c r="BK72" i="21"/>
  <c r="BK151" i="15" s="1"/>
  <c r="BL57" i="15"/>
  <c r="BY36" i="21"/>
  <c r="BU36" i="21"/>
  <c r="BH57" i="15"/>
  <c r="BG72" i="21"/>
  <c r="BG151" i="15" s="1"/>
  <c r="CB22" i="21"/>
  <c r="BO15" i="15"/>
  <c r="BO58" i="21"/>
  <c r="BO109" i="15" s="1"/>
  <c r="BN58" i="21"/>
  <c r="BN109" i="15" s="1"/>
  <c r="CO39" i="15"/>
  <c r="CN66" i="21"/>
  <c r="CN133" i="15" s="1"/>
  <c r="CO66" i="21"/>
  <c r="CO133" i="15" s="1"/>
  <c r="CB38" i="21"/>
  <c r="BO63" i="15"/>
  <c r="BO74" i="21"/>
  <c r="BO157" i="15" s="1"/>
  <c r="BN74" i="21"/>
  <c r="BN157" i="15" s="1"/>
  <c r="CO46" i="21"/>
  <c r="CB82" i="21"/>
  <c r="CB181" i="15" s="1"/>
  <c r="CA82" i="21"/>
  <c r="CA181" i="15" s="1"/>
  <c r="CB87" i="15"/>
  <c r="BS40" i="21"/>
  <c r="BE76" i="21"/>
  <c r="BE163" i="15" s="1"/>
  <c r="BF69" i="15"/>
  <c r="BT34" i="21"/>
  <c r="BF70" i="21"/>
  <c r="BF145" i="15" s="1"/>
  <c r="BG51" i="15"/>
  <c r="BW32" i="21"/>
  <c r="BI68" i="21"/>
  <c r="BI139" i="15" s="1"/>
  <c r="BJ45" i="15"/>
  <c r="AB67" i="20"/>
  <c r="AB68" i="20" s="1"/>
  <c r="AB69" i="20" s="1"/>
  <c r="BZ38" i="21"/>
  <c r="BM63" i="15"/>
  <c r="BL74" i="21"/>
  <c r="BL157" i="15" s="1"/>
  <c r="BY44" i="21"/>
  <c r="BL81" i="15"/>
  <c r="BK80" i="21"/>
  <c r="BK175" i="15" s="1"/>
  <c r="BZ46" i="21"/>
  <c r="BM87" i="15"/>
  <c r="BL82" i="21"/>
  <c r="BL181" i="15" s="1"/>
  <c r="CA40" i="21"/>
  <c r="BN69" i="15"/>
  <c r="BM76" i="21"/>
  <c r="BM163" i="15" s="1"/>
  <c r="BG27" i="15"/>
  <c r="BT26" i="21"/>
  <c r="BF62" i="21"/>
  <c r="BF121" i="15" s="1"/>
  <c r="BX26" i="21"/>
  <c r="BK27" i="15"/>
  <c r="BJ62" i="21"/>
  <c r="BJ121" i="15" s="1"/>
  <c r="BX42" i="21"/>
  <c r="BK75" i="15"/>
  <c r="BJ78" i="21"/>
  <c r="BJ169" i="15" s="1"/>
  <c r="BU32" i="21"/>
  <c r="BG68" i="21"/>
  <c r="BG139" i="15" s="1"/>
  <c r="BH45" i="15"/>
  <c r="J67" i="36"/>
  <c r="J68" i="36" s="1"/>
  <c r="BC69" i="15"/>
  <c r="BC21" i="15"/>
  <c r="BC51" i="15"/>
  <c r="BF60" i="21"/>
  <c r="BF115" i="15" s="1"/>
  <c r="BG21" i="15"/>
  <c r="BT24" i="21"/>
  <c r="C197" i="13"/>
  <c r="D226" i="13"/>
  <c r="C246" i="13"/>
  <c r="CO25" i="21"/>
  <c r="CB24" i="15"/>
  <c r="CB61" i="21"/>
  <c r="CB118" i="15" s="1"/>
  <c r="CA61" i="21"/>
  <c r="CA118" i="15" s="1"/>
  <c r="CH35" i="21"/>
  <c r="BU54" i="15"/>
  <c r="BT71" i="21"/>
  <c r="BT148" i="15" s="1"/>
  <c r="I216" i="13"/>
  <c r="I242" i="13" s="1"/>
  <c r="BU39" i="21"/>
  <c r="BH66" i="15"/>
  <c r="BG75" i="21"/>
  <c r="BG160" i="15" s="1"/>
  <c r="D50" i="15"/>
  <c r="E49" i="15"/>
  <c r="E46" i="15"/>
  <c r="D47" i="15"/>
  <c r="CN46" i="21"/>
  <c r="CA87" i="15"/>
  <c r="BZ82" i="21"/>
  <c r="BZ181" i="15" s="1"/>
  <c r="BT33" i="21"/>
  <c r="BG48" i="15"/>
  <c r="BF69" i="21"/>
  <c r="BF142" i="15" s="1"/>
  <c r="E16" i="15"/>
  <c r="D17" i="15"/>
  <c r="BD78" i="21"/>
  <c r="BD169" i="15" s="1"/>
  <c r="BR42" i="21"/>
  <c r="BE75" i="15"/>
  <c r="AF48" i="22"/>
  <c r="AE48" i="22"/>
  <c r="E88" i="15"/>
  <c r="D89" i="15"/>
  <c r="D86" i="15"/>
  <c r="E85" i="15"/>
  <c r="D83" i="15"/>
  <c r="E82" i="15"/>
  <c r="BU21" i="15"/>
  <c r="BT60" i="21"/>
  <c r="BT115" i="15" s="1"/>
  <c r="CH24" i="21"/>
  <c r="CJ23" i="21"/>
  <c r="BW18" i="15"/>
  <c r="BV59" i="21"/>
  <c r="BV112" i="15" s="1"/>
  <c r="AF17" i="22"/>
  <c r="J258" i="30"/>
  <c r="J30" i="30"/>
  <c r="J331" i="30"/>
  <c r="J93" i="30"/>
  <c r="CR116" i="22"/>
  <c r="CN45" i="20" s="1"/>
  <c r="AD45" i="36" s="1"/>
  <c r="BC69" i="21"/>
  <c r="BC74" i="21"/>
  <c r="BC83" i="21"/>
  <c r="BP33" i="21"/>
  <c r="CK45" i="21"/>
  <c r="BX84" i="15"/>
  <c r="BW81" i="21"/>
  <c r="BW178" i="15" s="1"/>
  <c r="AT14" i="22"/>
  <c r="BV12" i="15"/>
  <c r="BU57" i="21"/>
  <c r="BU106" i="15" s="1"/>
  <c r="AF49" i="22"/>
  <c r="AE49" i="22"/>
  <c r="D53" i="15"/>
  <c r="E52" i="15"/>
  <c r="E64" i="15"/>
  <c r="D65" i="15"/>
  <c r="D74" i="15"/>
  <c r="E73" i="15"/>
  <c r="D71" i="15"/>
  <c r="E70" i="15"/>
  <c r="H242" i="13"/>
  <c r="AH22" i="22"/>
  <c r="AF22" i="22"/>
  <c r="CJ30" i="21"/>
  <c r="BW39" i="15"/>
  <c r="BV66" i="21"/>
  <c r="BV133" i="15" s="1"/>
  <c r="CJ47" i="21"/>
  <c r="BW90" i="15"/>
  <c r="BV83" i="21"/>
  <c r="BV184" i="15" s="1"/>
  <c r="CL12" i="15"/>
  <c r="CK57" i="21"/>
  <c r="CK106" i="15" s="1"/>
  <c r="AF45" i="22"/>
  <c r="AE45" i="22"/>
  <c r="CI54" i="15"/>
  <c r="CH71" i="21"/>
  <c r="CH148" i="15" s="1"/>
  <c r="BT12" i="15"/>
  <c r="BS57" i="21"/>
  <c r="BS106" i="15" s="1"/>
  <c r="E46" i="9"/>
  <c r="G349" i="30"/>
  <c r="AH23" i="22"/>
  <c r="AF23" i="22"/>
  <c r="D68" i="15"/>
  <c r="E67" i="15"/>
  <c r="D32" i="15"/>
  <c r="E31" i="15"/>
  <c r="D14" i="15"/>
  <c r="E13" i="15"/>
  <c r="E10" i="15"/>
  <c r="D11" i="15"/>
  <c r="C96" i="15"/>
  <c r="J228" i="30"/>
  <c r="CM43" i="21"/>
  <c r="BZ78" i="15"/>
  <c r="BY79" i="21"/>
  <c r="BY172" i="15" s="1"/>
  <c r="CI39" i="21"/>
  <c r="BV66" i="15"/>
  <c r="BU75" i="21"/>
  <c r="BU160" i="15" s="1"/>
  <c r="CN78" i="15"/>
  <c r="CM79" i="21"/>
  <c r="CM172" i="15" s="1"/>
  <c r="BW22" i="21"/>
  <c r="BJ15" i="15"/>
  <c r="BI58" i="21"/>
  <c r="BI109" i="15" s="1"/>
  <c r="BQ47" i="21"/>
  <c r="BD90" i="15"/>
  <c r="J221" i="30"/>
  <c r="G352" i="30"/>
  <c r="G299" i="30"/>
  <c r="J164" i="30"/>
  <c r="G318" i="30"/>
  <c r="G296" i="30"/>
  <c r="J85" i="30"/>
  <c r="G322" i="30"/>
  <c r="J122" i="30"/>
  <c r="G294" i="30"/>
  <c r="J234" i="30"/>
  <c r="BE142" i="22"/>
  <c r="BA74" i="20" s="1"/>
  <c r="BC70" i="21"/>
  <c r="BC77" i="21"/>
  <c r="BC81" i="21"/>
  <c r="BC63" i="21"/>
  <c r="BC67" i="21"/>
  <c r="H67" i="36"/>
  <c r="H68" i="36" s="1"/>
  <c r="BC81" i="15"/>
  <c r="CK23" i="21"/>
  <c r="BX18" i="15"/>
  <c r="BW59" i="21"/>
  <c r="BW112" i="15" s="1"/>
  <c r="BV31" i="21"/>
  <c r="BI42" i="15"/>
  <c r="BH67" i="21"/>
  <c r="BH136" i="15" s="1"/>
  <c r="CL28" i="21"/>
  <c r="BY33" i="15"/>
  <c r="BX64" i="21"/>
  <c r="BX127" i="15" s="1"/>
  <c r="CK30" i="15"/>
  <c r="CJ63" i="21"/>
  <c r="CJ124" i="15" s="1"/>
  <c r="BX41" i="21"/>
  <c r="BK72" i="15"/>
  <c r="BJ77" i="21"/>
  <c r="BJ166" i="15" s="1"/>
  <c r="CN22" i="21"/>
  <c r="CA15" i="15"/>
  <c r="BZ58" i="21"/>
  <c r="BZ109" i="15" s="1"/>
  <c r="BX37" i="21"/>
  <c r="BK60" i="15"/>
  <c r="BJ73" i="21"/>
  <c r="BJ154" i="15" s="1"/>
  <c r="BF78" i="15"/>
  <c r="BS43" i="21"/>
  <c r="BE79" i="21"/>
  <c r="BE172" i="15" s="1"/>
  <c r="D95" i="15"/>
  <c r="E94" i="15"/>
  <c r="AT8" i="22"/>
  <c r="BQ40" i="21"/>
  <c r="BD69" i="15"/>
  <c r="BU27" i="21"/>
  <c r="BH30" i="15"/>
  <c r="BG63" i="21"/>
  <c r="BG124" i="15" s="1"/>
  <c r="D46" i="9"/>
  <c r="G353" i="30"/>
  <c r="G256" i="30"/>
  <c r="CJ31" i="21"/>
  <c r="BW42" i="15"/>
  <c r="BV67" i="21"/>
  <c r="BV136" i="15" s="1"/>
  <c r="D20" i="15"/>
  <c r="E19" i="15"/>
  <c r="E7" i="15"/>
  <c r="E76" i="15"/>
  <c r="D77" i="15"/>
  <c r="D80" i="15"/>
  <c r="E79" i="15"/>
  <c r="D38" i="15"/>
  <c r="E37" i="15"/>
  <c r="E34" i="15"/>
  <c r="D35" i="15"/>
  <c r="G285" i="30"/>
  <c r="BW27" i="21"/>
  <c r="BJ30" i="15"/>
  <c r="BI63" i="21"/>
  <c r="BI124" i="15" s="1"/>
  <c r="CN39" i="21"/>
  <c r="CA66" i="15"/>
  <c r="BZ75" i="21"/>
  <c r="BZ160" i="15" s="1"/>
  <c r="CI28" i="21"/>
  <c r="BV33" i="15"/>
  <c r="BU64" i="21"/>
  <c r="BU127" i="15" s="1"/>
  <c r="BU34" i="21"/>
  <c r="BH51" i="15"/>
  <c r="BG70" i="21"/>
  <c r="BG145" i="15" s="1"/>
  <c r="G200" i="30"/>
  <c r="G275" i="30"/>
  <c r="J87" i="30"/>
  <c r="J375" i="30"/>
  <c r="G167" i="30"/>
  <c r="J339" i="30"/>
  <c r="BC57" i="21"/>
  <c r="BC80" i="21"/>
  <c r="F67" i="36"/>
  <c r="F68" i="36" s="1"/>
  <c r="CN27" i="21"/>
  <c r="CA30" i="15"/>
  <c r="BZ63" i="21"/>
  <c r="BZ124" i="15" s="1"/>
  <c r="CH47" i="21"/>
  <c r="BU90" i="15"/>
  <c r="BT83" i="21"/>
  <c r="BT184" i="15" s="1"/>
  <c r="AF43" i="22"/>
  <c r="AE43" i="22"/>
  <c r="BT29" i="21"/>
  <c r="BG36" i="15"/>
  <c r="BF65" i="21"/>
  <c r="BF130" i="15" s="1"/>
  <c r="D92" i="15"/>
  <c r="E91" i="15"/>
  <c r="D29" i="15"/>
  <c r="E28" i="15"/>
  <c r="D56" i="15"/>
  <c r="E55" i="15"/>
  <c r="D26" i="15"/>
  <c r="E25" i="15"/>
  <c r="D23" i="15"/>
  <c r="E22" i="15"/>
  <c r="L74" i="36"/>
  <c r="BW69" i="21"/>
  <c r="BW142" i="15" s="1"/>
  <c r="CK33" i="21"/>
  <c r="BX48" i="15"/>
  <c r="CJ78" i="15"/>
  <c r="CI79" i="21"/>
  <c r="CI172" i="15" s="1"/>
  <c r="C44" i="13"/>
  <c r="CI36" i="15"/>
  <c r="CH65" i="21"/>
  <c r="CH130" i="15" s="1"/>
  <c r="BQ36" i="21"/>
  <c r="BD57" i="15"/>
  <c r="D44" i="15"/>
  <c r="E43" i="15"/>
  <c r="D41" i="15"/>
  <c r="E40" i="15"/>
  <c r="D62" i="15"/>
  <c r="E61" i="15"/>
  <c r="D59" i="15"/>
  <c r="E58" i="15"/>
  <c r="BV47" i="21"/>
  <c r="BI90" i="15"/>
  <c r="BH83" i="21"/>
  <c r="BH184" i="15" s="1"/>
  <c r="BU31" i="21"/>
  <c r="BH42" i="15"/>
  <c r="BG67" i="21"/>
  <c r="BG136" i="15" s="1"/>
  <c r="BH12" i="15"/>
  <c r="BG57" i="21"/>
  <c r="BG106" i="15" s="1"/>
  <c r="BT44" i="21"/>
  <c r="BG81" i="15"/>
  <c r="BF80" i="21"/>
  <c r="BF175" i="15" s="1"/>
  <c r="AH27" i="22"/>
  <c r="AF27" i="22"/>
  <c r="BW66" i="21"/>
  <c r="BW133" i="15" s="1"/>
  <c r="CK30" i="21"/>
  <c r="BX39" i="15"/>
  <c r="AV26" i="22"/>
  <c r="AT26" i="22"/>
  <c r="BV25" i="21"/>
  <c r="BI24" i="15"/>
  <c r="BH61" i="21"/>
  <c r="BH118" i="15" s="1"/>
  <c r="BT25" i="21"/>
  <c r="BG24" i="15"/>
  <c r="BF61" i="21"/>
  <c r="BF118" i="15" s="1"/>
  <c r="CM31" i="21"/>
  <c r="BZ42" i="15"/>
  <c r="BY67" i="21"/>
  <c r="BY136" i="15" s="1"/>
  <c r="G86" i="30"/>
  <c r="J135" i="30"/>
  <c r="G27" i="30"/>
  <c r="G145" i="30"/>
  <c r="G32" i="30"/>
  <c r="G168" i="30"/>
  <c r="G118" i="30"/>
  <c r="J272" i="30"/>
  <c r="J237" i="30"/>
  <c r="BC42" i="15"/>
  <c r="BC24" i="15"/>
  <c r="BC124" i="15"/>
  <c r="BC118" i="15"/>
  <c r="BC106" i="15"/>
  <c r="BC18" i="15"/>
  <c r="BC142" i="15"/>
  <c r="BC184" i="15"/>
  <c r="BC175" i="15"/>
  <c r="BC36" i="15"/>
  <c r="A18" i="27"/>
  <c r="A19" i="27" s="1"/>
  <c r="A20" i="27" s="1"/>
  <c r="A21" i="27" s="1"/>
  <c r="A22" i="27" s="1"/>
  <c r="E22" i="27" s="1"/>
  <c r="BC90" i="15"/>
  <c r="BC48" i="15"/>
  <c r="BC172" i="15"/>
  <c r="BC178" i="15"/>
  <c r="BC136" i="15"/>
  <c r="BC27" i="15"/>
  <c r="BC72" i="15"/>
  <c r="BC84" i="15"/>
  <c r="BC166" i="15"/>
  <c r="BC148" i="15"/>
  <c r="BC60" i="15"/>
  <c r="BC54" i="15"/>
  <c r="BC12" i="15"/>
  <c r="BC130" i="15"/>
  <c r="BC66" i="15"/>
  <c r="BC78" i="15"/>
  <c r="BC30" i="15"/>
  <c r="BU29" i="21"/>
  <c r="BG65" i="21"/>
  <c r="BG130" i="15" s="1"/>
  <c r="BH36" i="15"/>
  <c r="CA41" i="21"/>
  <c r="BN72" i="15"/>
  <c r="BM77" i="21"/>
  <c r="BM166" i="15" s="1"/>
  <c r="BK59" i="21"/>
  <c r="BK112" i="15" s="1"/>
  <c r="BY23" i="21"/>
  <c r="BL18" i="15"/>
  <c r="BF12" i="15"/>
  <c r="BE57" i="21"/>
  <c r="BE106" i="15" s="1"/>
  <c r="CB35" i="21"/>
  <c r="BO54" i="15"/>
  <c r="BN71" i="21"/>
  <c r="BN148" i="15" s="1"/>
  <c r="BO71" i="21"/>
  <c r="BO148" i="15" s="1"/>
  <c r="CB43" i="21"/>
  <c r="BO78" i="15"/>
  <c r="BO79" i="21"/>
  <c r="BO172" i="15" s="1"/>
  <c r="BN79" i="21"/>
  <c r="BN172" i="15" s="1"/>
  <c r="BZ26" i="21"/>
  <c r="BM27" i="15"/>
  <c r="BL62" i="21"/>
  <c r="BL121" i="15" s="1"/>
  <c r="BV27" i="21"/>
  <c r="BH63" i="21"/>
  <c r="BH124" i="15" s="1"/>
  <c r="BI30" i="15"/>
  <c r="BZ30" i="21"/>
  <c r="BM39" i="15"/>
  <c r="BL66" i="21"/>
  <c r="BL133" i="15" s="1"/>
  <c r="BW29" i="21"/>
  <c r="BJ36" i="15"/>
  <c r="BI65" i="21"/>
  <c r="BI130" i="15" s="1"/>
  <c r="BY35" i="21"/>
  <c r="BL54" i="15"/>
  <c r="BK71" i="21"/>
  <c r="BK148" i="15" s="1"/>
  <c r="BY43" i="21"/>
  <c r="BL78" i="15"/>
  <c r="BK79" i="21"/>
  <c r="BK172" i="15" s="1"/>
  <c r="BT35" i="21"/>
  <c r="BG54" i="15"/>
  <c r="BF71" i="21"/>
  <c r="BF148" i="15" s="1"/>
  <c r="BV45" i="21"/>
  <c r="BI84" i="15"/>
  <c r="BH81" i="21"/>
  <c r="BH178" i="15" s="1"/>
  <c r="BU22" i="21"/>
  <c r="BH15" i="15"/>
  <c r="BG58" i="21"/>
  <c r="BG109" i="15" s="1"/>
  <c r="BG18" i="15"/>
  <c r="BF59" i="21"/>
  <c r="BF112" i="15" s="1"/>
  <c r="BT23" i="21"/>
  <c r="BW45" i="21"/>
  <c r="BJ84" i="15"/>
  <c r="BI81" i="21"/>
  <c r="BI178" i="15" s="1"/>
  <c r="BX29" i="21"/>
  <c r="BJ65" i="21"/>
  <c r="BJ130" i="15" s="1"/>
  <c r="BK36" i="15"/>
  <c r="BW41" i="21"/>
  <c r="BJ72" i="15"/>
  <c r="BI77" i="21"/>
  <c r="BI166" i="15" s="1"/>
  <c r="BP26" i="21"/>
  <c r="BY47" i="21"/>
  <c r="BL90" i="15"/>
  <c r="BK83" i="21"/>
  <c r="BK184" i="15" s="1"/>
  <c r="BG69" i="21"/>
  <c r="BG142" i="15" s="1"/>
  <c r="BH48" i="15"/>
  <c r="BU33" i="21"/>
  <c r="BV23" i="21"/>
  <c r="BI18" i="15"/>
  <c r="BH59" i="21"/>
  <c r="BH112" i="15" s="1"/>
  <c r="BX25" i="21"/>
  <c r="BK24" i="15"/>
  <c r="BJ61" i="21"/>
  <c r="BJ118" i="15" s="1"/>
  <c r="BG77" i="21"/>
  <c r="BG166" i="15" s="1"/>
  <c r="BU41" i="21"/>
  <c r="BH72" i="15"/>
  <c r="BZ41" i="21"/>
  <c r="BM72" i="15"/>
  <c r="BL77" i="21"/>
  <c r="BL166" i="15" s="1"/>
  <c r="BW37" i="21"/>
  <c r="BJ60" i="15"/>
  <c r="BI73" i="21"/>
  <c r="BI154" i="15" s="1"/>
  <c r="BG42" i="15"/>
  <c r="BF67" i="21"/>
  <c r="BF136" i="15" s="1"/>
  <c r="BT31" i="21"/>
  <c r="CA37" i="21"/>
  <c r="BN60" i="15"/>
  <c r="BM73" i="21"/>
  <c r="BM154" i="15" s="1"/>
  <c r="BL30" i="15"/>
  <c r="BY27" i="21"/>
  <c r="BK63" i="21"/>
  <c r="BK124" i="15" s="1"/>
  <c r="BU37" i="21"/>
  <c r="BH60" i="15"/>
  <c r="BG73" i="21"/>
  <c r="BG154" i="15" s="1"/>
  <c r="BU45" i="21"/>
  <c r="BH84" i="15"/>
  <c r="BG81" i="21"/>
  <c r="BG178" i="15" s="1"/>
  <c r="BK12" i="15"/>
  <c r="BJ57" i="21"/>
  <c r="BJ106" i="15" s="1"/>
  <c r="CB27" i="21"/>
  <c r="BO30" i="15"/>
  <c r="BN63" i="21"/>
  <c r="BN124" i="15" s="1"/>
  <c r="BO63" i="21"/>
  <c r="BO124" i="15" s="1"/>
  <c r="BX47" i="21"/>
  <c r="BK90" i="15"/>
  <c r="BJ83" i="21"/>
  <c r="BJ184" i="15" s="1"/>
  <c r="BI69" i="21"/>
  <c r="BI142" i="15" s="1"/>
  <c r="BW33" i="21"/>
  <c r="BJ48" i="15"/>
  <c r="CA33" i="21"/>
  <c r="BN48" i="15"/>
  <c r="BM69" i="21"/>
  <c r="BM142" i="15" s="1"/>
  <c r="CK39" i="21"/>
  <c r="BX66" i="15"/>
  <c r="BW75" i="21"/>
  <c r="BW160" i="15" s="1"/>
  <c r="BI57" i="21"/>
  <c r="BI106" i="15" s="1"/>
  <c r="BJ12" i="15"/>
  <c r="BT27" i="21"/>
  <c r="BF63" i="21"/>
  <c r="BF124" i="15" s="1"/>
  <c r="BG30" i="15"/>
  <c r="BY39" i="21"/>
  <c r="BL66" i="15"/>
  <c r="BK75" i="21"/>
  <c r="BK160" i="15" s="1"/>
  <c r="CB31" i="21"/>
  <c r="BO42" i="15"/>
  <c r="BN67" i="21"/>
  <c r="BN136" i="15" s="1"/>
  <c r="BO67" i="21"/>
  <c r="BO136" i="15" s="1"/>
  <c r="CB47" i="21"/>
  <c r="BO90" i="15"/>
  <c r="BN83" i="21"/>
  <c r="BN184" i="15" s="1"/>
  <c r="BO83" i="21"/>
  <c r="BO184" i="15" s="1"/>
  <c r="BW25" i="21"/>
  <c r="BJ24" i="15"/>
  <c r="BI61" i="21"/>
  <c r="BI118" i="15" s="1"/>
  <c r="BZ45" i="21"/>
  <c r="BL81" i="21"/>
  <c r="BL178" i="15" s="1"/>
  <c r="BM84" i="15"/>
  <c r="BF81" i="15"/>
  <c r="BS44" i="21"/>
  <c r="BE80" i="21"/>
  <c r="BE175" i="15" s="1"/>
  <c r="BG61" i="21"/>
  <c r="BG118" i="15" s="1"/>
  <c r="BH24" i="15"/>
  <c r="BU25" i="21"/>
  <c r="E17" i="27"/>
  <c r="F17" i="27" s="1"/>
  <c r="G17" i="27" s="1"/>
  <c r="BP38" i="21"/>
  <c r="CO24" i="21"/>
  <c r="CB21" i="15"/>
  <c r="CB60" i="21"/>
  <c r="CB115" i="15" s="1"/>
  <c r="CA60" i="21"/>
  <c r="CA115" i="15" s="1"/>
  <c r="CN32" i="21"/>
  <c r="BZ68" i="21"/>
  <c r="BZ139" i="15" s="1"/>
  <c r="CA45" i="15"/>
  <c r="CN29" i="21"/>
  <c r="CA36" i="15"/>
  <c r="BZ65" i="21"/>
  <c r="BZ130" i="15" s="1"/>
  <c r="BU27" i="15"/>
  <c r="BT62" i="21"/>
  <c r="BT121" i="15" s="1"/>
  <c r="CH26" i="21"/>
  <c r="BP46" i="21"/>
  <c r="CL33" i="21"/>
  <c r="BY48" i="15"/>
  <c r="BX69" i="21"/>
  <c r="BX142" i="15" s="1"/>
  <c r="BS72" i="21"/>
  <c r="BS151" i="15" s="1"/>
  <c r="BT57" i="15"/>
  <c r="CG36" i="21"/>
  <c r="CI34" i="21"/>
  <c r="BU70" i="21"/>
  <c r="BU145" i="15" s="1"/>
  <c r="BV51" i="15"/>
  <c r="CJ40" i="21"/>
  <c r="BW69" i="15"/>
  <c r="BV76" i="21"/>
  <c r="BV163" i="15" s="1"/>
  <c r="BC75" i="21"/>
  <c r="CH30" i="21"/>
  <c r="BU39" i="15"/>
  <c r="BT66" i="21"/>
  <c r="BT133" i="15" s="1"/>
  <c r="CM27" i="21"/>
  <c r="BZ30" i="15"/>
  <c r="BY63" i="21"/>
  <c r="BY124" i="15" s="1"/>
  <c r="CO40" i="21"/>
  <c r="CB69" i="15"/>
  <c r="CB76" i="21"/>
  <c r="CB163" i="15" s="1"/>
  <c r="CA76" i="21"/>
  <c r="CA163" i="15" s="1"/>
  <c r="CL31" i="21"/>
  <c r="BY42" i="15"/>
  <c r="BX67" i="21"/>
  <c r="BX136" i="15" s="1"/>
  <c r="CI26" i="21"/>
  <c r="BV27" i="15"/>
  <c r="BU62" i="21"/>
  <c r="BU121" i="15" s="1"/>
  <c r="CI42" i="21"/>
  <c r="BV75" i="15"/>
  <c r="BU78" i="21"/>
  <c r="BU169" i="15" s="1"/>
  <c r="CK46" i="21"/>
  <c r="BX87" i="15"/>
  <c r="BW82" i="21"/>
  <c r="BW181" i="15" s="1"/>
  <c r="CO28" i="21"/>
  <c r="CB33" i="15"/>
  <c r="CB64" i="21"/>
  <c r="CB127" i="15" s="1"/>
  <c r="CA64" i="21"/>
  <c r="CA127" i="15" s="1"/>
  <c r="CM25" i="21"/>
  <c r="BZ24" i="15"/>
  <c r="BY61" i="21"/>
  <c r="BY118" i="15" s="1"/>
  <c r="CD27" i="21"/>
  <c r="CD30" i="15" s="1"/>
  <c r="BQ30" i="15"/>
  <c r="CI36" i="21"/>
  <c r="BV57" i="15"/>
  <c r="BU72" i="21"/>
  <c r="BU151" i="15" s="1"/>
  <c r="BT64" i="21"/>
  <c r="BT127" i="15" s="1"/>
  <c r="CH28" i="21"/>
  <c r="BU33" i="15"/>
  <c r="CM33" i="21"/>
  <c r="BZ48" i="15"/>
  <c r="BY69" i="21"/>
  <c r="BY142" i="15" s="1"/>
  <c r="CG28" i="21"/>
  <c r="BT33" i="15"/>
  <c r="BS64" i="21"/>
  <c r="BS127" i="15" s="1"/>
  <c r="CK35" i="21"/>
  <c r="BX54" i="15"/>
  <c r="BW71" i="21"/>
  <c r="BW148" i="15" s="1"/>
  <c r="CJ46" i="21"/>
  <c r="BW87" i="15"/>
  <c r="BV82" i="21"/>
  <c r="BV181" i="15" s="1"/>
  <c r="CM44" i="21"/>
  <c r="BZ81" i="15"/>
  <c r="BY80" i="21"/>
  <c r="BY175" i="15" s="1"/>
  <c r="CL46" i="21"/>
  <c r="BY87" i="15"/>
  <c r="BX82" i="21"/>
  <c r="BX181" i="15" s="1"/>
  <c r="BC45" i="15"/>
  <c r="BC63" i="15"/>
  <c r="BC160" i="15"/>
  <c r="BC157" i="15"/>
  <c r="BC15" i="15"/>
  <c r="BC87" i="15"/>
  <c r="BC39" i="15"/>
  <c r="BC145" i="15"/>
  <c r="BC154" i="15"/>
  <c r="BC59" i="21"/>
  <c r="CK38" i="21"/>
  <c r="BX63" i="15"/>
  <c r="BW74" i="21"/>
  <c r="BW157" i="15" s="1"/>
  <c r="CM37" i="21"/>
  <c r="BZ60" i="15"/>
  <c r="BY73" i="21"/>
  <c r="BY154" i="15" s="1"/>
  <c r="CO44" i="21"/>
  <c r="CB81" i="15"/>
  <c r="CA80" i="21"/>
  <c r="CA175" i="15" s="1"/>
  <c r="CB80" i="21"/>
  <c r="CB175" i="15" s="1"/>
  <c r="CH40" i="21"/>
  <c r="BU69" i="15"/>
  <c r="BT76" i="21"/>
  <c r="BT163" i="15" s="1"/>
  <c r="CK36" i="21"/>
  <c r="BX57" i="15"/>
  <c r="BW72" i="21"/>
  <c r="BW151" i="15" s="1"/>
  <c r="CK28" i="21"/>
  <c r="BX33" i="15"/>
  <c r="BW64" i="21"/>
  <c r="BW127" i="15" s="1"/>
  <c r="CD23" i="21"/>
  <c r="CD18" i="15" s="1"/>
  <c r="BQ18" i="15"/>
  <c r="CF27" i="15"/>
  <c r="CE62" i="21"/>
  <c r="CE121" i="15" s="1"/>
  <c r="CI40" i="21"/>
  <c r="BV69" i="15"/>
  <c r="BU76" i="21"/>
  <c r="BU163" i="15" s="1"/>
  <c r="BS36" i="15"/>
  <c r="CF29" i="21"/>
  <c r="BR65" i="21"/>
  <c r="BR130" i="15" s="1"/>
  <c r="CM35" i="21"/>
  <c r="BZ54" i="15"/>
  <c r="BY71" i="21"/>
  <c r="BY148" i="15" s="1"/>
  <c r="BC112" i="15"/>
  <c r="CM40" i="21"/>
  <c r="BZ69" i="15"/>
  <c r="BY76" i="21"/>
  <c r="BY163" i="15" s="1"/>
  <c r="CK32" i="21"/>
  <c r="BX45" i="15"/>
  <c r="BW68" i="21"/>
  <c r="BW139" i="15" s="1"/>
  <c r="BU81" i="15"/>
  <c r="BT80" i="21"/>
  <c r="BT175" i="15" s="1"/>
  <c r="CH44" i="21"/>
  <c r="CH46" i="21"/>
  <c r="BU87" i="15"/>
  <c r="BT82" i="21"/>
  <c r="BT181" i="15" s="1"/>
  <c r="CG22" i="21"/>
  <c r="BT15" i="15"/>
  <c r="BS58" i="21"/>
  <c r="BS109" i="15" s="1"/>
  <c r="BS60" i="15"/>
  <c r="CF37" i="21"/>
  <c r="BR73" i="21"/>
  <c r="BR154" i="15" s="1"/>
  <c r="CL38" i="21"/>
  <c r="BY63" i="15"/>
  <c r="BX74" i="21"/>
  <c r="BX157" i="15" s="1"/>
  <c r="CI32" i="21"/>
  <c r="BV45" i="15"/>
  <c r="BU68" i="21"/>
  <c r="BU139" i="15" s="1"/>
  <c r="CJ38" i="21"/>
  <c r="BW63" i="15"/>
  <c r="BV74" i="21"/>
  <c r="BV157" i="15" s="1"/>
  <c r="CL27" i="15"/>
  <c r="CK62" i="21"/>
  <c r="CK121" i="15" s="1"/>
  <c r="CN25" i="21"/>
  <c r="CA24" i="15"/>
  <c r="BZ61" i="21"/>
  <c r="BZ118" i="15" s="1"/>
  <c r="BS42" i="15"/>
  <c r="CF31" i="21"/>
  <c r="BR67" i="21"/>
  <c r="BR136" i="15" s="1"/>
  <c r="CF87" i="15"/>
  <c r="CE82" i="21"/>
  <c r="CE181" i="15" s="1"/>
  <c r="CL25" i="21"/>
  <c r="BY24" i="15"/>
  <c r="BX61" i="21"/>
  <c r="BX118" i="15" s="1"/>
  <c r="BU75" i="15"/>
  <c r="BT78" i="21"/>
  <c r="BT169" i="15" s="1"/>
  <c r="CH42" i="21"/>
  <c r="CG39" i="21"/>
  <c r="BT66" i="15"/>
  <c r="BS75" i="21"/>
  <c r="BS160" i="15" s="1"/>
  <c r="CK81" i="15"/>
  <c r="CJ80" i="21"/>
  <c r="CJ175" i="15" s="1"/>
  <c r="CI24" i="21"/>
  <c r="BV21" i="15"/>
  <c r="BU60" i="21"/>
  <c r="BU115" i="15" s="1"/>
  <c r="CG41" i="21"/>
  <c r="BT72" i="15"/>
  <c r="BS77" i="21"/>
  <c r="BS166" i="15" s="1"/>
  <c r="BZ12" i="15"/>
  <c r="BY57" i="21"/>
  <c r="BY106" i="15" s="1"/>
  <c r="CF27" i="21"/>
  <c r="BS30" i="15"/>
  <c r="BR63" i="21"/>
  <c r="BR124" i="15" s="1"/>
  <c r="CO36" i="21"/>
  <c r="CB57" i="15"/>
  <c r="CA72" i="21"/>
  <c r="CA151" i="15" s="1"/>
  <c r="CB72" i="21"/>
  <c r="CB151" i="15" s="1"/>
  <c r="CL41" i="21"/>
  <c r="BY72" i="15"/>
  <c r="BX77" i="21"/>
  <c r="BX166" i="15" s="1"/>
  <c r="CF33" i="21"/>
  <c r="BS48" i="15"/>
  <c r="BR69" i="21"/>
  <c r="BR142" i="15" s="1"/>
  <c r="BS74" i="21"/>
  <c r="BS157" i="15" s="1"/>
  <c r="CG38" i="21"/>
  <c r="BT63" i="15"/>
  <c r="CF75" i="15"/>
  <c r="CE78" i="21"/>
  <c r="CE169" i="15" s="1"/>
  <c r="BW57" i="15"/>
  <c r="CJ36" i="21"/>
  <c r="BV72" i="21"/>
  <c r="BV151" i="15" s="1"/>
  <c r="CJ24" i="21"/>
  <c r="BW21" i="15"/>
  <c r="BV60" i="21"/>
  <c r="BV115" i="15" s="1"/>
  <c r="CJ34" i="21"/>
  <c r="BW51" i="15"/>
  <c r="BV70" i="21"/>
  <c r="BV145" i="15" s="1"/>
  <c r="CD35" i="21"/>
  <c r="CD54" i="15" s="1"/>
  <c r="BQ54" i="15"/>
  <c r="CI72" i="15"/>
  <c r="CH77" i="21"/>
  <c r="CH166" i="15" s="1"/>
  <c r="BT30" i="21"/>
  <c r="BF66" i="21"/>
  <c r="BF133" i="15" s="1"/>
  <c r="BG39" i="15"/>
  <c r="CI30" i="21"/>
  <c r="BV39" i="15"/>
  <c r="BU66" i="21"/>
  <c r="BU133" i="15" s="1"/>
  <c r="CI22" i="21"/>
  <c r="BV15" i="15"/>
  <c r="BU58" i="21"/>
  <c r="BU109" i="15" s="1"/>
  <c r="BD66" i="21"/>
  <c r="BR30" i="21"/>
  <c r="BE39" i="15"/>
  <c r="BQ43" i="21"/>
  <c r="BD78" i="15"/>
  <c r="BR46" i="21"/>
  <c r="BE87" i="15"/>
  <c r="BD82" i="21"/>
  <c r="BD181" i="15" s="1"/>
  <c r="BS68" i="21"/>
  <c r="BS139" i="15" s="1"/>
  <c r="CG32" i="21"/>
  <c r="BT45" i="15"/>
  <c r="BT42" i="21"/>
  <c r="BG75" i="15"/>
  <c r="BF78" i="21"/>
  <c r="BF169" i="15" s="1"/>
  <c r="BU23" i="21"/>
  <c r="BG59" i="21"/>
  <c r="BG112" i="15" s="1"/>
  <c r="BH18" i="15"/>
  <c r="BQ42" i="15"/>
  <c r="CD31" i="21"/>
  <c r="CD42" i="15" s="1"/>
  <c r="CB12" i="15"/>
  <c r="CB57" i="21"/>
  <c r="CB106" i="15" s="1"/>
  <c r="CA57" i="21"/>
  <c r="CA106" i="15" s="1"/>
  <c r="BT37" i="21"/>
  <c r="BG60" i="15"/>
  <c r="BF73" i="21"/>
  <c r="BF154" i="15" s="1"/>
  <c r="BS24" i="21"/>
  <c r="BF21" i="15"/>
  <c r="BE60" i="21"/>
  <c r="BP24" i="21"/>
  <c r="BW28" i="21"/>
  <c r="BJ33" i="15"/>
  <c r="BI64" i="21"/>
  <c r="BI127" i="15" s="1"/>
  <c r="CK78" i="15"/>
  <c r="CJ79" i="21"/>
  <c r="CJ172" i="15" s="1"/>
  <c r="BQ26" i="21"/>
  <c r="BD27" i="15"/>
  <c r="CI38" i="21"/>
  <c r="BV63" i="15"/>
  <c r="BU74" i="21"/>
  <c r="BU157" i="15" s="1"/>
  <c r="CG47" i="21"/>
  <c r="BT90" i="15"/>
  <c r="BS83" i="21"/>
  <c r="BS184" i="15" s="1"/>
  <c r="CG45" i="21"/>
  <c r="BT84" i="15"/>
  <c r="BS81" i="21"/>
  <c r="BS178" i="15" s="1"/>
  <c r="BS66" i="15"/>
  <c r="CF39" i="21"/>
  <c r="BR75" i="21"/>
  <c r="BR160" i="15" s="1"/>
  <c r="CK40" i="21"/>
  <c r="BX69" i="15"/>
  <c r="BW76" i="21"/>
  <c r="BW163" i="15" s="1"/>
  <c r="BD72" i="15"/>
  <c r="BQ41" i="21"/>
  <c r="BP43" i="21"/>
  <c r="BF39" i="15"/>
  <c r="BE66" i="21"/>
  <c r="BE133" i="15" s="1"/>
  <c r="BS30" i="21"/>
  <c r="BP41" i="21"/>
  <c r="BQ24" i="15"/>
  <c r="CD25" i="21"/>
  <c r="CD24" i="15" s="1"/>
  <c r="AQ133" i="15"/>
  <c r="BC133" i="15" s="1"/>
  <c r="BC66" i="21"/>
  <c r="BR22" i="21"/>
  <c r="BE15" i="15"/>
  <c r="BD58" i="21"/>
  <c r="BD109" i="15" s="1"/>
  <c r="BW39" i="21"/>
  <c r="BJ66" i="15"/>
  <c r="BI75" i="21"/>
  <c r="BI160" i="15" s="1"/>
  <c r="CH38" i="21"/>
  <c r="BU63" i="15"/>
  <c r="BT74" i="21"/>
  <c r="BT157" i="15" s="1"/>
  <c r="AS169" i="15"/>
  <c r="BC169" i="15" s="1"/>
  <c r="BC78" i="21"/>
  <c r="CJ42" i="21"/>
  <c r="BW75" i="15"/>
  <c r="BV78" i="21"/>
  <c r="BV169" i="15" s="1"/>
  <c r="BS38" i="21"/>
  <c r="BE74" i="21"/>
  <c r="BE157" i="15" s="1"/>
  <c r="BF63" i="15"/>
  <c r="AR115" i="15"/>
  <c r="BC115" i="15" s="1"/>
  <c r="BC60" i="21"/>
  <c r="BS84" i="15"/>
  <c r="BR81" i="21"/>
  <c r="BR178" i="15" s="1"/>
  <c r="CF45" i="21"/>
  <c r="BR38" i="21"/>
  <c r="BE63" i="15"/>
  <c r="BD74" i="21"/>
  <c r="BQ32" i="21"/>
  <c r="BD45" i="15"/>
  <c r="CI46" i="21"/>
  <c r="BV87" i="15"/>
  <c r="BU82" i="21"/>
  <c r="BU181" i="15" s="1"/>
  <c r="BY32" i="21"/>
  <c r="BL45" i="15"/>
  <c r="BK68" i="21"/>
  <c r="CO42" i="21"/>
  <c r="CB75" i="15"/>
  <c r="CA78" i="21"/>
  <c r="CA169" i="15" s="1"/>
  <c r="CB78" i="21"/>
  <c r="CB169" i="15" s="1"/>
  <c r="CE27" i="15"/>
  <c r="CD62" i="21"/>
  <c r="BC33" i="15"/>
  <c r="BQ69" i="21"/>
  <c r="CE33" i="21"/>
  <c r="BR48" i="15"/>
  <c r="CL15" i="15"/>
  <c r="CK58" i="21"/>
  <c r="CK109" i="15" s="1"/>
  <c r="CF41" i="21"/>
  <c r="BS72" i="15"/>
  <c r="BR77" i="21"/>
  <c r="BR166" i="15" s="1"/>
  <c r="BD112" i="15"/>
  <c r="CM36" i="21"/>
  <c r="BZ57" i="15"/>
  <c r="BY72" i="21"/>
  <c r="BY151" i="15" s="1"/>
  <c r="CE69" i="15"/>
  <c r="CD76" i="21"/>
  <c r="CL45" i="21"/>
  <c r="BY84" i="15"/>
  <c r="BX81" i="21"/>
  <c r="BX178" i="15" s="1"/>
  <c r="CE81" i="15"/>
  <c r="CD80" i="21"/>
  <c r="BD130" i="15"/>
  <c r="CF15" i="15"/>
  <c r="CE58" i="21"/>
  <c r="CE109" i="15" s="1"/>
  <c r="BD118" i="15"/>
  <c r="CN45" i="21"/>
  <c r="CA84" i="15"/>
  <c r="BZ81" i="21"/>
  <c r="BZ178" i="15" s="1"/>
  <c r="BD160" i="15"/>
  <c r="CD39" i="21"/>
  <c r="CD66" i="15" s="1"/>
  <c r="BQ66" i="15"/>
  <c r="BQ75" i="15"/>
  <c r="CD42" i="21"/>
  <c r="CD75" i="15" s="1"/>
  <c r="CE45" i="21"/>
  <c r="BR84" i="15"/>
  <c r="BQ81" i="21"/>
  <c r="CE21" i="15"/>
  <c r="CD60" i="21"/>
  <c r="CL34" i="21"/>
  <c r="BY51" i="15"/>
  <c r="BX70" i="21"/>
  <c r="BX145" i="15" s="1"/>
  <c r="BP34" i="21"/>
  <c r="BD124" i="15"/>
  <c r="CO39" i="21"/>
  <c r="CB66" i="15"/>
  <c r="CB75" i="21"/>
  <c r="CB160" i="15" s="1"/>
  <c r="CA75" i="21"/>
  <c r="CA160" i="15" s="1"/>
  <c r="BS28" i="21"/>
  <c r="BF33" i="15"/>
  <c r="BE64" i="21"/>
  <c r="BD184" i="15"/>
  <c r="BD33" i="15"/>
  <c r="BQ28" i="21"/>
  <c r="BQ57" i="21"/>
  <c r="BR12" i="15"/>
  <c r="CN28" i="21"/>
  <c r="CA33" i="15"/>
  <c r="BZ64" i="21"/>
  <c r="BZ127" i="15" s="1"/>
  <c r="AS181" i="15"/>
  <c r="BC181" i="15" s="1"/>
  <c r="BC82" i="21"/>
  <c r="BQ59" i="21"/>
  <c r="CE23" i="21"/>
  <c r="BR18" i="15"/>
  <c r="CN38" i="21"/>
  <c r="CA63" i="15"/>
  <c r="BZ74" i="21"/>
  <c r="BZ157" i="15" s="1"/>
  <c r="BP28" i="21"/>
  <c r="AY109" i="15"/>
  <c r="BC109" i="15" s="1"/>
  <c r="BC58" i="21"/>
  <c r="CE33" i="15"/>
  <c r="CD64" i="21"/>
  <c r="CE25" i="21"/>
  <c r="BR24" i="15"/>
  <c r="BQ61" i="21"/>
  <c r="CO45" i="21"/>
  <c r="CB84" i="15"/>
  <c r="CB81" i="21"/>
  <c r="CB178" i="15" s="1"/>
  <c r="CA81" i="21"/>
  <c r="CA178" i="15" s="1"/>
  <c r="CE57" i="15"/>
  <c r="CD72" i="21"/>
  <c r="BD136" i="15"/>
  <c r="BD172" i="15"/>
  <c r="BD166" i="15"/>
  <c r="BY40" i="21"/>
  <c r="BL69" i="15"/>
  <c r="BK76" i="21"/>
  <c r="BQ71" i="21"/>
  <c r="CE35" i="21"/>
  <c r="BR54" i="15"/>
  <c r="CO26" i="21"/>
  <c r="CB27" i="15"/>
  <c r="CA62" i="21"/>
  <c r="CA121" i="15" s="1"/>
  <c r="CB62" i="21"/>
  <c r="CB121" i="15" s="1"/>
  <c r="CE27" i="21"/>
  <c r="BR30" i="15"/>
  <c r="BQ63" i="21"/>
  <c r="CJ27" i="15"/>
  <c r="CI62" i="21"/>
  <c r="CI121" i="15" s="1"/>
  <c r="CG69" i="15"/>
  <c r="CF76" i="21"/>
  <c r="CF163" i="15" s="1"/>
  <c r="BC68" i="21"/>
  <c r="AX139" i="15"/>
  <c r="BC139" i="15" s="1"/>
  <c r="BP22" i="21"/>
  <c r="CL39" i="15"/>
  <c r="CK66" i="21"/>
  <c r="CK133" i="15" s="1"/>
  <c r="BQ121" i="15"/>
  <c r="BQ163" i="15"/>
  <c r="BQ63" i="15"/>
  <c r="CD38" i="21"/>
  <c r="CD63" i="15" s="1"/>
  <c r="CO29" i="21"/>
  <c r="CB36" i="15"/>
  <c r="CA65" i="21"/>
  <c r="CA130" i="15" s="1"/>
  <c r="CB65" i="21"/>
  <c r="CB130" i="15" s="1"/>
  <c r="BD154" i="15"/>
  <c r="BQ175" i="15"/>
  <c r="CE39" i="21"/>
  <c r="BR66" i="15"/>
  <c r="BQ75" i="21"/>
  <c r="CG43" i="21"/>
  <c r="BT78" i="15"/>
  <c r="BS79" i="21"/>
  <c r="BS172" i="15" s="1"/>
  <c r="BQ30" i="21"/>
  <c r="BD39" i="15"/>
  <c r="CL42" i="21"/>
  <c r="BY75" i="15"/>
  <c r="BX78" i="21"/>
  <c r="BX169" i="15" s="1"/>
  <c r="CN31" i="21"/>
  <c r="CA42" i="15"/>
  <c r="BZ67" i="21"/>
  <c r="BZ136" i="15" s="1"/>
  <c r="BQ115" i="15"/>
  <c r="CE41" i="21"/>
  <c r="BR72" i="15"/>
  <c r="BQ77" i="21"/>
  <c r="CN34" i="21"/>
  <c r="CA51" i="15"/>
  <c r="BZ70" i="21"/>
  <c r="BZ145" i="15" s="1"/>
  <c r="CN42" i="21"/>
  <c r="CA75" i="15"/>
  <c r="BZ78" i="21"/>
  <c r="BZ169" i="15" s="1"/>
  <c r="AR127" i="15"/>
  <c r="BC127" i="15" s="1"/>
  <c r="BC64" i="21"/>
  <c r="CE47" i="21"/>
  <c r="BR90" i="15"/>
  <c r="BQ83" i="21"/>
  <c r="BZ34" i="21"/>
  <c r="BM51" i="15"/>
  <c r="BL70" i="21"/>
  <c r="BL145" i="15" s="1"/>
  <c r="BQ87" i="15"/>
  <c r="CD46" i="21"/>
  <c r="CD87" i="15" s="1"/>
  <c r="BQ22" i="21"/>
  <c r="BD15" i="15"/>
  <c r="BD106" i="15"/>
  <c r="CL37" i="21"/>
  <c r="BY60" i="15"/>
  <c r="BX73" i="21"/>
  <c r="BX154" i="15" s="1"/>
  <c r="BT46" i="21"/>
  <c r="BG87" i="15"/>
  <c r="BF82" i="21"/>
  <c r="CF54" i="15"/>
  <c r="CE71" i="21"/>
  <c r="CE148" i="15" s="1"/>
  <c r="BQ73" i="21"/>
  <c r="CE37" i="21"/>
  <c r="BR60" i="15"/>
  <c r="CN12" i="15"/>
  <c r="CM57" i="21"/>
  <c r="CM106" i="15" s="1"/>
  <c r="CF25" i="21"/>
  <c r="BS24" i="15"/>
  <c r="BR61" i="21"/>
  <c r="BR118" i="15" s="1"/>
  <c r="BZ22" i="21"/>
  <c r="BM15" i="15"/>
  <c r="BL58" i="21"/>
  <c r="BQ127" i="15"/>
  <c r="BP32" i="21"/>
  <c r="BQ151" i="15"/>
  <c r="CE31" i="21"/>
  <c r="BR42" i="15"/>
  <c r="BQ67" i="21"/>
  <c r="BD178" i="15"/>
  <c r="CE43" i="21"/>
  <c r="BR78" i="15"/>
  <c r="BQ79" i="21"/>
  <c r="AX163" i="15"/>
  <c r="BC163" i="15" s="1"/>
  <c r="BC76" i="21"/>
  <c r="CO23" i="21"/>
  <c r="CB18" i="15"/>
  <c r="CB59" i="21"/>
  <c r="CB112" i="15" s="1"/>
  <c r="CA59" i="21"/>
  <c r="CA112" i="15" s="1"/>
  <c r="BD148" i="15"/>
  <c r="C17" i="27"/>
  <c r="I17" i="27"/>
  <c r="K17" i="27" s="1"/>
  <c r="C129" i="13"/>
  <c r="C130" i="13" s="1"/>
  <c r="C148" i="13"/>
  <c r="D113" i="13"/>
  <c r="C135" i="13"/>
  <c r="C106" i="13" s="1"/>
  <c r="D114" i="13"/>
  <c r="B155" i="13"/>
  <c r="AV19" i="22"/>
  <c r="AT19" i="22"/>
  <c r="R142" i="22"/>
  <c r="AV21" i="22"/>
  <c r="AT21" i="22"/>
  <c r="AE142" i="22"/>
  <c r="AA74" i="20" s="1"/>
  <c r="CE142" i="22"/>
  <c r="CA74" i="20" s="1"/>
  <c r="AS50" i="22"/>
  <c r="AR50" i="22"/>
  <c r="AV24" i="22"/>
  <c r="AT24" i="22"/>
  <c r="E60" i="13"/>
  <c r="AE116" i="22"/>
  <c r="AA45" i="20" s="1"/>
  <c r="AT7" i="22"/>
  <c r="R116" i="22"/>
  <c r="AS46" i="22"/>
  <c r="AR46" i="22"/>
  <c r="AS47" i="22"/>
  <c r="AR47" i="22"/>
  <c r="AS41" i="22"/>
  <c r="AR41" i="22"/>
  <c r="BR142" i="22"/>
  <c r="BN74" i="20" s="1"/>
  <c r="AW20" i="22"/>
  <c r="AT20" i="22"/>
  <c r="CE116" i="22"/>
  <c r="CA45" i="20" s="1"/>
  <c r="CR142" i="22"/>
  <c r="CN74" i="20" s="1"/>
  <c r="AD74" i="36" s="1"/>
  <c r="AS51" i="22"/>
  <c r="AR51" i="22"/>
  <c r="AT18" i="22"/>
  <c r="K74" i="36"/>
  <c r="BE116" i="22"/>
  <c r="BA45" i="20" s="1"/>
  <c r="AS44" i="22"/>
  <c r="AR44" i="22"/>
  <c r="AS42" i="22"/>
  <c r="AR42" i="22"/>
  <c r="CC34" i="22"/>
  <c r="BR34" i="22"/>
  <c r="AX39" i="22"/>
  <c r="AR39" i="22"/>
  <c r="AT13" i="22"/>
  <c r="AT10" i="22"/>
  <c r="O74" i="20"/>
  <c r="C74" i="36"/>
  <c r="AV25" i="22"/>
  <c r="AT25" i="22"/>
  <c r="AV28" i="22"/>
  <c r="AT28" i="22"/>
  <c r="AT15" i="22"/>
  <c r="AT6" i="22"/>
  <c r="C45" i="36"/>
  <c r="O45" i="20"/>
  <c r="F125" i="13"/>
  <c r="AT16" i="22"/>
  <c r="AI29" i="22"/>
  <c r="AM29" i="22"/>
  <c r="AT11" i="22"/>
  <c r="AK29" i="22"/>
  <c r="AO29" i="22"/>
  <c r="CX12" i="22"/>
  <c r="CJ12" i="22"/>
  <c r="AL29" i="22"/>
  <c r="AR29" i="22"/>
  <c r="AN29" i="22"/>
  <c r="BL29" i="22"/>
  <c r="F43" i="36"/>
  <c r="AP29" i="22"/>
  <c r="AT9" i="22"/>
  <c r="AS29" i="22"/>
  <c r="BE29" i="22"/>
  <c r="AC43" i="20"/>
  <c r="E43" i="36"/>
  <c r="AB25" i="20"/>
  <c r="BB25" i="20"/>
  <c r="BO25" i="20"/>
  <c r="O25" i="20"/>
  <c r="AO25" i="20"/>
  <c r="CO25" i="20"/>
  <c r="CB25" i="20"/>
  <c r="D17" i="24"/>
  <c r="I6" i="24"/>
  <c r="A17" i="24"/>
  <c r="I7" i="24"/>
  <c r="D128" i="13"/>
  <c r="D159" i="13" s="1"/>
  <c r="O18" i="20"/>
  <c r="J25" i="1"/>
  <c r="B49" i="26" s="1"/>
  <c r="B36" i="26" s="1"/>
  <c r="B38" i="13"/>
  <c r="B67" i="13"/>
  <c r="B80" i="13" s="1"/>
  <c r="B171" i="13" s="1"/>
  <c r="C159" i="13"/>
  <c r="E52" i="4"/>
  <c r="F52" i="4"/>
  <c r="L49" i="4"/>
  <c r="I49" i="4"/>
  <c r="I91" i="4"/>
  <c r="L91" i="4"/>
  <c r="L5" i="4"/>
  <c r="I5" i="4"/>
  <c r="CB77" i="21" l="1"/>
  <c r="CB166" i="15" s="1"/>
  <c r="CL60" i="21"/>
  <c r="CL115" i="15" s="1"/>
  <c r="CM71" i="21"/>
  <c r="CM148" i="15" s="1"/>
  <c r="CA77" i="21"/>
  <c r="CA166" i="15" s="1"/>
  <c r="CE29" i="21"/>
  <c r="BS51" i="15"/>
  <c r="BQ65" i="21"/>
  <c r="CF34" i="21"/>
  <c r="CF51" i="15" s="1"/>
  <c r="D219" i="13"/>
  <c r="D250" i="13" s="1"/>
  <c r="D262" i="13" s="1"/>
  <c r="BO45" i="20"/>
  <c r="D13" i="36"/>
  <c r="D36" i="26"/>
  <c r="D57" i="13"/>
  <c r="C19" i="29"/>
  <c r="E21" i="29"/>
  <c r="E20" i="29"/>
  <c r="I17" i="29"/>
  <c r="K17" i="29" s="1"/>
  <c r="E17" i="29"/>
  <c r="F17" i="29" s="1"/>
  <c r="E18" i="29"/>
  <c r="C20" i="29"/>
  <c r="E19" i="29"/>
  <c r="C17" i="29"/>
  <c r="C18" i="29"/>
  <c r="D72" i="36"/>
  <c r="C28" i="29"/>
  <c r="C46" i="29"/>
  <c r="E24" i="29"/>
  <c r="E23" i="29"/>
  <c r="E72" i="36"/>
  <c r="E13" i="36"/>
  <c r="C38" i="29"/>
  <c r="E72" i="29"/>
  <c r="E35" i="29"/>
  <c r="C47" i="29"/>
  <c r="C58" i="29"/>
  <c r="E48" i="29"/>
  <c r="E54" i="29"/>
  <c r="E66" i="29"/>
  <c r="E56" i="29"/>
  <c r="C13" i="36"/>
  <c r="E37" i="29"/>
  <c r="C27" i="29"/>
  <c r="E26" i="29"/>
  <c r="C61" i="29"/>
  <c r="E49" i="29"/>
  <c r="E25" i="29"/>
  <c r="I21" i="13"/>
  <c r="I57" i="13" s="1"/>
  <c r="H45" i="9"/>
  <c r="E70" i="29"/>
  <c r="E69" i="29"/>
  <c r="C71" i="29"/>
  <c r="C34" i="29"/>
  <c r="E31" i="29"/>
  <c r="C45" i="29"/>
  <c r="E36" i="29"/>
  <c r="C39" i="29"/>
  <c r="E43" i="29"/>
  <c r="E53" i="29"/>
  <c r="C59" i="29"/>
  <c r="E40" i="29"/>
  <c r="E68" i="29"/>
  <c r="C55" i="29"/>
  <c r="C29" i="29"/>
  <c r="E74" i="29"/>
  <c r="C63" i="29"/>
  <c r="E41" i="29"/>
  <c r="E50" i="29"/>
  <c r="E58" i="29"/>
  <c r="C49" i="29"/>
  <c r="C35" i="29"/>
  <c r="C36" i="29"/>
  <c r="C66" i="29"/>
  <c r="E57" i="29"/>
  <c r="C67" i="29"/>
  <c r="C69" i="29"/>
  <c r="C43" i="29"/>
  <c r="C56" i="29"/>
  <c r="C53" i="29"/>
  <c r="E59" i="29"/>
  <c r="C40" i="29"/>
  <c r="C68" i="29"/>
  <c r="E55" i="29"/>
  <c r="E29" i="29"/>
  <c r="C74" i="29"/>
  <c r="E63" i="29"/>
  <c r="C41" i="29"/>
  <c r="E73" i="29"/>
  <c r="C50" i="29"/>
  <c r="C52" i="29"/>
  <c r="E51" i="29"/>
  <c r="E30" i="29"/>
  <c r="E22" i="29"/>
  <c r="C33" i="29"/>
  <c r="C44" i="29"/>
  <c r="E75" i="29"/>
  <c r="C65" i="29"/>
  <c r="C57" i="29"/>
  <c r="E62" i="29"/>
  <c r="C42" i="29"/>
  <c r="E32" i="29"/>
  <c r="E64" i="29"/>
  <c r="C60" i="29"/>
  <c r="C73" i="29"/>
  <c r="E52" i="29"/>
  <c r="C51" i="29"/>
  <c r="E65" i="29"/>
  <c r="C25" i="29"/>
  <c r="C24" i="29"/>
  <c r="C37" i="29"/>
  <c r="C70" i="29"/>
  <c r="E71" i="29"/>
  <c r="C48" i="29"/>
  <c r="E27" i="29"/>
  <c r="E46" i="29"/>
  <c r="E34" i="29"/>
  <c r="E38" i="29"/>
  <c r="C26" i="29"/>
  <c r="E28" i="29"/>
  <c r="C31" i="29"/>
  <c r="C54" i="29"/>
  <c r="E61" i="29"/>
  <c r="C23" i="29"/>
  <c r="E45" i="29"/>
  <c r="C72" i="29"/>
  <c r="C30" i="29"/>
  <c r="C22" i="29"/>
  <c r="E33" i="29"/>
  <c r="E44" i="29"/>
  <c r="E39" i="29"/>
  <c r="E47" i="29"/>
  <c r="C62" i="29"/>
  <c r="E42" i="29"/>
  <c r="C32" i="29"/>
  <c r="C64" i="29"/>
  <c r="E60" i="29"/>
  <c r="E83" i="29"/>
  <c r="E76" i="29"/>
  <c r="E79" i="29"/>
  <c r="E84" i="29"/>
  <c r="C82" i="29"/>
  <c r="C81" i="29"/>
  <c r="C76" i="29"/>
  <c r="C79" i="29"/>
  <c r="C84" i="29"/>
  <c r="E82" i="29"/>
  <c r="E80" i="29"/>
  <c r="C83" i="29"/>
  <c r="C78" i="29"/>
  <c r="E77" i="29"/>
  <c r="E78" i="29"/>
  <c r="C77" i="29"/>
  <c r="E81" i="29"/>
  <c r="C80" i="29"/>
  <c r="A86" i="29"/>
  <c r="C85" i="29"/>
  <c r="C75" i="29"/>
  <c r="E67" i="29"/>
  <c r="D204" i="13"/>
  <c r="E204" i="13" s="1"/>
  <c r="C220" i="13"/>
  <c r="C221" i="13" s="1"/>
  <c r="G45" i="9"/>
  <c r="D17" i="13"/>
  <c r="D109" i="13" s="1"/>
  <c r="D200" i="13" s="1"/>
  <c r="D192" i="9" s="1"/>
  <c r="AO74" i="20"/>
  <c r="F45" i="9"/>
  <c r="E45" i="9"/>
  <c r="E37" i="13"/>
  <c r="E38" i="13" s="1"/>
  <c r="X13" i="20"/>
  <c r="B29" i="20"/>
  <c r="U13" i="20"/>
  <c r="B45" i="13"/>
  <c r="B64" i="13" s="1"/>
  <c r="F13" i="36"/>
  <c r="S13" i="20"/>
  <c r="B29" i="36"/>
  <c r="D43" i="9"/>
  <c r="F151" i="13"/>
  <c r="F138" i="9"/>
  <c r="I197" i="9"/>
  <c r="AO45" i="20"/>
  <c r="C18" i="27"/>
  <c r="S72" i="20"/>
  <c r="AA72" i="20"/>
  <c r="AC72" i="20" s="1"/>
  <c r="AG72" i="20" s="1"/>
  <c r="F72" i="36"/>
  <c r="AH29" i="22"/>
  <c r="R13" i="20"/>
  <c r="V13" i="20"/>
  <c r="E19" i="27"/>
  <c r="BP79" i="21"/>
  <c r="CC42" i="21"/>
  <c r="CE32" i="21"/>
  <c r="BQ68" i="21"/>
  <c r="BQ139" i="15" s="1"/>
  <c r="BR45" i="15"/>
  <c r="CK24" i="21"/>
  <c r="BW60" i="21"/>
  <c r="BW115" i="15" s="1"/>
  <c r="BX21" i="15"/>
  <c r="D38" i="13"/>
  <c r="AA13" i="20"/>
  <c r="AC13" i="20" s="1"/>
  <c r="AL13" i="20" s="1"/>
  <c r="Y13" i="20"/>
  <c r="T13" i="20"/>
  <c r="E20" i="27"/>
  <c r="BY59" i="21"/>
  <c r="BY112" i="15" s="1"/>
  <c r="Q13" i="20"/>
  <c r="W13" i="20"/>
  <c r="BZ18" i="15"/>
  <c r="CM32" i="21"/>
  <c r="BY68" i="21"/>
  <c r="BY139" i="15" s="1"/>
  <c r="BZ45" i="15"/>
  <c r="CO32" i="21"/>
  <c r="CB45" i="15"/>
  <c r="CB68" i="21"/>
  <c r="CB139" i="15" s="1"/>
  <c r="CA68" i="21"/>
  <c r="CA139" i="15" s="1"/>
  <c r="CM29" i="21"/>
  <c r="BZ36" i="15"/>
  <c r="BY65" i="21"/>
  <c r="BY130" i="15" s="1"/>
  <c r="CM28" i="21"/>
  <c r="BY64" i="21"/>
  <c r="BY127" i="15" s="1"/>
  <c r="BZ33" i="15"/>
  <c r="O13" i="20"/>
  <c r="Z72" i="20"/>
  <c r="Q72" i="20"/>
  <c r="X72" i="20"/>
  <c r="O72" i="20"/>
  <c r="V72" i="20"/>
  <c r="U72" i="20"/>
  <c r="R72" i="20"/>
  <c r="W72" i="20"/>
  <c r="T72" i="20"/>
  <c r="C43" i="36"/>
  <c r="O43" i="20"/>
  <c r="CO45" i="20"/>
  <c r="C72" i="36"/>
  <c r="AF29" i="22"/>
  <c r="E21" i="27"/>
  <c r="C21" i="27"/>
  <c r="CC33" i="21"/>
  <c r="CC36" i="21"/>
  <c r="BP57" i="21"/>
  <c r="BP73" i="21"/>
  <c r="BP62" i="21"/>
  <c r="BQ70" i="21"/>
  <c r="BQ145" i="15" s="1"/>
  <c r="CE34" i="21"/>
  <c r="BR51" i="15"/>
  <c r="CC35" i="21"/>
  <c r="BP71" i="21"/>
  <c r="CH78" i="15"/>
  <c r="CG79" i="21"/>
  <c r="CG172" i="15" s="1"/>
  <c r="CO48" i="15"/>
  <c r="CO69" i="21"/>
  <c r="CO142" i="15" s="1"/>
  <c r="CN69" i="21"/>
  <c r="CN142" i="15" s="1"/>
  <c r="CO72" i="15"/>
  <c r="CN77" i="21"/>
  <c r="CN166" i="15" s="1"/>
  <c r="CO77" i="21"/>
  <c r="CO166" i="15" s="1"/>
  <c r="CJ54" i="15"/>
  <c r="CI71" i="21"/>
  <c r="CI148" i="15" s="1"/>
  <c r="CO37" i="21"/>
  <c r="CB60" i="15"/>
  <c r="CA73" i="21"/>
  <c r="CA154" i="15" s="1"/>
  <c r="CB73" i="21"/>
  <c r="CB154" i="15" s="1"/>
  <c r="BU69" i="21"/>
  <c r="BU142" i="15" s="1"/>
  <c r="CI33" i="21"/>
  <c r="BV48" i="15"/>
  <c r="BP78" i="21"/>
  <c r="CC47" i="21"/>
  <c r="CC27" i="21"/>
  <c r="BP61" i="21"/>
  <c r="CC23" i="21"/>
  <c r="BP72" i="21"/>
  <c r="CC40" i="21"/>
  <c r="BP65" i="21"/>
  <c r="CC21" i="21"/>
  <c r="CC25" i="21"/>
  <c r="CC29" i="21"/>
  <c r="BP63" i="21"/>
  <c r="BP81" i="21"/>
  <c r="CC32" i="21"/>
  <c r="CC30" i="21"/>
  <c r="BP83" i="21"/>
  <c r="CC31" i="21"/>
  <c r="BP69" i="21"/>
  <c r="BP77" i="21"/>
  <c r="BP67" i="21"/>
  <c r="CC37" i="21"/>
  <c r="BP80" i="21"/>
  <c r="BP57" i="15"/>
  <c r="BP151" i="15"/>
  <c r="BP69" i="15"/>
  <c r="BP121" i="15"/>
  <c r="BW62" i="21"/>
  <c r="BW121" i="15" s="1"/>
  <c r="CK26" i="21"/>
  <c r="BX27" i="15"/>
  <c r="CL44" i="21"/>
  <c r="BY81" i="15"/>
  <c r="BX80" i="21"/>
  <c r="BX175" i="15" s="1"/>
  <c r="CO22" i="21"/>
  <c r="CB15" i="15"/>
  <c r="CA58" i="21"/>
  <c r="CA109" i="15" s="1"/>
  <c r="CB58" i="21"/>
  <c r="CB109" i="15" s="1"/>
  <c r="BY57" i="15"/>
  <c r="BX72" i="21"/>
  <c r="BX151" i="15" s="1"/>
  <c r="CL36" i="21"/>
  <c r="CO34" i="21"/>
  <c r="CA70" i="21"/>
  <c r="CA145" i="15" s="1"/>
  <c r="CB70" i="21"/>
  <c r="CB145" i="15" s="1"/>
  <c r="CB51" i="15"/>
  <c r="BW78" i="21"/>
  <c r="BW169" i="15" s="1"/>
  <c r="CK42" i="21"/>
  <c r="BX75" i="15"/>
  <c r="CM46" i="21"/>
  <c r="BZ87" i="15"/>
  <c r="BY82" i="21"/>
  <c r="BY181" i="15" s="1"/>
  <c r="BR76" i="21"/>
  <c r="BR163" i="15" s="1"/>
  <c r="CF40" i="21"/>
  <c r="BS69" i="15"/>
  <c r="CO87" i="15"/>
  <c r="CN82" i="21"/>
  <c r="CN181" i="15" s="1"/>
  <c r="CO82" i="21"/>
  <c r="CO181" i="15" s="1"/>
  <c r="CO38" i="21"/>
  <c r="CB63" i="15"/>
  <c r="CA74" i="21"/>
  <c r="CA157" i="15" s="1"/>
  <c r="CB74" i="21"/>
  <c r="CB157" i="15" s="1"/>
  <c r="BR72" i="21"/>
  <c r="BR151" i="15" s="1"/>
  <c r="CF36" i="21"/>
  <c r="BS57" i="15"/>
  <c r="CJ44" i="21"/>
  <c r="BW81" i="15"/>
  <c r="BV80" i="21"/>
  <c r="BV175" i="15" s="1"/>
  <c r="CM75" i="15"/>
  <c r="CL78" i="21"/>
  <c r="CL169" i="15" s="1"/>
  <c r="CN36" i="21"/>
  <c r="CA57" i="15"/>
  <c r="BZ72" i="21"/>
  <c r="BZ151" i="15" s="1"/>
  <c r="CH32" i="21"/>
  <c r="BU45" i="15"/>
  <c r="BT68" i="21"/>
  <c r="BT139" i="15" s="1"/>
  <c r="BS62" i="21"/>
  <c r="BS121" i="15" s="1"/>
  <c r="CG26" i="21"/>
  <c r="BT27" i="15"/>
  <c r="CN40" i="21"/>
  <c r="CA69" i="15"/>
  <c r="BZ76" i="21"/>
  <c r="BZ163" i="15" s="1"/>
  <c r="BS70" i="21"/>
  <c r="BS145" i="15" s="1"/>
  <c r="BT51" i="15"/>
  <c r="CG34" i="21"/>
  <c r="CN24" i="21"/>
  <c r="BZ60" i="21"/>
  <c r="BZ115" i="15" s="1"/>
  <c r="CA21" i="15"/>
  <c r="BX15" i="15"/>
  <c r="BW58" i="21"/>
  <c r="BW109" i="15" s="1"/>
  <c r="CK22" i="21"/>
  <c r="CM38" i="21"/>
  <c r="BZ63" i="15"/>
  <c r="BY74" i="21"/>
  <c r="BY157" i="15" s="1"/>
  <c r="CJ32" i="21"/>
  <c r="BV68" i="21"/>
  <c r="BV139" i="15" s="1"/>
  <c r="BW45" i="15"/>
  <c r="CH36" i="21"/>
  <c r="BT72" i="21"/>
  <c r="BT151" i="15" s="1"/>
  <c r="BU57" i="15"/>
  <c r="BX60" i="21"/>
  <c r="BX115" i="15" s="1"/>
  <c r="CL24" i="21"/>
  <c r="BY21" i="15"/>
  <c r="CN44" i="21"/>
  <c r="CA81" i="15"/>
  <c r="BZ80" i="21"/>
  <c r="BZ175" i="15" s="1"/>
  <c r="CK34" i="21"/>
  <c r="BX51" i="15"/>
  <c r="BW70" i="21"/>
  <c r="BW145" i="15" s="1"/>
  <c r="BR68" i="21"/>
  <c r="BR139" i="15" s="1"/>
  <c r="CF32" i="21"/>
  <c r="BS45" i="15"/>
  <c r="BP18" i="15"/>
  <c r="BP75" i="15"/>
  <c r="BP21" i="15"/>
  <c r="BP51" i="15"/>
  <c r="BP81" i="15"/>
  <c r="BP169" i="15"/>
  <c r="BP175" i="15"/>
  <c r="BP145" i="15"/>
  <c r="BP66" i="15"/>
  <c r="BP24" i="15"/>
  <c r="BJ26" i="22"/>
  <c r="BH26" i="22"/>
  <c r="CG44" i="21"/>
  <c r="BT81" i="15"/>
  <c r="BS80" i="21"/>
  <c r="BS175" i="15" s="1"/>
  <c r="BQ57" i="15"/>
  <c r="CD36" i="21"/>
  <c r="CD57" i="15" s="1"/>
  <c r="C14" i="13"/>
  <c r="C63" i="13"/>
  <c r="CK48" i="15"/>
  <c r="CJ69" i="21"/>
  <c r="CJ142" i="15" s="1"/>
  <c r="AS43" i="22"/>
  <c r="AR43" i="22"/>
  <c r="BT70" i="21"/>
  <c r="BT145" i="15" s="1"/>
  <c r="CH34" i="21"/>
  <c r="BU51" i="15"/>
  <c r="CJ27" i="21"/>
  <c r="BW30" i="15"/>
  <c r="BV63" i="21"/>
  <c r="BV124" i="15" s="1"/>
  <c r="E38" i="15"/>
  <c r="F37" i="15"/>
  <c r="E20" i="15"/>
  <c r="F19" i="15"/>
  <c r="CJ42" i="15"/>
  <c r="CI67" i="21"/>
  <c r="CI136" i="15" s="1"/>
  <c r="BH8" i="22"/>
  <c r="BR79" i="21"/>
  <c r="BR172" i="15" s="1"/>
  <c r="CF43" i="21"/>
  <c r="BS78" i="15"/>
  <c r="BX60" i="15"/>
  <c r="BW73" i="21"/>
  <c r="BW154" i="15" s="1"/>
  <c r="CK37" i="21"/>
  <c r="CN15" i="15"/>
  <c r="CM58" i="21"/>
  <c r="CM109" i="15" s="1"/>
  <c r="CL33" i="15"/>
  <c r="CK64" i="21"/>
  <c r="CK127" i="15" s="1"/>
  <c r="BQ90" i="15"/>
  <c r="CD47" i="21"/>
  <c r="CD90" i="15" s="1"/>
  <c r="CG12" i="15"/>
  <c r="CF57" i="21"/>
  <c r="CF106" i="15" s="1"/>
  <c r="AS45" i="22"/>
  <c r="AR45" i="22"/>
  <c r="CJ39" i="15"/>
  <c r="CI66" i="21"/>
  <c r="CI133" i="15" s="1"/>
  <c r="F73" i="15"/>
  <c r="E74" i="15"/>
  <c r="E53" i="15"/>
  <c r="F52" i="15"/>
  <c r="BH14" i="22"/>
  <c r="AT17" i="22"/>
  <c r="AS48" i="22"/>
  <c r="AR48" i="22"/>
  <c r="E50" i="15"/>
  <c r="F49" i="15"/>
  <c r="CH39" i="21"/>
  <c r="BU66" i="15"/>
  <c r="BT75" i="21"/>
  <c r="BT160" i="15" s="1"/>
  <c r="CC28" i="21"/>
  <c r="AV27" i="22"/>
  <c r="AT27" i="22"/>
  <c r="E62" i="15"/>
  <c r="F61" i="15"/>
  <c r="F43" i="15"/>
  <c r="E44" i="15"/>
  <c r="F25" i="15"/>
  <c r="E26" i="15"/>
  <c r="E29" i="15"/>
  <c r="F28" i="15"/>
  <c r="CN66" i="15"/>
  <c r="CM75" i="21"/>
  <c r="CM160" i="15" s="1"/>
  <c r="E77" i="15"/>
  <c r="F76" i="15"/>
  <c r="E95" i="15"/>
  <c r="F94" i="15"/>
  <c r="E32" i="15"/>
  <c r="F31" i="15"/>
  <c r="CJ90" i="15"/>
  <c r="CI83" i="21"/>
  <c r="CI184" i="15" s="1"/>
  <c r="E83" i="15"/>
  <c r="F82" i="15"/>
  <c r="E17" i="15"/>
  <c r="F16" i="15"/>
  <c r="CN87" i="15"/>
  <c r="CM82" i="21"/>
  <c r="CM181" i="15" s="1"/>
  <c r="CH54" i="15"/>
  <c r="CG71" i="21"/>
  <c r="CG148" i="15" s="1"/>
  <c r="CO24" i="15"/>
  <c r="CN61" i="21"/>
  <c r="CN118" i="15" s="1"/>
  <c r="CO61" i="21"/>
  <c r="CO118" i="15" s="1"/>
  <c r="BS60" i="21"/>
  <c r="BS115" i="15" s="1"/>
  <c r="CG24" i="21"/>
  <c r="BT21" i="15"/>
  <c r="CI25" i="21"/>
  <c r="BV24" i="15"/>
  <c r="BU61" i="21"/>
  <c r="BU118" i="15" s="1"/>
  <c r="CJ66" i="21"/>
  <c r="CJ133" i="15" s="1"/>
  <c r="CK39" i="15"/>
  <c r="CI47" i="21"/>
  <c r="BV90" i="15"/>
  <c r="BU83" i="21"/>
  <c r="BU184" i="15" s="1"/>
  <c r="CN30" i="15"/>
  <c r="CM63" i="21"/>
  <c r="CM124" i="15" s="1"/>
  <c r="CI33" i="15"/>
  <c r="CH64" i="21"/>
  <c r="CH127" i="15" s="1"/>
  <c r="E80" i="15"/>
  <c r="F79" i="15"/>
  <c r="E8" i="15"/>
  <c r="F7" i="15"/>
  <c r="BQ69" i="15"/>
  <c r="CD40" i="21"/>
  <c r="CD69" i="15" s="1"/>
  <c r="CK18" i="15"/>
  <c r="CJ59" i="21"/>
  <c r="CJ112" i="15" s="1"/>
  <c r="CI66" i="15"/>
  <c r="CH75" i="21"/>
  <c r="CH160" i="15" s="1"/>
  <c r="CM78" i="15"/>
  <c r="CL79" i="21"/>
  <c r="CL172" i="15" s="1"/>
  <c r="E11" i="15"/>
  <c r="F10" i="15"/>
  <c r="AV23" i="22"/>
  <c r="AT23" i="22"/>
  <c r="AV22" i="22"/>
  <c r="AT22" i="22"/>
  <c r="E71" i="15"/>
  <c r="F70" i="15"/>
  <c r="CI12" i="15"/>
  <c r="CH57" i="21"/>
  <c r="CH106" i="15" s="1"/>
  <c r="CJ18" i="15"/>
  <c r="CI59" i="21"/>
  <c r="CI112" i="15" s="1"/>
  <c r="E89" i="15"/>
  <c r="F88" i="15"/>
  <c r="CE42" i="21"/>
  <c r="BR75" i="15"/>
  <c r="BQ78" i="21"/>
  <c r="BQ169" i="15" s="1"/>
  <c r="CG33" i="21"/>
  <c r="BT48" i="15"/>
  <c r="BS69" i="21"/>
  <c r="BS142" i="15" s="1"/>
  <c r="CM42" i="15"/>
  <c r="CL67" i="21"/>
  <c r="CL136" i="15" s="1"/>
  <c r="BS61" i="21"/>
  <c r="BS118" i="15" s="1"/>
  <c r="CG25" i="21"/>
  <c r="BT24" i="15"/>
  <c r="BT57" i="21"/>
  <c r="BT106" i="15" s="1"/>
  <c r="BU12" i="15"/>
  <c r="BT67" i="21"/>
  <c r="BT136" i="15" s="1"/>
  <c r="BU42" i="15"/>
  <c r="CH31" i="21"/>
  <c r="E59" i="15"/>
  <c r="F58" i="15"/>
  <c r="E41" i="15"/>
  <c r="F40" i="15"/>
  <c r="E23" i="15"/>
  <c r="F22" i="15"/>
  <c r="F55" i="15"/>
  <c r="E56" i="15"/>
  <c r="E92" i="15"/>
  <c r="F91" i="15"/>
  <c r="CG29" i="21"/>
  <c r="BT36" i="15"/>
  <c r="BS65" i="21"/>
  <c r="BS130" i="15" s="1"/>
  <c r="CH90" i="15"/>
  <c r="CG83" i="21"/>
  <c r="CG184" i="15" s="1"/>
  <c r="E35" i="15"/>
  <c r="F34" i="15"/>
  <c r="D44" i="13"/>
  <c r="D14" i="13" s="1"/>
  <c r="CH27" i="21"/>
  <c r="BT63" i="21"/>
  <c r="BT124" i="15" s="1"/>
  <c r="BU30" i="15"/>
  <c r="CK41" i="21"/>
  <c r="BX72" i="15"/>
  <c r="BW77" i="21"/>
  <c r="BW166" i="15" s="1"/>
  <c r="CI31" i="21"/>
  <c r="BV42" i="15"/>
  <c r="BU67" i="21"/>
  <c r="BU136" i="15" s="1"/>
  <c r="R74" i="36"/>
  <c r="BB74" i="20"/>
  <c r="CJ22" i="21"/>
  <c r="BW15" i="15"/>
  <c r="BV58" i="21"/>
  <c r="BV109" i="15" s="1"/>
  <c r="E14" i="15"/>
  <c r="F13" i="15"/>
  <c r="E68" i="15"/>
  <c r="F67" i="15"/>
  <c r="E65" i="15"/>
  <c r="F64" i="15"/>
  <c r="AS49" i="22"/>
  <c r="AR49" i="22"/>
  <c r="CK84" i="15"/>
  <c r="CJ81" i="21"/>
  <c r="CJ178" i="15" s="1"/>
  <c r="CG60" i="21"/>
  <c r="CG115" i="15" s="1"/>
  <c r="CH21" i="15"/>
  <c r="F85" i="15"/>
  <c r="E86" i="15"/>
  <c r="E47" i="15"/>
  <c r="F46" i="15"/>
  <c r="D197" i="13"/>
  <c r="D246" i="13"/>
  <c r="E226" i="13"/>
  <c r="C19" i="27"/>
  <c r="E18" i="27"/>
  <c r="C20" i="27"/>
  <c r="BP27" i="15"/>
  <c r="BP78" i="15"/>
  <c r="BP36" i="15"/>
  <c r="A23" i="27"/>
  <c r="A24" i="27" s="1"/>
  <c r="C22" i="27"/>
  <c r="BP142" i="15"/>
  <c r="BP42" i="15"/>
  <c r="BP12" i="15"/>
  <c r="BP90" i="15"/>
  <c r="BP60" i="15"/>
  <c r="BP84" i="15"/>
  <c r="BP172" i="15"/>
  <c r="BP106" i="15"/>
  <c r="BP130" i="15"/>
  <c r="BP118" i="15"/>
  <c r="BP48" i="15"/>
  <c r="BP54" i="15"/>
  <c r="BP178" i="15"/>
  <c r="BP166" i="15"/>
  <c r="BP30" i="15"/>
  <c r="BP148" i="15"/>
  <c r="BP184" i="15"/>
  <c r="BP72" i="15"/>
  <c r="BP136" i="15"/>
  <c r="BP124" i="15"/>
  <c r="CM45" i="21"/>
  <c r="BZ84" i="15"/>
  <c r="BY81" i="21"/>
  <c r="BY178" i="15" s="1"/>
  <c r="BW12" i="15"/>
  <c r="BV57" i="21"/>
  <c r="BV106" i="15" s="1"/>
  <c r="CJ33" i="21"/>
  <c r="BW48" i="15"/>
  <c r="BV69" i="21"/>
  <c r="BV142" i="15" s="1"/>
  <c r="CK47" i="21"/>
  <c r="BX90" i="15"/>
  <c r="BW83" i="21"/>
  <c r="BW184" i="15" s="1"/>
  <c r="CO27" i="21"/>
  <c r="CB30" i="15"/>
  <c r="CB63" i="21"/>
  <c r="CB124" i="15" s="1"/>
  <c r="CA63" i="21"/>
  <c r="CA124" i="15" s="1"/>
  <c r="BX12" i="15"/>
  <c r="BW57" i="21"/>
  <c r="BW106" i="15" s="1"/>
  <c r="CL27" i="21"/>
  <c r="BY30" i="15"/>
  <c r="BX63" i="21"/>
  <c r="BX124" i="15" s="1"/>
  <c r="CN37" i="21"/>
  <c r="CA60" i="15"/>
  <c r="BZ73" i="21"/>
  <c r="BZ154" i="15" s="1"/>
  <c r="CL47" i="21"/>
  <c r="BY90" i="15"/>
  <c r="BX83" i="21"/>
  <c r="BX184" i="15" s="1"/>
  <c r="CK29" i="21"/>
  <c r="BX36" i="15"/>
  <c r="BW65" i="21"/>
  <c r="BW130" i="15" s="1"/>
  <c r="CG23" i="21"/>
  <c r="BT18" i="15"/>
  <c r="BS59" i="21"/>
  <c r="BS112" i="15" s="1"/>
  <c r="CI45" i="21"/>
  <c r="BV84" i="15"/>
  <c r="BU81" i="21"/>
  <c r="BU178" i="15" s="1"/>
  <c r="CI27" i="21"/>
  <c r="BV30" i="15"/>
  <c r="BU63" i="21"/>
  <c r="BU124" i="15" s="1"/>
  <c r="BX59" i="21"/>
  <c r="BX112" i="15" s="1"/>
  <c r="CL23" i="21"/>
  <c r="BY18" i="15"/>
  <c r="CN41" i="21"/>
  <c r="BZ77" i="21"/>
  <c r="BZ166" i="15" s="1"/>
  <c r="CA72" i="15"/>
  <c r="BP75" i="21"/>
  <c r="CC38" i="21"/>
  <c r="CH25" i="21"/>
  <c r="BU24" i="15"/>
  <c r="BT61" i="21"/>
  <c r="BT118" i="15" s="1"/>
  <c r="CF44" i="21"/>
  <c r="BS81" i="15"/>
  <c r="BR80" i="21"/>
  <c r="BT30" i="15"/>
  <c r="BS63" i="21"/>
  <c r="BS124" i="15" s="1"/>
  <c r="CG27" i="21"/>
  <c r="CG31" i="21"/>
  <c r="BT42" i="15"/>
  <c r="BS67" i="21"/>
  <c r="BS136" i="15" s="1"/>
  <c r="CM41" i="21"/>
  <c r="BY77" i="21"/>
  <c r="BY166" i="15" s="1"/>
  <c r="BZ72" i="15"/>
  <c r="CC44" i="21"/>
  <c r="CJ41" i="21"/>
  <c r="BW72" i="15"/>
  <c r="BV77" i="21"/>
  <c r="BV166" i="15" s="1"/>
  <c r="CH22" i="21"/>
  <c r="BU15" i="15"/>
  <c r="BT58" i="21"/>
  <c r="BT109" i="15" s="1"/>
  <c r="BZ39" i="15"/>
  <c r="BY66" i="21"/>
  <c r="BY133" i="15" s="1"/>
  <c r="CM30" i="21"/>
  <c r="CL39" i="21"/>
  <c r="BY66" i="15"/>
  <c r="BX75" i="21"/>
  <c r="BX160" i="15" s="1"/>
  <c r="CN33" i="21"/>
  <c r="CA48" i="15"/>
  <c r="BZ69" i="21"/>
  <c r="BZ142" i="15" s="1"/>
  <c r="BT73" i="21"/>
  <c r="BT154" i="15" s="1"/>
  <c r="CH37" i="21"/>
  <c r="BU60" i="15"/>
  <c r="CJ37" i="21"/>
  <c r="BW60" i="15"/>
  <c r="BV73" i="21"/>
  <c r="BV154" i="15" s="1"/>
  <c r="CI23" i="21"/>
  <c r="BV18" i="15"/>
  <c r="BU59" i="21"/>
  <c r="BU112" i="15" s="1"/>
  <c r="CL43" i="21"/>
  <c r="BY78" i="15"/>
  <c r="BX79" i="21"/>
  <c r="BX172" i="15" s="1"/>
  <c r="CL35" i="21"/>
  <c r="BX71" i="21"/>
  <c r="BX148" i="15" s="1"/>
  <c r="BY54" i="15"/>
  <c r="CJ29" i="21"/>
  <c r="BV65" i="21"/>
  <c r="BV130" i="15" s="1"/>
  <c r="BW36" i="15"/>
  <c r="BS12" i="15"/>
  <c r="BR57" i="21"/>
  <c r="BR106" i="15" s="1"/>
  <c r="CJ25" i="21"/>
  <c r="BW24" i="15"/>
  <c r="BV61" i="21"/>
  <c r="BV118" i="15" s="1"/>
  <c r="CO47" i="21"/>
  <c r="CB90" i="15"/>
  <c r="CB83" i="21"/>
  <c r="CB184" i="15" s="1"/>
  <c r="CA83" i="21"/>
  <c r="CA184" i="15" s="1"/>
  <c r="CO31" i="21"/>
  <c r="CB42" i="15"/>
  <c r="CB67" i="21"/>
  <c r="CB136" i="15" s="1"/>
  <c r="CA67" i="21"/>
  <c r="CA136" i="15" s="1"/>
  <c r="CK66" i="15"/>
  <c r="CJ75" i="21"/>
  <c r="CJ160" i="15" s="1"/>
  <c r="CH45" i="21"/>
  <c r="BT81" i="21"/>
  <c r="BT178" i="15" s="1"/>
  <c r="BU84" i="15"/>
  <c r="BT77" i="21"/>
  <c r="BT166" i="15" s="1"/>
  <c r="CH41" i="21"/>
  <c r="BU72" i="15"/>
  <c r="CK25" i="21"/>
  <c r="BX24" i="15"/>
  <c r="BW61" i="21"/>
  <c r="BW118" i="15" s="1"/>
  <c r="BT69" i="21"/>
  <c r="BT142" i="15" s="1"/>
  <c r="CH33" i="21"/>
  <c r="BU48" i="15"/>
  <c r="CJ45" i="21"/>
  <c r="BW84" i="15"/>
  <c r="BV81" i="21"/>
  <c r="BV178" i="15" s="1"/>
  <c r="BT54" i="15"/>
  <c r="BS71" i="21"/>
  <c r="BS148" i="15" s="1"/>
  <c r="CG35" i="21"/>
  <c r="CC45" i="21"/>
  <c r="CM26" i="21"/>
  <c r="BY62" i="21"/>
  <c r="BZ27" i="15"/>
  <c r="CO43" i="21"/>
  <c r="CB78" i="15"/>
  <c r="CB79" i="21"/>
  <c r="CB172" i="15" s="1"/>
  <c r="CA79" i="21"/>
  <c r="CA172" i="15" s="1"/>
  <c r="CO35" i="21"/>
  <c r="CB54" i="15"/>
  <c r="CB71" i="21"/>
  <c r="CB148" i="15" s="1"/>
  <c r="CA71" i="21"/>
  <c r="CA148" i="15" s="1"/>
  <c r="CH29" i="21"/>
  <c r="BU36" i="15"/>
  <c r="BT65" i="21"/>
  <c r="BT130" i="15" s="1"/>
  <c r="I43" i="36"/>
  <c r="H17" i="27"/>
  <c r="J17" i="27" s="1"/>
  <c r="D18" i="27" s="1"/>
  <c r="BP154" i="15"/>
  <c r="BP45" i="15"/>
  <c r="CI51" i="15"/>
  <c r="CH70" i="21"/>
  <c r="CH145" i="15" s="1"/>
  <c r="BP59" i="21"/>
  <c r="CC41" i="21"/>
  <c r="CJ69" i="15"/>
  <c r="CI76" i="21"/>
  <c r="CI163" i="15" s="1"/>
  <c r="CF72" i="21"/>
  <c r="CF151" i="15" s="1"/>
  <c r="CG57" i="15"/>
  <c r="CH27" i="15"/>
  <c r="CG62" i="21"/>
  <c r="CG121" i="15" s="1"/>
  <c r="CN45" i="15"/>
  <c r="CM68" i="21"/>
  <c r="CM139" i="15" s="1"/>
  <c r="CO21" i="15"/>
  <c r="CN60" i="21"/>
  <c r="CN115" i="15" s="1"/>
  <c r="CO60" i="21"/>
  <c r="CO115" i="15" s="1"/>
  <c r="CC43" i="21"/>
  <c r="CL48" i="15"/>
  <c r="CK69" i="21"/>
  <c r="CK142" i="15" s="1"/>
  <c r="CN36" i="15"/>
  <c r="CM65" i="21"/>
  <c r="CM130" i="15" s="1"/>
  <c r="CG33" i="15"/>
  <c r="CF64" i="21"/>
  <c r="CF127" i="15" s="1"/>
  <c r="CM24" i="15"/>
  <c r="CL61" i="21"/>
  <c r="CL118" i="15" s="1"/>
  <c r="CO33" i="15"/>
  <c r="CN64" i="21"/>
  <c r="CN127" i="15" s="1"/>
  <c r="CO64" i="21"/>
  <c r="CO127" i="15" s="1"/>
  <c r="CM30" i="15"/>
  <c r="CL63" i="21"/>
  <c r="CL124" i="15" s="1"/>
  <c r="CJ87" i="15"/>
  <c r="CI82" i="21"/>
  <c r="CI181" i="15" s="1"/>
  <c r="CK54" i="15"/>
  <c r="CJ71" i="21"/>
  <c r="CJ148" i="15" s="1"/>
  <c r="CM48" i="15"/>
  <c r="CL69" i="21"/>
  <c r="CL142" i="15" s="1"/>
  <c r="CL42" i="15"/>
  <c r="CK67" i="21"/>
  <c r="CK136" i="15" s="1"/>
  <c r="CO69" i="15"/>
  <c r="CN76" i="21"/>
  <c r="CN163" i="15" s="1"/>
  <c r="CO76" i="21"/>
  <c r="CO163" i="15" s="1"/>
  <c r="CM81" i="15"/>
  <c r="CL80" i="21"/>
  <c r="CL175" i="15" s="1"/>
  <c r="CI75" i="15"/>
  <c r="CH78" i="21"/>
  <c r="CH169" i="15" s="1"/>
  <c r="CL87" i="15"/>
  <c r="CK82" i="21"/>
  <c r="CK181" i="15" s="1"/>
  <c r="CH33" i="15"/>
  <c r="CG64" i="21"/>
  <c r="CG127" i="15" s="1"/>
  <c r="CI57" i="15"/>
  <c r="CH72" i="21"/>
  <c r="CH151" i="15" s="1"/>
  <c r="CK87" i="15"/>
  <c r="CJ82" i="21"/>
  <c r="CJ181" i="15" s="1"/>
  <c r="CI27" i="15"/>
  <c r="CH62" i="21"/>
  <c r="CH121" i="15" s="1"/>
  <c r="CH39" i="15"/>
  <c r="CG66" i="21"/>
  <c r="CG133" i="15" s="1"/>
  <c r="BP63" i="15"/>
  <c r="BP39" i="15"/>
  <c r="BP160" i="15"/>
  <c r="BP112" i="15"/>
  <c r="BP87" i="15"/>
  <c r="CJ21" i="15"/>
  <c r="CI60" i="21"/>
  <c r="CI115" i="15" s="1"/>
  <c r="CG72" i="15"/>
  <c r="CF77" i="21"/>
  <c r="CF166" i="15" s="1"/>
  <c r="CL63" i="15"/>
  <c r="CK74" i="21"/>
  <c r="CK157" i="15" s="1"/>
  <c r="CH87" i="15"/>
  <c r="CG82" i="21"/>
  <c r="CG181" i="15" s="1"/>
  <c r="CK45" i="15"/>
  <c r="CJ68" i="21"/>
  <c r="CJ139" i="15" s="1"/>
  <c r="CM54" i="15"/>
  <c r="CL71" i="21"/>
  <c r="CL148" i="15" s="1"/>
  <c r="CK57" i="15"/>
  <c r="CJ72" i="21"/>
  <c r="CJ151" i="15" s="1"/>
  <c r="CC24" i="21"/>
  <c r="CM12" i="15"/>
  <c r="CL57" i="21"/>
  <c r="CL106" i="15" s="1"/>
  <c r="CG66" i="15"/>
  <c r="CF75" i="21"/>
  <c r="CF160" i="15" s="1"/>
  <c r="CK61" i="21"/>
  <c r="CK118" i="15" s="1"/>
  <c r="CL24" i="15"/>
  <c r="CF42" i="15"/>
  <c r="CE67" i="21"/>
  <c r="CE136" i="15" s="1"/>
  <c r="CN24" i="15"/>
  <c r="CM61" i="21"/>
  <c r="CM118" i="15" s="1"/>
  <c r="CI45" i="15"/>
  <c r="CH68" i="21"/>
  <c r="CH139" i="15" s="1"/>
  <c r="CF60" i="15"/>
  <c r="CE73" i="21"/>
  <c r="CE154" i="15" s="1"/>
  <c r="CG15" i="15"/>
  <c r="CF58" i="21"/>
  <c r="CF109" i="15" s="1"/>
  <c r="CK33" i="15"/>
  <c r="CJ64" i="21"/>
  <c r="CJ127" i="15" s="1"/>
  <c r="CK63" i="15"/>
  <c r="CJ74" i="21"/>
  <c r="CJ157" i="15" s="1"/>
  <c r="CI72" i="21"/>
  <c r="CI151" i="15" s="1"/>
  <c r="CJ57" i="15"/>
  <c r="CL72" i="15"/>
  <c r="CK77" i="21"/>
  <c r="CK166" i="15" s="1"/>
  <c r="CF30" i="15"/>
  <c r="CE63" i="21"/>
  <c r="CE124" i="15" s="1"/>
  <c r="CG78" i="21"/>
  <c r="CG169" i="15" s="1"/>
  <c r="CH75" i="15"/>
  <c r="CJ63" i="15"/>
  <c r="CI74" i="21"/>
  <c r="CI157" i="15" s="1"/>
  <c r="CM69" i="15"/>
  <c r="CL76" i="21"/>
  <c r="CL163" i="15" s="1"/>
  <c r="CF36" i="15"/>
  <c r="CE65" i="21"/>
  <c r="CE130" i="15" s="1"/>
  <c r="CI69" i="15"/>
  <c r="CH76" i="21"/>
  <c r="CH163" i="15" s="1"/>
  <c r="CM60" i="15"/>
  <c r="CL73" i="21"/>
  <c r="CL154" i="15" s="1"/>
  <c r="CG63" i="15"/>
  <c r="CF74" i="21"/>
  <c r="CF157" i="15" s="1"/>
  <c r="CF48" i="15"/>
  <c r="CE69" i="21"/>
  <c r="CE142" i="15" s="1"/>
  <c r="CM18" i="15"/>
  <c r="CL59" i="21"/>
  <c r="CL112" i="15" s="1"/>
  <c r="CO57" i="15"/>
  <c r="CN72" i="21"/>
  <c r="CN151" i="15" s="1"/>
  <c r="CO72" i="21"/>
  <c r="CO151" i="15" s="1"/>
  <c r="CI21" i="15"/>
  <c r="CH60" i="21"/>
  <c r="CH115" i="15" s="1"/>
  <c r="CH81" i="15"/>
  <c r="CG80" i="21"/>
  <c r="CG175" i="15" s="1"/>
  <c r="CH69" i="15"/>
  <c r="CG76" i="21"/>
  <c r="CG163" i="15" s="1"/>
  <c r="CO81" i="15"/>
  <c r="CN80" i="21"/>
  <c r="CN175" i="15" s="1"/>
  <c r="CO80" i="21"/>
  <c r="CO175" i="15" s="1"/>
  <c r="BD157" i="15"/>
  <c r="BP157" i="15" s="1"/>
  <c r="BP74" i="21"/>
  <c r="CE22" i="21"/>
  <c r="BR15" i="15"/>
  <c r="BQ58" i="21"/>
  <c r="BQ109" i="15" s="1"/>
  <c r="CG45" i="15"/>
  <c r="CF68" i="21"/>
  <c r="CF139" i="15" s="1"/>
  <c r="CE46" i="21"/>
  <c r="BR87" i="15"/>
  <c r="BQ82" i="21"/>
  <c r="BQ181" i="15" s="1"/>
  <c r="CE30" i="21"/>
  <c r="BR39" i="15"/>
  <c r="BQ66" i="21"/>
  <c r="CI15" i="15"/>
  <c r="CH58" i="21"/>
  <c r="CH109" i="15" s="1"/>
  <c r="CI87" i="15"/>
  <c r="CH82" i="21"/>
  <c r="CH181" i="15" s="1"/>
  <c r="CJ39" i="21"/>
  <c r="BW66" i="15"/>
  <c r="BV75" i="21"/>
  <c r="BV160" i="15" s="1"/>
  <c r="CD41" i="21"/>
  <c r="CD72" i="15" s="1"/>
  <c r="BQ72" i="15"/>
  <c r="CK69" i="15"/>
  <c r="CJ76" i="21"/>
  <c r="CJ163" i="15" s="1"/>
  <c r="CI63" i="15"/>
  <c r="CH74" i="21"/>
  <c r="CH157" i="15" s="1"/>
  <c r="CD26" i="21"/>
  <c r="CD27" i="15" s="1"/>
  <c r="BQ27" i="15"/>
  <c r="BE115" i="15"/>
  <c r="BP115" i="15" s="1"/>
  <c r="BP60" i="21"/>
  <c r="BD133" i="15"/>
  <c r="BP133" i="15" s="1"/>
  <c r="BP66" i="21"/>
  <c r="BT39" i="15"/>
  <c r="CG30" i="21"/>
  <c r="BS66" i="21"/>
  <c r="BS133" i="15" s="1"/>
  <c r="CC26" i="21"/>
  <c r="CE38" i="21"/>
  <c r="BR63" i="15"/>
  <c r="BQ74" i="21"/>
  <c r="BR74" i="21"/>
  <c r="BR157" i="15" s="1"/>
  <c r="CF38" i="21"/>
  <c r="BS63" i="15"/>
  <c r="CH63" i="15"/>
  <c r="CG74" i="21"/>
  <c r="CG157" i="15" s="1"/>
  <c r="CG90" i="15"/>
  <c r="CF83" i="21"/>
  <c r="CF184" i="15" s="1"/>
  <c r="CJ28" i="21"/>
  <c r="BW33" i="15"/>
  <c r="BV64" i="21"/>
  <c r="BV127" i="15" s="1"/>
  <c r="CG37" i="21"/>
  <c r="BT60" i="15"/>
  <c r="BS73" i="21"/>
  <c r="BS154" i="15" s="1"/>
  <c r="CO12" i="15"/>
  <c r="CO57" i="21"/>
  <c r="CO106" i="15" s="1"/>
  <c r="CN57" i="21"/>
  <c r="CN106" i="15" s="1"/>
  <c r="BS78" i="21"/>
  <c r="BS169" i="15" s="1"/>
  <c r="CG42" i="21"/>
  <c r="BT75" i="15"/>
  <c r="BQ78" i="15"/>
  <c r="CD43" i="21"/>
  <c r="CD78" i="15" s="1"/>
  <c r="CI39" i="15"/>
  <c r="CH66" i="21"/>
  <c r="CH133" i="15" s="1"/>
  <c r="CJ51" i="15"/>
  <c r="CI70" i="21"/>
  <c r="CI145" i="15" s="1"/>
  <c r="CD32" i="21"/>
  <c r="CD45" i="15" s="1"/>
  <c r="BQ45" i="15"/>
  <c r="CF84" i="15"/>
  <c r="CE81" i="21"/>
  <c r="CE178" i="15" s="1"/>
  <c r="CJ75" i="15"/>
  <c r="CI78" i="21"/>
  <c r="CI169" i="15" s="1"/>
  <c r="CF30" i="21"/>
  <c r="BS39" i="15"/>
  <c r="BR66" i="21"/>
  <c r="BR133" i="15" s="1"/>
  <c r="CF66" i="15"/>
  <c r="CE75" i="21"/>
  <c r="CE160" i="15" s="1"/>
  <c r="CG84" i="15"/>
  <c r="CF81" i="21"/>
  <c r="CF178" i="15" s="1"/>
  <c r="BR60" i="21"/>
  <c r="CF24" i="21"/>
  <c r="BS21" i="15"/>
  <c r="CH23" i="21"/>
  <c r="BU18" i="15"/>
  <c r="BT59" i="21"/>
  <c r="BT112" i="15" s="1"/>
  <c r="CC39" i="21"/>
  <c r="BQ136" i="15"/>
  <c r="BF181" i="15"/>
  <c r="BP181" i="15" s="1"/>
  <c r="BP82" i="21"/>
  <c r="CD22" i="21"/>
  <c r="BQ15" i="15"/>
  <c r="CE90" i="15"/>
  <c r="CD83" i="21"/>
  <c r="CN75" i="15"/>
  <c r="CM78" i="21"/>
  <c r="CM169" i="15" s="1"/>
  <c r="CE72" i="15"/>
  <c r="CD77" i="21"/>
  <c r="CG78" i="15"/>
  <c r="CF79" i="21"/>
  <c r="CF172" i="15" s="1"/>
  <c r="CE66" i="15"/>
  <c r="CD75" i="21"/>
  <c r="CC22" i="21"/>
  <c r="CE30" i="15"/>
  <c r="CD63" i="21"/>
  <c r="CL40" i="21"/>
  <c r="BY69" i="15"/>
  <c r="BX76" i="21"/>
  <c r="CO84" i="15"/>
  <c r="CO81" i="21"/>
  <c r="CO178" i="15" s="1"/>
  <c r="CN81" i="21"/>
  <c r="CN178" i="15" s="1"/>
  <c r="BQ118" i="15"/>
  <c r="BQ112" i="15"/>
  <c r="CE12" i="15"/>
  <c r="CD57" i="21"/>
  <c r="CE84" i="15"/>
  <c r="CD81" i="21"/>
  <c r="CD175" i="15"/>
  <c r="CD121" i="15"/>
  <c r="BK139" i="15"/>
  <c r="BP139" i="15" s="1"/>
  <c r="BP68" i="21"/>
  <c r="CO18" i="15"/>
  <c r="CN59" i="21"/>
  <c r="CN112" i="15" s="1"/>
  <c r="CO59" i="21"/>
  <c r="CO112" i="15" s="1"/>
  <c r="BQ172" i="15"/>
  <c r="CE42" i="15"/>
  <c r="CD67" i="21"/>
  <c r="BL109" i="15"/>
  <c r="BP109" i="15" s="1"/>
  <c r="BP58" i="21"/>
  <c r="CL60" i="15"/>
  <c r="CK73" i="21"/>
  <c r="CK154" i="15" s="1"/>
  <c r="CM34" i="21"/>
  <c r="BZ51" i="15"/>
  <c r="BY70" i="21"/>
  <c r="BY145" i="15" s="1"/>
  <c r="BQ130" i="15"/>
  <c r="CE54" i="15"/>
  <c r="CD71" i="21"/>
  <c r="CD151" i="15"/>
  <c r="CN33" i="15"/>
  <c r="CM64" i="21"/>
  <c r="CM127" i="15" s="1"/>
  <c r="BE127" i="15"/>
  <c r="BP127" i="15" s="1"/>
  <c r="BP64" i="21"/>
  <c r="CL51" i="15"/>
  <c r="CK70" i="21"/>
  <c r="CK145" i="15" s="1"/>
  <c r="CO75" i="15"/>
  <c r="CN78" i="21"/>
  <c r="CN169" i="15" s="1"/>
  <c r="CO78" i="21"/>
  <c r="CO169" i="15" s="1"/>
  <c r="CF24" i="15"/>
  <c r="CE61" i="21"/>
  <c r="CE118" i="15" s="1"/>
  <c r="CE60" i="15"/>
  <c r="CD73" i="21"/>
  <c r="CG46" i="21"/>
  <c r="BT87" i="15"/>
  <c r="BS82" i="21"/>
  <c r="BQ184" i="15"/>
  <c r="CN51" i="15"/>
  <c r="CM70" i="21"/>
  <c r="CM145" i="15" s="1"/>
  <c r="BQ166" i="15"/>
  <c r="CN42" i="15"/>
  <c r="CM67" i="21"/>
  <c r="CM136" i="15" s="1"/>
  <c r="CL75" i="15"/>
  <c r="CK78" i="21"/>
  <c r="CK169" i="15" s="1"/>
  <c r="CD30" i="21"/>
  <c r="CD39" i="15" s="1"/>
  <c r="BQ39" i="15"/>
  <c r="BQ160" i="15"/>
  <c r="CO36" i="15"/>
  <c r="CN65" i="21"/>
  <c r="CN130" i="15" s="1"/>
  <c r="CO65" i="21"/>
  <c r="CO130" i="15" s="1"/>
  <c r="BQ124" i="15"/>
  <c r="BQ148" i="15"/>
  <c r="BK163" i="15"/>
  <c r="BP163" i="15" s="1"/>
  <c r="BP76" i="21"/>
  <c r="CE24" i="15"/>
  <c r="CD61" i="21"/>
  <c r="BQ33" i="15"/>
  <c r="CD28" i="21"/>
  <c r="CD33" i="15" s="1"/>
  <c r="CC34" i="21"/>
  <c r="BQ178" i="15"/>
  <c r="CL84" i="15"/>
  <c r="CK81" i="21"/>
  <c r="CK178" i="15" s="1"/>
  <c r="CE48" i="15"/>
  <c r="CD69" i="21"/>
  <c r="CL32" i="21"/>
  <c r="BY45" i="15"/>
  <c r="BX68" i="21"/>
  <c r="CE78" i="15"/>
  <c r="CD79" i="21"/>
  <c r="CM22" i="21"/>
  <c r="BZ15" i="15"/>
  <c r="BY58" i="21"/>
  <c r="BQ154" i="15"/>
  <c r="BP15" i="15"/>
  <c r="CE36" i="15"/>
  <c r="CD65" i="21"/>
  <c r="BP70" i="21"/>
  <c r="CO27" i="15"/>
  <c r="CN62" i="21"/>
  <c r="CN121" i="15" s="1"/>
  <c r="CO62" i="21"/>
  <c r="CO121" i="15" s="1"/>
  <c r="CD127" i="15"/>
  <c r="CN63" i="15"/>
  <c r="CM74" i="21"/>
  <c r="CM157" i="15" s="1"/>
  <c r="CE18" i="15"/>
  <c r="CD59" i="21"/>
  <c r="BQ106" i="15"/>
  <c r="BP33" i="15"/>
  <c r="CF28" i="21"/>
  <c r="BS33" i="15"/>
  <c r="BR64" i="21"/>
  <c r="CO66" i="15"/>
  <c r="CN75" i="21"/>
  <c r="CN160" i="15" s="1"/>
  <c r="CO75" i="21"/>
  <c r="CO160" i="15" s="1"/>
  <c r="CD115" i="15"/>
  <c r="CN84" i="15"/>
  <c r="CM81" i="21"/>
  <c r="CM178" i="15" s="1"/>
  <c r="CD163" i="15"/>
  <c r="CM57" i="15"/>
  <c r="CL72" i="21"/>
  <c r="CL151" i="15" s="1"/>
  <c r="CF72" i="15"/>
  <c r="CE77" i="21"/>
  <c r="CE166" i="15" s="1"/>
  <c r="BQ142" i="15"/>
  <c r="CC46" i="21"/>
  <c r="E114" i="13"/>
  <c r="D122" i="9"/>
  <c r="C155" i="13"/>
  <c r="D135" i="13"/>
  <c r="D129" i="13"/>
  <c r="D130" i="13" s="1"/>
  <c r="D121" i="9"/>
  <c r="D148" i="13"/>
  <c r="E113" i="13"/>
  <c r="BH15" i="22"/>
  <c r="BJ25" i="22"/>
  <c r="BH25" i="22"/>
  <c r="BH13" i="22"/>
  <c r="CP34" i="22"/>
  <c r="CR34" i="22" s="1"/>
  <c r="CE34" i="22"/>
  <c r="BB45" i="20"/>
  <c r="R45" i="36"/>
  <c r="BH18" i="22"/>
  <c r="CO74" i="20"/>
  <c r="BJ19" i="22"/>
  <c r="BH19" i="22"/>
  <c r="BF42" i="22"/>
  <c r="BE42" i="22"/>
  <c r="Z45" i="36"/>
  <c r="CB45" i="20"/>
  <c r="V74" i="36"/>
  <c r="BO74" i="20"/>
  <c r="BF47" i="22"/>
  <c r="BE47" i="22"/>
  <c r="BF46" i="22"/>
  <c r="BE46" i="22"/>
  <c r="BF50" i="22"/>
  <c r="BE50" i="22"/>
  <c r="BJ21" i="22"/>
  <c r="BH21" i="22"/>
  <c r="AB43" i="20"/>
  <c r="G125" i="13"/>
  <c r="BH6" i="22"/>
  <c r="BJ28" i="22"/>
  <c r="BH28" i="22"/>
  <c r="BH10" i="22"/>
  <c r="BK39" i="22"/>
  <c r="BE39" i="22"/>
  <c r="BF51" i="22"/>
  <c r="BE51" i="22"/>
  <c r="J45" i="36"/>
  <c r="AB45" i="20"/>
  <c r="Z74" i="36"/>
  <c r="CB74" i="20"/>
  <c r="B88" i="36"/>
  <c r="B88" i="20"/>
  <c r="BF44" i="22"/>
  <c r="BE44" i="22"/>
  <c r="BK20" i="22"/>
  <c r="BH20" i="22"/>
  <c r="BF41" i="22"/>
  <c r="BE41" i="22"/>
  <c r="B59" i="36"/>
  <c r="B59" i="20"/>
  <c r="BH7" i="22"/>
  <c r="F60" i="13"/>
  <c r="I60" i="13"/>
  <c r="G60" i="13"/>
  <c r="BJ24" i="22"/>
  <c r="BH24" i="22"/>
  <c r="AB74" i="20"/>
  <c r="J74" i="36"/>
  <c r="BH16" i="22"/>
  <c r="H43" i="36"/>
  <c r="BF29" i="22"/>
  <c r="BA29" i="22"/>
  <c r="BB29" i="22"/>
  <c r="AY29" i="22"/>
  <c r="BH11" i="22"/>
  <c r="AZ29" i="22"/>
  <c r="BC29" i="22"/>
  <c r="AW29" i="22"/>
  <c r="AE43" i="20"/>
  <c r="AL43" i="20"/>
  <c r="AF43" i="20"/>
  <c r="AH43" i="20"/>
  <c r="AJ43" i="20"/>
  <c r="AM43" i="20"/>
  <c r="AN43" i="20" s="1"/>
  <c r="AP43" i="20" s="1"/>
  <c r="AD43" i="20"/>
  <c r="AK43" i="20"/>
  <c r="AG43" i="20"/>
  <c r="AI43" i="20"/>
  <c r="BG29" i="22"/>
  <c r="AI72" i="20"/>
  <c r="BD29" i="22"/>
  <c r="BH9" i="22"/>
  <c r="BZ29" i="22"/>
  <c r="CN29" i="22"/>
  <c r="J43" i="36"/>
  <c r="BS29" i="22"/>
  <c r="A18" i="24"/>
  <c r="E17" i="24"/>
  <c r="C17" i="24"/>
  <c r="I17" i="24"/>
  <c r="K17" i="24" s="1"/>
  <c r="E128" i="13"/>
  <c r="E159" i="13" s="1"/>
  <c r="G52" i="4"/>
  <c r="CE70" i="21" l="1"/>
  <c r="CE145" i="15" s="1"/>
  <c r="E219" i="13"/>
  <c r="F219" i="13" s="1"/>
  <c r="F250" i="13" s="1"/>
  <c r="F262" i="13" s="1"/>
  <c r="D117" i="9"/>
  <c r="AI13" i="20"/>
  <c r="G13" i="36"/>
  <c r="AF72" i="20"/>
  <c r="AF13" i="20"/>
  <c r="D196" i="9"/>
  <c r="I45" i="9"/>
  <c r="H13" i="36"/>
  <c r="AK13" i="20"/>
  <c r="AG13" i="20"/>
  <c r="AN13" i="20"/>
  <c r="AP13" i="20" s="1"/>
  <c r="AQ13" i="20" s="1"/>
  <c r="AM13" i="20"/>
  <c r="AH13" i="20"/>
  <c r="D41" i="9"/>
  <c r="F37" i="13"/>
  <c r="F38" i="13" s="1"/>
  <c r="E17" i="13"/>
  <c r="E109" i="13" s="1"/>
  <c r="E200" i="13" s="1"/>
  <c r="E192" i="9" s="1"/>
  <c r="CP42" i="21"/>
  <c r="D239" i="13"/>
  <c r="A87" i="29"/>
  <c r="E86" i="29"/>
  <c r="C86" i="29"/>
  <c r="D220" i="13"/>
  <c r="D221" i="13" s="1"/>
  <c r="J13" i="36"/>
  <c r="AJ13" i="20"/>
  <c r="AE13" i="20"/>
  <c r="AD13" i="20"/>
  <c r="I13" i="36"/>
  <c r="C45" i="13"/>
  <c r="O29" i="20"/>
  <c r="BO29" i="20"/>
  <c r="CO29" i="20"/>
  <c r="AB29" i="20"/>
  <c r="BB29" i="20"/>
  <c r="AO29" i="20"/>
  <c r="CB29" i="20"/>
  <c r="E23" i="27"/>
  <c r="G151" i="13"/>
  <c r="G138" i="9"/>
  <c r="F18" i="27"/>
  <c r="F204" i="13"/>
  <c r="E239" i="13"/>
  <c r="E196" i="9"/>
  <c r="AB13" i="20"/>
  <c r="AJ72" i="20"/>
  <c r="AH72" i="20"/>
  <c r="AL72" i="20"/>
  <c r="AM72" i="20"/>
  <c r="AE72" i="20"/>
  <c r="J72" i="36"/>
  <c r="AD72" i="20"/>
  <c r="AN72" i="20"/>
  <c r="AP72" i="20" s="1"/>
  <c r="AQ72" i="20" s="1"/>
  <c r="AK72" i="20"/>
  <c r="H72" i="36"/>
  <c r="CP31" i="21"/>
  <c r="CL65" i="21"/>
  <c r="CL130" i="15" s="1"/>
  <c r="CM36" i="15"/>
  <c r="C23" i="27"/>
  <c r="CM33" i="15"/>
  <c r="CL64" i="21"/>
  <c r="CL127" i="15" s="1"/>
  <c r="CO68" i="21"/>
  <c r="CO139" i="15" s="1"/>
  <c r="CO45" i="15"/>
  <c r="CN68" i="21"/>
  <c r="CN139" i="15" s="1"/>
  <c r="CE45" i="15"/>
  <c r="CD68" i="21"/>
  <c r="CD139" i="15" s="1"/>
  <c r="CC61" i="21"/>
  <c r="CP40" i="21"/>
  <c r="CP29" i="21"/>
  <c r="CM45" i="15"/>
  <c r="CL68" i="21"/>
  <c r="CL139" i="15" s="1"/>
  <c r="CK21" i="15"/>
  <c r="CJ60" i="21"/>
  <c r="CJ115" i="15" s="1"/>
  <c r="I72" i="36"/>
  <c r="D38" i="9"/>
  <c r="AB72" i="20"/>
  <c r="G72" i="36"/>
  <c r="AT29" i="22"/>
  <c r="AV29" i="22"/>
  <c r="CE51" i="15"/>
  <c r="CD70" i="21"/>
  <c r="CD145" i="15" s="1"/>
  <c r="CP38" i="21"/>
  <c r="CP47" i="21"/>
  <c r="CP25" i="21"/>
  <c r="CI48" i="15"/>
  <c r="CH69" i="21"/>
  <c r="CH142" i="15" s="1"/>
  <c r="CO60" i="15"/>
  <c r="CN73" i="21"/>
  <c r="CN154" i="15" s="1"/>
  <c r="CO73" i="21"/>
  <c r="CO154" i="15" s="1"/>
  <c r="CP36" i="21"/>
  <c r="CC57" i="21"/>
  <c r="CC73" i="21"/>
  <c r="CP34" i="21"/>
  <c r="CC77" i="21"/>
  <c r="CC72" i="21"/>
  <c r="CC71" i="21"/>
  <c r="CP37" i="21"/>
  <c r="CP45" i="21"/>
  <c r="CC81" i="15"/>
  <c r="CC79" i="21"/>
  <c r="CC67" i="21"/>
  <c r="CC51" i="15"/>
  <c r="CP35" i="21"/>
  <c r="CC151" i="15"/>
  <c r="CP33" i="21"/>
  <c r="CP44" i="21"/>
  <c r="CP27" i="21"/>
  <c r="CP41" i="21"/>
  <c r="CF70" i="21"/>
  <c r="CF145" i="15" s="1"/>
  <c r="CG51" i="15"/>
  <c r="CJ81" i="15"/>
  <c r="CI80" i="21"/>
  <c r="CI175" i="15" s="1"/>
  <c r="CE76" i="21"/>
  <c r="CE163" i="15" s="1"/>
  <c r="CF69" i="15"/>
  <c r="CM87" i="15"/>
  <c r="CL82" i="21"/>
  <c r="CL181" i="15" s="1"/>
  <c r="CL57" i="15"/>
  <c r="CK72" i="21"/>
  <c r="CK151" i="15" s="1"/>
  <c r="CP21" i="21"/>
  <c r="CN81" i="15"/>
  <c r="CM80" i="21"/>
  <c r="CM175" i="15" s="1"/>
  <c r="CM63" i="15"/>
  <c r="CL74" i="21"/>
  <c r="CL157" i="15" s="1"/>
  <c r="CN69" i="15"/>
  <c r="CM76" i="21"/>
  <c r="CM163" i="15" s="1"/>
  <c r="CL81" i="15"/>
  <c r="CK80" i="21"/>
  <c r="CK175" i="15" s="1"/>
  <c r="CF45" i="15"/>
  <c r="CE68" i="21"/>
  <c r="CE139" i="15" s="1"/>
  <c r="CK51" i="15"/>
  <c r="CJ70" i="21"/>
  <c r="CJ145" i="15" s="1"/>
  <c r="CJ45" i="15"/>
  <c r="CI68" i="21"/>
  <c r="CI139" i="15" s="1"/>
  <c r="CJ58" i="21"/>
  <c r="CJ109" i="15" s="1"/>
  <c r="CK15" i="15"/>
  <c r="CF57" i="15"/>
  <c r="CE72" i="21"/>
  <c r="CE151" i="15" s="1"/>
  <c r="CK75" i="15"/>
  <c r="CJ78" i="21"/>
  <c r="CJ169" i="15" s="1"/>
  <c r="CO15" i="15"/>
  <c r="CN58" i="21"/>
  <c r="CN109" i="15" s="1"/>
  <c r="CO58" i="21"/>
  <c r="CO109" i="15" s="1"/>
  <c r="CK27" i="15"/>
  <c r="CJ62" i="21"/>
  <c r="CJ121" i="15" s="1"/>
  <c r="CC57" i="15"/>
  <c r="CL21" i="15"/>
  <c r="CK60" i="21"/>
  <c r="CK115" i="15" s="1"/>
  <c r="CH57" i="15"/>
  <c r="CG72" i="21"/>
  <c r="CG151" i="15" s="1"/>
  <c r="CN21" i="15"/>
  <c r="CM60" i="21"/>
  <c r="CM115" i="15" s="1"/>
  <c r="CG27" i="15"/>
  <c r="CF62" i="21"/>
  <c r="CF121" i="15" s="1"/>
  <c r="CH45" i="15"/>
  <c r="CG68" i="21"/>
  <c r="CG139" i="15" s="1"/>
  <c r="CN57" i="15"/>
  <c r="CM72" i="21"/>
  <c r="CM151" i="15" s="1"/>
  <c r="CO63" i="15"/>
  <c r="CN74" i="21"/>
  <c r="CN157" i="15" s="1"/>
  <c r="CO74" i="21"/>
  <c r="CO157" i="15" s="1"/>
  <c r="CO51" i="15"/>
  <c r="CO70" i="21"/>
  <c r="CO145" i="15" s="1"/>
  <c r="CN70" i="21"/>
  <c r="CN145" i="15" s="1"/>
  <c r="CC145" i="15"/>
  <c r="CC75" i="15"/>
  <c r="CC169" i="15"/>
  <c r="CC69" i="15"/>
  <c r="CC48" i="15"/>
  <c r="D189" i="9"/>
  <c r="G64" i="15"/>
  <c r="F65" i="15"/>
  <c r="CJ15" i="15"/>
  <c r="CI58" i="21"/>
  <c r="CI109" i="15" s="1"/>
  <c r="G82" i="15"/>
  <c r="F83" i="15"/>
  <c r="F50" i="15"/>
  <c r="G49" i="15"/>
  <c r="CF78" i="15"/>
  <c r="CE79" i="21"/>
  <c r="CE172" i="15" s="1"/>
  <c r="G37" i="15"/>
  <c r="F38" i="15"/>
  <c r="CC81" i="21"/>
  <c r="CC75" i="21"/>
  <c r="CC83" i="21"/>
  <c r="CC65" i="21"/>
  <c r="CP23" i="21"/>
  <c r="F47" i="15"/>
  <c r="G46" i="15"/>
  <c r="F86" i="15"/>
  <c r="G85" i="15"/>
  <c r="CI42" i="15"/>
  <c r="CH67" i="21"/>
  <c r="CH136" i="15" s="1"/>
  <c r="G40" i="15"/>
  <c r="F41" i="15"/>
  <c r="CH42" i="15"/>
  <c r="CG67" i="21"/>
  <c r="CG136" i="15" s="1"/>
  <c r="CE75" i="15"/>
  <c r="CD78" i="21"/>
  <c r="CD169" i="15" s="1"/>
  <c r="BJ23" i="22"/>
  <c r="BH23" i="22"/>
  <c r="E96" i="15"/>
  <c r="CG21" i="15"/>
  <c r="CF60" i="21"/>
  <c r="CF115" i="15" s="1"/>
  <c r="F26" i="15"/>
  <c r="G25" i="15"/>
  <c r="BH17" i="22"/>
  <c r="BF43" i="22"/>
  <c r="BE43" i="22"/>
  <c r="BX26" i="22"/>
  <c r="BV26" i="22"/>
  <c r="F14" i="15"/>
  <c r="G13" i="15"/>
  <c r="D63" i="13"/>
  <c r="E44" i="13"/>
  <c r="E14" i="13" s="1"/>
  <c r="E38" i="9" s="1"/>
  <c r="CG24" i="15"/>
  <c r="CF61" i="21"/>
  <c r="CF118" i="15" s="1"/>
  <c r="F8" i="15"/>
  <c r="G7" i="15"/>
  <c r="G76" i="15"/>
  <c r="F77" i="15"/>
  <c r="F62" i="15"/>
  <c r="G61" i="15"/>
  <c r="G52" i="15"/>
  <c r="F53" i="15"/>
  <c r="CK60" i="15"/>
  <c r="CJ73" i="21"/>
  <c r="CJ154" i="15" s="1"/>
  <c r="CC69" i="21"/>
  <c r="CC63" i="21"/>
  <c r="CP39" i="21"/>
  <c r="CC21" i="15"/>
  <c r="E197" i="13"/>
  <c r="E246" i="13"/>
  <c r="F226" i="13"/>
  <c r="F68" i="15"/>
  <c r="G67" i="15"/>
  <c r="CG36" i="15"/>
  <c r="CF65" i="21"/>
  <c r="CF130" i="15" s="1"/>
  <c r="F56" i="15"/>
  <c r="G55" i="15"/>
  <c r="CH12" i="15"/>
  <c r="CG57" i="21"/>
  <c r="CG106" i="15" s="1"/>
  <c r="CG48" i="15"/>
  <c r="CF69" i="21"/>
  <c r="CF142" i="15" s="1"/>
  <c r="G88" i="15"/>
  <c r="F89" i="15"/>
  <c r="F11" i="15"/>
  <c r="G10" i="15"/>
  <c r="F80" i="15"/>
  <c r="G79" i="15"/>
  <c r="CI90" i="15"/>
  <c r="CH83" i="21"/>
  <c r="CH184" i="15" s="1"/>
  <c r="G16" i="15"/>
  <c r="F17" i="15"/>
  <c r="F32" i="15"/>
  <c r="G31" i="15"/>
  <c r="G94" i="15"/>
  <c r="F95" i="15"/>
  <c r="G28" i="15"/>
  <c r="F29" i="15"/>
  <c r="BV8" i="22"/>
  <c r="F20" i="15"/>
  <c r="G19" i="15"/>
  <c r="CH51" i="15"/>
  <c r="CG70" i="21"/>
  <c r="CG145" i="15" s="1"/>
  <c r="CK72" i="15"/>
  <c r="CJ77" i="21"/>
  <c r="CJ166" i="15" s="1"/>
  <c r="G34" i="15"/>
  <c r="F35" i="15"/>
  <c r="G70" i="15"/>
  <c r="F71" i="15"/>
  <c r="CJ30" i="15"/>
  <c r="CI63" i="21"/>
  <c r="CI124" i="15" s="1"/>
  <c r="CP43" i="21"/>
  <c r="CP32" i="21"/>
  <c r="BF49" i="22"/>
  <c r="BE49" i="22"/>
  <c r="CH30" i="15"/>
  <c r="CG63" i="21"/>
  <c r="CG124" i="15" s="1"/>
  <c r="F92" i="15"/>
  <c r="G91" i="15"/>
  <c r="G22" i="15"/>
  <c r="F23" i="15"/>
  <c r="G58" i="15"/>
  <c r="F59" i="15"/>
  <c r="BJ22" i="22"/>
  <c r="BH22" i="22"/>
  <c r="CI24" i="15"/>
  <c r="CH61" i="21"/>
  <c r="CH118" i="15" s="1"/>
  <c r="F44" i="15"/>
  <c r="G43" i="15"/>
  <c r="BJ27" i="22"/>
  <c r="BH27" i="22"/>
  <c r="CH66" i="15"/>
  <c r="CG75" i="21"/>
  <c r="CG160" i="15" s="1"/>
  <c r="BF48" i="22"/>
  <c r="BE48" i="22"/>
  <c r="BV14" i="22"/>
  <c r="F74" i="15"/>
  <c r="G73" i="15"/>
  <c r="BF45" i="22"/>
  <c r="BE45" i="22"/>
  <c r="CF80" i="21"/>
  <c r="CF175" i="15" s="1"/>
  <c r="CG81" i="15"/>
  <c r="I18" i="27"/>
  <c r="K18" i="27" s="1"/>
  <c r="CC27" i="15"/>
  <c r="CC66" i="15"/>
  <c r="CC42" i="15"/>
  <c r="CC18" i="15"/>
  <c r="CC166" i="15"/>
  <c r="CC172" i="15"/>
  <c r="CC24" i="15"/>
  <c r="CC36" i="15"/>
  <c r="CC12" i="15"/>
  <c r="CC30" i="15"/>
  <c r="CC148" i="15"/>
  <c r="CC106" i="15"/>
  <c r="CC90" i="15"/>
  <c r="CC178" i="15"/>
  <c r="CC184" i="15"/>
  <c r="CC118" i="15"/>
  <c r="CC136" i="15"/>
  <c r="CC72" i="15"/>
  <c r="CC142" i="15"/>
  <c r="CC84" i="15"/>
  <c r="CC124" i="15"/>
  <c r="CC130" i="15"/>
  <c r="CC54" i="15"/>
  <c r="CC78" i="15"/>
  <c r="CC60" i="15"/>
  <c r="CC78" i="21"/>
  <c r="BY121" i="15"/>
  <c r="CC121" i="15" s="1"/>
  <c r="CC62" i="21"/>
  <c r="CJ24" i="15"/>
  <c r="CI61" i="21"/>
  <c r="CI118" i="15" s="1"/>
  <c r="CF12" i="15"/>
  <c r="CE57" i="21"/>
  <c r="CE106" i="15" s="1"/>
  <c r="CI18" i="15"/>
  <c r="CH59" i="21"/>
  <c r="CH112" i="15" s="1"/>
  <c r="CL66" i="15"/>
  <c r="CK75" i="21"/>
  <c r="CK160" i="15" s="1"/>
  <c r="CG42" i="15"/>
  <c r="CF67" i="21"/>
  <c r="CF136" i="15" s="1"/>
  <c r="CF81" i="15"/>
  <c r="CE80" i="21"/>
  <c r="CN72" i="15"/>
  <c r="CM77" i="21"/>
  <c r="CM166" i="15" s="1"/>
  <c r="CG18" i="15"/>
  <c r="CF59" i="21"/>
  <c r="CF112" i="15" s="1"/>
  <c r="CL30" i="15"/>
  <c r="CK63" i="21"/>
  <c r="CK124" i="15" s="1"/>
  <c r="CJ12" i="15"/>
  <c r="CI57" i="21"/>
  <c r="CI106" i="15" s="1"/>
  <c r="CL62" i="21"/>
  <c r="CL121" i="15" s="1"/>
  <c r="CM27" i="15"/>
  <c r="CG69" i="21"/>
  <c r="CG142" i="15" s="1"/>
  <c r="CH48" i="15"/>
  <c r="CK24" i="15"/>
  <c r="CJ61" i="21"/>
  <c r="CJ118" i="15" s="1"/>
  <c r="CO42" i="15"/>
  <c r="CO67" i="21"/>
  <c r="CO136" i="15" s="1"/>
  <c r="CN67" i="21"/>
  <c r="CN136" i="15" s="1"/>
  <c r="CO90" i="15"/>
  <c r="CO83" i="21"/>
  <c r="CO184" i="15" s="1"/>
  <c r="CN83" i="21"/>
  <c r="CN184" i="15" s="1"/>
  <c r="CL78" i="15"/>
  <c r="CK79" i="21"/>
  <c r="CK172" i="15" s="1"/>
  <c r="CH60" i="15"/>
  <c r="CG73" i="21"/>
  <c r="CG154" i="15" s="1"/>
  <c r="CN48" i="15"/>
  <c r="CM69" i="21"/>
  <c r="CM142" i="15" s="1"/>
  <c r="CJ72" i="15"/>
  <c r="CI77" i="21"/>
  <c r="CI166" i="15" s="1"/>
  <c r="CM72" i="15"/>
  <c r="CL77" i="21"/>
  <c r="CL166" i="15" s="1"/>
  <c r="CG30" i="15"/>
  <c r="CF63" i="21"/>
  <c r="CF124" i="15" s="1"/>
  <c r="CI84" i="15"/>
  <c r="CH81" i="21"/>
  <c r="CH178" i="15" s="1"/>
  <c r="CN60" i="15"/>
  <c r="CM73" i="21"/>
  <c r="CM154" i="15" s="1"/>
  <c r="CJ48" i="15"/>
  <c r="CI69" i="21"/>
  <c r="CI142" i="15" s="1"/>
  <c r="CH36" i="15"/>
  <c r="CG65" i="21"/>
  <c r="CG130" i="15" s="1"/>
  <c r="CO54" i="15"/>
  <c r="CO71" i="21"/>
  <c r="CO148" i="15" s="1"/>
  <c r="CN71" i="21"/>
  <c r="CN148" i="15" s="1"/>
  <c r="CO78" i="15"/>
  <c r="CN79" i="21"/>
  <c r="CN172" i="15" s="1"/>
  <c r="CO79" i="21"/>
  <c r="CO172" i="15" s="1"/>
  <c r="CG54" i="15"/>
  <c r="CF71" i="21"/>
  <c r="CF148" i="15" s="1"/>
  <c r="CL54" i="15"/>
  <c r="CK71" i="21"/>
  <c r="CK148" i="15" s="1"/>
  <c r="CL66" i="21"/>
  <c r="CL133" i="15" s="1"/>
  <c r="CM39" i="15"/>
  <c r="BR175" i="15"/>
  <c r="CC175" i="15" s="1"/>
  <c r="CC80" i="21"/>
  <c r="CL18" i="15"/>
  <c r="CK59" i="21"/>
  <c r="CK112" i="15" s="1"/>
  <c r="CI30" i="15"/>
  <c r="CH63" i="21"/>
  <c r="CH124" i="15" s="1"/>
  <c r="CL90" i="15"/>
  <c r="CK83" i="21"/>
  <c r="CK184" i="15" s="1"/>
  <c r="CK90" i="15"/>
  <c r="CJ83" i="21"/>
  <c r="CJ184" i="15" s="1"/>
  <c r="CJ84" i="15"/>
  <c r="CI81" i="21"/>
  <c r="CI178" i="15" s="1"/>
  <c r="CH72" i="15"/>
  <c r="CG77" i="21"/>
  <c r="CG166" i="15" s="1"/>
  <c r="CH84" i="15"/>
  <c r="CG81" i="21"/>
  <c r="CG178" i="15" s="1"/>
  <c r="CI65" i="21"/>
  <c r="CI130" i="15" s="1"/>
  <c r="CJ36" i="15"/>
  <c r="CJ60" i="15"/>
  <c r="CI73" i="21"/>
  <c r="CI154" i="15" s="1"/>
  <c r="CH15" i="15"/>
  <c r="CG58" i="21"/>
  <c r="CG109" i="15" s="1"/>
  <c r="CH24" i="15"/>
  <c r="CG61" i="21"/>
  <c r="CG118" i="15" s="1"/>
  <c r="CK36" i="15"/>
  <c r="CJ65" i="21"/>
  <c r="CJ130" i="15" s="1"/>
  <c r="CK12" i="15"/>
  <c r="CJ57" i="21"/>
  <c r="CJ106" i="15" s="1"/>
  <c r="CO30" i="15"/>
  <c r="CN63" i="21"/>
  <c r="CN124" i="15" s="1"/>
  <c r="CO63" i="21"/>
  <c r="CO124" i="15" s="1"/>
  <c r="CL81" i="21"/>
  <c r="CL178" i="15" s="1"/>
  <c r="CM84" i="15"/>
  <c r="H60" i="13"/>
  <c r="CC160" i="15"/>
  <c r="CP46" i="21"/>
  <c r="CC39" i="15"/>
  <c r="CC59" i="21"/>
  <c r="CC63" i="15"/>
  <c r="CC154" i="15"/>
  <c r="CC87" i="15"/>
  <c r="CC45" i="15"/>
  <c r="CC112" i="15"/>
  <c r="CC70" i="21"/>
  <c r="BR115" i="15"/>
  <c r="CC115" i="15" s="1"/>
  <c r="CC60" i="21"/>
  <c r="CJ33" i="15"/>
  <c r="CI64" i="21"/>
  <c r="CI127" i="15" s="1"/>
  <c r="CC74" i="21"/>
  <c r="BQ157" i="15"/>
  <c r="CC157" i="15" s="1"/>
  <c r="CG39" i="15"/>
  <c r="CF66" i="21"/>
  <c r="CF133" i="15" s="1"/>
  <c r="CJ66" i="15"/>
  <c r="CI75" i="21"/>
  <c r="CI160" i="15" s="1"/>
  <c r="CH18" i="15"/>
  <c r="CG59" i="21"/>
  <c r="CG112" i="15" s="1"/>
  <c r="CG60" i="15"/>
  <c r="CF73" i="21"/>
  <c r="CF154" i="15" s="1"/>
  <c r="BQ133" i="15"/>
  <c r="CC133" i="15" s="1"/>
  <c r="CC66" i="21"/>
  <c r="CD58" i="21"/>
  <c r="CD109" i="15" s="1"/>
  <c r="CE15" i="15"/>
  <c r="CP28" i="21"/>
  <c r="CF39" i="15"/>
  <c r="CE66" i="21"/>
  <c r="CE133" i="15" s="1"/>
  <c r="CG75" i="15"/>
  <c r="CF78" i="21"/>
  <c r="CF169" i="15" s="1"/>
  <c r="CF63" i="15"/>
  <c r="CE74" i="21"/>
  <c r="CE157" i="15" s="1"/>
  <c r="CD74" i="21"/>
  <c r="CE63" i="15"/>
  <c r="CP26" i="21"/>
  <c r="CE87" i="15"/>
  <c r="CD82" i="21"/>
  <c r="CD181" i="15" s="1"/>
  <c r="CF21" i="15"/>
  <c r="CE60" i="21"/>
  <c r="CP24" i="21"/>
  <c r="CE39" i="15"/>
  <c r="CD66" i="21"/>
  <c r="BY109" i="15"/>
  <c r="CC109" i="15" s="1"/>
  <c r="CC58" i="21"/>
  <c r="CD172" i="15"/>
  <c r="CL45" i="15"/>
  <c r="CK68" i="21"/>
  <c r="CG87" i="15"/>
  <c r="CF82" i="21"/>
  <c r="CM51" i="15"/>
  <c r="CL70" i="21"/>
  <c r="CL145" i="15" s="1"/>
  <c r="CD136" i="15"/>
  <c r="CD106" i="15"/>
  <c r="BX163" i="15"/>
  <c r="CC163" i="15" s="1"/>
  <c r="CC76" i="21"/>
  <c r="CD166" i="15"/>
  <c r="CD15" i="15"/>
  <c r="BR127" i="15"/>
  <c r="CC127" i="15" s="1"/>
  <c r="CC64" i="21"/>
  <c r="CD112" i="15"/>
  <c r="CD142" i="15"/>
  <c r="CD148" i="15"/>
  <c r="CD178" i="15"/>
  <c r="CD160" i="15"/>
  <c r="CM15" i="15"/>
  <c r="CL58" i="21"/>
  <c r="BX139" i="15"/>
  <c r="CC139" i="15" s="1"/>
  <c r="CC68" i="21"/>
  <c r="CD118" i="15"/>
  <c r="BS181" i="15"/>
  <c r="CC181" i="15" s="1"/>
  <c r="CC82" i="21"/>
  <c r="CL69" i="15"/>
  <c r="CK76" i="21"/>
  <c r="CP22" i="21"/>
  <c r="CP30" i="21"/>
  <c r="CF33" i="15"/>
  <c r="CE64" i="21"/>
  <c r="CD130" i="15"/>
  <c r="CC33" i="15"/>
  <c r="CD154" i="15"/>
  <c r="CD124" i="15"/>
  <c r="CD184" i="15"/>
  <c r="CC15" i="15"/>
  <c r="G18" i="27"/>
  <c r="F113" i="13"/>
  <c r="E148" i="13"/>
  <c r="E121" i="9"/>
  <c r="E24" i="27"/>
  <c r="A25" i="27"/>
  <c r="C24" i="27"/>
  <c r="E129" i="13"/>
  <c r="E130" i="13" s="1"/>
  <c r="D106" i="13"/>
  <c r="E135" i="13"/>
  <c r="E106" i="13" s="1"/>
  <c r="D155" i="13"/>
  <c r="F114" i="13"/>
  <c r="E122" i="9"/>
  <c r="BV7" i="22"/>
  <c r="BS41" i="22"/>
  <c r="BR41" i="22"/>
  <c r="BS44" i="22"/>
  <c r="BR44" i="22"/>
  <c r="BV10" i="22"/>
  <c r="BX28" i="22"/>
  <c r="BV28" i="22"/>
  <c r="BV13" i="22"/>
  <c r="BV15" i="22"/>
  <c r="CB59" i="20"/>
  <c r="AO59" i="20"/>
  <c r="O59" i="20"/>
  <c r="BB59" i="20"/>
  <c r="CO59" i="20"/>
  <c r="BO59" i="20"/>
  <c r="BS51" i="22"/>
  <c r="BR51" i="22"/>
  <c r="BS50" i="22"/>
  <c r="BR50" i="22"/>
  <c r="BS47" i="22"/>
  <c r="BR47" i="22"/>
  <c r="BX19" i="22"/>
  <c r="BV19" i="22"/>
  <c r="BX24" i="22"/>
  <c r="BV24" i="22"/>
  <c r="BY20" i="22"/>
  <c r="BV20" i="22"/>
  <c r="CB88" i="20"/>
  <c r="BO88" i="20"/>
  <c r="BB88" i="20"/>
  <c r="AO88" i="20"/>
  <c r="O88" i="20"/>
  <c r="CO88" i="20"/>
  <c r="BX39" i="22"/>
  <c r="BR39" i="22"/>
  <c r="BV6" i="22"/>
  <c r="BV18" i="22"/>
  <c r="BX25" i="22"/>
  <c r="BV25" i="22"/>
  <c r="H125" i="13"/>
  <c r="H138" i="9" s="1"/>
  <c r="BX21" i="22"/>
  <c r="BV21" i="22"/>
  <c r="BS46" i="22"/>
  <c r="BR46" i="22"/>
  <c r="BS42" i="22"/>
  <c r="BR42" i="22"/>
  <c r="BV16" i="22"/>
  <c r="AO43" i="20"/>
  <c r="BK29" i="22"/>
  <c r="BN29" i="22"/>
  <c r="BO29" i="22"/>
  <c r="BV11" i="22"/>
  <c r="BP29" i="22"/>
  <c r="BQ29" i="22"/>
  <c r="BT29" i="22"/>
  <c r="BM29" i="22"/>
  <c r="K43" i="36"/>
  <c r="L43" i="36"/>
  <c r="CG29" i="22"/>
  <c r="CU29" i="22"/>
  <c r="BR29" i="22"/>
  <c r="BV9" i="22"/>
  <c r="BU29" i="22"/>
  <c r="M43" i="36"/>
  <c r="AV43" i="20"/>
  <c r="AZ43" i="20"/>
  <c r="BA43" i="20" s="1"/>
  <c r="BC43" i="20" s="1"/>
  <c r="AR43" i="20"/>
  <c r="AQ43" i="20"/>
  <c r="AT43" i="20"/>
  <c r="AW43" i="20"/>
  <c r="AY43" i="20"/>
  <c r="AX43" i="20"/>
  <c r="AS43" i="20"/>
  <c r="AU43" i="20"/>
  <c r="N43" i="36"/>
  <c r="F17" i="24"/>
  <c r="G17" i="24" s="1"/>
  <c r="H17" i="24" s="1"/>
  <c r="J17" i="24" s="1"/>
  <c r="D18" i="24" s="1"/>
  <c r="E18" i="24"/>
  <c r="C18" i="24"/>
  <c r="A19" i="24"/>
  <c r="G17" i="29"/>
  <c r="H17" i="29" s="1"/>
  <c r="J17" i="29" s="1"/>
  <c r="F128" i="13"/>
  <c r="F159" i="13" s="1"/>
  <c r="E250" i="13" l="1"/>
  <c r="E262" i="13" s="1"/>
  <c r="L72" i="36"/>
  <c r="N72" i="36"/>
  <c r="G37" i="13"/>
  <c r="G38" i="13" s="1"/>
  <c r="AS13" i="20"/>
  <c r="AZ72" i="20"/>
  <c r="AU13" i="20"/>
  <c r="AX72" i="20"/>
  <c r="AZ13" i="20"/>
  <c r="AR72" i="20"/>
  <c r="AY13" i="20"/>
  <c r="AW72" i="20"/>
  <c r="AX13" i="20"/>
  <c r="L13" i="36"/>
  <c r="M13" i="36"/>
  <c r="AS72" i="20"/>
  <c r="AV72" i="20"/>
  <c r="AV13" i="20"/>
  <c r="BA13" i="20"/>
  <c r="BC13" i="20" s="1"/>
  <c r="BM13" i="20" s="1"/>
  <c r="AR13" i="20"/>
  <c r="O13" i="36" s="1"/>
  <c r="BA72" i="20"/>
  <c r="BC72" i="20" s="1"/>
  <c r="BK72" i="20" s="1"/>
  <c r="AU72" i="20"/>
  <c r="F17" i="13"/>
  <c r="F109" i="13" s="1"/>
  <c r="F200" i="13" s="1"/>
  <c r="F192" i="9" s="1"/>
  <c r="AW13" i="20"/>
  <c r="AT13" i="20"/>
  <c r="N13" i="36"/>
  <c r="CP72" i="21"/>
  <c r="E117" i="9"/>
  <c r="AT72" i="20"/>
  <c r="AY72" i="20"/>
  <c r="E41" i="9"/>
  <c r="E220" i="13"/>
  <c r="E221" i="13" s="1"/>
  <c r="M72" i="36"/>
  <c r="AO13" i="20"/>
  <c r="A88" i="29"/>
  <c r="E87" i="29"/>
  <c r="C87" i="29"/>
  <c r="K13" i="36"/>
  <c r="AO72" i="20"/>
  <c r="K72" i="36"/>
  <c r="H18" i="27"/>
  <c r="J18" i="27" s="1"/>
  <c r="D19" i="27" s="1"/>
  <c r="D45" i="13"/>
  <c r="C15" i="13"/>
  <c r="C16" i="13" s="1"/>
  <c r="C64" i="13"/>
  <c r="F196" i="9"/>
  <c r="G204" i="13"/>
  <c r="F239" i="13"/>
  <c r="D18" i="29"/>
  <c r="BH29" i="22"/>
  <c r="CP63" i="21"/>
  <c r="CP65" i="21"/>
  <c r="CP71" i="21"/>
  <c r="CP69" i="21"/>
  <c r="CP79" i="21"/>
  <c r="CP81" i="21"/>
  <c r="CP78" i="21"/>
  <c r="CP62" i="21"/>
  <c r="CP151" i="15"/>
  <c r="CP121" i="15"/>
  <c r="CP57" i="15"/>
  <c r="CP69" i="15"/>
  <c r="CP45" i="15"/>
  <c r="CP27" i="15"/>
  <c r="CP145" i="15"/>
  <c r="CP75" i="15"/>
  <c r="CP21" i="15"/>
  <c r="CP169" i="15"/>
  <c r="CP51" i="15"/>
  <c r="CP83" i="21"/>
  <c r="CP73" i="21"/>
  <c r="CP61" i="21"/>
  <c r="CP77" i="21"/>
  <c r="CP67" i="21"/>
  <c r="CP81" i="15"/>
  <c r="BS48" i="22"/>
  <c r="BR48" i="22"/>
  <c r="BX27" i="22"/>
  <c r="BV27" i="22"/>
  <c r="G59" i="15"/>
  <c r="H58" i="15"/>
  <c r="G71" i="15"/>
  <c r="H70" i="15"/>
  <c r="G20" i="15"/>
  <c r="H19" i="15"/>
  <c r="G32" i="15"/>
  <c r="H31" i="15"/>
  <c r="G11" i="15"/>
  <c r="H10" i="15"/>
  <c r="G56" i="15"/>
  <c r="H55" i="15"/>
  <c r="G68" i="15"/>
  <c r="H67" i="15"/>
  <c r="E189" i="9"/>
  <c r="G62" i="15"/>
  <c r="H61" i="15"/>
  <c r="G8" i="15"/>
  <c r="H7" i="15"/>
  <c r="CL26" i="22"/>
  <c r="CX26" i="22" s="1"/>
  <c r="CJ26" i="22"/>
  <c r="BV17" i="22"/>
  <c r="G83" i="15"/>
  <c r="H82" i="15"/>
  <c r="G65" i="15"/>
  <c r="H64" i="15"/>
  <c r="G74" i="15"/>
  <c r="H73" i="15"/>
  <c r="G92" i="15"/>
  <c r="H91" i="15"/>
  <c r="CJ8" i="22"/>
  <c r="CX8" i="22"/>
  <c r="G95" i="15"/>
  <c r="H94" i="15"/>
  <c r="G17" i="15"/>
  <c r="H16" i="15"/>
  <c r="G89" i="15"/>
  <c r="H88" i="15"/>
  <c r="G53" i="15"/>
  <c r="H52" i="15"/>
  <c r="G77" i="15"/>
  <c r="H76" i="15"/>
  <c r="G14" i="15"/>
  <c r="H13" i="15"/>
  <c r="BX23" i="22"/>
  <c r="BV23" i="22"/>
  <c r="G47" i="15"/>
  <c r="H46" i="15"/>
  <c r="BJ29" i="22"/>
  <c r="CP75" i="21"/>
  <c r="CP59" i="21"/>
  <c r="CP57" i="21"/>
  <c r="G44" i="15"/>
  <c r="H43" i="15"/>
  <c r="G29" i="15"/>
  <c r="H28" i="15"/>
  <c r="F96" i="15"/>
  <c r="F44" i="13"/>
  <c r="F14" i="13" s="1"/>
  <c r="F38" i="9" s="1"/>
  <c r="E63" i="13"/>
  <c r="G26" i="15"/>
  <c r="H25" i="15"/>
  <c r="G41" i="15"/>
  <c r="H40" i="15"/>
  <c r="G86" i="15"/>
  <c r="H85" i="15"/>
  <c r="G50" i="15"/>
  <c r="H49" i="15"/>
  <c r="BS45" i="22"/>
  <c r="BR45" i="22"/>
  <c r="CX14" i="22"/>
  <c r="CJ14" i="22"/>
  <c r="BX22" i="22"/>
  <c r="BV22" i="22"/>
  <c r="G23" i="15"/>
  <c r="H22" i="15"/>
  <c r="BS49" i="22"/>
  <c r="BR49" i="22"/>
  <c r="G35" i="15"/>
  <c r="H34" i="15"/>
  <c r="G80" i="15"/>
  <c r="H79" i="15"/>
  <c r="F197" i="13"/>
  <c r="F246" i="13"/>
  <c r="G226" i="13"/>
  <c r="BS43" i="22"/>
  <c r="BR43" i="22"/>
  <c r="G38" i="15"/>
  <c r="H37" i="15"/>
  <c r="CP72" i="15"/>
  <c r="CP118" i="15"/>
  <c r="CP130" i="15"/>
  <c r="CP178" i="15"/>
  <c r="CP78" i="15"/>
  <c r="CP106" i="15"/>
  <c r="CP24" i="15"/>
  <c r="CP18" i="15"/>
  <c r="CP42" i="15"/>
  <c r="CP142" i="15"/>
  <c r="CP172" i="15"/>
  <c r="CP66" i="15"/>
  <c r="CP30" i="15"/>
  <c r="CP12" i="15"/>
  <c r="CP84" i="15"/>
  <c r="CP90" i="15"/>
  <c r="CP54" i="15"/>
  <c r="CP48" i="15"/>
  <c r="CP124" i="15"/>
  <c r="CP148" i="15"/>
  <c r="CP36" i="15"/>
  <c r="CP184" i="15"/>
  <c r="CP166" i="15"/>
  <c r="CP136" i="15"/>
  <c r="CP60" i="15"/>
  <c r="CE175" i="15"/>
  <c r="CP175" i="15" s="1"/>
  <c r="CP80" i="21"/>
  <c r="O72" i="36"/>
  <c r="O43" i="36"/>
  <c r="R43" i="36"/>
  <c r="CP33" i="15"/>
  <c r="CP112" i="15"/>
  <c r="CP39" i="15"/>
  <c r="CP160" i="15"/>
  <c r="CP154" i="15"/>
  <c r="CP15" i="15"/>
  <c r="CP70" i="21"/>
  <c r="CP87" i="15"/>
  <c r="CE115" i="15"/>
  <c r="CP115" i="15" s="1"/>
  <c r="CP60" i="21"/>
  <c r="CD133" i="15"/>
  <c r="CP133" i="15" s="1"/>
  <c r="CP66" i="21"/>
  <c r="CP63" i="15"/>
  <c r="CD157" i="15"/>
  <c r="CP157" i="15" s="1"/>
  <c r="CP74" i="21"/>
  <c r="CE127" i="15"/>
  <c r="CP127" i="15" s="1"/>
  <c r="CP64" i="21"/>
  <c r="CL109" i="15"/>
  <c r="CP109" i="15" s="1"/>
  <c r="CP58" i="21"/>
  <c r="CF181" i="15"/>
  <c r="CP181" i="15" s="1"/>
  <c r="CP82" i="21"/>
  <c r="CK139" i="15"/>
  <c r="CP139" i="15" s="1"/>
  <c r="CP68" i="21"/>
  <c r="CK163" i="15"/>
  <c r="CP163" i="15" s="1"/>
  <c r="CP76" i="21"/>
  <c r="E114" i="9"/>
  <c r="C25" i="27"/>
  <c r="E25" i="27"/>
  <c r="A26" i="27"/>
  <c r="F135" i="13"/>
  <c r="F106" i="13" s="1"/>
  <c r="E155" i="13"/>
  <c r="G114" i="13"/>
  <c r="F122" i="9"/>
  <c r="D114" i="9"/>
  <c r="F129" i="13"/>
  <c r="F130" i="13" s="1"/>
  <c r="F121" i="9"/>
  <c r="F148" i="13"/>
  <c r="G113" i="13"/>
  <c r="CF42" i="22"/>
  <c r="CR42" i="22" s="1"/>
  <c r="CE42" i="22"/>
  <c r="CR33" i="22"/>
  <c r="I125" i="13"/>
  <c r="CL25" i="22"/>
  <c r="CX25" i="22" s="1"/>
  <c r="CJ25" i="22"/>
  <c r="CX6" i="22"/>
  <c r="CJ6" i="22"/>
  <c r="CK39" i="22"/>
  <c r="CR39" i="22" s="1"/>
  <c r="CE39" i="22"/>
  <c r="CM20" i="22"/>
  <c r="CX20" i="22" s="1"/>
  <c r="CJ20" i="22"/>
  <c r="CL24" i="22"/>
  <c r="CX24" i="22" s="1"/>
  <c r="CJ24" i="22"/>
  <c r="CF47" i="22"/>
  <c r="CR47" i="22" s="1"/>
  <c r="CE47" i="22"/>
  <c r="CF50" i="22"/>
  <c r="CR50" i="22" s="1"/>
  <c r="CE50" i="22"/>
  <c r="CX13" i="22"/>
  <c r="CJ13" i="22"/>
  <c r="CL28" i="22"/>
  <c r="CX28" i="22" s="1"/>
  <c r="CJ28" i="22"/>
  <c r="CF41" i="22"/>
  <c r="CR41" i="22" s="1"/>
  <c r="CE41" i="22"/>
  <c r="CX7" i="22"/>
  <c r="CJ7" i="22"/>
  <c r="CX10" i="22"/>
  <c r="CJ10" i="22"/>
  <c r="CF46" i="22"/>
  <c r="CR46" i="22" s="1"/>
  <c r="CE46" i="22"/>
  <c r="CL21" i="22"/>
  <c r="CX21" i="22" s="1"/>
  <c r="CJ21" i="22"/>
  <c r="CX18" i="22"/>
  <c r="CJ18" i="22"/>
  <c r="C202" i="13"/>
  <c r="B227" i="13"/>
  <c r="CL19" i="22"/>
  <c r="CX19" i="22" s="1"/>
  <c r="CJ19" i="22"/>
  <c r="CF51" i="22"/>
  <c r="CR51" i="22" s="1"/>
  <c r="CE51" i="22"/>
  <c r="B136" i="13"/>
  <c r="C107" i="13"/>
  <c r="CX15" i="22"/>
  <c r="CJ15" i="22"/>
  <c r="CF44" i="22"/>
  <c r="CR44" i="22" s="1"/>
  <c r="CE44" i="22"/>
  <c r="H151" i="13"/>
  <c r="CJ16" i="22"/>
  <c r="CX16" i="22"/>
  <c r="CJ11" i="22"/>
  <c r="CV29" i="22"/>
  <c r="CH29" i="22"/>
  <c r="CQ29" i="22"/>
  <c r="CC29" i="22"/>
  <c r="BY29" i="22"/>
  <c r="CR29" i="22"/>
  <c r="CD29" i="22"/>
  <c r="CA29" i="22"/>
  <c r="P43" i="36"/>
  <c r="Q43" i="36"/>
  <c r="CS29" i="22"/>
  <c r="CE29" i="22"/>
  <c r="CP29" i="22"/>
  <c r="CB29" i="22"/>
  <c r="CF29" i="22"/>
  <c r="CJ9" i="22"/>
  <c r="BB43" i="20"/>
  <c r="CW29" i="22"/>
  <c r="CI29" i="22"/>
  <c r="BH43" i="20"/>
  <c r="BL43" i="20"/>
  <c r="BF43" i="20"/>
  <c r="BD43" i="20"/>
  <c r="BM43" i="20"/>
  <c r="BN43" i="20" s="1"/>
  <c r="BP43" i="20" s="1"/>
  <c r="BG43" i="20"/>
  <c r="BJ43" i="20"/>
  <c r="BE43" i="20"/>
  <c r="BI43" i="20"/>
  <c r="BK43" i="20"/>
  <c r="F18" i="24"/>
  <c r="G18" i="24" s="1"/>
  <c r="I18" i="24"/>
  <c r="K18" i="24" s="1"/>
  <c r="E19" i="24"/>
  <c r="A20" i="24"/>
  <c r="C19" i="24"/>
  <c r="G219" i="13"/>
  <c r="G250" i="13" s="1"/>
  <c r="G262" i="13" s="1"/>
  <c r="G128" i="13"/>
  <c r="G159" i="13" s="1"/>
  <c r="P13" i="36" l="1"/>
  <c r="H37" i="13"/>
  <c r="I37" i="13" s="1"/>
  <c r="I38" i="13" s="1"/>
  <c r="Q72" i="36"/>
  <c r="BM72" i="20"/>
  <c r="P72" i="36"/>
  <c r="BL72" i="20"/>
  <c r="BN72" i="20"/>
  <c r="BP72" i="20" s="1"/>
  <c r="BZ72" i="20" s="1"/>
  <c r="BI72" i="20"/>
  <c r="BE72" i="20"/>
  <c r="BJ72" i="20"/>
  <c r="BG72" i="20"/>
  <c r="BH72" i="20"/>
  <c r="BF72" i="20"/>
  <c r="BB72" i="20"/>
  <c r="BD72" i="20"/>
  <c r="R72" i="36"/>
  <c r="Q13" i="36"/>
  <c r="BI13" i="20"/>
  <c r="BN13" i="20"/>
  <c r="BP13" i="20" s="1"/>
  <c r="BW13" i="20" s="1"/>
  <c r="BL13" i="20"/>
  <c r="BE13" i="20"/>
  <c r="BD13" i="20"/>
  <c r="F117" i="9"/>
  <c r="BF13" i="20"/>
  <c r="BK13" i="20"/>
  <c r="G17" i="13"/>
  <c r="G109" i="13" s="1"/>
  <c r="G200" i="13" s="1"/>
  <c r="G192" i="9" s="1"/>
  <c r="BH13" i="20"/>
  <c r="BJ13" i="20"/>
  <c r="BG13" i="20"/>
  <c r="R13" i="36"/>
  <c r="F41" i="9"/>
  <c r="BB13" i="20"/>
  <c r="F220" i="13"/>
  <c r="F221" i="13" s="1"/>
  <c r="A89" i="29"/>
  <c r="E88" i="29"/>
  <c r="C88" i="29"/>
  <c r="D15" i="13"/>
  <c r="D64" i="13"/>
  <c r="E45" i="13"/>
  <c r="I151" i="13"/>
  <c r="I138" i="9"/>
  <c r="G196" i="9"/>
  <c r="H204" i="13"/>
  <c r="G239" i="13"/>
  <c r="G220" i="13"/>
  <c r="G221" i="13" s="1"/>
  <c r="I18" i="29"/>
  <c r="F18" i="29"/>
  <c r="BV29" i="22"/>
  <c r="CO29" i="22"/>
  <c r="H29" i="15"/>
  <c r="I28" i="15"/>
  <c r="H47" i="15"/>
  <c r="I46" i="15"/>
  <c r="H53" i="15"/>
  <c r="I52" i="15"/>
  <c r="I73" i="15"/>
  <c r="H74" i="15"/>
  <c r="H83" i="15"/>
  <c r="I82" i="15"/>
  <c r="CF48" i="22"/>
  <c r="CR48" i="22" s="1"/>
  <c r="CE48" i="22"/>
  <c r="CM29" i="22"/>
  <c r="F189" i="9"/>
  <c r="CL22" i="22"/>
  <c r="CX22" i="22" s="1"/>
  <c r="CJ22" i="22"/>
  <c r="CF45" i="22"/>
  <c r="CR45" i="22" s="1"/>
  <c r="CE45" i="22"/>
  <c r="H86" i="15"/>
  <c r="I85" i="15"/>
  <c r="H8" i="15"/>
  <c r="I7" i="15"/>
  <c r="H56" i="15"/>
  <c r="I55" i="15"/>
  <c r="H32" i="15"/>
  <c r="I31" i="15"/>
  <c r="H71" i="15"/>
  <c r="I70" i="15"/>
  <c r="CF43" i="22"/>
  <c r="CR43" i="22" s="1"/>
  <c r="CE43" i="22"/>
  <c r="H35" i="15"/>
  <c r="I34" i="15"/>
  <c r="H14" i="15"/>
  <c r="I13" i="15"/>
  <c r="H17" i="15"/>
  <c r="I16" i="15"/>
  <c r="BX29" i="22"/>
  <c r="H80" i="15"/>
  <c r="I79" i="15"/>
  <c r="H23" i="15"/>
  <c r="I22" i="15"/>
  <c r="H26" i="15"/>
  <c r="I25" i="15"/>
  <c r="G44" i="13"/>
  <c r="F63" i="13"/>
  <c r="I43" i="15"/>
  <c r="H44" i="15"/>
  <c r="H77" i="15"/>
  <c r="I76" i="15"/>
  <c r="H89" i="15"/>
  <c r="I88" i="15"/>
  <c r="H95" i="15"/>
  <c r="I94" i="15"/>
  <c r="I91" i="15"/>
  <c r="H92" i="15"/>
  <c r="H65" i="15"/>
  <c r="I64" i="15"/>
  <c r="CX17" i="22"/>
  <c r="CJ17" i="22"/>
  <c r="G96" i="15"/>
  <c r="CL27" i="22"/>
  <c r="CX27" i="22" s="1"/>
  <c r="CJ27" i="22"/>
  <c r="H38" i="15"/>
  <c r="I37" i="15"/>
  <c r="G197" i="13"/>
  <c r="G246" i="13"/>
  <c r="H226" i="13"/>
  <c r="CF49" i="22"/>
  <c r="CR49" i="22" s="1"/>
  <c r="CE49" i="22"/>
  <c r="I49" i="15"/>
  <c r="H50" i="15"/>
  <c r="H41" i="15"/>
  <c r="I40" i="15"/>
  <c r="CL23" i="22"/>
  <c r="CX23" i="22" s="1"/>
  <c r="CJ23" i="22"/>
  <c r="H62" i="15"/>
  <c r="I61" i="15"/>
  <c r="H68" i="15"/>
  <c r="I67" i="15"/>
  <c r="H11" i="15"/>
  <c r="I10" i="15"/>
  <c r="H20" i="15"/>
  <c r="I19" i="15"/>
  <c r="H59" i="15"/>
  <c r="I58" i="15"/>
  <c r="F114" i="9"/>
  <c r="G122" i="9"/>
  <c r="H114" i="13"/>
  <c r="F155" i="13"/>
  <c r="G135" i="13"/>
  <c r="C26" i="27"/>
  <c r="E26" i="27"/>
  <c r="A27" i="27"/>
  <c r="I19" i="27"/>
  <c r="F19" i="27"/>
  <c r="H113" i="13"/>
  <c r="H121" i="9" s="1"/>
  <c r="G121" i="9"/>
  <c r="G148" i="13"/>
  <c r="G129" i="13"/>
  <c r="G130" i="13" s="1"/>
  <c r="U43" i="36"/>
  <c r="D194" i="9"/>
  <c r="C111" i="13"/>
  <c r="B156" i="13"/>
  <c r="B247" i="13"/>
  <c r="C227" i="13"/>
  <c r="C198" i="13" s="1"/>
  <c r="CX11" i="22"/>
  <c r="BO43" i="20"/>
  <c r="BZ43" i="20"/>
  <c r="CA43" i="20" s="1"/>
  <c r="CC43" i="20" s="1"/>
  <c r="BT43" i="20"/>
  <c r="BV43" i="20"/>
  <c r="BS43" i="20"/>
  <c r="BU43" i="20"/>
  <c r="BR43" i="20"/>
  <c r="BY43" i="20"/>
  <c r="BX43" i="20"/>
  <c r="BQ43" i="20"/>
  <c r="BW43" i="20"/>
  <c r="S43" i="36"/>
  <c r="T43" i="36"/>
  <c r="V43" i="36"/>
  <c r="CT29" i="22"/>
  <c r="CX9" i="22"/>
  <c r="H18" i="24"/>
  <c r="J18" i="24" s="1"/>
  <c r="D19" i="24" s="1"/>
  <c r="F19" i="24" s="1"/>
  <c r="A21" i="24"/>
  <c r="E20" i="24"/>
  <c r="C20" i="24"/>
  <c r="H128" i="13"/>
  <c r="H159" i="13" s="1"/>
  <c r="H219" i="13"/>
  <c r="H250" i="13" s="1"/>
  <c r="H262" i="13" s="1"/>
  <c r="H38" i="13"/>
  <c r="V72" i="36" l="1"/>
  <c r="BS72" i="20"/>
  <c r="BQ72" i="20"/>
  <c r="BQ13" i="20"/>
  <c r="BW72" i="20"/>
  <c r="BU72" i="20"/>
  <c r="BV72" i="20"/>
  <c r="BV13" i="20"/>
  <c r="BT72" i="20"/>
  <c r="V13" i="36"/>
  <c r="CA13" i="20"/>
  <c r="CC13" i="20" s="1"/>
  <c r="CG13" i="20" s="1"/>
  <c r="BR72" i="20"/>
  <c r="BX72" i="20"/>
  <c r="BY72" i="20"/>
  <c r="BX13" i="20"/>
  <c r="BS13" i="20"/>
  <c r="U72" i="36"/>
  <c r="T72" i="36"/>
  <c r="CA72" i="20"/>
  <c r="CC72" i="20" s="1"/>
  <c r="CI72" i="20" s="1"/>
  <c r="BU13" i="20"/>
  <c r="BZ13" i="20"/>
  <c r="S72" i="36"/>
  <c r="BT13" i="20"/>
  <c r="BY13" i="20"/>
  <c r="BR13" i="20"/>
  <c r="BO72" i="20"/>
  <c r="G117" i="9"/>
  <c r="G41" i="9"/>
  <c r="H17" i="13"/>
  <c r="H41" i="9" s="1"/>
  <c r="T13" i="36"/>
  <c r="U13" i="36"/>
  <c r="S13" i="36"/>
  <c r="BO13" i="20"/>
  <c r="A90" i="29"/>
  <c r="C89" i="29"/>
  <c r="E89" i="29"/>
  <c r="E64" i="13"/>
  <c r="E15" i="13"/>
  <c r="F45" i="13"/>
  <c r="D16" i="13"/>
  <c r="D40" i="9" s="1"/>
  <c r="D39" i="9"/>
  <c r="I114" i="13"/>
  <c r="I122" i="9" s="1"/>
  <c r="H122" i="9"/>
  <c r="H220" i="13"/>
  <c r="H221" i="13" s="1"/>
  <c r="H196" i="9"/>
  <c r="H239" i="13"/>
  <c r="I204" i="13"/>
  <c r="K18" i="29"/>
  <c r="G18" i="29"/>
  <c r="H18" i="29" s="1"/>
  <c r="J18" i="29" s="1"/>
  <c r="CJ29" i="22"/>
  <c r="H96" i="15"/>
  <c r="I20" i="15"/>
  <c r="J19" i="15"/>
  <c r="J67" i="15"/>
  <c r="I68" i="15"/>
  <c r="I38" i="15"/>
  <c r="J37" i="15"/>
  <c r="I89" i="15"/>
  <c r="J88" i="15"/>
  <c r="H44" i="13"/>
  <c r="H14" i="13" s="1"/>
  <c r="G63" i="13"/>
  <c r="J13" i="15"/>
  <c r="I14" i="15"/>
  <c r="I35" i="15"/>
  <c r="J34" i="15"/>
  <c r="I71" i="15"/>
  <c r="J70" i="15"/>
  <c r="I56" i="15"/>
  <c r="J55" i="15"/>
  <c r="I74" i="15"/>
  <c r="J73" i="15"/>
  <c r="I41" i="15"/>
  <c r="J40" i="15"/>
  <c r="G189" i="9"/>
  <c r="I19" i="24"/>
  <c r="K19" i="24" s="1"/>
  <c r="CX29" i="22"/>
  <c r="I17" i="13"/>
  <c r="H197" i="13"/>
  <c r="H246" i="13"/>
  <c r="I226" i="13"/>
  <c r="J91" i="15"/>
  <c r="I92" i="15"/>
  <c r="J43" i="15"/>
  <c r="I44" i="15"/>
  <c r="J25" i="15"/>
  <c r="I26" i="15"/>
  <c r="J79" i="15"/>
  <c r="I80" i="15"/>
  <c r="J85" i="15"/>
  <c r="I86" i="15"/>
  <c r="I83" i="15"/>
  <c r="J82" i="15"/>
  <c r="I53" i="15"/>
  <c r="J52" i="15"/>
  <c r="I29" i="15"/>
  <c r="J28" i="15"/>
  <c r="I23" i="15"/>
  <c r="J22" i="15"/>
  <c r="I47" i="15"/>
  <c r="J46" i="15"/>
  <c r="CL29" i="22"/>
  <c r="I59" i="15"/>
  <c r="J58" i="15"/>
  <c r="I11" i="15"/>
  <c r="J10" i="15"/>
  <c r="J61" i="15"/>
  <c r="I62" i="15"/>
  <c r="J49" i="15"/>
  <c r="I50" i="15"/>
  <c r="I65" i="15"/>
  <c r="J64" i="15"/>
  <c r="I95" i="15"/>
  <c r="J94" i="15"/>
  <c r="I77" i="15"/>
  <c r="J76" i="15"/>
  <c r="G14" i="13"/>
  <c r="G38" i="9" s="1"/>
  <c r="I17" i="15"/>
  <c r="J16" i="15"/>
  <c r="J31" i="15"/>
  <c r="I32" i="15"/>
  <c r="I8" i="15"/>
  <c r="J7" i="15"/>
  <c r="H129" i="13"/>
  <c r="H130" i="13" s="1"/>
  <c r="E27" i="27"/>
  <c r="C27" i="27"/>
  <c r="A28" i="27"/>
  <c r="G106" i="13"/>
  <c r="G155" i="13"/>
  <c r="H135" i="13"/>
  <c r="G19" i="27"/>
  <c r="H19" i="27" s="1"/>
  <c r="J19" i="27" s="1"/>
  <c r="I113" i="13"/>
  <c r="H148" i="13"/>
  <c r="K19" i="27"/>
  <c r="W43" i="36"/>
  <c r="D119" i="9"/>
  <c r="C136" i="13"/>
  <c r="C247" i="13"/>
  <c r="D227" i="13"/>
  <c r="Z43" i="36"/>
  <c r="Y43" i="36"/>
  <c r="CB43" i="20"/>
  <c r="CJ43" i="20"/>
  <c r="CG43" i="20"/>
  <c r="CI43" i="20"/>
  <c r="CH43" i="20"/>
  <c r="CD43" i="20"/>
  <c r="CE43" i="20"/>
  <c r="CK43" i="20"/>
  <c r="CM43" i="20"/>
  <c r="CN43" i="20" s="1"/>
  <c r="CL43" i="20"/>
  <c r="CF43" i="20"/>
  <c r="CL72" i="20"/>
  <c r="X43" i="36"/>
  <c r="C21" i="24"/>
  <c r="A22" i="24"/>
  <c r="E21" i="24"/>
  <c r="I219" i="13"/>
  <c r="I128" i="13"/>
  <c r="G19" i="24"/>
  <c r="CI13" i="20" l="1"/>
  <c r="CJ72" i="20"/>
  <c r="CJ13" i="20"/>
  <c r="CD72" i="20"/>
  <c r="CM13" i="20"/>
  <c r="CG72" i="20"/>
  <c r="CN13" i="20"/>
  <c r="CE72" i="20"/>
  <c r="AA72" i="36" s="1"/>
  <c r="CH72" i="20"/>
  <c r="CD13" i="20"/>
  <c r="CL13" i="20"/>
  <c r="CB72" i="20"/>
  <c r="Y72" i="36"/>
  <c r="CK72" i="20"/>
  <c r="AC72" i="36" s="1"/>
  <c r="CF72" i="20"/>
  <c r="CN72" i="20"/>
  <c r="CF13" i="20"/>
  <c r="CE13" i="20"/>
  <c r="AA13" i="36" s="1"/>
  <c r="W72" i="36"/>
  <c r="Y13" i="36"/>
  <c r="CM72" i="20"/>
  <c r="CK13" i="20"/>
  <c r="CH13" i="20"/>
  <c r="X72" i="36"/>
  <c r="Z72" i="36"/>
  <c r="CB13" i="20"/>
  <c r="X13" i="36"/>
  <c r="Z13" i="36"/>
  <c r="W13" i="36"/>
  <c r="H109" i="13"/>
  <c r="H117" i="9" s="1"/>
  <c r="A91" i="29"/>
  <c r="E90" i="29"/>
  <c r="C90" i="29"/>
  <c r="F15" i="13"/>
  <c r="I45" i="13"/>
  <c r="F64" i="13"/>
  <c r="H45" i="13"/>
  <c r="G45" i="13"/>
  <c r="E39" i="9"/>
  <c r="E16" i="13"/>
  <c r="E40" i="9" s="1"/>
  <c r="I148" i="13"/>
  <c r="I121" i="9"/>
  <c r="I109" i="13"/>
  <c r="I41" i="9"/>
  <c r="H38" i="9"/>
  <c r="I239" i="13"/>
  <c r="I196" i="9"/>
  <c r="I220" i="13"/>
  <c r="I221" i="13" s="1"/>
  <c r="D19" i="29"/>
  <c r="H189" i="9"/>
  <c r="H19" i="24"/>
  <c r="J19" i="24" s="1"/>
  <c r="D20" i="24" s="1"/>
  <c r="K94" i="15"/>
  <c r="J95" i="15"/>
  <c r="K61" i="15"/>
  <c r="J62" i="15"/>
  <c r="K79" i="15"/>
  <c r="J80" i="15"/>
  <c r="K43" i="15"/>
  <c r="J44" i="15"/>
  <c r="J41" i="15"/>
  <c r="K40" i="15"/>
  <c r="K67" i="15"/>
  <c r="J68" i="15"/>
  <c r="J32" i="15"/>
  <c r="K31" i="15"/>
  <c r="J50" i="15"/>
  <c r="K49" i="15"/>
  <c r="K10" i="15"/>
  <c r="J11" i="15"/>
  <c r="J23" i="15"/>
  <c r="K22" i="15"/>
  <c r="J53" i="15"/>
  <c r="K52" i="15"/>
  <c r="J71" i="15"/>
  <c r="K70" i="15"/>
  <c r="I44" i="13"/>
  <c r="I63" i="13" s="1"/>
  <c r="H63" i="13"/>
  <c r="K37" i="15"/>
  <c r="J38" i="15"/>
  <c r="K19" i="15"/>
  <c r="J20" i="15"/>
  <c r="AB43" i="36"/>
  <c r="J8" i="15"/>
  <c r="K7" i="15"/>
  <c r="K76" i="15"/>
  <c r="J77" i="15"/>
  <c r="K64" i="15"/>
  <c r="J65" i="15"/>
  <c r="K85" i="15"/>
  <c r="J86" i="15"/>
  <c r="K25" i="15"/>
  <c r="J26" i="15"/>
  <c r="J92" i="15"/>
  <c r="K91" i="15"/>
  <c r="J74" i="15"/>
  <c r="K73" i="15"/>
  <c r="K13" i="15"/>
  <c r="J14" i="15"/>
  <c r="J89" i="15"/>
  <c r="K88" i="15"/>
  <c r="I96" i="15"/>
  <c r="K16" i="15"/>
  <c r="J17" i="15"/>
  <c r="K58" i="15"/>
  <c r="J59" i="15"/>
  <c r="K46" i="15"/>
  <c r="J47" i="15"/>
  <c r="K28" i="15"/>
  <c r="J29" i="15"/>
  <c r="K82" i="15"/>
  <c r="J83" i="15"/>
  <c r="I246" i="13"/>
  <c r="I197" i="13"/>
  <c r="K55" i="15"/>
  <c r="J56" i="15"/>
  <c r="K34" i="15"/>
  <c r="J35" i="15"/>
  <c r="G114" i="9"/>
  <c r="D20" i="27"/>
  <c r="I129" i="13"/>
  <c r="I130" i="13" s="1"/>
  <c r="H106" i="13"/>
  <c r="H114" i="9" s="1"/>
  <c r="H155" i="13"/>
  <c r="I135" i="13"/>
  <c r="I155" i="13" s="1"/>
  <c r="E28" i="27"/>
  <c r="A29" i="27"/>
  <c r="C28" i="27"/>
  <c r="E227" i="13"/>
  <c r="E198" i="13" s="1"/>
  <c r="D247" i="13"/>
  <c r="AD43" i="36"/>
  <c r="D198" i="13"/>
  <c r="D136" i="13"/>
  <c r="D107" i="13" s="1"/>
  <c r="C156" i="13"/>
  <c r="AA43" i="36"/>
  <c r="CO43" i="20"/>
  <c r="AC43" i="36"/>
  <c r="C22" i="24"/>
  <c r="E22" i="24"/>
  <c r="A23" i="24"/>
  <c r="I159" i="13"/>
  <c r="I250" i="13"/>
  <c r="I262" i="13" s="1"/>
  <c r="AC13" i="36" l="1"/>
  <c r="AB13" i="36"/>
  <c r="AB72" i="36"/>
  <c r="AD13" i="36"/>
  <c r="AD72" i="36"/>
  <c r="CO72" i="20"/>
  <c r="CO13" i="20"/>
  <c r="H200" i="13"/>
  <c r="H192" i="9" s="1"/>
  <c r="A92" i="29"/>
  <c r="C91" i="29"/>
  <c r="E91" i="29"/>
  <c r="I64" i="13"/>
  <c r="I15" i="13"/>
  <c r="H64" i="13"/>
  <c r="H15" i="13"/>
  <c r="G64" i="13"/>
  <c r="G15" i="13"/>
  <c r="F39" i="9"/>
  <c r="F16" i="13"/>
  <c r="F40" i="9" s="1"/>
  <c r="I200" i="13"/>
  <c r="I192" i="9" s="1"/>
  <c r="I117" i="9"/>
  <c r="I19" i="29"/>
  <c r="F19" i="29"/>
  <c r="I189" i="9"/>
  <c r="K35" i="15"/>
  <c r="L34" i="15"/>
  <c r="K29" i="15"/>
  <c r="L28" i="15"/>
  <c r="K59" i="15"/>
  <c r="L58" i="15"/>
  <c r="L25" i="15"/>
  <c r="K26" i="15"/>
  <c r="L37" i="15"/>
  <c r="K38" i="15"/>
  <c r="K71" i="15"/>
  <c r="L70" i="15"/>
  <c r="K11" i="15"/>
  <c r="L10" i="15"/>
  <c r="K44" i="15"/>
  <c r="L43" i="15"/>
  <c r="L61" i="15"/>
  <c r="K62" i="15"/>
  <c r="J96" i="15"/>
  <c r="K53" i="15"/>
  <c r="L52" i="15"/>
  <c r="K32" i="15"/>
  <c r="L31" i="15"/>
  <c r="L13" i="15"/>
  <c r="K14" i="15"/>
  <c r="L91" i="15"/>
  <c r="K92" i="15"/>
  <c r="K77" i="15"/>
  <c r="L76" i="15"/>
  <c r="K23" i="15"/>
  <c r="L22" i="15"/>
  <c r="L49" i="15"/>
  <c r="K50" i="15"/>
  <c r="K41" i="15"/>
  <c r="L40" i="15"/>
  <c r="L73" i="15"/>
  <c r="K74" i="15"/>
  <c r="K65" i="15"/>
  <c r="L64" i="15"/>
  <c r="K68" i="15"/>
  <c r="L67" i="15"/>
  <c r="K56" i="15"/>
  <c r="L55" i="15"/>
  <c r="K83" i="15"/>
  <c r="L82" i="15"/>
  <c r="K47" i="15"/>
  <c r="L46" i="15"/>
  <c r="K17" i="15"/>
  <c r="L16" i="15"/>
  <c r="K89" i="15"/>
  <c r="L88" i="15"/>
  <c r="K86" i="15"/>
  <c r="L85" i="15"/>
  <c r="K8" i="15"/>
  <c r="L7" i="15"/>
  <c r="K20" i="15"/>
  <c r="L19" i="15"/>
  <c r="I14" i="13"/>
  <c r="K80" i="15"/>
  <c r="L79" i="15"/>
  <c r="K95" i="15"/>
  <c r="L94" i="15"/>
  <c r="C29" i="27"/>
  <c r="E29" i="27"/>
  <c r="A30" i="27"/>
  <c r="I106" i="13"/>
  <c r="I114" i="9" s="1"/>
  <c r="I20" i="27"/>
  <c r="F20" i="27"/>
  <c r="D115" i="9"/>
  <c r="E190" i="9"/>
  <c r="D156" i="13"/>
  <c r="E136" i="13"/>
  <c r="E107" i="13" s="1"/>
  <c r="D190" i="9"/>
  <c r="F227" i="13"/>
  <c r="F198" i="13" s="1"/>
  <c r="E247" i="13"/>
  <c r="E23" i="24"/>
  <c r="C23" i="24"/>
  <c r="A24" i="24"/>
  <c r="I20" i="24"/>
  <c r="F20" i="24"/>
  <c r="A93" i="29" l="1"/>
  <c r="C92" i="29"/>
  <c r="E92" i="29"/>
  <c r="H16" i="13"/>
  <c r="H39" i="9"/>
  <c r="G39" i="9"/>
  <c r="G16" i="13"/>
  <c r="G40" i="9" s="1"/>
  <c r="I39" i="9"/>
  <c r="I16" i="13"/>
  <c r="I38" i="9"/>
  <c r="G19" i="29"/>
  <c r="H19" i="29" s="1"/>
  <c r="J19" i="29" s="1"/>
  <c r="K19" i="29"/>
  <c r="K96" i="15"/>
  <c r="M94" i="15"/>
  <c r="L95" i="15"/>
  <c r="L86" i="15"/>
  <c r="M85" i="15"/>
  <c r="L68" i="15"/>
  <c r="M67" i="15"/>
  <c r="L92" i="15"/>
  <c r="M91" i="15"/>
  <c r="L59" i="15"/>
  <c r="M58" i="15"/>
  <c r="L80" i="15"/>
  <c r="M79" i="15"/>
  <c r="L74" i="15"/>
  <c r="M73" i="15"/>
  <c r="M76" i="15"/>
  <c r="L77" i="15"/>
  <c r="M52" i="15"/>
  <c r="L53" i="15"/>
  <c r="L62" i="15"/>
  <c r="M61" i="15"/>
  <c r="L38" i="15"/>
  <c r="M37" i="15"/>
  <c r="L20" i="15"/>
  <c r="M19" i="15"/>
  <c r="M16" i="15"/>
  <c r="L17" i="15"/>
  <c r="M82" i="15"/>
  <c r="L83" i="15"/>
  <c r="M10" i="15"/>
  <c r="L11" i="15"/>
  <c r="M34" i="15"/>
  <c r="L35" i="15"/>
  <c r="M7" i="15"/>
  <c r="L8" i="15"/>
  <c r="L89" i="15"/>
  <c r="M88" i="15"/>
  <c r="M46" i="15"/>
  <c r="L47" i="15"/>
  <c r="L56" i="15"/>
  <c r="M55" i="15"/>
  <c r="M64" i="15"/>
  <c r="L65" i="15"/>
  <c r="L50" i="15"/>
  <c r="M49" i="15"/>
  <c r="L14" i="15"/>
  <c r="M13" i="15"/>
  <c r="L44" i="15"/>
  <c r="M43" i="15"/>
  <c r="M70" i="15"/>
  <c r="L71" i="15"/>
  <c r="L29" i="15"/>
  <c r="M28" i="15"/>
  <c r="M40" i="15"/>
  <c r="L41" i="15"/>
  <c r="M22" i="15"/>
  <c r="L23" i="15"/>
  <c r="L32" i="15"/>
  <c r="M31" i="15"/>
  <c r="I8" i="20"/>
  <c r="I9" i="20" s="1"/>
  <c r="L26" i="15"/>
  <c r="M25" i="15"/>
  <c r="C30" i="27"/>
  <c r="E30" i="27"/>
  <c r="A31" i="27"/>
  <c r="G20" i="27"/>
  <c r="H20" i="27" s="1"/>
  <c r="J20" i="27" s="1"/>
  <c r="K20" i="27"/>
  <c r="F247" i="13"/>
  <c r="G227" i="13"/>
  <c r="E115" i="9"/>
  <c r="F136" i="13"/>
  <c r="F107" i="13" s="1"/>
  <c r="E156" i="13"/>
  <c r="F190" i="9"/>
  <c r="A25" i="24"/>
  <c r="E24" i="24"/>
  <c r="C24" i="24"/>
  <c r="K20" i="24"/>
  <c r="G20" i="24"/>
  <c r="H20" i="24" s="1"/>
  <c r="J20" i="24" s="1"/>
  <c r="A94" i="29" l="1"/>
  <c r="C93" i="29"/>
  <c r="E93" i="29"/>
  <c r="I40" i="9"/>
  <c r="H40" i="9"/>
  <c r="D20" i="29"/>
  <c r="J8" i="20"/>
  <c r="J9" i="20" s="1"/>
  <c r="L96" i="15"/>
  <c r="M26" i="15"/>
  <c r="N25" i="15"/>
  <c r="N40" i="15"/>
  <c r="M41" i="15"/>
  <c r="M14" i="15"/>
  <c r="N13" i="15"/>
  <c r="M38" i="15"/>
  <c r="N37" i="15"/>
  <c r="M92" i="15"/>
  <c r="N91" i="15"/>
  <c r="N64" i="15"/>
  <c r="M65" i="15"/>
  <c r="M23" i="15"/>
  <c r="N22" i="15"/>
  <c r="M71" i="15"/>
  <c r="N70" i="15"/>
  <c r="M50" i="15"/>
  <c r="N49" i="15"/>
  <c r="M56" i="15"/>
  <c r="N55" i="15"/>
  <c r="M89" i="15"/>
  <c r="N88" i="15"/>
  <c r="M20" i="15"/>
  <c r="N19" i="15"/>
  <c r="M62" i="15"/>
  <c r="N61" i="15"/>
  <c r="M74" i="15"/>
  <c r="N73" i="15"/>
  <c r="M59" i="15"/>
  <c r="N58" i="15"/>
  <c r="M68" i="15"/>
  <c r="N67" i="15"/>
  <c r="M77" i="15"/>
  <c r="N76" i="15"/>
  <c r="M80" i="15"/>
  <c r="N79" i="15"/>
  <c r="M86" i="15"/>
  <c r="N85" i="15"/>
  <c r="M47" i="15"/>
  <c r="N46" i="15"/>
  <c r="N7" i="15"/>
  <c r="M8" i="15"/>
  <c r="M11" i="15"/>
  <c r="N10" i="15"/>
  <c r="M17" i="15"/>
  <c r="N16" i="15"/>
  <c r="N52" i="15"/>
  <c r="M53" i="15"/>
  <c r="M32" i="15"/>
  <c r="N31" i="15"/>
  <c r="M29" i="15"/>
  <c r="N28" i="15"/>
  <c r="M44" i="15"/>
  <c r="N43" i="15"/>
  <c r="M35" i="15"/>
  <c r="N34" i="15"/>
  <c r="M83" i="15"/>
  <c r="N82" i="15"/>
  <c r="M95" i="15"/>
  <c r="N94" i="15"/>
  <c r="D21" i="27"/>
  <c r="C31" i="27"/>
  <c r="E31" i="27"/>
  <c r="A32" i="27"/>
  <c r="F115" i="9"/>
  <c r="H227" i="13"/>
  <c r="G247" i="13"/>
  <c r="G136" i="13"/>
  <c r="G107" i="13" s="1"/>
  <c r="F156" i="13"/>
  <c r="G198" i="13"/>
  <c r="E25" i="24"/>
  <c r="C25" i="24"/>
  <c r="A26" i="24"/>
  <c r="D21" i="24"/>
  <c r="A95" i="29" l="1"/>
  <c r="C94" i="29"/>
  <c r="E94" i="29"/>
  <c r="I20" i="29"/>
  <c r="F20" i="29"/>
  <c r="K8" i="20"/>
  <c r="K9" i="20" s="1"/>
  <c r="O52" i="15"/>
  <c r="N53" i="15"/>
  <c r="O67" i="15"/>
  <c r="N68" i="15"/>
  <c r="O19" i="15"/>
  <c r="N20" i="15"/>
  <c r="O70" i="15"/>
  <c r="N71" i="15"/>
  <c r="O94" i="15"/>
  <c r="N95" i="15"/>
  <c r="O34" i="15"/>
  <c r="N35" i="15"/>
  <c r="O28" i="15"/>
  <c r="N29" i="15"/>
  <c r="O16" i="15"/>
  <c r="N17" i="15"/>
  <c r="M96" i="15"/>
  <c r="N86" i="15"/>
  <c r="O85" i="15"/>
  <c r="O76" i="15"/>
  <c r="N77" i="15"/>
  <c r="O40" i="15"/>
  <c r="N41" i="15"/>
  <c r="N74" i="15"/>
  <c r="O73" i="15"/>
  <c r="O55" i="15"/>
  <c r="N56" i="15"/>
  <c r="O64" i="15"/>
  <c r="N65" i="15"/>
  <c r="N38" i="15"/>
  <c r="O37" i="15"/>
  <c r="N8" i="15"/>
  <c r="O7" i="15"/>
  <c r="O58" i="15"/>
  <c r="N59" i="15"/>
  <c r="N62" i="15"/>
  <c r="O61" i="15"/>
  <c r="O88" i="15"/>
  <c r="N89" i="15"/>
  <c r="N50" i="15"/>
  <c r="O49" i="15"/>
  <c r="O22" i="15"/>
  <c r="N23" i="15"/>
  <c r="N92" i="15"/>
  <c r="O91" i="15"/>
  <c r="N14" i="15"/>
  <c r="O13" i="15"/>
  <c r="N26" i="15"/>
  <c r="O25" i="15"/>
  <c r="O82" i="15"/>
  <c r="N83" i="15"/>
  <c r="O43" i="15"/>
  <c r="N44" i="15"/>
  <c r="O31" i="15"/>
  <c r="N32" i="15"/>
  <c r="O10" i="15"/>
  <c r="N11" i="15"/>
  <c r="O46" i="15"/>
  <c r="N47" i="15"/>
  <c r="O79" i="15"/>
  <c r="N80" i="15"/>
  <c r="C32" i="27"/>
  <c r="E32" i="27"/>
  <c r="A33" i="27"/>
  <c r="F21" i="27"/>
  <c r="I21" i="27"/>
  <c r="G115" i="9"/>
  <c r="H247" i="13"/>
  <c r="I227" i="13"/>
  <c r="I247" i="13" s="1"/>
  <c r="H198" i="13"/>
  <c r="G156" i="13"/>
  <c r="H136" i="13"/>
  <c r="G190" i="9"/>
  <c r="E26" i="24"/>
  <c r="A27" i="24"/>
  <c r="C26" i="24"/>
  <c r="I21" i="24"/>
  <c r="F21" i="24"/>
  <c r="A96" i="29" l="1"/>
  <c r="C95" i="29"/>
  <c r="E95" i="29"/>
  <c r="G20" i="29"/>
  <c r="H20" i="29" s="1"/>
  <c r="J20" i="29" s="1"/>
  <c r="K20" i="29"/>
  <c r="H190" i="9"/>
  <c r="E8" i="36"/>
  <c r="E9" i="36" s="1"/>
  <c r="O14" i="15"/>
  <c r="P14" i="15" s="1"/>
  <c r="P13" i="15"/>
  <c r="Q13" i="15" s="1"/>
  <c r="O38" i="15"/>
  <c r="P38" i="15" s="1"/>
  <c r="P37" i="15"/>
  <c r="Q37" i="15" s="1"/>
  <c r="O77" i="15"/>
  <c r="P77" i="15" s="1"/>
  <c r="P76" i="15"/>
  <c r="Q76" i="15" s="1"/>
  <c r="O35" i="15"/>
  <c r="P35" i="15" s="1"/>
  <c r="P34" i="15"/>
  <c r="Q34" i="15" s="1"/>
  <c r="O71" i="15"/>
  <c r="P71" i="15" s="1"/>
  <c r="P70" i="15"/>
  <c r="Q70" i="15" s="1"/>
  <c r="P67" i="15"/>
  <c r="Q67" i="15" s="1"/>
  <c r="O68" i="15"/>
  <c r="P68" i="15" s="1"/>
  <c r="O80" i="15"/>
  <c r="P80" i="15" s="1"/>
  <c r="P79" i="15"/>
  <c r="Q79" i="15" s="1"/>
  <c r="O11" i="15"/>
  <c r="P11" i="15" s="1"/>
  <c r="P10" i="15"/>
  <c r="Q10" i="15" s="1"/>
  <c r="O44" i="15"/>
  <c r="P44" i="15" s="1"/>
  <c r="P43" i="15"/>
  <c r="Q43" i="15" s="1"/>
  <c r="N96" i="15"/>
  <c r="O65" i="15"/>
  <c r="P65" i="15" s="1"/>
  <c r="P64" i="15"/>
  <c r="Q64" i="15" s="1"/>
  <c r="O47" i="15"/>
  <c r="P47" i="15" s="1"/>
  <c r="P46" i="15"/>
  <c r="Q46" i="15" s="1"/>
  <c r="P31" i="15"/>
  <c r="Q31" i="15" s="1"/>
  <c r="O32" i="15"/>
  <c r="P32" i="15" s="1"/>
  <c r="O83" i="15"/>
  <c r="P83" i="15" s="1"/>
  <c r="P82" i="15"/>
  <c r="Q82" i="15" s="1"/>
  <c r="O23" i="15"/>
  <c r="P23" i="15" s="1"/>
  <c r="P22" i="15"/>
  <c r="Q22" i="15" s="1"/>
  <c r="O89" i="15"/>
  <c r="P89" i="15" s="1"/>
  <c r="P88" i="15"/>
  <c r="Q88" i="15" s="1"/>
  <c r="O59" i="15"/>
  <c r="P59" i="15" s="1"/>
  <c r="P58" i="15"/>
  <c r="Q58" i="15" s="1"/>
  <c r="O56" i="15"/>
  <c r="P56" i="15" s="1"/>
  <c r="P55" i="15"/>
  <c r="Q55" i="15" s="1"/>
  <c r="O41" i="15"/>
  <c r="P41" i="15" s="1"/>
  <c r="P40" i="15"/>
  <c r="Q40" i="15" s="1"/>
  <c r="O86" i="15"/>
  <c r="P86" i="15" s="1"/>
  <c r="P85" i="15"/>
  <c r="Q85" i="15" s="1"/>
  <c r="O17" i="15"/>
  <c r="P17" i="15" s="1"/>
  <c r="P16" i="15"/>
  <c r="Q16" i="15" s="1"/>
  <c r="L8" i="20"/>
  <c r="L9" i="20" s="1"/>
  <c r="O26" i="15"/>
  <c r="P26" i="15" s="1"/>
  <c r="P25" i="15"/>
  <c r="Q25" i="15" s="1"/>
  <c r="P91" i="15"/>
  <c r="Q91" i="15" s="1"/>
  <c r="O92" i="15"/>
  <c r="P92" i="15" s="1"/>
  <c r="P49" i="15"/>
  <c r="Q49" i="15" s="1"/>
  <c r="O50" i="15"/>
  <c r="P50" i="15" s="1"/>
  <c r="O62" i="15"/>
  <c r="P62" i="15" s="1"/>
  <c r="P61" i="15"/>
  <c r="Q61" i="15" s="1"/>
  <c r="O8" i="15"/>
  <c r="P7" i="15"/>
  <c r="Q7" i="15" s="1"/>
  <c r="O74" i="15"/>
  <c r="P74" i="15" s="1"/>
  <c r="P73" i="15"/>
  <c r="Q73" i="15" s="1"/>
  <c r="O29" i="15"/>
  <c r="P29" i="15" s="1"/>
  <c r="P28" i="15"/>
  <c r="Q28" i="15" s="1"/>
  <c r="O95" i="15"/>
  <c r="P95" i="15" s="1"/>
  <c r="P94" i="15"/>
  <c r="Q94" i="15" s="1"/>
  <c r="O20" i="15"/>
  <c r="P20" i="15" s="1"/>
  <c r="P19" i="15"/>
  <c r="Q19" i="15" s="1"/>
  <c r="O53" i="15"/>
  <c r="P53" i="15" s="1"/>
  <c r="P52" i="15"/>
  <c r="Q52" i="15" s="1"/>
  <c r="I198" i="13"/>
  <c r="C33" i="27"/>
  <c r="E33" i="27"/>
  <c r="A34" i="27"/>
  <c r="K21" i="27"/>
  <c r="G21" i="27"/>
  <c r="H21" i="27" s="1"/>
  <c r="J21" i="27" s="1"/>
  <c r="H156" i="13"/>
  <c r="I136" i="13"/>
  <c r="I156" i="13" s="1"/>
  <c r="H107" i="13"/>
  <c r="H115" i="9" s="1"/>
  <c r="C27" i="24"/>
  <c r="E27" i="24"/>
  <c r="A28" i="24"/>
  <c r="G21" i="24"/>
  <c r="H21" i="24" s="1"/>
  <c r="J21" i="24" s="1"/>
  <c r="D22" i="24" s="1"/>
  <c r="K21" i="24"/>
  <c r="A97" i="29" l="1"/>
  <c r="C96" i="29"/>
  <c r="E96" i="29"/>
  <c r="D21" i="29"/>
  <c r="I190" i="9"/>
  <c r="R31" i="15"/>
  <c r="Q32" i="15"/>
  <c r="R19" i="15"/>
  <c r="Q20" i="15"/>
  <c r="Q29" i="15"/>
  <c r="R28" i="15"/>
  <c r="R7" i="15"/>
  <c r="Q8" i="15"/>
  <c r="R25" i="15"/>
  <c r="Q26" i="15"/>
  <c r="M8" i="20"/>
  <c r="R67" i="15"/>
  <c r="Q68" i="15"/>
  <c r="O96" i="15"/>
  <c r="R49" i="15"/>
  <c r="Q50" i="15"/>
  <c r="R85" i="15"/>
  <c r="Q86" i="15"/>
  <c r="R55" i="15"/>
  <c r="Q56" i="15"/>
  <c r="Q89" i="15"/>
  <c r="R88" i="15"/>
  <c r="Q83" i="15"/>
  <c r="R82" i="15"/>
  <c r="Q47" i="15"/>
  <c r="R46" i="15"/>
  <c r="R43" i="15"/>
  <c r="Q44" i="15"/>
  <c r="R79" i="15"/>
  <c r="Q80" i="15"/>
  <c r="Q71" i="15"/>
  <c r="R70" i="15"/>
  <c r="Q77" i="15"/>
  <c r="R76" i="15"/>
  <c r="R13" i="15"/>
  <c r="Q14" i="15"/>
  <c r="Q53" i="15"/>
  <c r="R52" i="15"/>
  <c r="Q95" i="15"/>
  <c r="R94" i="15"/>
  <c r="R73" i="15"/>
  <c r="Q74" i="15"/>
  <c r="R61" i="15"/>
  <c r="Q62" i="15"/>
  <c r="Q65" i="15"/>
  <c r="R64" i="15"/>
  <c r="R91" i="15"/>
  <c r="Q92" i="15"/>
  <c r="Q17" i="15"/>
  <c r="R16" i="15"/>
  <c r="Q41" i="15"/>
  <c r="R40" i="15"/>
  <c r="Q59" i="15"/>
  <c r="R58" i="15"/>
  <c r="Q23" i="15"/>
  <c r="R22" i="15"/>
  <c r="Q11" i="15"/>
  <c r="R10" i="15"/>
  <c r="Q35" i="15"/>
  <c r="R34" i="15"/>
  <c r="R37" i="15"/>
  <c r="Q38" i="15"/>
  <c r="I107" i="13"/>
  <c r="I115" i="9" s="1"/>
  <c r="D22" i="27"/>
  <c r="C34" i="27"/>
  <c r="E34" i="27"/>
  <c r="A35" i="27"/>
  <c r="E28" i="24"/>
  <c r="C28" i="24"/>
  <c r="A29" i="24"/>
  <c r="I22" i="24"/>
  <c r="K22" i="24" s="1"/>
  <c r="F22" i="24"/>
  <c r="A98" i="29" l="1"/>
  <c r="E97" i="29"/>
  <c r="C97" i="29"/>
  <c r="I21" i="29"/>
  <c r="F21" i="29"/>
  <c r="S34" i="15"/>
  <c r="R35" i="15"/>
  <c r="S22" i="15"/>
  <c r="R23" i="15"/>
  <c r="S40" i="15"/>
  <c r="R41" i="15"/>
  <c r="R95" i="15"/>
  <c r="S94" i="15"/>
  <c r="R71" i="15"/>
  <c r="S70" i="15"/>
  <c r="R83" i="15"/>
  <c r="S82" i="15"/>
  <c r="R26" i="15"/>
  <c r="S25" i="15"/>
  <c r="R32" i="15"/>
  <c r="S31" i="15"/>
  <c r="R92" i="15"/>
  <c r="S91" i="15"/>
  <c r="R62" i="15"/>
  <c r="S61" i="15"/>
  <c r="R14" i="15"/>
  <c r="S13" i="15"/>
  <c r="R44" i="15"/>
  <c r="S43" i="15"/>
  <c r="R56" i="15"/>
  <c r="S55" i="15"/>
  <c r="R50" i="15"/>
  <c r="S49" i="15"/>
  <c r="R68" i="15"/>
  <c r="S67" i="15"/>
  <c r="M9" i="20"/>
  <c r="Q96" i="15"/>
  <c r="S10" i="15"/>
  <c r="R11" i="15"/>
  <c r="S58" i="15"/>
  <c r="R59" i="15"/>
  <c r="S16" i="15"/>
  <c r="R17" i="15"/>
  <c r="S64" i="15"/>
  <c r="R65" i="15"/>
  <c r="R53" i="15"/>
  <c r="S52" i="15"/>
  <c r="S76" i="15"/>
  <c r="R77" i="15"/>
  <c r="S46" i="15"/>
  <c r="R47" i="15"/>
  <c r="S88" i="15"/>
  <c r="R89" i="15"/>
  <c r="N8" i="20"/>
  <c r="F8" i="36" s="1"/>
  <c r="F9" i="36" s="1"/>
  <c r="R8" i="15"/>
  <c r="S7" i="15"/>
  <c r="R20" i="15"/>
  <c r="S19" i="15"/>
  <c r="R38" i="15"/>
  <c r="S37" i="15"/>
  <c r="R74" i="15"/>
  <c r="S73" i="15"/>
  <c r="R80" i="15"/>
  <c r="S79" i="15"/>
  <c r="R86" i="15"/>
  <c r="S85" i="15"/>
  <c r="S28" i="15"/>
  <c r="R29" i="15"/>
  <c r="F22" i="27"/>
  <c r="I22" i="27"/>
  <c r="K22" i="27" s="1"/>
  <c r="C35" i="27"/>
  <c r="E35" i="27"/>
  <c r="A36" i="27"/>
  <c r="A30" i="24"/>
  <c r="C29" i="24"/>
  <c r="E29" i="24"/>
  <c r="G22" i="24"/>
  <c r="H22" i="24" s="1"/>
  <c r="J22" i="24" s="1"/>
  <c r="D23" i="24" s="1"/>
  <c r="A99" i="29" l="1"/>
  <c r="E98" i="29"/>
  <c r="C98" i="29"/>
  <c r="G21" i="29"/>
  <c r="H21" i="29" s="1"/>
  <c r="J21" i="29" s="1"/>
  <c r="K21" i="29"/>
  <c r="R96" i="15"/>
  <c r="Q8" i="20" s="1"/>
  <c r="Q9" i="20" s="1"/>
  <c r="S89" i="15"/>
  <c r="T88" i="15"/>
  <c r="S77" i="15"/>
  <c r="T76" i="15"/>
  <c r="S65" i="15"/>
  <c r="T64" i="15"/>
  <c r="S59" i="15"/>
  <c r="T58" i="15"/>
  <c r="T49" i="15"/>
  <c r="S50" i="15"/>
  <c r="T43" i="15"/>
  <c r="S44" i="15"/>
  <c r="T61" i="15"/>
  <c r="S62" i="15"/>
  <c r="T31" i="15"/>
  <c r="S32" i="15"/>
  <c r="S83" i="15"/>
  <c r="T82" i="15"/>
  <c r="S95" i="15"/>
  <c r="T94" i="15"/>
  <c r="T85" i="15"/>
  <c r="S86" i="15"/>
  <c r="T73" i="15"/>
  <c r="S74" i="15"/>
  <c r="T19" i="15"/>
  <c r="S20" i="15"/>
  <c r="N9" i="20"/>
  <c r="S53" i="15"/>
  <c r="T52" i="15"/>
  <c r="S23" i="15"/>
  <c r="T22" i="15"/>
  <c r="S47" i="15"/>
  <c r="T46" i="15"/>
  <c r="S17" i="15"/>
  <c r="T16" i="15"/>
  <c r="S11" i="15"/>
  <c r="T10" i="15"/>
  <c r="T67" i="15"/>
  <c r="S68" i="15"/>
  <c r="T55" i="15"/>
  <c r="S56" i="15"/>
  <c r="T13" i="15"/>
  <c r="S14" i="15"/>
  <c r="T91" i="15"/>
  <c r="S92" i="15"/>
  <c r="T25" i="15"/>
  <c r="S26" i="15"/>
  <c r="S71" i="15"/>
  <c r="T70" i="15"/>
  <c r="S29" i="15"/>
  <c r="T28" i="15"/>
  <c r="T79" i="15"/>
  <c r="S80" i="15"/>
  <c r="T37" i="15"/>
  <c r="S38" i="15"/>
  <c r="T7" i="15"/>
  <c r="S8" i="15"/>
  <c r="P8" i="20"/>
  <c r="P9" i="20" s="1"/>
  <c r="S36" i="22"/>
  <c r="S35" i="22"/>
  <c r="S41" i="15"/>
  <c r="T40" i="15"/>
  <c r="S35" i="15"/>
  <c r="T34" i="15"/>
  <c r="C36" i="27"/>
  <c r="E36" i="27"/>
  <c r="A37" i="27"/>
  <c r="G22" i="27"/>
  <c r="H22" i="27" s="1"/>
  <c r="J22" i="27" s="1"/>
  <c r="D23" i="27" s="1"/>
  <c r="E30" i="24"/>
  <c r="C30" i="24"/>
  <c r="A31" i="24"/>
  <c r="I23" i="24"/>
  <c r="K23" i="24" s="1"/>
  <c r="F23" i="24"/>
  <c r="A100" i="29" l="1"/>
  <c r="C99" i="29"/>
  <c r="E99" i="29"/>
  <c r="D22" i="29"/>
  <c r="T35" i="22"/>
  <c r="T36" i="22"/>
  <c r="T56" i="15"/>
  <c r="U55" i="15"/>
  <c r="T44" i="15"/>
  <c r="U43" i="15"/>
  <c r="U28" i="15"/>
  <c r="T29" i="15"/>
  <c r="U16" i="15"/>
  <c r="T17" i="15"/>
  <c r="U52" i="15"/>
  <c r="T53" i="15"/>
  <c r="U82" i="15"/>
  <c r="T83" i="15"/>
  <c r="U64" i="15"/>
  <c r="T65" i="15"/>
  <c r="U88" i="15"/>
  <c r="T89" i="15"/>
  <c r="U40" i="15"/>
  <c r="T41" i="15"/>
  <c r="U79" i="15"/>
  <c r="T80" i="15"/>
  <c r="T74" i="15"/>
  <c r="U73" i="15"/>
  <c r="T32" i="15"/>
  <c r="U31" i="15"/>
  <c r="T26" i="15"/>
  <c r="U25" i="15"/>
  <c r="T68" i="15"/>
  <c r="U67" i="15"/>
  <c r="T20" i="15"/>
  <c r="U19" i="15"/>
  <c r="T86" i="15"/>
  <c r="U85" i="15"/>
  <c r="T62" i="15"/>
  <c r="U61" i="15"/>
  <c r="U49" i="15"/>
  <c r="T50" i="15"/>
  <c r="T8" i="15"/>
  <c r="U7" i="15"/>
  <c r="T92" i="15"/>
  <c r="U91" i="15"/>
  <c r="U34" i="15"/>
  <c r="T35" i="15"/>
  <c r="T38" i="15"/>
  <c r="U37" i="15"/>
  <c r="T14" i="15"/>
  <c r="U13" i="15"/>
  <c r="S96" i="15"/>
  <c r="U70" i="15"/>
  <c r="T71" i="15"/>
  <c r="U10" i="15"/>
  <c r="T11" i="15"/>
  <c r="U46" i="15"/>
  <c r="T47" i="15"/>
  <c r="U22" i="15"/>
  <c r="T23" i="15"/>
  <c r="U94" i="15"/>
  <c r="T95" i="15"/>
  <c r="U58" i="15"/>
  <c r="T59" i="15"/>
  <c r="U76" i="15"/>
  <c r="T77" i="15"/>
  <c r="I23" i="27"/>
  <c r="K23" i="27" s="1"/>
  <c r="F23" i="27"/>
  <c r="C37" i="27"/>
  <c r="E37" i="27"/>
  <c r="A38" i="27"/>
  <c r="C31" i="24"/>
  <c r="E31" i="24"/>
  <c r="A32" i="24"/>
  <c r="G23" i="24"/>
  <c r="H23" i="24" s="1"/>
  <c r="J23" i="24" s="1"/>
  <c r="D24" i="24" s="1"/>
  <c r="A101" i="29" l="1"/>
  <c r="E100" i="29"/>
  <c r="C100" i="29"/>
  <c r="I22" i="29"/>
  <c r="F22" i="29"/>
  <c r="U23" i="15"/>
  <c r="V22" i="15"/>
  <c r="V13" i="15"/>
  <c r="U14" i="15"/>
  <c r="V7" i="15"/>
  <c r="U8" i="15"/>
  <c r="V19" i="15"/>
  <c r="U20" i="15"/>
  <c r="U77" i="15"/>
  <c r="V76" i="15"/>
  <c r="U95" i="15"/>
  <c r="V94" i="15"/>
  <c r="U35" i="15"/>
  <c r="V34" i="15"/>
  <c r="T96" i="15"/>
  <c r="V25" i="15"/>
  <c r="U26" i="15"/>
  <c r="V73" i="15"/>
  <c r="U74" i="15"/>
  <c r="U65" i="15"/>
  <c r="V64" i="15"/>
  <c r="U29" i="15"/>
  <c r="V28" i="15"/>
  <c r="U11" i="15"/>
  <c r="V10" i="15"/>
  <c r="V61" i="15"/>
  <c r="U62" i="15"/>
  <c r="U41" i="15"/>
  <c r="V40" i="15"/>
  <c r="U47" i="15"/>
  <c r="V46" i="15"/>
  <c r="U71" i="15"/>
  <c r="V70" i="15"/>
  <c r="V37" i="15"/>
  <c r="U38" i="15"/>
  <c r="V91" i="15"/>
  <c r="U92" i="15"/>
  <c r="V85" i="15"/>
  <c r="U86" i="15"/>
  <c r="V79" i="15"/>
  <c r="U80" i="15"/>
  <c r="U53" i="15"/>
  <c r="V52" i="15"/>
  <c r="V43" i="15"/>
  <c r="U44" i="15"/>
  <c r="V55" i="15"/>
  <c r="U56" i="15"/>
  <c r="U59" i="15"/>
  <c r="V58" i="15"/>
  <c r="R8" i="20"/>
  <c r="U36" i="22"/>
  <c r="U35" i="22"/>
  <c r="V49" i="15"/>
  <c r="U50" i="15"/>
  <c r="V67" i="15"/>
  <c r="U68" i="15"/>
  <c r="V31" i="15"/>
  <c r="U32" i="15"/>
  <c r="U89" i="15"/>
  <c r="V88" i="15"/>
  <c r="U83" i="15"/>
  <c r="V82" i="15"/>
  <c r="U17" i="15"/>
  <c r="V16" i="15"/>
  <c r="C38" i="27"/>
  <c r="E38" i="27"/>
  <c r="A39" i="27"/>
  <c r="G23" i="27"/>
  <c r="H23" i="27" s="1"/>
  <c r="J23" i="27" s="1"/>
  <c r="D24" i="27" s="1"/>
  <c r="A33" i="24"/>
  <c r="E32" i="24"/>
  <c r="C32" i="24"/>
  <c r="I24" i="24"/>
  <c r="K24" i="24" s="1"/>
  <c r="F24" i="24"/>
  <c r="A102" i="29" l="1"/>
  <c r="E101" i="29"/>
  <c r="C101" i="29"/>
  <c r="G22" i="29"/>
  <c r="H22" i="29" s="1"/>
  <c r="J22" i="29" s="1"/>
  <c r="D23" i="29" s="1"/>
  <c r="K22" i="29"/>
  <c r="W67" i="15"/>
  <c r="V68" i="15"/>
  <c r="W25" i="15"/>
  <c r="V26" i="15"/>
  <c r="V89" i="15"/>
  <c r="W88" i="15"/>
  <c r="W43" i="15"/>
  <c r="V44" i="15"/>
  <c r="W79" i="15"/>
  <c r="V80" i="15"/>
  <c r="W91" i="15"/>
  <c r="V92" i="15"/>
  <c r="W28" i="15"/>
  <c r="V29" i="15"/>
  <c r="S8" i="20"/>
  <c r="S9" i="20" s="1"/>
  <c r="V36" i="22"/>
  <c r="V35" i="22"/>
  <c r="W19" i="15"/>
  <c r="V20" i="15"/>
  <c r="W13" i="15"/>
  <c r="V14" i="15"/>
  <c r="W58" i="15"/>
  <c r="V59" i="15"/>
  <c r="V71" i="15"/>
  <c r="W70" i="15"/>
  <c r="W31" i="15"/>
  <c r="V32" i="15"/>
  <c r="W49" i="15"/>
  <c r="V50" i="15"/>
  <c r="W52" i="15"/>
  <c r="V53" i="15"/>
  <c r="V47" i="15"/>
  <c r="W46" i="15"/>
  <c r="W61" i="15"/>
  <c r="V62" i="15"/>
  <c r="W73" i="15"/>
  <c r="V74" i="15"/>
  <c r="V35" i="15"/>
  <c r="W34" i="15"/>
  <c r="W76" i="15"/>
  <c r="V77" i="15"/>
  <c r="U96" i="15"/>
  <c r="V23" i="15"/>
  <c r="W22" i="15"/>
  <c r="W94" i="15"/>
  <c r="V95" i="15"/>
  <c r="W16" i="15"/>
  <c r="V17" i="15"/>
  <c r="W82" i="15"/>
  <c r="V83" i="15"/>
  <c r="R9" i="20"/>
  <c r="G8" i="36"/>
  <c r="G9" i="36" s="1"/>
  <c r="W55" i="15"/>
  <c r="V56" i="15"/>
  <c r="W85" i="15"/>
  <c r="V86" i="15"/>
  <c r="W37" i="15"/>
  <c r="V38" i="15"/>
  <c r="W40" i="15"/>
  <c r="V41" i="15"/>
  <c r="V11" i="15"/>
  <c r="W10" i="15"/>
  <c r="W64" i="15"/>
  <c r="V65" i="15"/>
  <c r="W7" i="15"/>
  <c r="V8" i="15"/>
  <c r="I24" i="27"/>
  <c r="K24" i="27" s="1"/>
  <c r="F24" i="27"/>
  <c r="C39" i="27"/>
  <c r="E39" i="27"/>
  <c r="A40" i="27"/>
  <c r="C33" i="24"/>
  <c r="E33" i="24"/>
  <c r="A34" i="24"/>
  <c r="G24" i="24"/>
  <c r="H24" i="24" s="1"/>
  <c r="J24" i="24" s="1"/>
  <c r="D25" i="24" s="1"/>
  <c r="A103" i="29" l="1"/>
  <c r="E102" i="29"/>
  <c r="C102" i="29"/>
  <c r="I23" i="29"/>
  <c r="K23" i="29" s="1"/>
  <c r="F23" i="29"/>
  <c r="X64" i="15"/>
  <c r="W65" i="15"/>
  <c r="X31" i="15"/>
  <c r="W32" i="15"/>
  <c r="X19" i="15"/>
  <c r="W20" i="15"/>
  <c r="X16" i="15"/>
  <c r="W17" i="15"/>
  <c r="X58" i="15"/>
  <c r="W59" i="15"/>
  <c r="V96" i="15"/>
  <c r="X10" i="15"/>
  <c r="W11" i="15"/>
  <c r="W36" i="22"/>
  <c r="W35" i="22"/>
  <c r="W62" i="15"/>
  <c r="X61" i="15"/>
  <c r="X46" i="15"/>
  <c r="W47" i="15"/>
  <c r="X70" i="15"/>
  <c r="W71" i="15"/>
  <c r="W80" i="15"/>
  <c r="X79" i="15"/>
  <c r="X25" i="15"/>
  <c r="W26" i="15"/>
  <c r="X7" i="15"/>
  <c r="W8" i="15"/>
  <c r="W38" i="15"/>
  <c r="X37" i="15"/>
  <c r="X55" i="15"/>
  <c r="W56" i="15"/>
  <c r="X82" i="15"/>
  <c r="W83" i="15"/>
  <c r="X94" i="15"/>
  <c r="W95" i="15"/>
  <c r="W50" i="15"/>
  <c r="X49" i="15"/>
  <c r="X13" i="15"/>
  <c r="W14" i="15"/>
  <c r="X40" i="15"/>
  <c r="W41" i="15"/>
  <c r="X85" i="15"/>
  <c r="W86" i="15"/>
  <c r="X34" i="15"/>
  <c r="W35" i="15"/>
  <c r="X52" i="15"/>
  <c r="W53" i="15"/>
  <c r="X88" i="15"/>
  <c r="W89" i="15"/>
  <c r="X22" i="15"/>
  <c r="W23" i="15"/>
  <c r="X76" i="15"/>
  <c r="W77" i="15"/>
  <c r="X73" i="15"/>
  <c r="W74" i="15"/>
  <c r="X28" i="15"/>
  <c r="W29" i="15"/>
  <c r="X91" i="15"/>
  <c r="W92" i="15"/>
  <c r="X43" i="15"/>
  <c r="W44" i="15"/>
  <c r="W68" i="15"/>
  <c r="X67" i="15"/>
  <c r="C40" i="27"/>
  <c r="E40" i="27"/>
  <c r="A41" i="27"/>
  <c r="G24" i="27"/>
  <c r="H24" i="27" s="1"/>
  <c r="J24" i="27" s="1"/>
  <c r="D25" i="27" s="1"/>
  <c r="C34" i="24"/>
  <c r="E34" i="24"/>
  <c r="A35" i="24"/>
  <c r="I25" i="24"/>
  <c r="K25" i="24" s="1"/>
  <c r="F25" i="24"/>
  <c r="A104" i="29" l="1"/>
  <c r="C103" i="29"/>
  <c r="E103" i="29"/>
  <c r="G23" i="29"/>
  <c r="H23" i="29" s="1"/>
  <c r="J23" i="29" s="1"/>
  <c r="D24" i="29" s="1"/>
  <c r="Y73" i="15"/>
  <c r="X74" i="15"/>
  <c r="Y61" i="15"/>
  <c r="X62" i="15"/>
  <c r="Y10" i="15"/>
  <c r="X11" i="15"/>
  <c r="Y19" i="15"/>
  <c r="X20" i="15"/>
  <c r="W96" i="15"/>
  <c r="Y70" i="15"/>
  <c r="X71" i="15"/>
  <c r="U8" i="20"/>
  <c r="U9" i="20" s="1"/>
  <c r="X36" i="22"/>
  <c r="X35" i="22"/>
  <c r="Y91" i="15"/>
  <c r="X92" i="15"/>
  <c r="Y52" i="15"/>
  <c r="X53" i="15"/>
  <c r="X14" i="15"/>
  <c r="Y13" i="15"/>
  <c r="Y82" i="15"/>
  <c r="X83" i="15"/>
  <c r="Y25" i="15"/>
  <c r="X26" i="15"/>
  <c r="Y43" i="15"/>
  <c r="X44" i="15"/>
  <c r="Y28" i="15"/>
  <c r="X29" i="15"/>
  <c r="Y76" i="15"/>
  <c r="X77" i="15"/>
  <c r="Y88" i="15"/>
  <c r="X89" i="15"/>
  <c r="Y34" i="15"/>
  <c r="X35" i="15"/>
  <c r="Y40" i="15"/>
  <c r="X41" i="15"/>
  <c r="Y94" i="15"/>
  <c r="X95" i="15"/>
  <c r="X56" i="15"/>
  <c r="Y55" i="15"/>
  <c r="Y7" i="15"/>
  <c r="X8" i="15"/>
  <c r="Y79" i="15"/>
  <c r="X80" i="15"/>
  <c r="Y16" i="15"/>
  <c r="X17" i="15"/>
  <c r="Y31" i="15"/>
  <c r="X32" i="15"/>
  <c r="Y22" i="15"/>
  <c r="X23" i="15"/>
  <c r="Y85" i="15"/>
  <c r="X86" i="15"/>
  <c r="Y58" i="15"/>
  <c r="X59" i="15"/>
  <c r="X50" i="15"/>
  <c r="Y49" i="15"/>
  <c r="X68" i="15"/>
  <c r="Y67" i="15"/>
  <c r="X38" i="15"/>
  <c r="Y37" i="15"/>
  <c r="Y46" i="15"/>
  <c r="X47" i="15"/>
  <c r="Y64" i="15"/>
  <c r="X65" i="15"/>
  <c r="F25" i="27"/>
  <c r="I25" i="27"/>
  <c r="K25" i="27" s="1"/>
  <c r="E41" i="27"/>
  <c r="C41" i="27"/>
  <c r="A42" i="27"/>
  <c r="E35" i="24"/>
  <c r="C35" i="24"/>
  <c r="A36" i="24"/>
  <c r="G25" i="24"/>
  <c r="H25" i="24" s="1"/>
  <c r="J25" i="24" s="1"/>
  <c r="D26" i="24" s="1"/>
  <c r="A105" i="29" l="1"/>
  <c r="C104" i="29"/>
  <c r="E104" i="29"/>
  <c r="I24" i="29"/>
  <c r="K24" i="29" s="1"/>
  <c r="F24" i="29"/>
  <c r="Z19" i="15"/>
  <c r="Y20" i="15"/>
  <c r="Z61" i="15"/>
  <c r="Y62" i="15"/>
  <c r="Z31" i="15"/>
  <c r="Y32" i="15"/>
  <c r="Z79" i="15"/>
  <c r="Y80" i="15"/>
  <c r="Z67" i="15"/>
  <c r="Y68" i="15"/>
  <c r="X96" i="15"/>
  <c r="Z34" i="15"/>
  <c r="Y35" i="15"/>
  <c r="Z76" i="15"/>
  <c r="Y77" i="15"/>
  <c r="Z43" i="15"/>
  <c r="Y44" i="15"/>
  <c r="Z13" i="15"/>
  <c r="Y14" i="15"/>
  <c r="Z64" i="15"/>
  <c r="Y65" i="15"/>
  <c r="Z46" i="15"/>
  <c r="Y47" i="15"/>
  <c r="Z58" i="15"/>
  <c r="Y59" i="15"/>
  <c r="Z22" i="15"/>
  <c r="Y23" i="15"/>
  <c r="Z16" i="15"/>
  <c r="Y17" i="15"/>
  <c r="Y8" i="15"/>
  <c r="Z7" i="15"/>
  <c r="Z94" i="15"/>
  <c r="Y95" i="15"/>
  <c r="Z25" i="15"/>
  <c r="Y26" i="15"/>
  <c r="Z91" i="15"/>
  <c r="Y92" i="15"/>
  <c r="Z70" i="15"/>
  <c r="Y71" i="15"/>
  <c r="Z85" i="15"/>
  <c r="Y86" i="15"/>
  <c r="Z82" i="15"/>
  <c r="Y83" i="15"/>
  <c r="Z52" i="15"/>
  <c r="Y53" i="15"/>
  <c r="Z37" i="15"/>
  <c r="Y38" i="15"/>
  <c r="Z49" i="15"/>
  <c r="Y50" i="15"/>
  <c r="Z55" i="15"/>
  <c r="Y56" i="15"/>
  <c r="Z40" i="15"/>
  <c r="Y41" i="15"/>
  <c r="Z88" i="15"/>
  <c r="Y89" i="15"/>
  <c r="Z28" i="15"/>
  <c r="Y29" i="15"/>
  <c r="V8" i="20"/>
  <c r="V9" i="20" s="1"/>
  <c r="Y36" i="22"/>
  <c r="Y35" i="22"/>
  <c r="Z10" i="15"/>
  <c r="Y11" i="15"/>
  <c r="Z73" i="15"/>
  <c r="Y74" i="15"/>
  <c r="C42" i="27"/>
  <c r="E42" i="27"/>
  <c r="A43" i="27"/>
  <c r="G25" i="27"/>
  <c r="H25" i="27" s="1"/>
  <c r="J25" i="27" s="1"/>
  <c r="D26" i="27" s="1"/>
  <c r="E36" i="24"/>
  <c r="A37" i="24"/>
  <c r="C36" i="24"/>
  <c r="I26" i="24"/>
  <c r="K26" i="24" s="1"/>
  <c r="F26" i="24"/>
  <c r="A106" i="29" l="1"/>
  <c r="C105" i="29"/>
  <c r="E105" i="29"/>
  <c r="G24" i="29"/>
  <c r="H24" i="29" s="1"/>
  <c r="J24" i="29" s="1"/>
  <c r="D25" i="29" s="1"/>
  <c r="Z11" i="15"/>
  <c r="AA10" i="15"/>
  <c r="Z89" i="15"/>
  <c r="AA88" i="15"/>
  <c r="AA49" i="15"/>
  <c r="Z50" i="15"/>
  <c r="Z53" i="15"/>
  <c r="AA52" i="15"/>
  <c r="Z95" i="15"/>
  <c r="AA94" i="15"/>
  <c r="Z23" i="15"/>
  <c r="AA22" i="15"/>
  <c r="Z47" i="15"/>
  <c r="AA46" i="15"/>
  <c r="AA13" i="15"/>
  <c r="Z14" i="15"/>
  <c r="Z77" i="15"/>
  <c r="AA76" i="15"/>
  <c r="AA79" i="15"/>
  <c r="Z80" i="15"/>
  <c r="AA61" i="15"/>
  <c r="Z62" i="15"/>
  <c r="AA55" i="15"/>
  <c r="Z56" i="15"/>
  <c r="Z86" i="15"/>
  <c r="AA85" i="15"/>
  <c r="Z41" i="15"/>
  <c r="AA40" i="15"/>
  <c r="Z38" i="15"/>
  <c r="AA37" i="15"/>
  <c r="AA7" i="15"/>
  <c r="Z8" i="15"/>
  <c r="W8" i="20"/>
  <c r="Z35" i="22"/>
  <c r="Z36" i="22"/>
  <c r="AA91" i="15"/>
  <c r="Z92" i="15"/>
  <c r="AA73" i="15"/>
  <c r="Z74" i="15"/>
  <c r="Z29" i="15"/>
  <c r="AA28" i="15"/>
  <c r="Z83" i="15"/>
  <c r="AA82" i="15"/>
  <c r="Z71" i="15"/>
  <c r="AA70" i="15"/>
  <c r="AA25" i="15"/>
  <c r="Z26" i="15"/>
  <c r="Y96" i="15"/>
  <c r="Z17" i="15"/>
  <c r="AA16" i="15"/>
  <c r="Z59" i="15"/>
  <c r="AA58" i="15"/>
  <c r="Z65" i="15"/>
  <c r="AA64" i="15"/>
  <c r="AA43" i="15"/>
  <c r="Z44" i="15"/>
  <c r="Z35" i="15"/>
  <c r="AA34" i="15"/>
  <c r="AA67" i="15"/>
  <c r="Z68" i="15"/>
  <c r="AA31" i="15"/>
  <c r="Z32" i="15"/>
  <c r="Z20" i="15"/>
  <c r="AA19" i="15"/>
  <c r="I26" i="27"/>
  <c r="K26" i="27" s="1"/>
  <c r="F26" i="27"/>
  <c r="E43" i="27"/>
  <c r="C43" i="27"/>
  <c r="A44" i="27"/>
  <c r="E37" i="24"/>
  <c r="C37" i="24"/>
  <c r="A38" i="24"/>
  <c r="G26" i="24"/>
  <c r="H26" i="24" s="1"/>
  <c r="J26" i="24" s="1"/>
  <c r="D27" i="24" s="1"/>
  <c r="A107" i="29" l="1"/>
  <c r="E106" i="29"/>
  <c r="C106" i="29"/>
  <c r="I25" i="29"/>
  <c r="K25" i="29" s="1"/>
  <c r="F25" i="29"/>
  <c r="Z96" i="15"/>
  <c r="AB40" i="15"/>
  <c r="AA41" i="15"/>
  <c r="AB79" i="15"/>
  <c r="AA80" i="15"/>
  <c r="AB88" i="15"/>
  <c r="AA89" i="15"/>
  <c r="AB34" i="15"/>
  <c r="AA35" i="15"/>
  <c r="AB64" i="15"/>
  <c r="AA65" i="15"/>
  <c r="AB16" i="15"/>
  <c r="AA17" i="15"/>
  <c r="AB82" i="15"/>
  <c r="AA83" i="15"/>
  <c r="AA8" i="15"/>
  <c r="AB7" i="15"/>
  <c r="AB85" i="15"/>
  <c r="AA86" i="15"/>
  <c r="AB76" i="15"/>
  <c r="AA77" i="15"/>
  <c r="AB46" i="15"/>
  <c r="AA47" i="15"/>
  <c r="AB94" i="15"/>
  <c r="AA95" i="15"/>
  <c r="X8" i="20"/>
  <c r="X9" i="20" s="1"/>
  <c r="AA36" i="22"/>
  <c r="AA35" i="22"/>
  <c r="AB91" i="15"/>
  <c r="AA92" i="15"/>
  <c r="AB31" i="15"/>
  <c r="AA32" i="15"/>
  <c r="AA26" i="15"/>
  <c r="AB25" i="15"/>
  <c r="AB73" i="15"/>
  <c r="AA74" i="15"/>
  <c r="W9" i="20"/>
  <c r="AA38" i="15"/>
  <c r="AB37" i="15"/>
  <c r="AA62" i="15"/>
  <c r="AB61" i="15"/>
  <c r="AB10" i="15"/>
  <c r="AA11" i="15"/>
  <c r="AB67" i="15"/>
  <c r="AA68" i="15"/>
  <c r="AB43" i="15"/>
  <c r="AA44" i="15"/>
  <c r="AB55" i="15"/>
  <c r="AA56" i="15"/>
  <c r="AA14" i="15"/>
  <c r="AB13" i="15"/>
  <c r="AB19" i="15"/>
  <c r="AA20" i="15"/>
  <c r="AB58" i="15"/>
  <c r="AA59" i="15"/>
  <c r="AB70" i="15"/>
  <c r="AA71" i="15"/>
  <c r="AB28" i="15"/>
  <c r="AA29" i="15"/>
  <c r="AB22" i="15"/>
  <c r="AA23" i="15"/>
  <c r="AB52" i="15"/>
  <c r="AA53" i="15"/>
  <c r="AB49" i="15"/>
  <c r="AA50" i="15"/>
  <c r="E44" i="27"/>
  <c r="C44" i="27"/>
  <c r="A45" i="27"/>
  <c r="G26" i="27"/>
  <c r="H26" i="27" s="1"/>
  <c r="J26" i="27" s="1"/>
  <c r="D27" i="27" s="1"/>
  <c r="E38" i="24"/>
  <c r="A39" i="24"/>
  <c r="C38" i="24"/>
  <c r="F27" i="24"/>
  <c r="I27" i="24"/>
  <c r="K27" i="24" s="1"/>
  <c r="A108" i="29" l="1"/>
  <c r="E107" i="29"/>
  <c r="C107" i="29"/>
  <c r="G25" i="29"/>
  <c r="H25" i="29" s="1"/>
  <c r="J25" i="29" s="1"/>
  <c r="D26" i="29" s="1"/>
  <c r="I8" i="36"/>
  <c r="I9" i="36" s="1"/>
  <c r="AB35" i="22"/>
  <c r="Y8" i="20"/>
  <c r="Y9" i="20" s="1"/>
  <c r="AB36" i="22"/>
  <c r="AC55" i="15"/>
  <c r="AD55" i="15" s="1"/>
  <c r="AB56" i="15"/>
  <c r="AC56" i="15" s="1"/>
  <c r="AB68" i="15"/>
  <c r="AC68" i="15" s="1"/>
  <c r="AC67" i="15"/>
  <c r="AD67" i="15" s="1"/>
  <c r="AC94" i="15"/>
  <c r="AD94" i="15" s="1"/>
  <c r="AB95" i="15"/>
  <c r="AC95" i="15" s="1"/>
  <c r="AC76" i="15"/>
  <c r="AD76" i="15" s="1"/>
  <c r="AB77" i="15"/>
  <c r="AC77" i="15" s="1"/>
  <c r="AC79" i="15"/>
  <c r="AD79" i="15" s="1"/>
  <c r="AB80" i="15"/>
  <c r="AC80" i="15" s="1"/>
  <c r="AC49" i="15"/>
  <c r="AD49" i="15" s="1"/>
  <c r="AB50" i="15"/>
  <c r="AC50" i="15" s="1"/>
  <c r="AC52" i="15"/>
  <c r="AD52" i="15" s="1"/>
  <c r="AB53" i="15"/>
  <c r="AC53" i="15" s="1"/>
  <c r="AC28" i="15"/>
  <c r="AD28" i="15" s="1"/>
  <c r="AB29" i="15"/>
  <c r="AC29" i="15" s="1"/>
  <c r="AC58" i="15"/>
  <c r="AD58" i="15" s="1"/>
  <c r="AB59" i="15"/>
  <c r="AC59" i="15" s="1"/>
  <c r="AC13" i="15"/>
  <c r="AD13" i="15" s="1"/>
  <c r="AB14" i="15"/>
  <c r="AC14" i="15" s="1"/>
  <c r="AB38" i="15"/>
  <c r="AC38" i="15" s="1"/>
  <c r="AC37" i="15"/>
  <c r="AD37" i="15" s="1"/>
  <c r="AB92" i="15"/>
  <c r="AC92" i="15" s="1"/>
  <c r="AC91" i="15"/>
  <c r="AD91" i="15" s="1"/>
  <c r="AA96" i="15"/>
  <c r="AC16" i="15"/>
  <c r="AD16" i="15" s="1"/>
  <c r="AB17" i="15"/>
  <c r="AC17" i="15" s="1"/>
  <c r="AC34" i="15"/>
  <c r="AD34" i="15" s="1"/>
  <c r="AB35" i="15"/>
  <c r="AC35" i="15" s="1"/>
  <c r="AC43" i="15"/>
  <c r="AD43" i="15" s="1"/>
  <c r="AB44" i="15"/>
  <c r="AC44" i="15" s="1"/>
  <c r="AC10" i="15"/>
  <c r="AD10" i="15" s="1"/>
  <c r="AB11" i="15"/>
  <c r="AC11" i="15" s="1"/>
  <c r="AC73" i="15"/>
  <c r="AD73" i="15" s="1"/>
  <c r="AB74" i="15"/>
  <c r="AC74" i="15" s="1"/>
  <c r="AC31" i="15"/>
  <c r="AD31" i="15" s="1"/>
  <c r="AB32" i="15"/>
  <c r="AC32" i="15" s="1"/>
  <c r="AC46" i="15"/>
  <c r="AD46" i="15" s="1"/>
  <c r="AB47" i="15"/>
  <c r="AC47" i="15" s="1"/>
  <c r="AC85" i="15"/>
  <c r="AD85" i="15" s="1"/>
  <c r="AB86" i="15"/>
  <c r="AC86" i="15" s="1"/>
  <c r="AC82" i="15"/>
  <c r="AD82" i="15" s="1"/>
  <c r="AB83" i="15"/>
  <c r="AC83" i="15" s="1"/>
  <c r="AC64" i="15"/>
  <c r="AD64" i="15" s="1"/>
  <c r="AB65" i="15"/>
  <c r="AC65" i="15" s="1"/>
  <c r="AC88" i="15"/>
  <c r="AD88" i="15" s="1"/>
  <c r="AB89" i="15"/>
  <c r="AC89" i="15" s="1"/>
  <c r="AC40" i="15"/>
  <c r="AD40" i="15" s="1"/>
  <c r="AB41" i="15"/>
  <c r="AC41" i="15" s="1"/>
  <c r="AC22" i="15"/>
  <c r="AD22" i="15" s="1"/>
  <c r="AB23" i="15"/>
  <c r="AC23" i="15" s="1"/>
  <c r="AC70" i="15"/>
  <c r="AD70" i="15" s="1"/>
  <c r="AB71" i="15"/>
  <c r="AC71" i="15" s="1"/>
  <c r="AB20" i="15"/>
  <c r="AC20" i="15" s="1"/>
  <c r="AC19" i="15"/>
  <c r="AD19" i="15" s="1"/>
  <c r="AB62" i="15"/>
  <c r="AC62" i="15" s="1"/>
  <c r="AC61" i="15"/>
  <c r="AD61" i="15" s="1"/>
  <c r="AC25" i="15"/>
  <c r="AD25" i="15" s="1"/>
  <c r="AB26" i="15"/>
  <c r="AC26" i="15" s="1"/>
  <c r="AB8" i="15"/>
  <c r="AC7" i="15"/>
  <c r="AD7" i="15" s="1"/>
  <c r="I27" i="27"/>
  <c r="K27" i="27" s="1"/>
  <c r="F27" i="27"/>
  <c r="C45" i="27"/>
  <c r="E45" i="27"/>
  <c r="A46" i="27"/>
  <c r="C39" i="24"/>
  <c r="E39" i="24"/>
  <c r="A40" i="24"/>
  <c r="G27" i="24"/>
  <c r="H27" i="24" s="1"/>
  <c r="J27" i="24" s="1"/>
  <c r="D28" i="24" s="1"/>
  <c r="A109" i="29" l="1"/>
  <c r="E108" i="29"/>
  <c r="C108" i="29"/>
  <c r="I26" i="29"/>
  <c r="K26" i="29" s="1"/>
  <c r="F26" i="29"/>
  <c r="AB96" i="15"/>
  <c r="AC8" i="15"/>
  <c r="AC96" i="15" s="1"/>
  <c r="D6" i="13" s="1"/>
  <c r="D189" i="13" s="1"/>
  <c r="AE61" i="15"/>
  <c r="AD62" i="15"/>
  <c r="AE67" i="15"/>
  <c r="AD68" i="15"/>
  <c r="AD71" i="15"/>
  <c r="AE70" i="15"/>
  <c r="AD41" i="15"/>
  <c r="AE40" i="15"/>
  <c r="AD65" i="15"/>
  <c r="AE64" i="15"/>
  <c r="AE85" i="15"/>
  <c r="AD86" i="15"/>
  <c r="AD74" i="15"/>
  <c r="AE73" i="15"/>
  <c r="AE43" i="15"/>
  <c r="AD44" i="15"/>
  <c r="AD17" i="15"/>
  <c r="AE16" i="15"/>
  <c r="AE13" i="15"/>
  <c r="AD14" i="15"/>
  <c r="AD29" i="15"/>
  <c r="AE28" i="15"/>
  <c r="AE49" i="15"/>
  <c r="AD50" i="15"/>
  <c r="AD77" i="15"/>
  <c r="AE76" i="15"/>
  <c r="AE19" i="15"/>
  <c r="AD20" i="15"/>
  <c r="Z8" i="20"/>
  <c r="AC36" i="22"/>
  <c r="AC35" i="22"/>
  <c r="AE37" i="15"/>
  <c r="AD38" i="15"/>
  <c r="AE7" i="15"/>
  <c r="AE25" i="15"/>
  <c r="AD26" i="15"/>
  <c r="AD23" i="15"/>
  <c r="AE22" i="15"/>
  <c r="AD89" i="15"/>
  <c r="AE88" i="15"/>
  <c r="AD83" i="15"/>
  <c r="AE82" i="15"/>
  <c r="AD47" i="15"/>
  <c r="AE46" i="15"/>
  <c r="AD32" i="15"/>
  <c r="AE31" i="15"/>
  <c r="AE10" i="15"/>
  <c r="AD35" i="15"/>
  <c r="AE34" i="15"/>
  <c r="AE91" i="15"/>
  <c r="AD92" i="15"/>
  <c r="AD59" i="15"/>
  <c r="AE58" i="15"/>
  <c r="AD53" i="15"/>
  <c r="AE52" i="15"/>
  <c r="AE79" i="15"/>
  <c r="AD80" i="15"/>
  <c r="AD95" i="15"/>
  <c r="AE94" i="15"/>
  <c r="AE55" i="15"/>
  <c r="AD56" i="15"/>
  <c r="G27" i="27"/>
  <c r="H27" i="27" s="1"/>
  <c r="J27" i="27" s="1"/>
  <c r="D28" i="27" s="1"/>
  <c r="C46" i="27"/>
  <c r="E46" i="27"/>
  <c r="A47" i="27"/>
  <c r="E40" i="24"/>
  <c r="A41" i="24"/>
  <c r="C40" i="24"/>
  <c r="I28" i="24"/>
  <c r="K28" i="24" s="1"/>
  <c r="F28" i="24"/>
  <c r="A110" i="29" l="1"/>
  <c r="C109" i="29"/>
  <c r="E109" i="29"/>
  <c r="G26" i="29"/>
  <c r="H26" i="29" s="1"/>
  <c r="J26" i="29" s="1"/>
  <c r="D27" i="29" s="1"/>
  <c r="AF55" i="15"/>
  <c r="AE56" i="15"/>
  <c r="AF79" i="15"/>
  <c r="AE80" i="15"/>
  <c r="AF40" i="15"/>
  <c r="AE41" i="15"/>
  <c r="AF94" i="15"/>
  <c r="AE95" i="15"/>
  <c r="AF52" i="15"/>
  <c r="AE53" i="15"/>
  <c r="AF10" i="15"/>
  <c r="AF46" i="15"/>
  <c r="AE47" i="15"/>
  <c r="AF88" i="15"/>
  <c r="AE89" i="15"/>
  <c r="AF19" i="15"/>
  <c r="AE20" i="15"/>
  <c r="AE50" i="15"/>
  <c r="AF49" i="15"/>
  <c r="AE14" i="15"/>
  <c r="AF13" i="15"/>
  <c r="AF43" i="15"/>
  <c r="AE44" i="15"/>
  <c r="AE86" i="15"/>
  <c r="AF85" i="15"/>
  <c r="AF67" i="15"/>
  <c r="AE68" i="15"/>
  <c r="AE62" i="15"/>
  <c r="AF61" i="15"/>
  <c r="AF91" i="15"/>
  <c r="AE92" i="15"/>
  <c r="AF25" i="15"/>
  <c r="AE26" i="15"/>
  <c r="AE38" i="15"/>
  <c r="AF37" i="15"/>
  <c r="AF76" i="15"/>
  <c r="AE77" i="15"/>
  <c r="AF28" i="15"/>
  <c r="AE29" i="15"/>
  <c r="AF16" i="15"/>
  <c r="AE17" i="15"/>
  <c r="AE74" i="15"/>
  <c r="AF73" i="15"/>
  <c r="AF64" i="15"/>
  <c r="AE65" i="15"/>
  <c r="AF70" i="15"/>
  <c r="AE71" i="15"/>
  <c r="D98" i="13"/>
  <c r="D19" i="9"/>
  <c r="D22" i="9"/>
  <c r="D17" i="9"/>
  <c r="D6" i="9"/>
  <c r="D26" i="9"/>
  <c r="D15" i="9"/>
  <c r="D14" i="9"/>
  <c r="D16" i="9"/>
  <c r="C53" i="26"/>
  <c r="D21" i="9"/>
  <c r="AF58" i="15"/>
  <c r="AE59" i="15"/>
  <c r="AF34" i="15"/>
  <c r="AE35" i="15"/>
  <c r="AF31" i="15"/>
  <c r="AE32" i="15"/>
  <c r="AF82" i="15"/>
  <c r="AE83" i="15"/>
  <c r="AF22" i="15"/>
  <c r="AE23" i="15"/>
  <c r="AF7" i="15"/>
  <c r="Z9" i="20"/>
  <c r="AA8" i="20"/>
  <c r="AA9" i="20" s="1"/>
  <c r="AD35" i="22"/>
  <c r="AE35" i="22" s="1"/>
  <c r="AD36" i="22"/>
  <c r="AE36" i="22" s="1"/>
  <c r="I28" i="27"/>
  <c r="K28" i="27" s="1"/>
  <c r="F28" i="27"/>
  <c r="C47" i="27"/>
  <c r="E47" i="27"/>
  <c r="A48" i="27"/>
  <c r="C41" i="24"/>
  <c r="A42" i="24"/>
  <c r="E41" i="24"/>
  <c r="G28" i="24"/>
  <c r="H28" i="24" s="1"/>
  <c r="J28" i="24" s="1"/>
  <c r="D29" i="24" s="1"/>
  <c r="A111" i="29" l="1"/>
  <c r="E110" i="29"/>
  <c r="C110" i="29"/>
  <c r="I27" i="29"/>
  <c r="K27" i="29" s="1"/>
  <c r="F27" i="29"/>
  <c r="AG22" i="15"/>
  <c r="AF23" i="15"/>
  <c r="AF32" i="15"/>
  <c r="AG31" i="15"/>
  <c r="AG58" i="15"/>
  <c r="AF59" i="15"/>
  <c r="AG64" i="15"/>
  <c r="AF65" i="15"/>
  <c r="AG16" i="15"/>
  <c r="AF17" i="15"/>
  <c r="AG76" i="15"/>
  <c r="AF77" i="15"/>
  <c r="AF26" i="15"/>
  <c r="AG25" i="15"/>
  <c r="AG46" i="15"/>
  <c r="AF47" i="15"/>
  <c r="AG52" i="15"/>
  <c r="AF53" i="15"/>
  <c r="AG40" i="15"/>
  <c r="AF41" i="15"/>
  <c r="AG7" i="15"/>
  <c r="AF74" i="15"/>
  <c r="AG73" i="15"/>
  <c r="AF38" i="15"/>
  <c r="AG37" i="15"/>
  <c r="AF50" i="15"/>
  <c r="AG49" i="15"/>
  <c r="AF80" i="15"/>
  <c r="AG79" i="15"/>
  <c r="AG82" i="15"/>
  <c r="AF83" i="15"/>
  <c r="AG34" i="15"/>
  <c r="AF35" i="15"/>
  <c r="AG70" i="15"/>
  <c r="AF71" i="15"/>
  <c r="AG28" i="15"/>
  <c r="AF29" i="15"/>
  <c r="AF92" i="15"/>
  <c r="AG91" i="15"/>
  <c r="AF68" i="15"/>
  <c r="AG67" i="15"/>
  <c r="AF44" i="15"/>
  <c r="AG43" i="15"/>
  <c r="AG88" i="15"/>
  <c r="AF89" i="15"/>
  <c r="AG10" i="15"/>
  <c r="AG94" i="15"/>
  <c r="AF95" i="15"/>
  <c r="D82" i="9"/>
  <c r="C54" i="26"/>
  <c r="D90" i="9"/>
  <c r="D132" i="9"/>
  <c r="D98" i="9"/>
  <c r="D93" i="9"/>
  <c r="D102" i="9"/>
  <c r="D91" i="9"/>
  <c r="D97" i="9"/>
  <c r="D95" i="9"/>
  <c r="AF20" i="15"/>
  <c r="AG19" i="15"/>
  <c r="J8" i="36"/>
  <c r="J9" i="36" s="1"/>
  <c r="AF62" i="15"/>
  <c r="AG61" i="15"/>
  <c r="AF86" i="15"/>
  <c r="AG85" i="15"/>
  <c r="AF14" i="15"/>
  <c r="AG13" i="15"/>
  <c r="AF56" i="15"/>
  <c r="AG55" i="15"/>
  <c r="C48" i="27"/>
  <c r="E48" i="27"/>
  <c r="A49" i="27"/>
  <c r="G28" i="27"/>
  <c r="H28" i="27" s="1"/>
  <c r="J28" i="27" s="1"/>
  <c r="D29" i="27" s="1"/>
  <c r="C42" i="24"/>
  <c r="A43" i="24"/>
  <c r="E42" i="24"/>
  <c r="F29" i="24"/>
  <c r="I29" i="24"/>
  <c r="K29" i="24" s="1"/>
  <c r="A112" i="29" l="1"/>
  <c r="E111" i="29"/>
  <c r="C111" i="29"/>
  <c r="G27" i="29"/>
  <c r="H27" i="29" s="1"/>
  <c r="J27" i="29" s="1"/>
  <c r="D28" i="29" s="1"/>
  <c r="AG56" i="15"/>
  <c r="AH55" i="15"/>
  <c r="AH10" i="15"/>
  <c r="AH70" i="15"/>
  <c r="AG71" i="15"/>
  <c r="AH82" i="15"/>
  <c r="AG83" i="15"/>
  <c r="AG80" i="15"/>
  <c r="AH79" i="15"/>
  <c r="AH40" i="15"/>
  <c r="AG41" i="15"/>
  <c r="AH46" i="15"/>
  <c r="AG47" i="15"/>
  <c r="AH76" i="15"/>
  <c r="AG77" i="15"/>
  <c r="AH64" i="15"/>
  <c r="AG65" i="15"/>
  <c r="AG62" i="15"/>
  <c r="AH61" i="15"/>
  <c r="AG44" i="15"/>
  <c r="AH43" i="15"/>
  <c r="AG92" i="15"/>
  <c r="AH91" i="15"/>
  <c r="AG50" i="15"/>
  <c r="AH49" i="15"/>
  <c r="AG38" i="15"/>
  <c r="AH37" i="15"/>
  <c r="AG26" i="15"/>
  <c r="AH25" i="15"/>
  <c r="AG14" i="15"/>
  <c r="AH13" i="15"/>
  <c r="AG74" i="15"/>
  <c r="AH73" i="15"/>
  <c r="AG32" i="15"/>
  <c r="AH31" i="15"/>
  <c r="AG86" i="15"/>
  <c r="AH85" i="15"/>
  <c r="AG68" i="15"/>
  <c r="AH67" i="15"/>
  <c r="AG20" i="15"/>
  <c r="AH19" i="15"/>
  <c r="AH94" i="15"/>
  <c r="AG95" i="15"/>
  <c r="AH88" i="15"/>
  <c r="AG89" i="15"/>
  <c r="AH28" i="15"/>
  <c r="AG29" i="15"/>
  <c r="AH34" i="15"/>
  <c r="AG35" i="15"/>
  <c r="AH7" i="15"/>
  <c r="AH52" i="15"/>
  <c r="AG53" i="15"/>
  <c r="AH16" i="15"/>
  <c r="AG17" i="15"/>
  <c r="AH58" i="15"/>
  <c r="AG59" i="15"/>
  <c r="AH22" i="15"/>
  <c r="AG23" i="15"/>
  <c r="I29" i="27"/>
  <c r="K29" i="27" s="1"/>
  <c r="F29" i="27"/>
  <c r="E49" i="27"/>
  <c r="C49" i="27"/>
  <c r="A50" i="27"/>
  <c r="E43" i="24"/>
  <c r="A44" i="24"/>
  <c r="C43" i="24"/>
  <c r="G29" i="24"/>
  <c r="H29" i="24" s="1"/>
  <c r="J29" i="24" s="1"/>
  <c r="D30" i="24" s="1"/>
  <c r="A113" i="29" l="1"/>
  <c r="C112" i="29"/>
  <c r="E112" i="29"/>
  <c r="I28" i="29"/>
  <c r="K28" i="29" s="1"/>
  <c r="C207" i="13" s="1"/>
  <c r="F28" i="29"/>
  <c r="AI28" i="15"/>
  <c r="AH29" i="15"/>
  <c r="AI25" i="15"/>
  <c r="AH26" i="15"/>
  <c r="AI91" i="15"/>
  <c r="AH92" i="15"/>
  <c r="AI61" i="15"/>
  <c r="AH62" i="15"/>
  <c r="AI58" i="15"/>
  <c r="AH59" i="15"/>
  <c r="AI52" i="15"/>
  <c r="AH53" i="15"/>
  <c r="AI19" i="15"/>
  <c r="AH20" i="15"/>
  <c r="AI85" i="15"/>
  <c r="AH86" i="15"/>
  <c r="AI73" i="15"/>
  <c r="AH74" i="15"/>
  <c r="AI76" i="15"/>
  <c r="AH77" i="15"/>
  <c r="AI40" i="15"/>
  <c r="AH41" i="15"/>
  <c r="AI82" i="15"/>
  <c r="AH83" i="15"/>
  <c r="AI10" i="15"/>
  <c r="AI7" i="15"/>
  <c r="AI34" i="15"/>
  <c r="AH35" i="15"/>
  <c r="AI88" i="15"/>
  <c r="AH89" i="15"/>
  <c r="AH14" i="15"/>
  <c r="AI13" i="15"/>
  <c r="AI49" i="15"/>
  <c r="AH50" i="15"/>
  <c r="AI43" i="15"/>
  <c r="AH44" i="15"/>
  <c r="AI79" i="15"/>
  <c r="AH80" i="15"/>
  <c r="AI55" i="15"/>
  <c r="AH56" i="15"/>
  <c r="AI94" i="15"/>
  <c r="AH95" i="15"/>
  <c r="AI22" i="15"/>
  <c r="AH23" i="15"/>
  <c r="AI16" i="15"/>
  <c r="AH17" i="15"/>
  <c r="AI67" i="15"/>
  <c r="AH68" i="15"/>
  <c r="AI31" i="15"/>
  <c r="AH32" i="15"/>
  <c r="AI37" i="15"/>
  <c r="AH38" i="15"/>
  <c r="AI64" i="15"/>
  <c r="AH65" i="15"/>
  <c r="AI46" i="15"/>
  <c r="AH47" i="15"/>
  <c r="AI70" i="15"/>
  <c r="AH71" i="15"/>
  <c r="G29" i="27"/>
  <c r="H29" i="27" s="1"/>
  <c r="J29" i="27" s="1"/>
  <c r="D30" i="27" s="1"/>
  <c r="C50" i="27"/>
  <c r="E50" i="27"/>
  <c r="A51" i="27"/>
  <c r="E44" i="24"/>
  <c r="C44" i="24"/>
  <c r="A45" i="24"/>
  <c r="I30" i="24"/>
  <c r="K30" i="24" s="1"/>
  <c r="F30" i="24"/>
  <c r="A114" i="29" l="1"/>
  <c r="E113" i="29"/>
  <c r="C113" i="29"/>
  <c r="G28" i="29"/>
  <c r="H28" i="29" s="1"/>
  <c r="J28" i="29" s="1"/>
  <c r="D29" i="29" s="1"/>
  <c r="AJ16" i="15"/>
  <c r="AI17" i="15"/>
  <c r="AJ55" i="15"/>
  <c r="AI56" i="15"/>
  <c r="AJ13" i="15"/>
  <c r="AI14" i="15"/>
  <c r="AJ61" i="15"/>
  <c r="AI62" i="15"/>
  <c r="AJ37" i="15"/>
  <c r="AI38" i="15"/>
  <c r="AJ19" i="15"/>
  <c r="AI20" i="15"/>
  <c r="AJ58" i="15"/>
  <c r="AI59" i="15"/>
  <c r="AJ22" i="15"/>
  <c r="AI23" i="15"/>
  <c r="AJ94" i="15"/>
  <c r="AI95" i="15"/>
  <c r="AJ79" i="15"/>
  <c r="AI80" i="15"/>
  <c r="AJ49" i="15"/>
  <c r="AI50" i="15"/>
  <c r="AJ7" i="15"/>
  <c r="AJ91" i="15"/>
  <c r="AI92" i="15"/>
  <c r="AJ28" i="15"/>
  <c r="AI29" i="15"/>
  <c r="AJ43" i="15"/>
  <c r="AI44" i="15"/>
  <c r="AJ25" i="15"/>
  <c r="AI26" i="15"/>
  <c r="AJ46" i="15"/>
  <c r="AI47" i="15"/>
  <c r="AJ67" i="15"/>
  <c r="AI68" i="15"/>
  <c r="AJ34" i="15"/>
  <c r="AI35" i="15"/>
  <c r="AJ10" i="15"/>
  <c r="AJ40" i="15"/>
  <c r="AI41" i="15"/>
  <c r="AJ73" i="15"/>
  <c r="AI74" i="15"/>
  <c r="AJ70" i="15"/>
  <c r="AI71" i="15"/>
  <c r="AJ64" i="15"/>
  <c r="AI65" i="15"/>
  <c r="AJ31" i="15"/>
  <c r="AI32" i="15"/>
  <c r="AJ88" i="15"/>
  <c r="AI89" i="15"/>
  <c r="AI83" i="15"/>
  <c r="AJ82" i="15"/>
  <c r="AJ76" i="15"/>
  <c r="AI77" i="15"/>
  <c r="AJ85" i="15"/>
  <c r="AI86" i="15"/>
  <c r="AJ52" i="15"/>
  <c r="AI53" i="15"/>
  <c r="I30" i="27"/>
  <c r="K30" i="27" s="1"/>
  <c r="F30" i="27"/>
  <c r="E51" i="27"/>
  <c r="C51" i="27"/>
  <c r="A52" i="27"/>
  <c r="E45" i="24"/>
  <c r="C45" i="24"/>
  <c r="A46" i="24"/>
  <c r="G30" i="24"/>
  <c r="H30" i="24" s="1"/>
  <c r="J30" i="24" s="1"/>
  <c r="D31" i="24" s="1"/>
  <c r="A115" i="29" l="1"/>
  <c r="C114" i="29"/>
  <c r="E114" i="29"/>
  <c r="I29" i="29"/>
  <c r="K29" i="29" s="1"/>
  <c r="C225" i="13"/>
  <c r="C245" i="13" s="1"/>
  <c r="F29" i="29"/>
  <c r="AJ32" i="15"/>
  <c r="AK31" i="15"/>
  <c r="AK70" i="15"/>
  <c r="AJ71" i="15"/>
  <c r="AK40" i="15"/>
  <c r="AJ41" i="15"/>
  <c r="AK34" i="15"/>
  <c r="AJ35" i="15"/>
  <c r="AK46" i="15"/>
  <c r="AJ47" i="15"/>
  <c r="AJ44" i="15"/>
  <c r="AK43" i="15"/>
  <c r="AJ92" i="15"/>
  <c r="AK91" i="15"/>
  <c r="AJ20" i="15"/>
  <c r="AK19" i="15"/>
  <c r="AJ62" i="15"/>
  <c r="AK61" i="15"/>
  <c r="AJ56" i="15"/>
  <c r="AK55" i="15"/>
  <c r="AJ80" i="15"/>
  <c r="AK79" i="15"/>
  <c r="AK52" i="15"/>
  <c r="AJ53" i="15"/>
  <c r="AK76" i="15"/>
  <c r="AJ77" i="15"/>
  <c r="AK10" i="15"/>
  <c r="AJ50" i="15"/>
  <c r="AK49" i="15"/>
  <c r="AK94" i="15"/>
  <c r="AJ95" i="15"/>
  <c r="AJ86" i="15"/>
  <c r="AK85" i="15"/>
  <c r="AK22" i="15"/>
  <c r="AJ23" i="15"/>
  <c r="AK82" i="15"/>
  <c r="AJ83" i="15"/>
  <c r="AK88" i="15"/>
  <c r="AJ89" i="15"/>
  <c r="AK64" i="15"/>
  <c r="AJ65" i="15"/>
  <c r="AJ74" i="15"/>
  <c r="AK73" i="15"/>
  <c r="AJ68" i="15"/>
  <c r="AK67" i="15"/>
  <c r="AJ26" i="15"/>
  <c r="AK25" i="15"/>
  <c r="AK28" i="15"/>
  <c r="AJ29" i="15"/>
  <c r="AK7" i="15"/>
  <c r="AK58" i="15"/>
  <c r="AJ59" i="15"/>
  <c r="AJ38" i="15"/>
  <c r="AK37" i="15"/>
  <c r="AJ14" i="15"/>
  <c r="AK13" i="15"/>
  <c r="AK16" i="15"/>
  <c r="AJ17" i="15"/>
  <c r="C52" i="27"/>
  <c r="E52" i="27"/>
  <c r="A53" i="27"/>
  <c r="G30" i="27"/>
  <c r="H30" i="27" s="1"/>
  <c r="J30" i="27" s="1"/>
  <c r="D31" i="27" s="1"/>
  <c r="C46" i="24"/>
  <c r="A47" i="24"/>
  <c r="E46" i="24"/>
  <c r="F31" i="24"/>
  <c r="I31" i="24"/>
  <c r="K31" i="24" s="1"/>
  <c r="A116" i="29" l="1"/>
  <c r="C115" i="29"/>
  <c r="E115" i="29"/>
  <c r="G29" i="29"/>
  <c r="H29" i="29" s="1"/>
  <c r="J29" i="29" s="1"/>
  <c r="D30" i="29" s="1"/>
  <c r="AK17" i="15"/>
  <c r="AL16" i="15"/>
  <c r="AK26" i="15"/>
  <c r="AL25" i="15"/>
  <c r="AK74" i="15"/>
  <c r="AL73" i="15"/>
  <c r="AK86" i="15"/>
  <c r="AL85" i="15"/>
  <c r="AK50" i="15"/>
  <c r="AL49" i="15"/>
  <c r="AL10" i="15"/>
  <c r="AK53" i="15"/>
  <c r="AL52" i="15"/>
  <c r="AK35" i="15"/>
  <c r="AL34" i="15"/>
  <c r="AL70" i="15"/>
  <c r="AK71" i="15"/>
  <c r="AK14" i="15"/>
  <c r="AL13" i="15"/>
  <c r="AL7" i="15"/>
  <c r="AK89" i="15"/>
  <c r="AL88" i="15"/>
  <c r="AK23" i="15"/>
  <c r="AL22" i="15"/>
  <c r="AK80" i="15"/>
  <c r="AL79" i="15"/>
  <c r="AK62" i="15"/>
  <c r="AL61" i="15"/>
  <c r="AK92" i="15"/>
  <c r="AL91" i="15"/>
  <c r="AK32" i="15"/>
  <c r="AL31" i="15"/>
  <c r="AK77" i="15"/>
  <c r="AL76" i="15"/>
  <c r="AK47" i="15"/>
  <c r="AL46" i="15"/>
  <c r="AK41" i="15"/>
  <c r="AL40" i="15"/>
  <c r="AK59" i="15"/>
  <c r="AL58" i="15"/>
  <c r="AK68" i="15"/>
  <c r="AL67" i="15"/>
  <c r="AK38" i="15"/>
  <c r="AL37" i="15"/>
  <c r="AK29" i="15"/>
  <c r="AL28" i="15"/>
  <c r="AL64" i="15"/>
  <c r="AK65" i="15"/>
  <c r="AK83" i="15"/>
  <c r="AL82" i="15"/>
  <c r="AK95" i="15"/>
  <c r="AL94" i="15"/>
  <c r="AK56" i="15"/>
  <c r="AL55" i="15"/>
  <c r="AK20" i="15"/>
  <c r="AL19" i="15"/>
  <c r="AK44" i="15"/>
  <c r="AL43" i="15"/>
  <c r="I31" i="27"/>
  <c r="K31" i="27" s="1"/>
  <c r="F31" i="27"/>
  <c r="E53" i="27"/>
  <c r="C53" i="27"/>
  <c r="A54" i="27"/>
  <c r="E47" i="24"/>
  <c r="A48" i="24"/>
  <c r="C47" i="24"/>
  <c r="G31" i="24"/>
  <c r="H31" i="24" s="1"/>
  <c r="J31" i="24" s="1"/>
  <c r="D32" i="24" s="1"/>
  <c r="A117" i="29" l="1"/>
  <c r="C116" i="29"/>
  <c r="E116" i="29"/>
  <c r="I30" i="29"/>
  <c r="K30" i="29" s="1"/>
  <c r="F30" i="29"/>
  <c r="AM31" i="15"/>
  <c r="AL32" i="15"/>
  <c r="AM61" i="15"/>
  <c r="AL62" i="15"/>
  <c r="AM52" i="15"/>
  <c r="AL53" i="15"/>
  <c r="AM49" i="15"/>
  <c r="AL50" i="15"/>
  <c r="AM73" i="15"/>
  <c r="AL74" i="15"/>
  <c r="AM43" i="15"/>
  <c r="AL44" i="15"/>
  <c r="AM55" i="15"/>
  <c r="AL56" i="15"/>
  <c r="AM82" i="15"/>
  <c r="AL83" i="15"/>
  <c r="AM28" i="15"/>
  <c r="AL29" i="15"/>
  <c r="AM67" i="15"/>
  <c r="AL68" i="15"/>
  <c r="AM40" i="15"/>
  <c r="AL41" i="15"/>
  <c r="AM76" i="15"/>
  <c r="AL77" i="15"/>
  <c r="AM7" i="15"/>
  <c r="AM70" i="15"/>
  <c r="AL71" i="15"/>
  <c r="AM16" i="15"/>
  <c r="AL17" i="15"/>
  <c r="AM19" i="15"/>
  <c r="AL20" i="15"/>
  <c r="AM94" i="15"/>
  <c r="AL95" i="15"/>
  <c r="AL38" i="15"/>
  <c r="AM37" i="15"/>
  <c r="AM58" i="15"/>
  <c r="AL59" i="15"/>
  <c r="AM46" i="15"/>
  <c r="AL47" i="15"/>
  <c r="AM64" i="15"/>
  <c r="AL65" i="15"/>
  <c r="AM22" i="15"/>
  <c r="AL23" i="15"/>
  <c r="AM91" i="15"/>
  <c r="AL92" i="15"/>
  <c r="AM79" i="15"/>
  <c r="AL80" i="15"/>
  <c r="AM88" i="15"/>
  <c r="AL89" i="15"/>
  <c r="AL14" i="15"/>
  <c r="AM13" i="15"/>
  <c r="AM34" i="15"/>
  <c r="AL35" i="15"/>
  <c r="AM10" i="15"/>
  <c r="AM85" i="15"/>
  <c r="AL86" i="15"/>
  <c r="AL26" i="15"/>
  <c r="AM25" i="15"/>
  <c r="E54" i="27"/>
  <c r="C54" i="27"/>
  <c r="A55" i="27"/>
  <c r="G31" i="27"/>
  <c r="H31" i="27" s="1"/>
  <c r="J31" i="27" s="1"/>
  <c r="D32" i="27" s="1"/>
  <c r="C48" i="24"/>
  <c r="A49" i="24"/>
  <c r="E48" i="24"/>
  <c r="I32" i="24"/>
  <c r="K32" i="24" s="1"/>
  <c r="F32" i="24"/>
  <c r="A118" i="29" l="1"/>
  <c r="C117" i="29"/>
  <c r="E117" i="29"/>
  <c r="G30" i="29"/>
  <c r="H30" i="29" s="1"/>
  <c r="J30" i="29" s="1"/>
  <c r="D31" i="29" s="1"/>
  <c r="AN10" i="15"/>
  <c r="AN79" i="15"/>
  <c r="AM80" i="15"/>
  <c r="AM59" i="15"/>
  <c r="AN58" i="15"/>
  <c r="AM95" i="15"/>
  <c r="AN94" i="15"/>
  <c r="AM17" i="15"/>
  <c r="AN16" i="15"/>
  <c r="AM41" i="15"/>
  <c r="AN40" i="15"/>
  <c r="AN55" i="15"/>
  <c r="AM56" i="15"/>
  <c r="AM53" i="15"/>
  <c r="AN52" i="15"/>
  <c r="AM23" i="15"/>
  <c r="AN22" i="15"/>
  <c r="AN37" i="15"/>
  <c r="AM38" i="15"/>
  <c r="AN25" i="15"/>
  <c r="AM26" i="15"/>
  <c r="AN13" i="15"/>
  <c r="AM14" i="15"/>
  <c r="AM65" i="15"/>
  <c r="AN64" i="15"/>
  <c r="AN7" i="15"/>
  <c r="AM29" i="15"/>
  <c r="AN28" i="15"/>
  <c r="AM74" i="15"/>
  <c r="AN73" i="15"/>
  <c r="AM62" i="15"/>
  <c r="AN61" i="15"/>
  <c r="AM86" i="15"/>
  <c r="AN85" i="15"/>
  <c r="AM35" i="15"/>
  <c r="AN34" i="15"/>
  <c r="AM89" i="15"/>
  <c r="AN88" i="15"/>
  <c r="AN91" i="15"/>
  <c r="AM92" i="15"/>
  <c r="AM47" i="15"/>
  <c r="AN46" i="15"/>
  <c r="AN19" i="15"/>
  <c r="AM20" i="15"/>
  <c r="AM71" i="15"/>
  <c r="AN70" i="15"/>
  <c r="AM77" i="15"/>
  <c r="AN76" i="15"/>
  <c r="AN67" i="15"/>
  <c r="AM68" i="15"/>
  <c r="AM83" i="15"/>
  <c r="AN82" i="15"/>
  <c r="AM44" i="15"/>
  <c r="AN43" i="15"/>
  <c r="AM50" i="15"/>
  <c r="AN49" i="15"/>
  <c r="AM32" i="15"/>
  <c r="AN31" i="15"/>
  <c r="I32" i="27"/>
  <c r="K32" i="27" s="1"/>
  <c r="F32" i="27"/>
  <c r="C55" i="27"/>
  <c r="E55" i="27"/>
  <c r="A56" i="27"/>
  <c r="E49" i="24"/>
  <c r="C49" i="24"/>
  <c r="A50" i="24"/>
  <c r="G32" i="24"/>
  <c r="H32" i="24" s="1"/>
  <c r="J32" i="24" s="1"/>
  <c r="D33" i="24" s="1"/>
  <c r="A119" i="29" l="1"/>
  <c r="C118" i="29"/>
  <c r="E118" i="29"/>
  <c r="I31" i="29"/>
  <c r="K31" i="29" s="1"/>
  <c r="F31" i="29"/>
  <c r="AO49" i="15"/>
  <c r="AN50" i="15"/>
  <c r="AO76" i="15"/>
  <c r="AN77" i="15"/>
  <c r="AO28" i="15"/>
  <c r="AN29" i="15"/>
  <c r="AO25" i="15"/>
  <c r="AN26" i="15"/>
  <c r="AO22" i="15"/>
  <c r="AN23" i="15"/>
  <c r="AO16" i="15"/>
  <c r="AN17" i="15"/>
  <c r="AO58" i="15"/>
  <c r="AN59" i="15"/>
  <c r="AO10" i="15"/>
  <c r="AO82" i="15"/>
  <c r="AN83" i="15"/>
  <c r="AO34" i="15"/>
  <c r="AN35" i="15"/>
  <c r="AN62" i="15"/>
  <c r="AO61" i="15"/>
  <c r="AO7" i="15"/>
  <c r="AN14" i="15"/>
  <c r="AO13" i="15"/>
  <c r="AO52" i="15"/>
  <c r="AN53" i="15"/>
  <c r="AO40" i="15"/>
  <c r="AN41" i="15"/>
  <c r="AO94" i="15"/>
  <c r="AN95" i="15"/>
  <c r="AO19" i="15"/>
  <c r="AN20" i="15"/>
  <c r="AN92" i="15"/>
  <c r="AO91" i="15"/>
  <c r="AO64" i="15"/>
  <c r="AN65" i="15"/>
  <c r="AN38" i="15"/>
  <c r="AO37" i="15"/>
  <c r="AN80" i="15"/>
  <c r="AO79" i="15"/>
  <c r="AN32" i="15"/>
  <c r="AO31" i="15"/>
  <c r="AO43" i="15"/>
  <c r="AN44" i="15"/>
  <c r="AO70" i="15"/>
  <c r="AN71" i="15"/>
  <c r="AO46" i="15"/>
  <c r="AN47" i="15"/>
  <c r="AO88" i="15"/>
  <c r="AN89" i="15"/>
  <c r="AN86" i="15"/>
  <c r="AO85" i="15"/>
  <c r="AN74" i="15"/>
  <c r="AO73" i="15"/>
  <c r="AN68" i="15"/>
  <c r="AO67" i="15"/>
  <c r="AN56" i="15"/>
  <c r="AO55" i="15"/>
  <c r="G32" i="27"/>
  <c r="H32" i="27" s="1"/>
  <c r="J32" i="27" s="1"/>
  <c r="D33" i="27" s="1"/>
  <c r="E56" i="27"/>
  <c r="C56" i="27"/>
  <c r="A57" i="27"/>
  <c r="C50" i="24"/>
  <c r="A51" i="24"/>
  <c r="E50" i="24"/>
  <c r="F33" i="24"/>
  <c r="I33" i="24"/>
  <c r="K33" i="24" s="1"/>
  <c r="A120" i="29" l="1"/>
  <c r="E119" i="29"/>
  <c r="C119" i="29"/>
  <c r="G31" i="29"/>
  <c r="H31" i="29" s="1"/>
  <c r="J31" i="29" s="1"/>
  <c r="D32" i="29" s="1"/>
  <c r="AP67" i="15"/>
  <c r="AQ67" i="15" s="1"/>
  <c r="AO68" i="15"/>
  <c r="AP68" i="15" s="1"/>
  <c r="AP85" i="15"/>
  <c r="AQ85" i="15" s="1"/>
  <c r="AO86" i="15"/>
  <c r="AP86" i="15" s="1"/>
  <c r="AO80" i="15"/>
  <c r="AP80" i="15" s="1"/>
  <c r="AP79" i="15"/>
  <c r="AQ79" i="15" s="1"/>
  <c r="AO95" i="15"/>
  <c r="AP95" i="15" s="1"/>
  <c r="AP94" i="15"/>
  <c r="AQ94" i="15" s="1"/>
  <c r="AO53" i="15"/>
  <c r="AP53" i="15" s="1"/>
  <c r="AP52" i="15"/>
  <c r="AQ52" i="15" s="1"/>
  <c r="AP7" i="15"/>
  <c r="AQ7" i="15" s="1"/>
  <c r="AO35" i="15"/>
  <c r="AP35" i="15" s="1"/>
  <c r="AP34" i="15"/>
  <c r="AQ34" i="15" s="1"/>
  <c r="AP10" i="15"/>
  <c r="AQ10" i="15" s="1"/>
  <c r="AO17" i="15"/>
  <c r="AP17" i="15" s="1"/>
  <c r="AP16" i="15"/>
  <c r="AQ16" i="15" s="1"/>
  <c r="AP25" i="15"/>
  <c r="AQ25" i="15" s="1"/>
  <c r="AO26" i="15"/>
  <c r="AP26" i="15" s="1"/>
  <c r="AO47" i="15"/>
  <c r="AP47" i="15" s="1"/>
  <c r="AP46" i="15"/>
  <c r="AQ46" i="15" s="1"/>
  <c r="AP43" i="15"/>
  <c r="AQ43" i="15" s="1"/>
  <c r="AO44" i="15"/>
  <c r="AP44" i="15" s="1"/>
  <c r="AO65" i="15"/>
  <c r="AP65" i="15" s="1"/>
  <c r="AP64" i="15"/>
  <c r="AQ64" i="15" s="1"/>
  <c r="AO20" i="15"/>
  <c r="AP20" i="15" s="1"/>
  <c r="AP19" i="15"/>
  <c r="AQ19" i="15" s="1"/>
  <c r="AP13" i="15"/>
  <c r="AQ13" i="15" s="1"/>
  <c r="AO14" i="15"/>
  <c r="AP14" i="15" s="1"/>
  <c r="AP61" i="15"/>
  <c r="AQ61" i="15" s="1"/>
  <c r="AO62" i="15"/>
  <c r="AP62" i="15" s="1"/>
  <c r="AO77" i="15"/>
  <c r="AP77" i="15" s="1"/>
  <c r="AP76" i="15"/>
  <c r="AQ76" i="15" s="1"/>
  <c r="AP73" i="15"/>
  <c r="AQ73" i="15" s="1"/>
  <c r="AO74" i="15"/>
  <c r="AP74" i="15" s="1"/>
  <c r="AO32" i="15"/>
  <c r="AP32" i="15" s="1"/>
  <c r="AP31" i="15"/>
  <c r="AQ31" i="15" s="1"/>
  <c r="AP37" i="15"/>
  <c r="AQ37" i="15" s="1"/>
  <c r="AO38" i="15"/>
  <c r="AP38" i="15" s="1"/>
  <c r="AP91" i="15"/>
  <c r="AQ91" i="15" s="1"/>
  <c r="AO92" i="15"/>
  <c r="AP92" i="15" s="1"/>
  <c r="AO41" i="15"/>
  <c r="AP41" i="15" s="1"/>
  <c r="AP40" i="15"/>
  <c r="AQ40" i="15" s="1"/>
  <c r="AO83" i="15"/>
  <c r="AP83" i="15" s="1"/>
  <c r="AP82" i="15"/>
  <c r="AQ82" i="15" s="1"/>
  <c r="AO59" i="15"/>
  <c r="AP59" i="15" s="1"/>
  <c r="AP58" i="15"/>
  <c r="AQ58" i="15" s="1"/>
  <c r="AO23" i="15"/>
  <c r="AP23" i="15" s="1"/>
  <c r="AP22" i="15"/>
  <c r="AQ22" i="15" s="1"/>
  <c r="AP55" i="15"/>
  <c r="AQ55" i="15" s="1"/>
  <c r="AO56" i="15"/>
  <c r="AP56" i="15" s="1"/>
  <c r="AO89" i="15"/>
  <c r="AP89" i="15" s="1"/>
  <c r="AP88" i="15"/>
  <c r="AQ88" i="15" s="1"/>
  <c r="AO71" i="15"/>
  <c r="AP71" i="15" s="1"/>
  <c r="AP70" i="15"/>
  <c r="AQ70" i="15" s="1"/>
  <c r="AO29" i="15"/>
  <c r="AP29" i="15" s="1"/>
  <c r="AP28" i="15"/>
  <c r="AQ28" i="15" s="1"/>
  <c r="AO50" i="15"/>
  <c r="AP50" i="15" s="1"/>
  <c r="AP49" i="15"/>
  <c r="AQ49" i="15" s="1"/>
  <c r="F33" i="27"/>
  <c r="I33" i="27"/>
  <c r="K33" i="27" s="1"/>
  <c r="C57" i="27"/>
  <c r="E57" i="27"/>
  <c r="A58" i="27"/>
  <c r="C51" i="24"/>
  <c r="A52" i="24"/>
  <c r="E51" i="24"/>
  <c r="G33" i="24"/>
  <c r="H33" i="24" s="1"/>
  <c r="J33" i="24" s="1"/>
  <c r="D34" i="24" s="1"/>
  <c r="A121" i="29" l="1"/>
  <c r="C120" i="29"/>
  <c r="E120" i="29"/>
  <c r="I32" i="29"/>
  <c r="K32" i="29" s="1"/>
  <c r="F32" i="29"/>
  <c r="AR49" i="15"/>
  <c r="AQ50" i="15"/>
  <c r="AR88" i="15"/>
  <c r="AQ89" i="15"/>
  <c r="AR55" i="15"/>
  <c r="AQ56" i="15"/>
  <c r="AR37" i="15"/>
  <c r="AQ38" i="15"/>
  <c r="AR73" i="15"/>
  <c r="AQ74" i="15"/>
  <c r="AR19" i="15"/>
  <c r="AQ20" i="15"/>
  <c r="AR10" i="15"/>
  <c r="AR7" i="15"/>
  <c r="AR94" i="15"/>
  <c r="AQ95" i="15"/>
  <c r="AR22" i="15"/>
  <c r="AQ23" i="15"/>
  <c r="AR82" i="15"/>
  <c r="AQ83" i="15"/>
  <c r="AR31" i="15"/>
  <c r="AQ32" i="15"/>
  <c r="AR76" i="15"/>
  <c r="AQ77" i="15"/>
  <c r="AR61" i="15"/>
  <c r="AQ62" i="15"/>
  <c r="AR43" i="15"/>
  <c r="AQ44" i="15"/>
  <c r="AR25" i="15"/>
  <c r="AQ26" i="15"/>
  <c r="AR85" i="15"/>
  <c r="AQ86" i="15"/>
  <c r="AR28" i="15"/>
  <c r="AQ29" i="15"/>
  <c r="AR70" i="15"/>
  <c r="AQ71" i="15"/>
  <c r="AR91" i="15"/>
  <c r="AQ92" i="15"/>
  <c r="AR64" i="15"/>
  <c r="AQ65" i="15"/>
  <c r="AR46" i="15"/>
  <c r="AQ47" i="15"/>
  <c r="AR16" i="15"/>
  <c r="AQ17" i="15"/>
  <c r="AR34" i="15"/>
  <c r="AQ35" i="15"/>
  <c r="AR52" i="15"/>
  <c r="AQ53" i="15"/>
  <c r="AR79" i="15"/>
  <c r="AQ80" i="15"/>
  <c r="AR58" i="15"/>
  <c r="AQ59" i="15"/>
  <c r="AR40" i="15"/>
  <c r="AQ41" i="15"/>
  <c r="AR13" i="15"/>
  <c r="AQ14" i="15"/>
  <c r="AR67" i="15"/>
  <c r="AQ68" i="15"/>
  <c r="C58" i="27"/>
  <c r="E58" i="27"/>
  <c r="A59" i="27"/>
  <c r="G33" i="27"/>
  <c r="H33" i="27" s="1"/>
  <c r="J33" i="27" s="1"/>
  <c r="D34" i="27" s="1"/>
  <c r="E52" i="24"/>
  <c r="A53" i="24"/>
  <c r="C52" i="24"/>
  <c r="I34" i="24"/>
  <c r="K34" i="24" s="1"/>
  <c r="F34" i="24"/>
  <c r="A122" i="29" l="1"/>
  <c r="C121" i="29"/>
  <c r="E121" i="29"/>
  <c r="G32" i="29"/>
  <c r="H32" i="29" s="1"/>
  <c r="J32" i="29" s="1"/>
  <c r="D33" i="29" s="1"/>
  <c r="AS67" i="15"/>
  <c r="AR68" i="15"/>
  <c r="AR59" i="15"/>
  <c r="AS58" i="15"/>
  <c r="AS25" i="15"/>
  <c r="AR26" i="15"/>
  <c r="AS61" i="15"/>
  <c r="AR62" i="15"/>
  <c r="AS31" i="15"/>
  <c r="AR32" i="15"/>
  <c r="AR23" i="15"/>
  <c r="AS22" i="15"/>
  <c r="AR53" i="15"/>
  <c r="AS52" i="15"/>
  <c r="AR17" i="15"/>
  <c r="AS16" i="15"/>
  <c r="AR65" i="15"/>
  <c r="AS64" i="15"/>
  <c r="AS70" i="15"/>
  <c r="AR71" i="15"/>
  <c r="AS85" i="15"/>
  <c r="AR86" i="15"/>
  <c r="AS7" i="15"/>
  <c r="AS19" i="15"/>
  <c r="AR20" i="15"/>
  <c r="AS37" i="15"/>
  <c r="AR38" i="15"/>
  <c r="AR89" i="15"/>
  <c r="AS88" i="15"/>
  <c r="AS13" i="15"/>
  <c r="AR14" i="15"/>
  <c r="AS40" i="15"/>
  <c r="AR41" i="15"/>
  <c r="AS43" i="15"/>
  <c r="AR44" i="15"/>
  <c r="AR77" i="15"/>
  <c r="AS76" i="15"/>
  <c r="AR83" i="15"/>
  <c r="AS82" i="15"/>
  <c r="AS79" i="15"/>
  <c r="AR80" i="15"/>
  <c r="AR35" i="15"/>
  <c r="AS34" i="15"/>
  <c r="AR47" i="15"/>
  <c r="AS46" i="15"/>
  <c r="AS91" i="15"/>
  <c r="AR92" i="15"/>
  <c r="AR29" i="15"/>
  <c r="AS28" i="15"/>
  <c r="AS94" i="15"/>
  <c r="AR95" i="15"/>
  <c r="AS10" i="15"/>
  <c r="AS73" i="15"/>
  <c r="AR74" i="15"/>
  <c r="AS55" i="15"/>
  <c r="AR56" i="15"/>
  <c r="AS49" i="15"/>
  <c r="AR50" i="15"/>
  <c r="I34" i="27"/>
  <c r="K34" i="27" s="1"/>
  <c r="F34" i="27"/>
  <c r="C59" i="27"/>
  <c r="E59" i="27"/>
  <c r="A60" i="27"/>
  <c r="E53" i="24"/>
  <c r="A54" i="24"/>
  <c r="C53" i="24"/>
  <c r="G34" i="24"/>
  <c r="H34" i="24" s="1"/>
  <c r="J34" i="24" s="1"/>
  <c r="D35" i="24" s="1"/>
  <c r="A123" i="29" l="1"/>
  <c r="E122" i="29"/>
  <c r="C122" i="29"/>
  <c r="I33" i="29"/>
  <c r="K33" i="29" s="1"/>
  <c r="F33" i="29"/>
  <c r="AS80" i="15"/>
  <c r="AT79" i="15"/>
  <c r="AT88" i="15"/>
  <c r="AS89" i="15"/>
  <c r="AT58" i="15"/>
  <c r="AS59" i="15"/>
  <c r="AS56" i="15"/>
  <c r="AT55" i="15"/>
  <c r="AT70" i="15"/>
  <c r="AS71" i="15"/>
  <c r="AT22" i="15"/>
  <c r="AS23" i="15"/>
  <c r="AT34" i="15"/>
  <c r="AS35" i="15"/>
  <c r="AT82" i="15"/>
  <c r="AS83" i="15"/>
  <c r="AT40" i="15"/>
  <c r="AS41" i="15"/>
  <c r="AS20" i="15"/>
  <c r="AT19" i="15"/>
  <c r="AT64" i="15"/>
  <c r="AS65" i="15"/>
  <c r="AT52" i="15"/>
  <c r="AS53" i="15"/>
  <c r="AS62" i="15"/>
  <c r="AT61" i="15"/>
  <c r="AS50" i="15"/>
  <c r="AT49" i="15"/>
  <c r="AS74" i="15"/>
  <c r="AT73" i="15"/>
  <c r="AT94" i="15"/>
  <c r="AS95" i="15"/>
  <c r="AS92" i="15"/>
  <c r="AT91" i="15"/>
  <c r="AS44" i="15"/>
  <c r="AT43" i="15"/>
  <c r="AS86" i="15"/>
  <c r="AT85" i="15"/>
  <c r="AT10" i="15"/>
  <c r="AT28" i="15"/>
  <c r="AS29" i="15"/>
  <c r="AT46" i="15"/>
  <c r="AS47" i="15"/>
  <c r="AT76" i="15"/>
  <c r="AS77" i="15"/>
  <c r="AS14" i="15"/>
  <c r="AT13" i="15"/>
  <c r="AS38" i="15"/>
  <c r="AT37" i="15"/>
  <c r="AT7" i="15"/>
  <c r="AT16" i="15"/>
  <c r="AS17" i="15"/>
  <c r="AS32" i="15"/>
  <c r="AT31" i="15"/>
  <c r="AS26" i="15"/>
  <c r="AT25" i="15"/>
  <c r="AS68" i="15"/>
  <c r="AT67" i="15"/>
  <c r="C60" i="27"/>
  <c r="E60" i="27"/>
  <c r="A61" i="27"/>
  <c r="G34" i="27"/>
  <c r="H34" i="27" s="1"/>
  <c r="J34" i="27" s="1"/>
  <c r="D35" i="27" s="1"/>
  <c r="E54" i="24"/>
  <c r="C54" i="24"/>
  <c r="A55" i="24"/>
  <c r="I35" i="24"/>
  <c r="K35" i="24" s="1"/>
  <c r="F35" i="24"/>
  <c r="A124" i="29" l="1"/>
  <c r="C123" i="29"/>
  <c r="E123" i="29"/>
  <c r="G33" i="29"/>
  <c r="H33" i="29" s="1"/>
  <c r="J33" i="29" s="1"/>
  <c r="D34" i="29" s="1"/>
  <c r="AU67" i="15"/>
  <c r="AT68" i="15"/>
  <c r="AU31" i="15"/>
  <c r="AT32" i="15"/>
  <c r="AU16" i="15"/>
  <c r="AT17" i="15"/>
  <c r="AU37" i="15"/>
  <c r="AT38" i="15"/>
  <c r="AU85" i="15"/>
  <c r="AT86" i="15"/>
  <c r="AU61" i="15"/>
  <c r="AT62" i="15"/>
  <c r="AU82" i="15"/>
  <c r="AT83" i="15"/>
  <c r="AU58" i="15"/>
  <c r="AT59" i="15"/>
  <c r="AU88" i="15"/>
  <c r="AT89" i="15"/>
  <c r="AU76" i="15"/>
  <c r="AT77" i="15"/>
  <c r="AU28" i="15"/>
  <c r="AT29" i="15"/>
  <c r="AU49" i="15"/>
  <c r="AT50" i="15"/>
  <c r="AU64" i="15"/>
  <c r="AT65" i="15"/>
  <c r="AU40" i="15"/>
  <c r="AT41" i="15"/>
  <c r="AU22" i="15"/>
  <c r="AT23" i="15"/>
  <c r="AU55" i="15"/>
  <c r="AT56" i="15"/>
  <c r="AU79" i="15"/>
  <c r="AT80" i="15"/>
  <c r="AU25" i="15"/>
  <c r="AT26" i="15"/>
  <c r="AU13" i="15"/>
  <c r="AT14" i="15"/>
  <c r="AU94" i="15"/>
  <c r="AT95" i="15"/>
  <c r="AU19" i="15"/>
  <c r="AT20" i="15"/>
  <c r="AU34" i="15"/>
  <c r="AT35" i="15"/>
  <c r="AU7" i="15"/>
  <c r="AU46" i="15"/>
  <c r="AT47" i="15"/>
  <c r="AU10" i="15"/>
  <c r="AU43" i="15"/>
  <c r="AT44" i="15"/>
  <c r="AU91" i="15"/>
  <c r="AT92" i="15"/>
  <c r="AU73" i="15"/>
  <c r="AT74" i="15"/>
  <c r="AU52" i="15"/>
  <c r="AT53" i="15"/>
  <c r="AU70" i="15"/>
  <c r="AT71" i="15"/>
  <c r="I35" i="27"/>
  <c r="K35" i="27" s="1"/>
  <c r="F35" i="27"/>
  <c r="E61" i="27"/>
  <c r="C61" i="27"/>
  <c r="A62" i="27"/>
  <c r="A56" i="24"/>
  <c r="E55" i="24"/>
  <c r="C55" i="24"/>
  <c r="G35" i="24"/>
  <c r="H35" i="24" s="1"/>
  <c r="J35" i="24" s="1"/>
  <c r="D36" i="24" s="1"/>
  <c r="A125" i="29" l="1"/>
  <c r="C124" i="29"/>
  <c r="E124" i="29"/>
  <c r="I34" i="29"/>
  <c r="K34" i="29" s="1"/>
  <c r="F34" i="29"/>
  <c r="AV73" i="15"/>
  <c r="AU74" i="15"/>
  <c r="AV43" i="15"/>
  <c r="AU44" i="15"/>
  <c r="AV46" i="15"/>
  <c r="AU47" i="15"/>
  <c r="AU20" i="15"/>
  <c r="AV19" i="15"/>
  <c r="AV25" i="15"/>
  <c r="AU26" i="15"/>
  <c r="AV55" i="15"/>
  <c r="AU56" i="15"/>
  <c r="AV40" i="15"/>
  <c r="AU41" i="15"/>
  <c r="AU50" i="15"/>
  <c r="AV49" i="15"/>
  <c r="AV76" i="15"/>
  <c r="AU77" i="15"/>
  <c r="AV58" i="15"/>
  <c r="AU59" i="15"/>
  <c r="AU62" i="15"/>
  <c r="AV61" i="15"/>
  <c r="AU38" i="15"/>
  <c r="AV37" i="15"/>
  <c r="AU32" i="15"/>
  <c r="AV31" i="15"/>
  <c r="AV52" i="15"/>
  <c r="AU53" i="15"/>
  <c r="AV13" i="15"/>
  <c r="AU14" i="15"/>
  <c r="AV70" i="15"/>
  <c r="AU71" i="15"/>
  <c r="AU92" i="15"/>
  <c r="AV91" i="15"/>
  <c r="AV10" i="15"/>
  <c r="AV7" i="15"/>
  <c r="AV34" i="15"/>
  <c r="AU35" i="15"/>
  <c r="AV94" i="15"/>
  <c r="AU95" i="15"/>
  <c r="AU80" i="15"/>
  <c r="AV79" i="15"/>
  <c r="AV22" i="15"/>
  <c r="AU23" i="15"/>
  <c r="AV64" i="15"/>
  <c r="AU65" i="15"/>
  <c r="AV28" i="15"/>
  <c r="AU29" i="15"/>
  <c r="AV88" i="15"/>
  <c r="AU89" i="15"/>
  <c r="AV82" i="15"/>
  <c r="AU83" i="15"/>
  <c r="AU86" i="15"/>
  <c r="AV85" i="15"/>
  <c r="AV16" i="15"/>
  <c r="AU17" i="15"/>
  <c r="AU68" i="15"/>
  <c r="AV67" i="15"/>
  <c r="C62" i="27"/>
  <c r="E62" i="27"/>
  <c r="A63" i="27"/>
  <c r="G35" i="27"/>
  <c r="H35" i="27" s="1"/>
  <c r="J35" i="27" s="1"/>
  <c r="D36" i="27" s="1"/>
  <c r="C56" i="24"/>
  <c r="E56" i="24"/>
  <c r="A57" i="24"/>
  <c r="I36" i="24"/>
  <c r="K36" i="24" s="1"/>
  <c r="F36" i="24"/>
  <c r="A126" i="29" l="1"/>
  <c r="E125" i="29"/>
  <c r="C125" i="29"/>
  <c r="G34" i="29"/>
  <c r="H34" i="29" s="1"/>
  <c r="J34" i="29" s="1"/>
  <c r="D35" i="29" s="1"/>
  <c r="AW16" i="15"/>
  <c r="AV17" i="15"/>
  <c r="AW82" i="15"/>
  <c r="AV83" i="15"/>
  <c r="AW28" i="15"/>
  <c r="AV29" i="15"/>
  <c r="AW22" i="15"/>
  <c r="AV23" i="15"/>
  <c r="AW34" i="15"/>
  <c r="AV35" i="15"/>
  <c r="AW10" i="15"/>
  <c r="AW70" i="15"/>
  <c r="AV71" i="15"/>
  <c r="AW37" i="15"/>
  <c r="AV38" i="15"/>
  <c r="AW49" i="15"/>
  <c r="AV50" i="15"/>
  <c r="AW67" i="15"/>
  <c r="AV68" i="15"/>
  <c r="AW85" i="15"/>
  <c r="AV86" i="15"/>
  <c r="AW79" i="15"/>
  <c r="AV80" i="15"/>
  <c r="AW91" i="15"/>
  <c r="AV92" i="15"/>
  <c r="AW52" i="15"/>
  <c r="AV53" i="15"/>
  <c r="AW58" i="15"/>
  <c r="AV59" i="15"/>
  <c r="AW55" i="15"/>
  <c r="AV56" i="15"/>
  <c r="AW46" i="15"/>
  <c r="AV47" i="15"/>
  <c r="AW73" i="15"/>
  <c r="AV74" i="15"/>
  <c r="AW88" i="15"/>
  <c r="AV89" i="15"/>
  <c r="AW64" i="15"/>
  <c r="AV65" i="15"/>
  <c r="AW94" i="15"/>
  <c r="AV95" i="15"/>
  <c r="AW7" i="15"/>
  <c r="AW13" i="15"/>
  <c r="AV14" i="15"/>
  <c r="AW31" i="15"/>
  <c r="AV32" i="15"/>
  <c r="AW61" i="15"/>
  <c r="AV62" i="15"/>
  <c r="AW19" i="15"/>
  <c r="AV20" i="15"/>
  <c r="AW76" i="15"/>
  <c r="AV77" i="15"/>
  <c r="AW40" i="15"/>
  <c r="AV41" i="15"/>
  <c r="AW25" i="15"/>
  <c r="AV26" i="15"/>
  <c r="AW43" i="15"/>
  <c r="AV44" i="15"/>
  <c r="I36" i="27"/>
  <c r="K36" i="27" s="1"/>
  <c r="F36" i="27"/>
  <c r="E63" i="27"/>
  <c r="C63" i="27"/>
  <c r="A64" i="27"/>
  <c r="E57" i="24"/>
  <c r="C57" i="24"/>
  <c r="A58" i="24"/>
  <c r="G36" i="24"/>
  <c r="H36" i="24" s="1"/>
  <c r="J36" i="24" s="1"/>
  <c r="D37" i="24" s="1"/>
  <c r="A127" i="29" l="1"/>
  <c r="C126" i="29"/>
  <c r="E126" i="29"/>
  <c r="I35" i="29"/>
  <c r="K35" i="29" s="1"/>
  <c r="F35" i="29"/>
  <c r="AX79" i="15"/>
  <c r="AW80" i="15"/>
  <c r="AX67" i="15"/>
  <c r="AW68" i="15"/>
  <c r="AX37" i="15"/>
  <c r="AW38" i="15"/>
  <c r="AX10" i="15"/>
  <c r="AX22" i="15"/>
  <c r="AW23" i="15"/>
  <c r="AX82" i="15"/>
  <c r="AW83" i="15"/>
  <c r="AX43" i="15"/>
  <c r="AW44" i="15"/>
  <c r="AX40" i="15"/>
  <c r="AW41" i="15"/>
  <c r="AX61" i="15"/>
  <c r="AW62" i="15"/>
  <c r="AX13" i="15"/>
  <c r="AW14" i="15"/>
  <c r="AX94" i="15"/>
  <c r="AW95" i="15"/>
  <c r="AX88" i="15"/>
  <c r="AW89" i="15"/>
  <c r="AX46" i="15"/>
  <c r="AW47" i="15"/>
  <c r="AX58" i="15"/>
  <c r="AW59" i="15"/>
  <c r="AX91" i="15"/>
  <c r="AW92" i="15"/>
  <c r="AX85" i="15"/>
  <c r="AW86" i="15"/>
  <c r="AX49" i="15"/>
  <c r="AW50" i="15"/>
  <c r="AX70" i="15"/>
  <c r="AW71" i="15"/>
  <c r="AX34" i="15"/>
  <c r="AW35" i="15"/>
  <c r="AX28" i="15"/>
  <c r="AW29" i="15"/>
  <c r="AX16" i="15"/>
  <c r="AW17" i="15"/>
  <c r="AX25" i="15"/>
  <c r="AW26" i="15"/>
  <c r="AX76" i="15"/>
  <c r="AW77" i="15"/>
  <c r="AX19" i="15"/>
  <c r="AW20" i="15"/>
  <c r="AX31" i="15"/>
  <c r="AW32" i="15"/>
  <c r="AX7" i="15"/>
  <c r="AX64" i="15"/>
  <c r="AW65" i="15"/>
  <c r="AX73" i="15"/>
  <c r="AW74" i="15"/>
  <c r="AX55" i="15"/>
  <c r="AW56" i="15"/>
  <c r="AX52" i="15"/>
  <c r="AW53" i="15"/>
  <c r="G36" i="27"/>
  <c r="H36" i="27" s="1"/>
  <c r="J36" i="27" s="1"/>
  <c r="D37" i="27" s="1"/>
  <c r="C64" i="27"/>
  <c r="E64" i="27"/>
  <c r="A65" i="27"/>
  <c r="E58" i="24"/>
  <c r="A59" i="24"/>
  <c r="C58" i="24"/>
  <c r="I37" i="24"/>
  <c r="K37" i="24" s="1"/>
  <c r="F37" i="24"/>
  <c r="A128" i="29" l="1"/>
  <c r="C127" i="29"/>
  <c r="E127" i="29"/>
  <c r="G35" i="29"/>
  <c r="H35" i="29" s="1"/>
  <c r="J35" i="29" s="1"/>
  <c r="D36" i="29" s="1"/>
  <c r="AY55" i="15"/>
  <c r="AX56" i="15"/>
  <c r="AY64" i="15"/>
  <c r="AX65" i="15"/>
  <c r="AY31" i="15"/>
  <c r="AX32" i="15"/>
  <c r="AY76" i="15"/>
  <c r="AX77" i="15"/>
  <c r="AY16" i="15"/>
  <c r="AX17" i="15"/>
  <c r="AY34" i="15"/>
  <c r="AX35" i="15"/>
  <c r="AY49" i="15"/>
  <c r="AX50" i="15"/>
  <c r="AY91" i="15"/>
  <c r="AX92" i="15"/>
  <c r="AY46" i="15"/>
  <c r="AX47" i="15"/>
  <c r="AY94" i="15"/>
  <c r="AX95" i="15"/>
  <c r="AY61" i="15"/>
  <c r="AX62" i="15"/>
  <c r="AY40" i="15"/>
  <c r="AX41" i="15"/>
  <c r="AY82" i="15"/>
  <c r="AX83" i="15"/>
  <c r="AY10" i="15"/>
  <c r="AY67" i="15"/>
  <c r="AX68" i="15"/>
  <c r="AY52" i="15"/>
  <c r="AX53" i="15"/>
  <c r="AY73" i="15"/>
  <c r="AX74" i="15"/>
  <c r="AY7" i="15"/>
  <c r="AY19" i="15"/>
  <c r="AX20" i="15"/>
  <c r="AY25" i="15"/>
  <c r="AX26" i="15"/>
  <c r="AY28" i="15"/>
  <c r="AX29" i="15"/>
  <c r="AY70" i="15"/>
  <c r="AX71" i="15"/>
  <c r="AY85" i="15"/>
  <c r="AX86" i="15"/>
  <c r="AY58" i="15"/>
  <c r="AX59" i="15"/>
  <c r="AY88" i="15"/>
  <c r="AX89" i="15"/>
  <c r="AY13" i="15"/>
  <c r="AX14" i="15"/>
  <c r="AY43" i="15"/>
  <c r="AX44" i="15"/>
  <c r="AY22" i="15"/>
  <c r="AX23" i="15"/>
  <c r="AY37" i="15"/>
  <c r="AX38" i="15"/>
  <c r="AY79" i="15"/>
  <c r="AX80" i="15"/>
  <c r="F37" i="27"/>
  <c r="I37" i="27"/>
  <c r="K37" i="27" s="1"/>
  <c r="C65" i="27"/>
  <c r="E65" i="27"/>
  <c r="A66" i="27"/>
  <c r="E59" i="24"/>
  <c r="A60" i="24"/>
  <c r="C59" i="24"/>
  <c r="G37" i="24"/>
  <c r="H37" i="24" s="1"/>
  <c r="J37" i="24" s="1"/>
  <c r="D38" i="24" s="1"/>
  <c r="A129" i="29" l="1"/>
  <c r="E128" i="29"/>
  <c r="C128" i="29"/>
  <c r="I36" i="29"/>
  <c r="K36" i="29" s="1"/>
  <c r="F36" i="29"/>
  <c r="AZ85" i="15"/>
  <c r="AY86" i="15"/>
  <c r="AZ28" i="15"/>
  <c r="AY29" i="15"/>
  <c r="AZ19" i="15"/>
  <c r="AY20" i="15"/>
  <c r="AZ73" i="15"/>
  <c r="AY74" i="15"/>
  <c r="AZ34" i="15"/>
  <c r="AY35" i="15"/>
  <c r="AZ76" i="15"/>
  <c r="AY77" i="15"/>
  <c r="AZ64" i="15"/>
  <c r="AY65" i="15"/>
  <c r="AZ70" i="15"/>
  <c r="AY71" i="15"/>
  <c r="AZ25" i="15"/>
  <c r="AY26" i="15"/>
  <c r="AZ7" i="15"/>
  <c r="AZ52" i="15"/>
  <c r="AY53" i="15"/>
  <c r="AZ67" i="15"/>
  <c r="AY68" i="15"/>
  <c r="AZ82" i="15"/>
  <c r="AY83" i="15"/>
  <c r="AZ61" i="15"/>
  <c r="AY62" i="15"/>
  <c r="AZ46" i="15"/>
  <c r="AY47" i="15"/>
  <c r="AZ10" i="15"/>
  <c r="AZ40" i="15"/>
  <c r="AY41" i="15"/>
  <c r="AZ94" i="15"/>
  <c r="AY95" i="15"/>
  <c r="AZ91" i="15"/>
  <c r="AY92" i="15"/>
  <c r="AZ79" i="15"/>
  <c r="AY80" i="15"/>
  <c r="AZ22" i="15"/>
  <c r="AY23" i="15"/>
  <c r="AZ13" i="15"/>
  <c r="AY14" i="15"/>
  <c r="AZ58" i="15"/>
  <c r="AY59" i="15"/>
  <c r="AZ37" i="15"/>
  <c r="AY38" i="15"/>
  <c r="AZ43" i="15"/>
  <c r="AY44" i="15"/>
  <c r="AZ88" i="15"/>
  <c r="AY89" i="15"/>
  <c r="AZ49" i="15"/>
  <c r="AY50" i="15"/>
  <c r="AZ16" i="15"/>
  <c r="AY17" i="15"/>
  <c r="AZ31" i="15"/>
  <c r="AY32" i="15"/>
  <c r="AZ55" i="15"/>
  <c r="AY56" i="15"/>
  <c r="E66" i="27"/>
  <c r="C66" i="27"/>
  <c r="A67" i="27"/>
  <c r="G37" i="27"/>
  <c r="H37" i="27" s="1"/>
  <c r="J37" i="27" s="1"/>
  <c r="D38" i="27" s="1"/>
  <c r="E60" i="24"/>
  <c r="A61" i="24"/>
  <c r="C60" i="24"/>
  <c r="I38" i="24"/>
  <c r="K38" i="24" s="1"/>
  <c r="F38" i="24"/>
  <c r="A130" i="29" l="1"/>
  <c r="C129" i="29"/>
  <c r="E129" i="29"/>
  <c r="G36" i="29"/>
  <c r="H36" i="29" s="1"/>
  <c r="J36" i="29" s="1"/>
  <c r="D37" i="29" s="1"/>
  <c r="BA46" i="15"/>
  <c r="AZ47" i="15"/>
  <c r="BA82" i="15"/>
  <c r="AZ83" i="15"/>
  <c r="AZ53" i="15"/>
  <c r="BA52" i="15"/>
  <c r="BA25" i="15"/>
  <c r="AZ26" i="15"/>
  <c r="AZ77" i="15"/>
  <c r="BA76" i="15"/>
  <c r="BA55" i="15"/>
  <c r="AZ56" i="15"/>
  <c r="BA16" i="15"/>
  <c r="AZ17" i="15"/>
  <c r="AZ89" i="15"/>
  <c r="BA88" i="15"/>
  <c r="BA37" i="15"/>
  <c r="AZ38" i="15"/>
  <c r="BA13" i="15"/>
  <c r="AZ14" i="15"/>
  <c r="BA79" i="15"/>
  <c r="AZ80" i="15"/>
  <c r="BA94" i="15"/>
  <c r="AZ95" i="15"/>
  <c r="BA10" i="15"/>
  <c r="BA73" i="15"/>
  <c r="AZ74" i="15"/>
  <c r="AZ29" i="15"/>
  <c r="BA28" i="15"/>
  <c r="BA61" i="15"/>
  <c r="AZ62" i="15"/>
  <c r="BA67" i="15"/>
  <c r="AZ68" i="15"/>
  <c r="BA7" i="15"/>
  <c r="BA70" i="15"/>
  <c r="AZ71" i="15"/>
  <c r="AZ65" i="15"/>
  <c r="BA64" i="15"/>
  <c r="BA34" i="15"/>
  <c r="AZ35" i="15"/>
  <c r="BA31" i="15"/>
  <c r="AZ32" i="15"/>
  <c r="BA49" i="15"/>
  <c r="AZ50" i="15"/>
  <c r="BA43" i="15"/>
  <c r="AZ44" i="15"/>
  <c r="BA58" i="15"/>
  <c r="AZ59" i="15"/>
  <c r="BA22" i="15"/>
  <c r="AZ23" i="15"/>
  <c r="BA91" i="15"/>
  <c r="AZ92" i="15"/>
  <c r="BA40" i="15"/>
  <c r="AZ41" i="15"/>
  <c r="BA19" i="15"/>
  <c r="AZ20" i="15"/>
  <c r="BA85" i="15"/>
  <c r="AZ86" i="15"/>
  <c r="I38" i="27"/>
  <c r="K38" i="27" s="1"/>
  <c r="F38" i="27"/>
  <c r="E67" i="27"/>
  <c r="A68" i="27"/>
  <c r="C67" i="27"/>
  <c r="C61" i="24"/>
  <c r="A62" i="24"/>
  <c r="E61" i="24"/>
  <c r="G38" i="24"/>
  <c r="H38" i="24" s="1"/>
  <c r="J38" i="24" s="1"/>
  <c r="D39" i="24" s="1"/>
  <c r="A131" i="29" l="1"/>
  <c r="C130" i="29"/>
  <c r="E130" i="29"/>
  <c r="I37" i="29"/>
  <c r="K37" i="29" s="1"/>
  <c r="F37" i="29"/>
  <c r="BB19" i="15"/>
  <c r="BA20" i="15"/>
  <c r="BB28" i="15"/>
  <c r="BA29" i="15"/>
  <c r="BB88" i="15"/>
  <c r="BA89" i="15"/>
  <c r="BB91" i="15"/>
  <c r="BA92" i="15"/>
  <c r="BB58" i="15"/>
  <c r="BA59" i="15"/>
  <c r="BB34" i="15"/>
  <c r="BA35" i="15"/>
  <c r="BB70" i="15"/>
  <c r="BA71" i="15"/>
  <c r="BB67" i="15"/>
  <c r="BA68" i="15"/>
  <c r="BB94" i="15"/>
  <c r="BA95" i="15"/>
  <c r="BB13" i="15"/>
  <c r="BA14" i="15"/>
  <c r="BB55" i="15"/>
  <c r="BA56" i="15"/>
  <c r="BB25" i="15"/>
  <c r="BA26" i="15"/>
  <c r="BB82" i="15"/>
  <c r="BA83" i="15"/>
  <c r="BB85" i="15"/>
  <c r="BA86" i="15"/>
  <c r="BB64" i="15"/>
  <c r="BA65" i="15"/>
  <c r="BB7" i="15"/>
  <c r="BB76" i="15"/>
  <c r="BA77" i="15"/>
  <c r="BB52" i="15"/>
  <c r="BA53" i="15"/>
  <c r="BB49" i="15"/>
  <c r="BA50" i="15"/>
  <c r="BB40" i="15"/>
  <c r="BA41" i="15"/>
  <c r="BB22" i="15"/>
  <c r="BA23" i="15"/>
  <c r="BB43" i="15"/>
  <c r="BA44" i="15"/>
  <c r="BB31" i="15"/>
  <c r="BA32" i="15"/>
  <c r="BB61" i="15"/>
  <c r="BA62" i="15"/>
  <c r="BB73" i="15"/>
  <c r="BA74" i="15"/>
  <c r="BB10" i="15"/>
  <c r="BB79" i="15"/>
  <c r="BA80" i="15"/>
  <c r="BB37" i="15"/>
  <c r="BA38" i="15"/>
  <c r="BB16" i="15"/>
  <c r="BA17" i="15"/>
  <c r="BB46" i="15"/>
  <c r="BA47" i="15"/>
  <c r="G38" i="27"/>
  <c r="H38" i="27" s="1"/>
  <c r="J38" i="27" s="1"/>
  <c r="D39" i="27" s="1"/>
  <c r="C68" i="27"/>
  <c r="A69" i="27"/>
  <c r="E68" i="27"/>
  <c r="A63" i="24"/>
  <c r="E62" i="24"/>
  <c r="C62" i="24"/>
  <c r="I39" i="24"/>
  <c r="K39" i="24" s="1"/>
  <c r="F39" i="24"/>
  <c r="A132" i="29" l="1"/>
  <c r="C131" i="29"/>
  <c r="E131" i="29"/>
  <c r="G37" i="29"/>
  <c r="H37" i="29" s="1"/>
  <c r="J37" i="29" s="1"/>
  <c r="D38" i="29" s="1"/>
  <c r="BB86" i="15"/>
  <c r="BC86" i="15" s="1"/>
  <c r="BC85" i="15"/>
  <c r="BD85" i="15" s="1"/>
  <c r="BB14" i="15"/>
  <c r="BC14" i="15" s="1"/>
  <c r="BC13" i="15"/>
  <c r="BD13" i="15" s="1"/>
  <c r="BB68" i="15"/>
  <c r="BC68" i="15" s="1"/>
  <c r="BC67" i="15"/>
  <c r="BD67" i="15" s="1"/>
  <c r="BC34" i="15"/>
  <c r="BD34" i="15" s="1"/>
  <c r="BB35" i="15"/>
  <c r="BC35" i="15" s="1"/>
  <c r="BB92" i="15"/>
  <c r="BC92" i="15" s="1"/>
  <c r="BC91" i="15"/>
  <c r="BD91" i="15" s="1"/>
  <c r="BC16" i="15"/>
  <c r="BD16" i="15" s="1"/>
  <c r="BB17" i="15"/>
  <c r="BC17" i="15" s="1"/>
  <c r="BB80" i="15"/>
  <c r="BC80" i="15" s="1"/>
  <c r="BC79" i="15"/>
  <c r="BD79" i="15" s="1"/>
  <c r="BB74" i="15"/>
  <c r="BC74" i="15" s="1"/>
  <c r="BC73" i="15"/>
  <c r="BD73" i="15" s="1"/>
  <c r="BC46" i="15"/>
  <c r="BD46" i="15" s="1"/>
  <c r="BB47" i="15"/>
  <c r="BC47" i="15" s="1"/>
  <c r="BB38" i="15"/>
  <c r="BC38" i="15" s="1"/>
  <c r="BC37" i="15"/>
  <c r="BD37" i="15" s="1"/>
  <c r="BC10" i="15"/>
  <c r="BD10" i="15" s="1"/>
  <c r="BB62" i="15"/>
  <c r="BC62" i="15" s="1"/>
  <c r="BC61" i="15"/>
  <c r="BD61" i="15" s="1"/>
  <c r="BC7" i="15"/>
  <c r="BD7" i="15" s="1"/>
  <c r="BB44" i="15"/>
  <c r="BC44" i="15" s="1"/>
  <c r="BC43" i="15"/>
  <c r="BD43" i="15" s="1"/>
  <c r="BC40" i="15"/>
  <c r="BD40" i="15" s="1"/>
  <c r="BB41" i="15"/>
  <c r="BC41" i="15" s="1"/>
  <c r="BB50" i="15"/>
  <c r="BC50" i="15" s="1"/>
  <c r="BC49" i="15"/>
  <c r="BD49" i="15" s="1"/>
  <c r="BC52" i="15"/>
  <c r="BD52" i="15" s="1"/>
  <c r="BB53" i="15"/>
  <c r="BC53" i="15" s="1"/>
  <c r="BB26" i="15"/>
  <c r="BC26" i="15" s="1"/>
  <c r="BC25" i="15"/>
  <c r="BD25" i="15" s="1"/>
  <c r="BC28" i="15"/>
  <c r="BD28" i="15" s="1"/>
  <c r="BB29" i="15"/>
  <c r="BC29" i="15" s="1"/>
  <c r="BB32" i="15"/>
  <c r="BC32" i="15" s="1"/>
  <c r="BC31" i="15"/>
  <c r="BD31" i="15" s="1"/>
  <c r="BC22" i="15"/>
  <c r="BD22" i="15" s="1"/>
  <c r="BB23" i="15"/>
  <c r="BC23" i="15" s="1"/>
  <c r="BC76" i="15"/>
  <c r="BD76" i="15" s="1"/>
  <c r="BB77" i="15"/>
  <c r="BC77" i="15" s="1"/>
  <c r="BC64" i="15"/>
  <c r="BD64" i="15" s="1"/>
  <c r="BB65" i="15"/>
  <c r="BC65" i="15" s="1"/>
  <c r="BC82" i="15"/>
  <c r="BD82" i="15" s="1"/>
  <c r="BB83" i="15"/>
  <c r="BC83" i="15" s="1"/>
  <c r="BB56" i="15"/>
  <c r="BC56" i="15" s="1"/>
  <c r="BC55" i="15"/>
  <c r="BD55" i="15" s="1"/>
  <c r="BC94" i="15"/>
  <c r="BD94" i="15" s="1"/>
  <c r="BB95" i="15"/>
  <c r="BC95" i="15" s="1"/>
  <c r="BC70" i="15"/>
  <c r="BD70" i="15" s="1"/>
  <c r="BB71" i="15"/>
  <c r="BC71" i="15" s="1"/>
  <c r="BC58" i="15"/>
  <c r="BD58" i="15" s="1"/>
  <c r="BB59" i="15"/>
  <c r="BC59" i="15" s="1"/>
  <c r="BC88" i="15"/>
  <c r="BD88" i="15" s="1"/>
  <c r="BB89" i="15"/>
  <c r="BC89" i="15" s="1"/>
  <c r="BB20" i="15"/>
  <c r="BC20" i="15" s="1"/>
  <c r="BC19" i="15"/>
  <c r="BD19" i="15" s="1"/>
  <c r="I39" i="27"/>
  <c r="K39" i="27" s="1"/>
  <c r="F39" i="27"/>
  <c r="C69" i="27"/>
  <c r="E69" i="27"/>
  <c r="A70" i="27"/>
  <c r="E63" i="24"/>
  <c r="A64" i="24"/>
  <c r="C63" i="24"/>
  <c r="G39" i="24"/>
  <c r="H39" i="24" s="1"/>
  <c r="J39" i="24" s="1"/>
  <c r="D40" i="24" s="1"/>
  <c r="A133" i="29" l="1"/>
  <c r="E132" i="29"/>
  <c r="C132" i="29"/>
  <c r="I38" i="29"/>
  <c r="K38" i="29" s="1"/>
  <c r="F38" i="29"/>
  <c r="BD26" i="15"/>
  <c r="BE25" i="15"/>
  <c r="BD44" i="15"/>
  <c r="BE43" i="15"/>
  <c r="BE58" i="15"/>
  <c r="BD59" i="15"/>
  <c r="BD83" i="15"/>
  <c r="BE82" i="15"/>
  <c r="BD56" i="15"/>
  <c r="BE55" i="15"/>
  <c r="BE16" i="15"/>
  <c r="BD17" i="15"/>
  <c r="BD35" i="15"/>
  <c r="BE34" i="15"/>
  <c r="BD20" i="15"/>
  <c r="BE19" i="15"/>
  <c r="BD32" i="15"/>
  <c r="BE31" i="15"/>
  <c r="BD50" i="15"/>
  <c r="BE49" i="15"/>
  <c r="BD62" i="15"/>
  <c r="BE61" i="15"/>
  <c r="BD38" i="15"/>
  <c r="BE37" i="15"/>
  <c r="BD95" i="15"/>
  <c r="BE94" i="15"/>
  <c r="BE76" i="15"/>
  <c r="BD77" i="15"/>
  <c r="BD74" i="15"/>
  <c r="BE73" i="15"/>
  <c r="BD14" i="15"/>
  <c r="BE13" i="15"/>
  <c r="BD89" i="15"/>
  <c r="BE88" i="15"/>
  <c r="BD71" i="15"/>
  <c r="BE70" i="15"/>
  <c r="BD65" i="15"/>
  <c r="BE64" i="15"/>
  <c r="BD23" i="15"/>
  <c r="BE22" i="15"/>
  <c r="BE28" i="15"/>
  <c r="BD29" i="15"/>
  <c r="BD53" i="15"/>
  <c r="BE52" i="15"/>
  <c r="BE40" i="15"/>
  <c r="BD41" i="15"/>
  <c r="BE7" i="15"/>
  <c r="BE10" i="15"/>
  <c r="BD47" i="15"/>
  <c r="BE46" i="15"/>
  <c r="BD80" i="15"/>
  <c r="BE79" i="15"/>
  <c r="BD92" i="15"/>
  <c r="BE91" i="15"/>
  <c r="BD68" i="15"/>
  <c r="BE67" i="15"/>
  <c r="BD86" i="15"/>
  <c r="BE85" i="15"/>
  <c r="G39" i="27"/>
  <c r="H39" i="27" s="1"/>
  <c r="J39" i="27" s="1"/>
  <c r="D40" i="27" s="1"/>
  <c r="E70" i="27"/>
  <c r="C70" i="27"/>
  <c r="A71" i="27"/>
  <c r="A65" i="24"/>
  <c r="E64" i="24"/>
  <c r="C64" i="24"/>
  <c r="I40" i="24"/>
  <c r="K40" i="24" s="1"/>
  <c r="F40" i="24"/>
  <c r="A134" i="29" l="1"/>
  <c r="C133" i="29"/>
  <c r="E133" i="29"/>
  <c r="G38" i="29"/>
  <c r="H38" i="29" s="1"/>
  <c r="J38" i="29" s="1"/>
  <c r="D39" i="29" s="1"/>
  <c r="BF76" i="15"/>
  <c r="BE77" i="15"/>
  <c r="BE44" i="15"/>
  <c r="BF43" i="15"/>
  <c r="BF58" i="15"/>
  <c r="BE59" i="15"/>
  <c r="BE83" i="15"/>
  <c r="BF82" i="15"/>
  <c r="BE26" i="15"/>
  <c r="BF25" i="15"/>
  <c r="BE68" i="15"/>
  <c r="BF67" i="15"/>
  <c r="BE80" i="15"/>
  <c r="BF79" i="15"/>
  <c r="BF10" i="15"/>
  <c r="BE65" i="15"/>
  <c r="BF64" i="15"/>
  <c r="BF88" i="15"/>
  <c r="BE89" i="15"/>
  <c r="BE74" i="15"/>
  <c r="BF73" i="15"/>
  <c r="BF94" i="15"/>
  <c r="BE95" i="15"/>
  <c r="BE62" i="15"/>
  <c r="BF61" i="15"/>
  <c r="BE32" i="15"/>
  <c r="BF31" i="15"/>
  <c r="BF16" i="15"/>
  <c r="BE17" i="15"/>
  <c r="BF40" i="15"/>
  <c r="BE41" i="15"/>
  <c r="BF28" i="15"/>
  <c r="BE29" i="15"/>
  <c r="BF34" i="15"/>
  <c r="BE35" i="15"/>
  <c r="BE86" i="15"/>
  <c r="BF85" i="15"/>
  <c r="BE92" i="15"/>
  <c r="BF91" i="15"/>
  <c r="BE47" i="15"/>
  <c r="BF46" i="15"/>
  <c r="BF7" i="15"/>
  <c r="BF52" i="15"/>
  <c r="BE53" i="15"/>
  <c r="BE23" i="15"/>
  <c r="BF22" i="15"/>
  <c r="BF70" i="15"/>
  <c r="BE71" i="15"/>
  <c r="BE14" i="15"/>
  <c r="BF13" i="15"/>
  <c r="BE38" i="15"/>
  <c r="BF37" i="15"/>
  <c r="BE50" i="15"/>
  <c r="BF49" i="15"/>
  <c r="BE20" i="15"/>
  <c r="BF19" i="15"/>
  <c r="BE56" i="15"/>
  <c r="BF55" i="15"/>
  <c r="I40" i="27"/>
  <c r="K40" i="27" s="1"/>
  <c r="F40" i="27"/>
  <c r="C71" i="27"/>
  <c r="A72" i="27"/>
  <c r="E71" i="27"/>
  <c r="C65" i="24"/>
  <c r="A66" i="24"/>
  <c r="E65" i="24"/>
  <c r="G40" i="24"/>
  <c r="H40" i="24" s="1"/>
  <c r="J40" i="24" s="1"/>
  <c r="D41" i="24" s="1"/>
  <c r="A135" i="29" l="1"/>
  <c r="C134" i="29"/>
  <c r="E134" i="29"/>
  <c r="I39" i="29"/>
  <c r="K39" i="29" s="1"/>
  <c r="F39" i="29"/>
  <c r="BF20" i="15"/>
  <c r="BG19" i="15"/>
  <c r="BF38" i="15"/>
  <c r="BG37" i="15"/>
  <c r="BG46" i="15"/>
  <c r="BF47" i="15"/>
  <c r="BF86" i="15"/>
  <c r="BG85" i="15"/>
  <c r="BG28" i="15"/>
  <c r="BF29" i="15"/>
  <c r="BG94" i="15"/>
  <c r="BF95" i="15"/>
  <c r="BG10" i="15"/>
  <c r="BF56" i="15"/>
  <c r="BG55" i="15"/>
  <c r="BF50" i="15"/>
  <c r="BG49" i="15"/>
  <c r="BF14" i="15"/>
  <c r="BG13" i="15"/>
  <c r="BF23" i="15"/>
  <c r="BG22" i="15"/>
  <c r="BF92" i="15"/>
  <c r="BG91" i="15"/>
  <c r="BG40" i="15"/>
  <c r="BF41" i="15"/>
  <c r="BG16" i="15"/>
  <c r="BF17" i="15"/>
  <c r="BF89" i="15"/>
  <c r="BG88" i="15"/>
  <c r="BG70" i="15"/>
  <c r="BF71" i="15"/>
  <c r="BF53" i="15"/>
  <c r="BG52" i="15"/>
  <c r="BF62" i="15"/>
  <c r="BG61" i="15"/>
  <c r="BF74" i="15"/>
  <c r="BG73" i="15"/>
  <c r="BF65" i="15"/>
  <c r="BG64" i="15"/>
  <c r="BF80" i="15"/>
  <c r="BG79" i="15"/>
  <c r="BF26" i="15"/>
  <c r="BG25" i="15"/>
  <c r="BF77" i="15"/>
  <c r="BG76" i="15"/>
  <c r="BG7" i="15"/>
  <c r="BG34" i="15"/>
  <c r="BF35" i="15"/>
  <c r="BF32" i="15"/>
  <c r="BG31" i="15"/>
  <c r="BF68" i="15"/>
  <c r="BG67" i="15"/>
  <c r="BG82" i="15"/>
  <c r="BF83" i="15"/>
  <c r="BG58" i="15"/>
  <c r="BF59" i="15"/>
  <c r="BF44" i="15"/>
  <c r="BG43" i="15"/>
  <c r="C72" i="27"/>
  <c r="A73" i="27"/>
  <c r="E72" i="27"/>
  <c r="G40" i="27"/>
  <c r="H40" i="27" s="1"/>
  <c r="J40" i="27" s="1"/>
  <c r="D41" i="27" s="1"/>
  <c r="C66" i="24"/>
  <c r="A67" i="24"/>
  <c r="E66" i="24"/>
  <c r="I41" i="24"/>
  <c r="K41" i="24" s="1"/>
  <c r="F41" i="24"/>
  <c r="A136" i="29" l="1"/>
  <c r="E135" i="29"/>
  <c r="C135" i="29"/>
  <c r="G39" i="29"/>
  <c r="H39" i="29" s="1"/>
  <c r="J39" i="29" s="1"/>
  <c r="D40" i="29" s="1"/>
  <c r="BH7" i="15"/>
  <c r="BH79" i="15"/>
  <c r="BG80" i="15"/>
  <c r="BH73" i="15"/>
  <c r="BG74" i="15"/>
  <c r="BG71" i="15"/>
  <c r="BH70" i="15"/>
  <c r="BH91" i="15"/>
  <c r="BG92" i="15"/>
  <c r="BH55" i="15"/>
  <c r="BG56" i="15"/>
  <c r="BH85" i="15"/>
  <c r="BG86" i="15"/>
  <c r="BH82" i="15"/>
  <c r="BG83" i="15"/>
  <c r="BG53" i="15"/>
  <c r="BH52" i="15"/>
  <c r="BG17" i="15"/>
  <c r="BH16" i="15"/>
  <c r="BH94" i="15"/>
  <c r="BG95" i="15"/>
  <c r="BH58" i="15"/>
  <c r="BG59" i="15"/>
  <c r="BH67" i="15"/>
  <c r="BG68" i="15"/>
  <c r="BH25" i="15"/>
  <c r="BG26" i="15"/>
  <c r="BH64" i="15"/>
  <c r="BG65" i="15"/>
  <c r="BH61" i="15"/>
  <c r="BG62" i="15"/>
  <c r="BG89" i="15"/>
  <c r="BH88" i="15"/>
  <c r="BH22" i="15"/>
  <c r="BG23" i="15"/>
  <c r="BH49" i="15"/>
  <c r="BG50" i="15"/>
  <c r="BH10" i="15"/>
  <c r="BH19" i="15"/>
  <c r="BG20" i="15"/>
  <c r="BH43" i="15"/>
  <c r="BG44" i="15"/>
  <c r="BH31" i="15"/>
  <c r="BG32" i="15"/>
  <c r="BH13" i="15"/>
  <c r="BG14" i="15"/>
  <c r="BH37" i="15"/>
  <c r="BG38" i="15"/>
  <c r="BH34" i="15"/>
  <c r="BG35" i="15"/>
  <c r="BH76" i="15"/>
  <c r="BG77" i="15"/>
  <c r="BH40" i="15"/>
  <c r="BG41" i="15"/>
  <c r="BH28" i="15"/>
  <c r="BG29" i="15"/>
  <c r="BH46" i="15"/>
  <c r="BG47" i="15"/>
  <c r="F41" i="27"/>
  <c r="I41" i="27"/>
  <c r="K41" i="27" s="1"/>
  <c r="C73" i="27"/>
  <c r="E73" i="27"/>
  <c r="A74" i="27"/>
  <c r="E67" i="24"/>
  <c r="A68" i="24"/>
  <c r="C67" i="24"/>
  <c r="G41" i="24"/>
  <c r="H41" i="24" s="1"/>
  <c r="J41" i="24" s="1"/>
  <c r="D42" i="24" s="1"/>
  <c r="A137" i="29" l="1"/>
  <c r="C136" i="29"/>
  <c r="E136" i="29"/>
  <c r="I40" i="29"/>
  <c r="K40" i="29" s="1"/>
  <c r="D207" i="13" s="1"/>
  <c r="F40" i="29"/>
  <c r="BH29" i="15"/>
  <c r="BI28" i="15"/>
  <c r="BH77" i="15"/>
  <c r="BI76" i="15"/>
  <c r="BI37" i="15"/>
  <c r="BH38" i="15"/>
  <c r="BH71" i="15"/>
  <c r="BI70" i="15"/>
  <c r="BI43" i="15"/>
  <c r="BH44" i="15"/>
  <c r="BI10" i="15"/>
  <c r="BH23" i="15"/>
  <c r="BI22" i="15"/>
  <c r="BH65" i="15"/>
  <c r="BI64" i="15"/>
  <c r="BI67" i="15"/>
  <c r="BH68" i="15"/>
  <c r="BH53" i="15"/>
  <c r="BI52" i="15"/>
  <c r="BH83" i="15"/>
  <c r="BI82" i="15"/>
  <c r="BI55" i="15"/>
  <c r="BH56" i="15"/>
  <c r="BI79" i="15"/>
  <c r="BH80" i="15"/>
  <c r="BH47" i="15"/>
  <c r="BI46" i="15"/>
  <c r="BH41" i="15"/>
  <c r="BI40" i="15"/>
  <c r="BH35" i="15"/>
  <c r="BI34" i="15"/>
  <c r="BI13" i="15"/>
  <c r="BH14" i="15"/>
  <c r="BH89" i="15"/>
  <c r="BI88" i="15"/>
  <c r="BH95" i="15"/>
  <c r="BI94" i="15"/>
  <c r="BI7" i="15"/>
  <c r="BI31" i="15"/>
  <c r="BH32" i="15"/>
  <c r="BI19" i="15"/>
  <c r="BH20" i="15"/>
  <c r="BI49" i="15"/>
  <c r="BH50" i="15"/>
  <c r="BI61" i="15"/>
  <c r="BH62" i="15"/>
  <c r="BI25" i="15"/>
  <c r="BH26" i="15"/>
  <c r="BH59" i="15"/>
  <c r="BI58" i="15"/>
  <c r="BH17" i="15"/>
  <c r="BI16" i="15"/>
  <c r="BI85" i="15"/>
  <c r="BH86" i="15"/>
  <c r="BI91" i="15"/>
  <c r="BH92" i="15"/>
  <c r="BI73" i="15"/>
  <c r="BH74" i="15"/>
  <c r="E74" i="27"/>
  <c r="C74" i="27"/>
  <c r="A75" i="27"/>
  <c r="G41" i="27"/>
  <c r="H41" i="27" s="1"/>
  <c r="J41" i="27" s="1"/>
  <c r="D42" i="27" s="1"/>
  <c r="C68" i="24"/>
  <c r="E68" i="24"/>
  <c r="A69" i="24"/>
  <c r="I42" i="24"/>
  <c r="K42" i="24" s="1"/>
  <c r="F42" i="24"/>
  <c r="A138" i="29" l="1"/>
  <c r="E137" i="29"/>
  <c r="C137" i="29"/>
  <c r="G40" i="29"/>
  <c r="H40" i="29" s="1"/>
  <c r="J40" i="29" s="1"/>
  <c r="D41" i="29" s="1"/>
  <c r="D199" i="9"/>
  <c r="BJ91" i="15"/>
  <c r="BI92" i="15"/>
  <c r="BI17" i="15"/>
  <c r="BJ16" i="15"/>
  <c r="BI95" i="15"/>
  <c r="BJ94" i="15"/>
  <c r="BI35" i="15"/>
  <c r="BJ34" i="15"/>
  <c r="BI53" i="15"/>
  <c r="BJ52" i="15"/>
  <c r="BI65" i="15"/>
  <c r="BJ64" i="15"/>
  <c r="BJ10" i="15"/>
  <c r="BI71" i="15"/>
  <c r="BJ70" i="15"/>
  <c r="BI77" i="15"/>
  <c r="BJ76" i="15"/>
  <c r="BJ25" i="15"/>
  <c r="BI26" i="15"/>
  <c r="BI50" i="15"/>
  <c r="BJ49" i="15"/>
  <c r="BJ31" i="15"/>
  <c r="BI32" i="15"/>
  <c r="BJ13" i="15"/>
  <c r="BI14" i="15"/>
  <c r="BJ55" i="15"/>
  <c r="BI56" i="15"/>
  <c r="BI74" i="15"/>
  <c r="BJ73" i="15"/>
  <c r="BI86" i="15"/>
  <c r="BJ85" i="15"/>
  <c r="BI59" i="15"/>
  <c r="BJ58" i="15"/>
  <c r="BI89" i="15"/>
  <c r="BJ88" i="15"/>
  <c r="BI41" i="15"/>
  <c r="BJ40" i="15"/>
  <c r="BI83" i="15"/>
  <c r="BJ82" i="15"/>
  <c r="BI23" i="15"/>
  <c r="BJ22" i="15"/>
  <c r="BI29" i="15"/>
  <c r="BJ28" i="15"/>
  <c r="BI47" i="15"/>
  <c r="BJ46" i="15"/>
  <c r="BI62" i="15"/>
  <c r="BJ61" i="15"/>
  <c r="BI20" i="15"/>
  <c r="BJ19" i="15"/>
  <c r="BJ7" i="15"/>
  <c r="BJ79" i="15"/>
  <c r="BI80" i="15"/>
  <c r="BJ67" i="15"/>
  <c r="BI68" i="15"/>
  <c r="BJ43" i="15"/>
  <c r="BI44" i="15"/>
  <c r="BI38" i="15"/>
  <c r="BJ37" i="15"/>
  <c r="I42" i="27"/>
  <c r="K42" i="27" s="1"/>
  <c r="F42" i="27"/>
  <c r="C75" i="27"/>
  <c r="A76" i="27"/>
  <c r="E75" i="27"/>
  <c r="A70" i="24"/>
  <c r="E69" i="24"/>
  <c r="C69" i="24"/>
  <c r="G42" i="24"/>
  <c r="H42" i="24" s="1"/>
  <c r="J42" i="24" s="1"/>
  <c r="D43" i="24" s="1"/>
  <c r="A139" i="29" l="1"/>
  <c r="E138" i="29"/>
  <c r="C138" i="29"/>
  <c r="D225" i="13"/>
  <c r="D245" i="13" s="1"/>
  <c r="I41" i="29"/>
  <c r="K41" i="29" s="1"/>
  <c r="F41" i="29"/>
  <c r="BJ44" i="15"/>
  <c r="BK43" i="15"/>
  <c r="BJ80" i="15"/>
  <c r="BK79" i="15"/>
  <c r="BK58" i="15"/>
  <c r="BJ59" i="15"/>
  <c r="BJ74" i="15"/>
  <c r="BK73" i="15"/>
  <c r="BJ56" i="15"/>
  <c r="BK55" i="15"/>
  <c r="BJ32" i="15"/>
  <c r="BK31" i="15"/>
  <c r="BJ26" i="15"/>
  <c r="BK25" i="15"/>
  <c r="BJ38" i="15"/>
  <c r="BK37" i="15"/>
  <c r="BJ62" i="15"/>
  <c r="BK61" i="15"/>
  <c r="BK28" i="15"/>
  <c r="BJ29" i="15"/>
  <c r="BK82" i="15"/>
  <c r="BJ83" i="15"/>
  <c r="BK88" i="15"/>
  <c r="BJ89" i="15"/>
  <c r="BJ50" i="15"/>
  <c r="BK49" i="15"/>
  <c r="BK76" i="15"/>
  <c r="BJ77" i="15"/>
  <c r="BK10" i="15"/>
  <c r="BK52" i="15"/>
  <c r="BJ53" i="15"/>
  <c r="BK94" i="15"/>
  <c r="BJ95" i="15"/>
  <c r="BJ68" i="15"/>
  <c r="BK67" i="15"/>
  <c r="BK7" i="15"/>
  <c r="BJ86" i="15"/>
  <c r="BK85" i="15"/>
  <c r="BJ14" i="15"/>
  <c r="BK13" i="15"/>
  <c r="BJ92" i="15"/>
  <c r="BK91" i="15"/>
  <c r="BJ20" i="15"/>
  <c r="BK19" i="15"/>
  <c r="BK46" i="15"/>
  <c r="BJ47" i="15"/>
  <c r="BK22" i="15"/>
  <c r="BJ23" i="15"/>
  <c r="BK40" i="15"/>
  <c r="BJ41" i="15"/>
  <c r="BK70" i="15"/>
  <c r="BJ71" i="15"/>
  <c r="BK64" i="15"/>
  <c r="BJ65" i="15"/>
  <c r="BK34" i="15"/>
  <c r="BJ35" i="15"/>
  <c r="BK16" i="15"/>
  <c r="BJ17" i="15"/>
  <c r="G42" i="27"/>
  <c r="H42" i="27" s="1"/>
  <c r="J42" i="27" s="1"/>
  <c r="D43" i="27" s="1"/>
  <c r="A77" i="27"/>
  <c r="C76" i="27"/>
  <c r="E76" i="27"/>
  <c r="E70" i="24"/>
  <c r="A71" i="24"/>
  <c r="C70" i="24"/>
  <c r="I43" i="24"/>
  <c r="K43" i="24" s="1"/>
  <c r="F43" i="24"/>
  <c r="A140" i="29" l="1"/>
  <c r="C139" i="29"/>
  <c r="E139" i="29"/>
  <c r="G41" i="29"/>
  <c r="H41" i="29" s="1"/>
  <c r="J41" i="29" s="1"/>
  <c r="D42" i="29" s="1"/>
  <c r="BL19" i="15"/>
  <c r="BK20" i="15"/>
  <c r="BL13" i="15"/>
  <c r="BK14" i="15"/>
  <c r="BL7" i="15"/>
  <c r="BK53" i="15"/>
  <c r="BL52" i="15"/>
  <c r="BK89" i="15"/>
  <c r="BL88" i="15"/>
  <c r="BL37" i="15"/>
  <c r="BK38" i="15"/>
  <c r="BL79" i="15"/>
  <c r="BK80" i="15"/>
  <c r="BK23" i="15"/>
  <c r="BL22" i="15"/>
  <c r="BL49" i="15"/>
  <c r="BK50" i="15"/>
  <c r="BL61" i="15"/>
  <c r="BK62" i="15"/>
  <c r="BK35" i="15"/>
  <c r="BL34" i="15"/>
  <c r="BK71" i="15"/>
  <c r="BL70" i="15"/>
  <c r="BK77" i="15"/>
  <c r="BL76" i="15"/>
  <c r="BK29" i="15"/>
  <c r="BL28" i="15"/>
  <c r="BL31" i="15"/>
  <c r="BK32" i="15"/>
  <c r="BL73" i="15"/>
  <c r="BK74" i="15"/>
  <c r="BK17" i="15"/>
  <c r="BL16" i="15"/>
  <c r="BK65" i="15"/>
  <c r="BL64" i="15"/>
  <c r="BL91" i="15"/>
  <c r="BK92" i="15"/>
  <c r="BL85" i="15"/>
  <c r="BK86" i="15"/>
  <c r="BL67" i="15"/>
  <c r="BK68" i="15"/>
  <c r="BK95" i="15"/>
  <c r="BL94" i="15"/>
  <c r="BL10" i="15"/>
  <c r="BK83" i="15"/>
  <c r="BL82" i="15"/>
  <c r="BL25" i="15"/>
  <c r="BK26" i="15"/>
  <c r="BL55" i="15"/>
  <c r="BK56" i="15"/>
  <c r="BL43" i="15"/>
  <c r="BK44" i="15"/>
  <c r="BK41" i="15"/>
  <c r="BL40" i="15"/>
  <c r="BK47" i="15"/>
  <c r="BL46" i="15"/>
  <c r="BK59" i="15"/>
  <c r="BL58" i="15"/>
  <c r="I43" i="27"/>
  <c r="K43" i="27" s="1"/>
  <c r="F43" i="27"/>
  <c r="C77" i="27"/>
  <c r="E77" i="27"/>
  <c r="A78" i="27"/>
  <c r="E71" i="24"/>
  <c r="C71" i="24"/>
  <c r="A72" i="24"/>
  <c r="G43" i="24"/>
  <c r="H43" i="24" s="1"/>
  <c r="J43" i="24" s="1"/>
  <c r="D44" i="24" s="1"/>
  <c r="A141" i="29" l="1"/>
  <c r="E140" i="29"/>
  <c r="C140" i="29"/>
  <c r="I42" i="29"/>
  <c r="K42" i="29" s="1"/>
  <c r="F42" i="29"/>
  <c r="BM58" i="15"/>
  <c r="BL59" i="15"/>
  <c r="BL44" i="15"/>
  <c r="BM43" i="15"/>
  <c r="BL68" i="15"/>
  <c r="BM67" i="15"/>
  <c r="BL92" i="15"/>
  <c r="BM91" i="15"/>
  <c r="BM88" i="15"/>
  <c r="BL89" i="15"/>
  <c r="BM40" i="15"/>
  <c r="BL41" i="15"/>
  <c r="BL80" i="15"/>
  <c r="BM79" i="15"/>
  <c r="BL20" i="15"/>
  <c r="BM19" i="15"/>
  <c r="BL26" i="15"/>
  <c r="BM25" i="15"/>
  <c r="BL50" i="15"/>
  <c r="BM49" i="15"/>
  <c r="BM7" i="15"/>
  <c r="BM82" i="15"/>
  <c r="BL83" i="15"/>
  <c r="BM94" i="15"/>
  <c r="BL95" i="15"/>
  <c r="BM28" i="15"/>
  <c r="BL29" i="15"/>
  <c r="BM70" i="15"/>
  <c r="BL71" i="15"/>
  <c r="BL56" i="15"/>
  <c r="BM55" i="15"/>
  <c r="BL86" i="15"/>
  <c r="BM85" i="15"/>
  <c r="BL74" i="15"/>
  <c r="BM73" i="15"/>
  <c r="BL62" i="15"/>
  <c r="BM61" i="15"/>
  <c r="BM22" i="15"/>
  <c r="BL23" i="15"/>
  <c r="BM52" i="15"/>
  <c r="BL53" i="15"/>
  <c r="BL32" i="15"/>
  <c r="BM31" i="15"/>
  <c r="BM64" i="15"/>
  <c r="BL65" i="15"/>
  <c r="BM46" i="15"/>
  <c r="BL47" i="15"/>
  <c r="BM10" i="15"/>
  <c r="BM16" i="15"/>
  <c r="BL17" i="15"/>
  <c r="BM76" i="15"/>
  <c r="BL77" i="15"/>
  <c r="BM34" i="15"/>
  <c r="BL35" i="15"/>
  <c r="BL38" i="15"/>
  <c r="BM37" i="15"/>
  <c r="BL14" i="15"/>
  <c r="BM13" i="15"/>
  <c r="G43" i="27"/>
  <c r="H43" i="27" s="1"/>
  <c r="J43" i="27" s="1"/>
  <c r="D44" i="27" s="1"/>
  <c r="A79" i="27"/>
  <c r="E78" i="27"/>
  <c r="C78" i="27"/>
  <c r="E72" i="24"/>
  <c r="C72" i="24"/>
  <c r="A73" i="24"/>
  <c r="I44" i="24"/>
  <c r="K44" i="24" s="1"/>
  <c r="F44" i="24"/>
  <c r="A142" i="29" l="1"/>
  <c r="C141" i="29"/>
  <c r="E141" i="29"/>
  <c r="G42" i="29"/>
  <c r="H42" i="29" s="1"/>
  <c r="J42" i="29" s="1"/>
  <c r="D43" i="29" s="1"/>
  <c r="BM65" i="15"/>
  <c r="BN64" i="15"/>
  <c r="BN61" i="15"/>
  <c r="BM62" i="15"/>
  <c r="BN7" i="15"/>
  <c r="BN43" i="15"/>
  <c r="BM44" i="15"/>
  <c r="BN34" i="15"/>
  <c r="BM35" i="15"/>
  <c r="BM17" i="15"/>
  <c r="BN16" i="15"/>
  <c r="BN46" i="15"/>
  <c r="BM47" i="15"/>
  <c r="BN31" i="15"/>
  <c r="BM32" i="15"/>
  <c r="BM53" i="15"/>
  <c r="BN52" i="15"/>
  <c r="BN70" i="15"/>
  <c r="BM71" i="15"/>
  <c r="BN94" i="15"/>
  <c r="BM95" i="15"/>
  <c r="BN79" i="15"/>
  <c r="BM80" i="15"/>
  <c r="BN40" i="15"/>
  <c r="BM41" i="15"/>
  <c r="BN37" i="15"/>
  <c r="BM38" i="15"/>
  <c r="BN73" i="15"/>
  <c r="BM74" i="15"/>
  <c r="BN55" i="15"/>
  <c r="BM56" i="15"/>
  <c r="BN49" i="15"/>
  <c r="BM50" i="15"/>
  <c r="BN19" i="15"/>
  <c r="BM20" i="15"/>
  <c r="BN67" i="15"/>
  <c r="BM68" i="15"/>
  <c r="BN13" i="15"/>
  <c r="BM14" i="15"/>
  <c r="BN85" i="15"/>
  <c r="BM86" i="15"/>
  <c r="BN25" i="15"/>
  <c r="BM26" i="15"/>
  <c r="BN91" i="15"/>
  <c r="BM92" i="15"/>
  <c r="BN76" i="15"/>
  <c r="BM77" i="15"/>
  <c r="BN10" i="15"/>
  <c r="BN22" i="15"/>
  <c r="BM23" i="15"/>
  <c r="BN28" i="15"/>
  <c r="BM29" i="15"/>
  <c r="BM83" i="15"/>
  <c r="BN82" i="15"/>
  <c r="BN88" i="15"/>
  <c r="BM89" i="15"/>
  <c r="BN58" i="15"/>
  <c r="BM59" i="15"/>
  <c r="I44" i="27"/>
  <c r="K44" i="27" s="1"/>
  <c r="F44" i="27"/>
  <c r="A80" i="27"/>
  <c r="E79" i="27"/>
  <c r="C79" i="27"/>
  <c r="E73" i="24"/>
  <c r="A74" i="24"/>
  <c r="C73" i="24"/>
  <c r="G44" i="24"/>
  <c r="H44" i="24" s="1"/>
  <c r="J44" i="24" s="1"/>
  <c r="D45" i="24" s="1"/>
  <c r="A143" i="29" l="1"/>
  <c r="E142" i="29"/>
  <c r="C142" i="29"/>
  <c r="I43" i="29"/>
  <c r="K43" i="29" s="1"/>
  <c r="F43" i="29"/>
  <c r="BO82" i="15"/>
  <c r="BN83" i="15"/>
  <c r="BO16" i="15"/>
  <c r="BN17" i="15"/>
  <c r="BO22" i="15"/>
  <c r="BN23" i="15"/>
  <c r="BO76" i="15"/>
  <c r="BN77" i="15"/>
  <c r="BN26" i="15"/>
  <c r="BO25" i="15"/>
  <c r="BO13" i="15"/>
  <c r="BN14" i="15"/>
  <c r="BO19" i="15"/>
  <c r="BN20" i="15"/>
  <c r="BO55" i="15"/>
  <c r="BN56" i="15"/>
  <c r="BO70" i="15"/>
  <c r="BN71" i="15"/>
  <c r="BO31" i="15"/>
  <c r="BN32" i="15"/>
  <c r="BO43" i="15"/>
  <c r="BN44" i="15"/>
  <c r="BO61" i="15"/>
  <c r="BN62" i="15"/>
  <c r="BO79" i="15"/>
  <c r="BN80" i="15"/>
  <c r="BO88" i="15"/>
  <c r="BN89" i="15"/>
  <c r="BO40" i="15"/>
  <c r="BN41" i="15"/>
  <c r="BO52" i="15"/>
  <c r="BN53" i="15"/>
  <c r="BO7" i="15"/>
  <c r="BO64" i="15"/>
  <c r="BN65" i="15"/>
  <c r="BO58" i="15"/>
  <c r="BN59" i="15"/>
  <c r="BO28" i="15"/>
  <c r="BN29" i="15"/>
  <c r="BO10" i="15"/>
  <c r="BO91" i="15"/>
  <c r="BN92" i="15"/>
  <c r="BO85" i="15"/>
  <c r="BN86" i="15"/>
  <c r="BN68" i="15"/>
  <c r="BO67" i="15"/>
  <c r="BO49" i="15"/>
  <c r="BN50" i="15"/>
  <c r="BO73" i="15"/>
  <c r="BN74" i="15"/>
  <c r="BO37" i="15"/>
  <c r="BN38" i="15"/>
  <c r="BO94" i="15"/>
  <c r="BN95" i="15"/>
  <c r="BO46" i="15"/>
  <c r="BN47" i="15"/>
  <c r="BO34" i="15"/>
  <c r="BN35" i="15"/>
  <c r="G44" i="27"/>
  <c r="H44" i="27" s="1"/>
  <c r="J44" i="27" s="1"/>
  <c r="D45" i="27" s="1"/>
  <c r="C80" i="27"/>
  <c r="A81" i="27"/>
  <c r="E80" i="27"/>
  <c r="A75" i="24"/>
  <c r="E74" i="24"/>
  <c r="C74" i="24"/>
  <c r="I45" i="24"/>
  <c r="K45" i="24" s="1"/>
  <c r="F45" i="24"/>
  <c r="A144" i="29" l="1"/>
  <c r="C143" i="29"/>
  <c r="E143" i="29"/>
  <c r="G43" i="29"/>
  <c r="H43" i="29" s="1"/>
  <c r="J43" i="29" s="1"/>
  <c r="D44" i="29" s="1"/>
  <c r="BP46" i="15"/>
  <c r="BQ46" i="15" s="1"/>
  <c r="BO47" i="15"/>
  <c r="BP47" i="15" s="1"/>
  <c r="BO50" i="15"/>
  <c r="BP50" i="15" s="1"/>
  <c r="BP49" i="15"/>
  <c r="BQ49" i="15" s="1"/>
  <c r="BO86" i="15"/>
  <c r="BP86" i="15" s="1"/>
  <c r="BP85" i="15"/>
  <c r="BQ85" i="15" s="1"/>
  <c r="BO59" i="15"/>
  <c r="BP59" i="15" s="1"/>
  <c r="BP58" i="15"/>
  <c r="BQ58" i="15" s="1"/>
  <c r="BP40" i="15"/>
  <c r="BQ40" i="15" s="1"/>
  <c r="BO41" i="15"/>
  <c r="BP41" i="15" s="1"/>
  <c r="BO62" i="15"/>
  <c r="BP62" i="15" s="1"/>
  <c r="BP61" i="15"/>
  <c r="BQ61" i="15" s="1"/>
  <c r="BO56" i="15"/>
  <c r="BP56" i="15" s="1"/>
  <c r="BP55" i="15"/>
  <c r="BQ55" i="15" s="1"/>
  <c r="BO14" i="15"/>
  <c r="BP14" i="15" s="1"/>
  <c r="BP13" i="15"/>
  <c r="BQ13" i="15" s="1"/>
  <c r="BP76" i="15"/>
  <c r="BQ76" i="15" s="1"/>
  <c r="BO77" i="15"/>
  <c r="BP77" i="15" s="1"/>
  <c r="BP16" i="15"/>
  <c r="BQ16" i="15" s="1"/>
  <c r="BO17" i="15"/>
  <c r="BP17" i="15" s="1"/>
  <c r="BO38" i="15"/>
  <c r="BP38" i="15" s="1"/>
  <c r="BP37" i="15"/>
  <c r="BQ37" i="15" s="1"/>
  <c r="BP10" i="15"/>
  <c r="BQ10" i="15" s="1"/>
  <c r="BP88" i="15"/>
  <c r="BQ88" i="15" s="1"/>
  <c r="BO89" i="15"/>
  <c r="BP89" i="15" s="1"/>
  <c r="BO32" i="15"/>
  <c r="BP32" i="15" s="1"/>
  <c r="BP31" i="15"/>
  <c r="BQ31" i="15" s="1"/>
  <c r="BO68" i="15"/>
  <c r="BP68" i="15" s="1"/>
  <c r="BP67" i="15"/>
  <c r="BQ67" i="15" s="1"/>
  <c r="BP94" i="15"/>
  <c r="BQ94" i="15" s="1"/>
  <c r="BO95" i="15"/>
  <c r="BP95" i="15" s="1"/>
  <c r="BO92" i="15"/>
  <c r="BP92" i="15" s="1"/>
  <c r="BP91" i="15"/>
  <c r="BQ91" i="15" s="1"/>
  <c r="BP64" i="15"/>
  <c r="BQ64" i="15" s="1"/>
  <c r="BO65" i="15"/>
  <c r="BP65" i="15" s="1"/>
  <c r="BO80" i="15"/>
  <c r="BP80" i="15" s="1"/>
  <c r="BP79" i="15"/>
  <c r="BQ79" i="15" s="1"/>
  <c r="BO44" i="15"/>
  <c r="BP44" i="15" s="1"/>
  <c r="BP43" i="15"/>
  <c r="BQ43" i="15" s="1"/>
  <c r="BP70" i="15"/>
  <c r="BQ70" i="15" s="1"/>
  <c r="BO71" i="15"/>
  <c r="BP71" i="15" s="1"/>
  <c r="BO26" i="15"/>
  <c r="BP26" i="15" s="1"/>
  <c r="BP25" i="15"/>
  <c r="BQ25" i="15" s="1"/>
  <c r="BP34" i="15"/>
  <c r="BQ34" i="15" s="1"/>
  <c r="BO35" i="15"/>
  <c r="BP35" i="15" s="1"/>
  <c r="BO74" i="15"/>
  <c r="BP74" i="15" s="1"/>
  <c r="BP73" i="15"/>
  <c r="BQ73" i="15" s="1"/>
  <c r="BP28" i="15"/>
  <c r="BQ28" i="15" s="1"/>
  <c r="BO29" i="15"/>
  <c r="BP29" i="15" s="1"/>
  <c r="BP52" i="15"/>
  <c r="BQ52" i="15" s="1"/>
  <c r="BO53" i="15"/>
  <c r="BP53" i="15" s="1"/>
  <c r="BP7" i="15"/>
  <c r="BQ7" i="15" s="1"/>
  <c r="BO20" i="15"/>
  <c r="BP20" i="15" s="1"/>
  <c r="BP19" i="15"/>
  <c r="BQ19" i="15" s="1"/>
  <c r="BP22" i="15"/>
  <c r="BQ22" i="15" s="1"/>
  <c r="BO23" i="15"/>
  <c r="BP23" i="15" s="1"/>
  <c r="BP82" i="15"/>
  <c r="BQ82" i="15" s="1"/>
  <c r="BO83" i="15"/>
  <c r="BP83" i="15" s="1"/>
  <c r="F45" i="27"/>
  <c r="I45" i="27"/>
  <c r="K45" i="27" s="1"/>
  <c r="A82" i="27"/>
  <c r="C81" i="27"/>
  <c r="E81" i="27"/>
  <c r="A76" i="24"/>
  <c r="C75" i="24"/>
  <c r="E75" i="24"/>
  <c r="G45" i="24"/>
  <c r="H45" i="24" s="1"/>
  <c r="J45" i="24" s="1"/>
  <c r="D46" i="24" s="1"/>
  <c r="A145" i="29" l="1"/>
  <c r="E144" i="29"/>
  <c r="C144" i="29"/>
  <c r="I44" i="29"/>
  <c r="K44" i="29" s="1"/>
  <c r="F44" i="29"/>
  <c r="BR19" i="15"/>
  <c r="BQ20" i="15"/>
  <c r="BR73" i="15"/>
  <c r="BQ74" i="15"/>
  <c r="BQ71" i="15"/>
  <c r="BR70" i="15"/>
  <c r="BQ89" i="15"/>
  <c r="BR88" i="15"/>
  <c r="BR10" i="15"/>
  <c r="BQ14" i="15"/>
  <c r="BR13" i="15"/>
  <c r="BR61" i="15"/>
  <c r="BQ62" i="15"/>
  <c r="BQ59" i="15"/>
  <c r="BR58" i="15"/>
  <c r="BR49" i="15"/>
  <c r="BQ50" i="15"/>
  <c r="BQ83" i="15"/>
  <c r="BR82" i="15"/>
  <c r="BQ53" i="15"/>
  <c r="BR52" i="15"/>
  <c r="BQ26" i="15"/>
  <c r="BR25" i="15"/>
  <c r="BQ44" i="15"/>
  <c r="BR43" i="15"/>
  <c r="BQ32" i="15"/>
  <c r="BR31" i="15"/>
  <c r="BR37" i="15"/>
  <c r="BQ38" i="15"/>
  <c r="BQ17" i="15"/>
  <c r="BR16" i="15"/>
  <c r="BQ56" i="15"/>
  <c r="BR55" i="15"/>
  <c r="BQ86" i="15"/>
  <c r="BR85" i="15"/>
  <c r="BQ65" i="15"/>
  <c r="BR64" i="15"/>
  <c r="BQ95" i="15"/>
  <c r="BR94" i="15"/>
  <c r="BQ23" i="15"/>
  <c r="BR22" i="15"/>
  <c r="BR7" i="15"/>
  <c r="BQ29" i="15"/>
  <c r="BR28" i="15"/>
  <c r="BQ35" i="15"/>
  <c r="BR34" i="15"/>
  <c r="BR79" i="15"/>
  <c r="BQ80" i="15"/>
  <c r="BR91" i="15"/>
  <c r="BQ92" i="15"/>
  <c r="BQ68" i="15"/>
  <c r="BR67" i="15"/>
  <c r="BQ77" i="15"/>
  <c r="BR76" i="15"/>
  <c r="BQ41" i="15"/>
  <c r="BR40" i="15"/>
  <c r="BQ47" i="15"/>
  <c r="BR46" i="15"/>
  <c r="E82" i="27"/>
  <c r="C82" i="27"/>
  <c r="A83" i="27"/>
  <c r="G45" i="27"/>
  <c r="H45" i="27" s="1"/>
  <c r="J45" i="27" s="1"/>
  <c r="D46" i="27" s="1"/>
  <c r="C76" i="24"/>
  <c r="A77" i="24"/>
  <c r="E76" i="24"/>
  <c r="I46" i="24"/>
  <c r="K46" i="24" s="1"/>
  <c r="F46" i="24"/>
  <c r="A146" i="29" l="1"/>
  <c r="E145" i="29"/>
  <c r="C145" i="29"/>
  <c r="G44" i="29"/>
  <c r="H44" i="29" s="1"/>
  <c r="J44" i="29" s="1"/>
  <c r="D45" i="29" s="1"/>
  <c r="BS46" i="15"/>
  <c r="BR47" i="15"/>
  <c r="BR77" i="15"/>
  <c r="BS76" i="15"/>
  <c r="BS34" i="15"/>
  <c r="BR35" i="15"/>
  <c r="BS55" i="15"/>
  <c r="BR56" i="15"/>
  <c r="BS31" i="15"/>
  <c r="BR32" i="15"/>
  <c r="BS25" i="15"/>
  <c r="BR26" i="15"/>
  <c r="BS82" i="15"/>
  <c r="BR83" i="15"/>
  <c r="BS58" i="15"/>
  <c r="BR59" i="15"/>
  <c r="BS13" i="15"/>
  <c r="BR14" i="15"/>
  <c r="BR89" i="15"/>
  <c r="BS88" i="15"/>
  <c r="BS91" i="15"/>
  <c r="BR92" i="15"/>
  <c r="BS7" i="15"/>
  <c r="BS94" i="15"/>
  <c r="BR95" i="15"/>
  <c r="BS73" i="15"/>
  <c r="BR74" i="15"/>
  <c r="BR41" i="15"/>
  <c r="BS40" i="15"/>
  <c r="BS67" i="15"/>
  <c r="BR68" i="15"/>
  <c r="BR29" i="15"/>
  <c r="BS28" i="15"/>
  <c r="BS22" i="15"/>
  <c r="BR23" i="15"/>
  <c r="BS85" i="15"/>
  <c r="BR86" i="15"/>
  <c r="BS37" i="15"/>
  <c r="BR38" i="15"/>
  <c r="BS43" i="15"/>
  <c r="BR44" i="15"/>
  <c r="BR53" i="15"/>
  <c r="BS52" i="15"/>
  <c r="BS10" i="15"/>
  <c r="BS70" i="15"/>
  <c r="BR71" i="15"/>
  <c r="BS79" i="15"/>
  <c r="BR80" i="15"/>
  <c r="BR65" i="15"/>
  <c r="BS64" i="15"/>
  <c r="BR17" i="15"/>
  <c r="BS16" i="15"/>
  <c r="BS49" i="15"/>
  <c r="BR50" i="15"/>
  <c r="BS61" i="15"/>
  <c r="BR62" i="15"/>
  <c r="BS19" i="15"/>
  <c r="BR20" i="15"/>
  <c r="E83" i="27"/>
  <c r="A84" i="27"/>
  <c r="C83" i="27"/>
  <c r="F46" i="27"/>
  <c r="I46" i="27"/>
  <c r="K46" i="27" s="1"/>
  <c r="E77" i="24"/>
  <c r="A78" i="24"/>
  <c r="C77" i="24"/>
  <c r="G46" i="24"/>
  <c r="H46" i="24" s="1"/>
  <c r="J46" i="24" s="1"/>
  <c r="D47" i="24" s="1"/>
  <c r="A147" i="29" l="1"/>
  <c r="C146" i="29"/>
  <c r="E146" i="29"/>
  <c r="I45" i="29"/>
  <c r="K45" i="29" s="1"/>
  <c r="F45" i="29"/>
  <c r="BT64" i="15"/>
  <c r="BS65" i="15"/>
  <c r="BT52" i="15"/>
  <c r="BS53" i="15"/>
  <c r="BT58" i="15"/>
  <c r="BS59" i="15"/>
  <c r="BT76" i="15"/>
  <c r="BS77" i="15"/>
  <c r="BT19" i="15"/>
  <c r="BS20" i="15"/>
  <c r="BT49" i="15"/>
  <c r="BS50" i="15"/>
  <c r="BT70" i="15"/>
  <c r="BS71" i="15"/>
  <c r="BT37" i="15"/>
  <c r="BS38" i="15"/>
  <c r="BT22" i="15"/>
  <c r="BS23" i="15"/>
  <c r="BT67" i="15"/>
  <c r="BS68" i="15"/>
  <c r="BT73" i="15"/>
  <c r="BS74" i="15"/>
  <c r="BT25" i="15"/>
  <c r="BS26" i="15"/>
  <c r="BT16" i="15"/>
  <c r="BS17" i="15"/>
  <c r="BT10" i="15"/>
  <c r="BT28" i="15"/>
  <c r="BS29" i="15"/>
  <c r="BT40" i="15"/>
  <c r="BS41" i="15"/>
  <c r="BT94" i="15"/>
  <c r="BS95" i="15"/>
  <c r="BT91" i="15"/>
  <c r="BS92" i="15"/>
  <c r="BT13" i="15"/>
  <c r="BS14" i="15"/>
  <c r="BT82" i="15"/>
  <c r="BS83" i="15"/>
  <c r="BT31" i="15"/>
  <c r="BS32" i="15"/>
  <c r="BT55" i="15"/>
  <c r="BS56" i="15"/>
  <c r="BT61" i="15"/>
  <c r="BS62" i="15"/>
  <c r="BT79" i="15"/>
  <c r="BS80" i="15"/>
  <c r="BT43" i="15"/>
  <c r="BS44" i="15"/>
  <c r="BT85" i="15"/>
  <c r="BS86" i="15"/>
  <c r="BT7" i="15"/>
  <c r="BT88" i="15"/>
  <c r="BS89" i="15"/>
  <c r="BT34" i="15"/>
  <c r="BS35" i="15"/>
  <c r="BT46" i="15"/>
  <c r="BS47" i="15"/>
  <c r="G46" i="27"/>
  <c r="H46" i="27" s="1"/>
  <c r="J46" i="27" s="1"/>
  <c r="D47" i="27" s="1"/>
  <c r="A85" i="27"/>
  <c r="C84" i="27"/>
  <c r="E84" i="27"/>
  <c r="E78" i="24"/>
  <c r="A79" i="24"/>
  <c r="C78" i="24"/>
  <c r="I47" i="24"/>
  <c r="K47" i="24" s="1"/>
  <c r="F47" i="24"/>
  <c r="A148" i="29" l="1"/>
  <c r="E147" i="29"/>
  <c r="C147" i="29"/>
  <c r="G45" i="29"/>
  <c r="H45" i="29" s="1"/>
  <c r="J45" i="29"/>
  <c r="D46" i="29" s="1"/>
  <c r="BT89" i="15"/>
  <c r="BU88" i="15"/>
  <c r="BU13" i="15"/>
  <c r="BT14" i="15"/>
  <c r="BU28" i="15"/>
  <c r="BT29" i="15"/>
  <c r="BU16" i="15"/>
  <c r="BT17" i="15"/>
  <c r="BU22" i="15"/>
  <c r="BT23" i="15"/>
  <c r="BT71" i="15"/>
  <c r="BU70" i="15"/>
  <c r="BU64" i="15"/>
  <c r="BT65" i="15"/>
  <c r="BU85" i="15"/>
  <c r="BT86" i="15"/>
  <c r="BU79" i="15"/>
  <c r="BT80" i="15"/>
  <c r="BU55" i="15"/>
  <c r="BT56" i="15"/>
  <c r="BU46" i="15"/>
  <c r="BT47" i="15"/>
  <c r="BU31" i="15"/>
  <c r="BT32" i="15"/>
  <c r="BU19" i="15"/>
  <c r="BT20" i="15"/>
  <c r="BU34" i="15"/>
  <c r="BT35" i="15"/>
  <c r="BU7" i="15"/>
  <c r="BU82" i="15"/>
  <c r="BT83" i="15"/>
  <c r="BU91" i="15"/>
  <c r="BT92" i="15"/>
  <c r="BU40" i="15"/>
  <c r="BT41" i="15"/>
  <c r="BU10" i="15"/>
  <c r="BU25" i="15"/>
  <c r="BT26" i="15"/>
  <c r="BU67" i="15"/>
  <c r="BT68" i="15"/>
  <c r="BU37" i="15"/>
  <c r="BT38" i="15"/>
  <c r="BU49" i="15"/>
  <c r="BT50" i="15"/>
  <c r="BU76" i="15"/>
  <c r="BT77" i="15"/>
  <c r="BU52" i="15"/>
  <c r="BT53" i="15"/>
  <c r="BT95" i="15"/>
  <c r="BU94" i="15"/>
  <c r="BU73" i="15"/>
  <c r="BT74" i="15"/>
  <c r="BU58" i="15"/>
  <c r="BT59" i="15"/>
  <c r="BU43" i="15"/>
  <c r="BT44" i="15"/>
  <c r="BU61" i="15"/>
  <c r="BT62" i="15"/>
  <c r="F47" i="27"/>
  <c r="I47" i="27"/>
  <c r="K47" i="27" s="1"/>
  <c r="C85" i="27"/>
  <c r="E85" i="27"/>
  <c r="A86" i="27"/>
  <c r="A80" i="24"/>
  <c r="C79" i="24"/>
  <c r="E79" i="24"/>
  <c r="G47" i="24"/>
  <c r="H47" i="24" s="1"/>
  <c r="J47" i="24" s="1"/>
  <c r="D48" i="24" s="1"/>
  <c r="A149" i="29" l="1"/>
  <c r="E148" i="29"/>
  <c r="C148" i="29"/>
  <c r="I46" i="29"/>
  <c r="K46" i="29" s="1"/>
  <c r="F46" i="29"/>
  <c r="BU59" i="15"/>
  <c r="BV58" i="15"/>
  <c r="BV37" i="15"/>
  <c r="BU38" i="15"/>
  <c r="BU41" i="15"/>
  <c r="BV40" i="15"/>
  <c r="BU35" i="15"/>
  <c r="BV34" i="15"/>
  <c r="BV55" i="15"/>
  <c r="BU56" i="15"/>
  <c r="BU17" i="15"/>
  <c r="BV16" i="15"/>
  <c r="BV13" i="15"/>
  <c r="BU14" i="15"/>
  <c r="BV61" i="15"/>
  <c r="BU62" i="15"/>
  <c r="BV25" i="15"/>
  <c r="BU26" i="15"/>
  <c r="BU83" i="15"/>
  <c r="BV82" i="15"/>
  <c r="BV31" i="15"/>
  <c r="BU32" i="15"/>
  <c r="BV85" i="15"/>
  <c r="BU86" i="15"/>
  <c r="BV43" i="15"/>
  <c r="BU44" i="15"/>
  <c r="BV73" i="15"/>
  <c r="BU74" i="15"/>
  <c r="BU53" i="15"/>
  <c r="BV52" i="15"/>
  <c r="BV49" i="15"/>
  <c r="BU50" i="15"/>
  <c r="BV67" i="15"/>
  <c r="BU68" i="15"/>
  <c r="BV10" i="15"/>
  <c r="BV91" i="15"/>
  <c r="BU92" i="15"/>
  <c r="BV7" i="15"/>
  <c r="BV19" i="15"/>
  <c r="BU20" i="15"/>
  <c r="BU47" i="15"/>
  <c r="BV46" i="15"/>
  <c r="BV79" i="15"/>
  <c r="BU80" i="15"/>
  <c r="BU89" i="15"/>
  <c r="BV88" i="15"/>
  <c r="BU77" i="15"/>
  <c r="BV76" i="15"/>
  <c r="BU71" i="15"/>
  <c r="BV70" i="15"/>
  <c r="BU95" i="15"/>
  <c r="BV94" i="15"/>
  <c r="BU65" i="15"/>
  <c r="BV64" i="15"/>
  <c r="BU23" i="15"/>
  <c r="BV22" i="15"/>
  <c r="BU29" i="15"/>
  <c r="BV28" i="15"/>
  <c r="A87" i="27"/>
  <c r="E86" i="27"/>
  <c r="C86" i="27"/>
  <c r="G47" i="27"/>
  <c r="H47" i="27" s="1"/>
  <c r="J47" i="27" s="1"/>
  <c r="D48" i="27" s="1"/>
  <c r="E80" i="24"/>
  <c r="C80" i="24"/>
  <c r="A81" i="24"/>
  <c r="I48" i="24"/>
  <c r="K48" i="24" s="1"/>
  <c r="F48" i="24"/>
  <c r="A150" i="29" l="1"/>
  <c r="C149" i="29"/>
  <c r="E149" i="29"/>
  <c r="G46" i="29"/>
  <c r="H46" i="29" s="1"/>
  <c r="J46" i="29" s="1"/>
  <c r="D47" i="29" s="1"/>
  <c r="BW94" i="15"/>
  <c r="BV95" i="15"/>
  <c r="BW52" i="15"/>
  <c r="BV53" i="15"/>
  <c r="BV20" i="15"/>
  <c r="BW19" i="15"/>
  <c r="BV32" i="15"/>
  <c r="BW31" i="15"/>
  <c r="BV38" i="15"/>
  <c r="BW37" i="15"/>
  <c r="BW22" i="15"/>
  <c r="BV23" i="15"/>
  <c r="BV92" i="15"/>
  <c r="BW91" i="15"/>
  <c r="BV44" i="15"/>
  <c r="BW43" i="15"/>
  <c r="BV26" i="15"/>
  <c r="BW25" i="15"/>
  <c r="BW28" i="15"/>
  <c r="BV29" i="15"/>
  <c r="BW64" i="15"/>
  <c r="BV65" i="15"/>
  <c r="BW70" i="15"/>
  <c r="BV71" i="15"/>
  <c r="BW88" i="15"/>
  <c r="BV89" i="15"/>
  <c r="BW46" i="15"/>
  <c r="BV47" i="15"/>
  <c r="BW10" i="15"/>
  <c r="BW82" i="15"/>
  <c r="BV83" i="15"/>
  <c r="BW16" i="15"/>
  <c r="BV17" i="15"/>
  <c r="BW40" i="15"/>
  <c r="BV41" i="15"/>
  <c r="BW58" i="15"/>
  <c r="BV59" i="15"/>
  <c r="BW76" i="15"/>
  <c r="BV77" i="15"/>
  <c r="BW34" i="15"/>
  <c r="BV35" i="15"/>
  <c r="BV80" i="15"/>
  <c r="BW79" i="15"/>
  <c r="BV68" i="15"/>
  <c r="BW67" i="15"/>
  <c r="BV14" i="15"/>
  <c r="BW13" i="15"/>
  <c r="BW7" i="15"/>
  <c r="BV50" i="15"/>
  <c r="BW49" i="15"/>
  <c r="BV74" i="15"/>
  <c r="BW73" i="15"/>
  <c r="BV86" i="15"/>
  <c r="BW85" i="15"/>
  <c r="BV62" i="15"/>
  <c r="BW61" i="15"/>
  <c r="BV56" i="15"/>
  <c r="BW55" i="15"/>
  <c r="I48" i="27"/>
  <c r="K48" i="27" s="1"/>
  <c r="F48" i="27"/>
  <c r="A88" i="27"/>
  <c r="C87" i="27"/>
  <c r="E87" i="27"/>
  <c r="C81" i="24"/>
  <c r="E81" i="24"/>
  <c r="A82" i="24"/>
  <c r="G48" i="24"/>
  <c r="H48" i="24" s="1"/>
  <c r="J48" i="24" s="1"/>
  <c r="D49" i="24" s="1"/>
  <c r="A151" i="29" l="1"/>
  <c r="C150" i="29"/>
  <c r="E150" i="29"/>
  <c r="I47" i="29"/>
  <c r="K47" i="29" s="1"/>
  <c r="F47" i="29"/>
  <c r="BX40" i="15"/>
  <c r="BW41" i="15"/>
  <c r="BX88" i="15"/>
  <c r="BW89" i="15"/>
  <c r="BX22" i="15"/>
  <c r="BW23" i="15"/>
  <c r="BW32" i="15"/>
  <c r="BX31" i="15"/>
  <c r="BW62" i="15"/>
  <c r="BX61" i="15"/>
  <c r="BW74" i="15"/>
  <c r="BX73" i="15"/>
  <c r="BX7" i="15"/>
  <c r="BW68" i="15"/>
  <c r="BX67" i="15"/>
  <c r="BX82" i="15"/>
  <c r="BW83" i="15"/>
  <c r="BW44" i="15"/>
  <c r="BX43" i="15"/>
  <c r="BW38" i="15"/>
  <c r="BX37" i="15"/>
  <c r="BX52" i="15"/>
  <c r="BW53" i="15"/>
  <c r="BX64" i="15"/>
  <c r="BW65" i="15"/>
  <c r="BX34" i="15"/>
  <c r="BW35" i="15"/>
  <c r="BX58" i="15"/>
  <c r="BW59" i="15"/>
  <c r="BX46" i="15"/>
  <c r="BW47" i="15"/>
  <c r="BX70" i="15"/>
  <c r="BW71" i="15"/>
  <c r="BX28" i="15"/>
  <c r="BW29" i="15"/>
  <c r="BW20" i="15"/>
  <c r="BX19" i="15"/>
  <c r="BX76" i="15"/>
  <c r="BW77" i="15"/>
  <c r="BW56" i="15"/>
  <c r="BX55" i="15"/>
  <c r="BW86" i="15"/>
  <c r="BX85" i="15"/>
  <c r="BW50" i="15"/>
  <c r="BX49" i="15"/>
  <c r="BW14" i="15"/>
  <c r="BX13" i="15"/>
  <c r="BW80" i="15"/>
  <c r="BX79" i="15"/>
  <c r="BW17" i="15"/>
  <c r="BX16" i="15"/>
  <c r="BX10" i="15"/>
  <c r="BW26" i="15"/>
  <c r="BX25" i="15"/>
  <c r="BW92" i="15"/>
  <c r="BX91" i="15"/>
  <c r="BX94" i="15"/>
  <c r="BW95" i="15"/>
  <c r="G48" i="27"/>
  <c r="H48" i="27" s="1"/>
  <c r="J48" i="27" s="1"/>
  <c r="D49" i="27" s="1"/>
  <c r="E88" i="27"/>
  <c r="A89" i="27"/>
  <c r="C88" i="27"/>
  <c r="A83" i="24"/>
  <c r="E82" i="24"/>
  <c r="C82" i="24"/>
  <c r="F49" i="24"/>
  <c r="I49" i="24"/>
  <c r="K49" i="24" s="1"/>
  <c r="A152" i="29" l="1"/>
  <c r="C151" i="29"/>
  <c r="E151" i="29"/>
  <c r="G47" i="29"/>
  <c r="H47" i="29" s="1"/>
  <c r="J47" i="29" s="1"/>
  <c r="D48" i="29" s="1"/>
  <c r="BY43" i="15"/>
  <c r="BX44" i="15"/>
  <c r="BY7" i="15"/>
  <c r="BY94" i="15"/>
  <c r="BX95" i="15"/>
  <c r="BY25" i="15"/>
  <c r="BX26" i="15"/>
  <c r="BY16" i="15"/>
  <c r="BX17" i="15"/>
  <c r="BY13" i="15"/>
  <c r="BX14" i="15"/>
  <c r="BY85" i="15"/>
  <c r="BX86" i="15"/>
  <c r="BY64" i="15"/>
  <c r="BX65" i="15"/>
  <c r="BY37" i="15"/>
  <c r="BX38" i="15"/>
  <c r="BY67" i="15"/>
  <c r="BX68" i="15"/>
  <c r="BY73" i="15"/>
  <c r="BX74" i="15"/>
  <c r="BY31" i="15"/>
  <c r="BX32" i="15"/>
  <c r="BY76" i="15"/>
  <c r="BX77" i="15"/>
  <c r="BY28" i="15"/>
  <c r="BX29" i="15"/>
  <c r="BY46" i="15"/>
  <c r="BX47" i="15"/>
  <c r="BY34" i="15"/>
  <c r="BX35" i="15"/>
  <c r="BY82" i="15"/>
  <c r="BX83" i="15"/>
  <c r="BY88" i="15"/>
  <c r="BX89" i="15"/>
  <c r="BX92" i="15"/>
  <c r="BY91" i="15"/>
  <c r="BY79" i="15"/>
  <c r="BX80" i="15"/>
  <c r="BY49" i="15"/>
  <c r="BX50" i="15"/>
  <c r="BY55" i="15"/>
  <c r="BX56" i="15"/>
  <c r="BY19" i="15"/>
  <c r="BX20" i="15"/>
  <c r="BY61" i="15"/>
  <c r="BX62" i="15"/>
  <c r="BY10" i="15"/>
  <c r="BY70" i="15"/>
  <c r="BX71" i="15"/>
  <c r="BY58" i="15"/>
  <c r="BX59" i="15"/>
  <c r="BY52" i="15"/>
  <c r="BX53" i="15"/>
  <c r="BY22" i="15"/>
  <c r="BX23" i="15"/>
  <c r="BY40" i="15"/>
  <c r="BX41" i="15"/>
  <c r="F49" i="27"/>
  <c r="I49" i="27"/>
  <c r="K49" i="27" s="1"/>
  <c r="A90" i="27"/>
  <c r="E89" i="27"/>
  <c r="C89" i="27"/>
  <c r="E83" i="24"/>
  <c r="C83" i="24"/>
  <c r="A84" i="24"/>
  <c r="G49" i="24"/>
  <c r="H49" i="24" s="1"/>
  <c r="J49" i="24" s="1"/>
  <c r="D50" i="24" s="1"/>
  <c r="A153" i="29" l="1"/>
  <c r="C152" i="29"/>
  <c r="E152" i="29"/>
  <c r="I48" i="29"/>
  <c r="K48" i="29" s="1"/>
  <c r="F48" i="29"/>
  <c r="BZ67" i="15"/>
  <c r="BY68" i="15"/>
  <c r="BY41" i="15"/>
  <c r="BZ40" i="15"/>
  <c r="BY47" i="15"/>
  <c r="BZ46" i="15"/>
  <c r="BY77" i="15"/>
  <c r="BZ76" i="15"/>
  <c r="BZ73" i="15"/>
  <c r="BY74" i="15"/>
  <c r="BZ37" i="15"/>
  <c r="BY38" i="15"/>
  <c r="BY65" i="15"/>
  <c r="BZ64" i="15"/>
  <c r="BZ13" i="15"/>
  <c r="BY14" i="15"/>
  <c r="BZ25" i="15"/>
  <c r="BY26" i="15"/>
  <c r="BZ7" i="15"/>
  <c r="BY23" i="15"/>
  <c r="BZ22" i="15"/>
  <c r="BY29" i="15"/>
  <c r="BZ28" i="15"/>
  <c r="BY53" i="15"/>
  <c r="BZ52" i="15"/>
  <c r="BY71" i="15"/>
  <c r="BZ70" i="15"/>
  <c r="BZ61" i="15"/>
  <c r="BY62" i="15"/>
  <c r="BZ55" i="15"/>
  <c r="BY56" i="15"/>
  <c r="BZ79" i="15"/>
  <c r="BY80" i="15"/>
  <c r="BY89" i="15"/>
  <c r="BZ88" i="15"/>
  <c r="BZ91" i="15"/>
  <c r="BY92" i="15"/>
  <c r="BY35" i="15"/>
  <c r="BZ34" i="15"/>
  <c r="BZ31" i="15"/>
  <c r="BY32" i="15"/>
  <c r="BZ85" i="15"/>
  <c r="BY86" i="15"/>
  <c r="BY17" i="15"/>
  <c r="BZ16" i="15"/>
  <c r="BY95" i="15"/>
  <c r="BZ94" i="15"/>
  <c r="BZ43" i="15"/>
  <c r="BY44" i="15"/>
  <c r="BY59" i="15"/>
  <c r="BZ58" i="15"/>
  <c r="BZ10" i="15"/>
  <c r="BZ19" i="15"/>
  <c r="BY20" i="15"/>
  <c r="BZ49" i="15"/>
  <c r="BY50" i="15"/>
  <c r="BY83" i="15"/>
  <c r="BZ82" i="15"/>
  <c r="E90" i="27"/>
  <c r="C90" i="27"/>
  <c r="A91" i="27"/>
  <c r="G49" i="27"/>
  <c r="H49" i="27" s="1"/>
  <c r="J49" i="27" s="1"/>
  <c r="D50" i="27" s="1"/>
  <c r="E84" i="24"/>
  <c r="C84" i="24"/>
  <c r="A85" i="24"/>
  <c r="I50" i="24"/>
  <c r="K50" i="24" s="1"/>
  <c r="F50" i="24"/>
  <c r="A154" i="29" l="1"/>
  <c r="C153" i="29"/>
  <c r="E153" i="29"/>
  <c r="G48" i="29"/>
  <c r="H48" i="29" s="1"/>
  <c r="J48" i="29" s="1"/>
  <c r="D49" i="29" s="1"/>
  <c r="CA10" i="15"/>
  <c r="CA85" i="15"/>
  <c r="BZ86" i="15"/>
  <c r="BZ89" i="15"/>
  <c r="CA88" i="15"/>
  <c r="CA70" i="15"/>
  <c r="BZ71" i="15"/>
  <c r="BZ29" i="15"/>
  <c r="CA28" i="15"/>
  <c r="BZ77" i="15"/>
  <c r="CA76" i="15"/>
  <c r="CA40" i="15"/>
  <c r="BZ41" i="15"/>
  <c r="CA49" i="15"/>
  <c r="BZ50" i="15"/>
  <c r="BZ17" i="15"/>
  <c r="CA16" i="15"/>
  <c r="BZ56" i="15"/>
  <c r="CA55" i="15"/>
  <c r="CA7" i="15"/>
  <c r="BZ14" i="15"/>
  <c r="CA13" i="15"/>
  <c r="BZ38" i="15"/>
  <c r="CA37" i="15"/>
  <c r="CA82" i="15"/>
  <c r="BZ83" i="15"/>
  <c r="CA58" i="15"/>
  <c r="BZ59" i="15"/>
  <c r="BZ44" i="15"/>
  <c r="CA43" i="15"/>
  <c r="BZ32" i="15"/>
  <c r="CA31" i="15"/>
  <c r="BZ92" i="15"/>
  <c r="CA91" i="15"/>
  <c r="BZ53" i="15"/>
  <c r="CA52" i="15"/>
  <c r="CA22" i="15"/>
  <c r="BZ23" i="15"/>
  <c r="BZ65" i="15"/>
  <c r="CA64" i="15"/>
  <c r="BZ47" i="15"/>
  <c r="CA46" i="15"/>
  <c r="BZ20" i="15"/>
  <c r="CA19" i="15"/>
  <c r="CA94" i="15"/>
  <c r="BZ95" i="15"/>
  <c r="BZ35" i="15"/>
  <c r="CA34" i="15"/>
  <c r="BZ80" i="15"/>
  <c r="CA79" i="15"/>
  <c r="BZ62" i="15"/>
  <c r="CA61" i="15"/>
  <c r="BZ26" i="15"/>
  <c r="CA25" i="15"/>
  <c r="CA73" i="15"/>
  <c r="BZ74" i="15"/>
  <c r="BZ68" i="15"/>
  <c r="CA67" i="15"/>
  <c r="E91" i="27"/>
  <c r="A92" i="27"/>
  <c r="C91" i="27"/>
  <c r="I50" i="27"/>
  <c r="K50" i="27" s="1"/>
  <c r="F50" i="27"/>
  <c r="E85" i="24"/>
  <c r="A86" i="24"/>
  <c r="C85" i="24"/>
  <c r="G50" i="24"/>
  <c r="H50" i="24" s="1"/>
  <c r="J50" i="24" s="1"/>
  <c r="D51" i="24" s="1"/>
  <c r="A155" i="29" l="1"/>
  <c r="E154" i="29"/>
  <c r="C154" i="29"/>
  <c r="I49" i="29"/>
  <c r="K49" i="29" s="1"/>
  <c r="F49" i="29"/>
  <c r="CB61" i="15"/>
  <c r="CA62" i="15"/>
  <c r="CB34" i="15"/>
  <c r="CA35" i="15"/>
  <c r="CB19" i="15"/>
  <c r="CA20" i="15"/>
  <c r="CB64" i="15"/>
  <c r="CA65" i="15"/>
  <c r="CA53" i="15"/>
  <c r="CB52" i="15"/>
  <c r="CB31" i="15"/>
  <c r="CA32" i="15"/>
  <c r="CA38" i="15"/>
  <c r="CB37" i="15"/>
  <c r="CB16" i="15"/>
  <c r="CA17" i="15"/>
  <c r="CA74" i="15"/>
  <c r="CB73" i="15"/>
  <c r="CB58" i="15"/>
  <c r="CA59" i="15"/>
  <c r="CB7" i="15"/>
  <c r="CA71" i="15"/>
  <c r="CB70" i="15"/>
  <c r="CA86" i="15"/>
  <c r="CB85" i="15"/>
  <c r="CA68" i="15"/>
  <c r="CB67" i="15"/>
  <c r="CA26" i="15"/>
  <c r="CB25" i="15"/>
  <c r="CA80" i="15"/>
  <c r="CB79" i="15"/>
  <c r="CB46" i="15"/>
  <c r="CA47" i="15"/>
  <c r="CA92" i="15"/>
  <c r="CB91" i="15"/>
  <c r="CB43" i="15"/>
  <c r="CA44" i="15"/>
  <c r="CA14" i="15"/>
  <c r="CB13" i="15"/>
  <c r="CA56" i="15"/>
  <c r="CB55" i="15"/>
  <c r="CA41" i="15"/>
  <c r="CB40" i="15"/>
  <c r="CA29" i="15"/>
  <c r="CB28" i="15"/>
  <c r="CA89" i="15"/>
  <c r="CB88" i="15"/>
  <c r="CB10" i="15"/>
  <c r="CB94" i="15"/>
  <c r="CA95" i="15"/>
  <c r="CA23" i="15"/>
  <c r="CB22" i="15"/>
  <c r="CB82" i="15"/>
  <c r="CA83" i="15"/>
  <c r="CA50" i="15"/>
  <c r="CB49" i="15"/>
  <c r="CB76" i="15"/>
  <c r="CA77" i="15"/>
  <c r="A93" i="27"/>
  <c r="C92" i="27"/>
  <c r="E92" i="27"/>
  <c r="G50" i="27"/>
  <c r="H50" i="27" s="1"/>
  <c r="J50" i="27" s="1"/>
  <c r="D51" i="27" s="1"/>
  <c r="A87" i="24"/>
  <c r="C86" i="24"/>
  <c r="E86" i="24"/>
  <c r="I51" i="24"/>
  <c r="K51" i="24" s="1"/>
  <c r="F51" i="24"/>
  <c r="A156" i="29" l="1"/>
  <c r="E155" i="29"/>
  <c r="C155" i="29"/>
  <c r="G49" i="29"/>
  <c r="H49" i="29" s="1"/>
  <c r="J49" i="29" s="1"/>
  <c r="D50" i="29" s="1"/>
  <c r="CC94" i="15"/>
  <c r="CD94" i="15" s="1"/>
  <c r="CB95" i="15"/>
  <c r="CC95" i="15" s="1"/>
  <c r="CC76" i="15"/>
  <c r="CD76" i="15" s="1"/>
  <c r="CB77" i="15"/>
  <c r="CC77" i="15" s="1"/>
  <c r="CC43" i="15"/>
  <c r="CD43" i="15" s="1"/>
  <c r="CB44" i="15"/>
  <c r="CC44" i="15" s="1"/>
  <c r="CC46" i="15"/>
  <c r="CD46" i="15" s="1"/>
  <c r="CB47" i="15"/>
  <c r="CC47" i="15" s="1"/>
  <c r="CC73" i="15"/>
  <c r="CD73" i="15" s="1"/>
  <c r="CB74" i="15"/>
  <c r="CC74" i="15" s="1"/>
  <c r="CC16" i="15"/>
  <c r="CD16" i="15" s="1"/>
  <c r="CB17" i="15"/>
  <c r="CC17" i="15" s="1"/>
  <c r="CC88" i="15"/>
  <c r="CD88" i="15" s="1"/>
  <c r="CB89" i="15"/>
  <c r="CC89" i="15" s="1"/>
  <c r="CC40" i="15"/>
  <c r="CD40" i="15" s="1"/>
  <c r="CB41" i="15"/>
  <c r="CC41" i="15" s="1"/>
  <c r="CC13" i="15"/>
  <c r="CD13" i="15" s="1"/>
  <c r="CB14" i="15"/>
  <c r="CC14" i="15" s="1"/>
  <c r="CC91" i="15"/>
  <c r="CD91" i="15" s="1"/>
  <c r="CB92" i="15"/>
  <c r="CC92" i="15" s="1"/>
  <c r="CC79" i="15"/>
  <c r="CD79" i="15" s="1"/>
  <c r="CB80" i="15"/>
  <c r="CC80" i="15" s="1"/>
  <c r="CC67" i="15"/>
  <c r="CD67" i="15" s="1"/>
  <c r="CB68" i="15"/>
  <c r="CC68" i="15" s="1"/>
  <c r="CC70" i="15"/>
  <c r="CD70" i="15" s="1"/>
  <c r="CB71" i="15"/>
  <c r="CC71" i="15" s="1"/>
  <c r="CC7" i="15"/>
  <c r="CD7" i="15" s="1"/>
  <c r="CC31" i="15"/>
  <c r="CD31" i="15" s="1"/>
  <c r="CB32" i="15"/>
  <c r="CC32" i="15" s="1"/>
  <c r="CC64" i="15"/>
  <c r="CD64" i="15" s="1"/>
  <c r="CB65" i="15"/>
  <c r="CC65" i="15" s="1"/>
  <c r="CC34" i="15"/>
  <c r="CD34" i="15" s="1"/>
  <c r="CB35" i="15"/>
  <c r="CC35" i="15" s="1"/>
  <c r="CC82" i="15"/>
  <c r="CD82" i="15" s="1"/>
  <c r="CB83" i="15"/>
  <c r="CC83" i="15" s="1"/>
  <c r="CC37" i="15"/>
  <c r="CD37" i="15" s="1"/>
  <c r="CB38" i="15"/>
  <c r="CC38" i="15" s="1"/>
  <c r="CC52" i="15"/>
  <c r="CD52" i="15" s="1"/>
  <c r="CB53" i="15"/>
  <c r="CC53" i="15" s="1"/>
  <c r="CC49" i="15"/>
  <c r="CD49" i="15" s="1"/>
  <c r="CB50" i="15"/>
  <c r="CC50" i="15" s="1"/>
  <c r="CC22" i="15"/>
  <c r="CD22" i="15" s="1"/>
  <c r="CB23" i="15"/>
  <c r="CC23" i="15" s="1"/>
  <c r="CC10" i="15"/>
  <c r="CD10" i="15" s="1"/>
  <c r="CC28" i="15"/>
  <c r="CD28" i="15" s="1"/>
  <c r="CB29" i="15"/>
  <c r="CC29" i="15" s="1"/>
  <c r="CC55" i="15"/>
  <c r="CD55" i="15" s="1"/>
  <c r="CB56" i="15"/>
  <c r="CC56" i="15" s="1"/>
  <c r="CC25" i="15"/>
  <c r="CD25" i="15" s="1"/>
  <c r="CB26" i="15"/>
  <c r="CC26" i="15" s="1"/>
  <c r="CC85" i="15"/>
  <c r="CD85" i="15" s="1"/>
  <c r="CB86" i="15"/>
  <c r="CC86" i="15" s="1"/>
  <c r="CC58" i="15"/>
  <c r="CD58" i="15" s="1"/>
  <c r="CB59" i="15"/>
  <c r="CC59" i="15" s="1"/>
  <c r="CC19" i="15"/>
  <c r="CD19" i="15" s="1"/>
  <c r="CB20" i="15"/>
  <c r="CC20" i="15" s="1"/>
  <c r="CC61" i="15"/>
  <c r="CD61" i="15" s="1"/>
  <c r="CB62" i="15"/>
  <c r="CC62" i="15" s="1"/>
  <c r="I51" i="27"/>
  <c r="K51" i="27" s="1"/>
  <c r="F51" i="27"/>
  <c r="C93" i="27"/>
  <c r="E93" i="27"/>
  <c r="A94" i="27"/>
  <c r="C87" i="24"/>
  <c r="A88" i="24"/>
  <c r="E87" i="24"/>
  <c r="G51" i="24"/>
  <c r="H51" i="24" s="1"/>
  <c r="J51" i="24" s="1"/>
  <c r="D52" i="24" s="1"/>
  <c r="A157" i="29" l="1"/>
  <c r="C156" i="29"/>
  <c r="E156" i="29"/>
  <c r="I50" i="29"/>
  <c r="K50" i="29" s="1"/>
  <c r="F50" i="29"/>
  <c r="CD68" i="15"/>
  <c r="CE67" i="15"/>
  <c r="CD92" i="15"/>
  <c r="CE91" i="15"/>
  <c r="CD41" i="15"/>
  <c r="CE40" i="15"/>
  <c r="CD17" i="15"/>
  <c r="CE16" i="15"/>
  <c r="CD71" i="15"/>
  <c r="CE70" i="15"/>
  <c r="CD80" i="15"/>
  <c r="CE79" i="15"/>
  <c r="CD14" i="15"/>
  <c r="CE13" i="15"/>
  <c r="CD89" i="15"/>
  <c r="CE88" i="15"/>
  <c r="CD74" i="15"/>
  <c r="CE73" i="15"/>
  <c r="CD62" i="15"/>
  <c r="CE61" i="15"/>
  <c r="CE58" i="15"/>
  <c r="CD59" i="15"/>
  <c r="CD26" i="15"/>
  <c r="CE25" i="15"/>
  <c r="CD29" i="15"/>
  <c r="CE28" i="15"/>
  <c r="CE22" i="15"/>
  <c r="CD23" i="15"/>
  <c r="CD53" i="15"/>
  <c r="CE52" i="15"/>
  <c r="CE82" i="15"/>
  <c r="CD83" i="15"/>
  <c r="CD65" i="15"/>
  <c r="CE64" i="15"/>
  <c r="CE7" i="15"/>
  <c r="CE46" i="15"/>
  <c r="CD47" i="15"/>
  <c r="CD77" i="15"/>
  <c r="CE76" i="15"/>
  <c r="CD20" i="15"/>
  <c r="CE19" i="15"/>
  <c r="CD86" i="15"/>
  <c r="CE85" i="15"/>
  <c r="CD56" i="15"/>
  <c r="CE55" i="15"/>
  <c r="CE10" i="15"/>
  <c r="CD50" i="15"/>
  <c r="CE49" i="15"/>
  <c r="CD38" i="15"/>
  <c r="CE37" i="15"/>
  <c r="CE34" i="15"/>
  <c r="CD35" i="15"/>
  <c r="CD32" i="15"/>
  <c r="CE31" i="15"/>
  <c r="CD44" i="15"/>
  <c r="CE43" i="15"/>
  <c r="CD95" i="15"/>
  <c r="CE94" i="15"/>
  <c r="A95" i="27"/>
  <c r="C94" i="27"/>
  <c r="E94" i="27"/>
  <c r="G51" i="27"/>
  <c r="H51" i="27" s="1"/>
  <c r="J51" i="27" s="1"/>
  <c r="D52" i="27" s="1"/>
  <c r="C88" i="24"/>
  <c r="A89" i="24"/>
  <c r="E88" i="24"/>
  <c r="I52" i="24"/>
  <c r="K52" i="24" s="1"/>
  <c r="F52" i="24"/>
  <c r="A158" i="29" l="1"/>
  <c r="E157" i="29"/>
  <c r="C157" i="29"/>
  <c r="G50" i="29"/>
  <c r="H50" i="29" s="1"/>
  <c r="J50" i="29" s="1"/>
  <c r="D51" i="29" s="1"/>
  <c r="CE95" i="15"/>
  <c r="CF94" i="15"/>
  <c r="CF10" i="15"/>
  <c r="CE44" i="15"/>
  <c r="CF43" i="15"/>
  <c r="CE35" i="15"/>
  <c r="CF34" i="15"/>
  <c r="CE83" i="15"/>
  <c r="CF82" i="15"/>
  <c r="CE23" i="15"/>
  <c r="CF22" i="15"/>
  <c r="CF31" i="15"/>
  <c r="CE32" i="15"/>
  <c r="CF37" i="15"/>
  <c r="CE38" i="15"/>
  <c r="CE86" i="15"/>
  <c r="CF85" i="15"/>
  <c r="CE47" i="15"/>
  <c r="CF46" i="15"/>
  <c r="CE65" i="15"/>
  <c r="CF64" i="15"/>
  <c r="CE53" i="15"/>
  <c r="CF52" i="15"/>
  <c r="CE29" i="15"/>
  <c r="CF28" i="15"/>
  <c r="CE74" i="15"/>
  <c r="CF73" i="15"/>
  <c r="CF13" i="15"/>
  <c r="CE14" i="15"/>
  <c r="CE71" i="15"/>
  <c r="CF70" i="15"/>
  <c r="CE41" i="15"/>
  <c r="CF40" i="15"/>
  <c r="CF67" i="15"/>
  <c r="CE68" i="15"/>
  <c r="CE77" i="15"/>
  <c r="CF76" i="15"/>
  <c r="CE59" i="15"/>
  <c r="CF58" i="15"/>
  <c r="CF49" i="15"/>
  <c r="CE50" i="15"/>
  <c r="CF55" i="15"/>
  <c r="CE56" i="15"/>
  <c r="CF19" i="15"/>
  <c r="CE20" i="15"/>
  <c r="CF7" i="15"/>
  <c r="CE26" i="15"/>
  <c r="CF25" i="15"/>
  <c r="CE62" i="15"/>
  <c r="CF61" i="15"/>
  <c r="CE89" i="15"/>
  <c r="CF88" i="15"/>
  <c r="CF79" i="15"/>
  <c r="CE80" i="15"/>
  <c r="CE17" i="15"/>
  <c r="CF16" i="15"/>
  <c r="CF91" i="15"/>
  <c r="CE92" i="15"/>
  <c r="F52" i="27"/>
  <c r="I52" i="27"/>
  <c r="K52" i="27" s="1"/>
  <c r="A96" i="27"/>
  <c r="C95" i="27"/>
  <c r="E95" i="27"/>
  <c r="E89" i="24"/>
  <c r="C89" i="24"/>
  <c r="A90" i="24"/>
  <c r="G52" i="24"/>
  <c r="H52" i="24" s="1"/>
  <c r="J52" i="24" s="1"/>
  <c r="D53" i="24" s="1"/>
  <c r="A159" i="29" l="1"/>
  <c r="C158" i="29"/>
  <c r="E158" i="29"/>
  <c r="I51" i="29"/>
  <c r="K51" i="29" s="1"/>
  <c r="F51" i="29"/>
  <c r="CG43" i="15"/>
  <c r="CF44" i="15"/>
  <c r="CG88" i="15"/>
  <c r="CF89" i="15"/>
  <c r="CG25" i="15"/>
  <c r="CF26" i="15"/>
  <c r="CG19" i="15"/>
  <c r="CF20" i="15"/>
  <c r="CG58" i="15"/>
  <c r="CF59" i="15"/>
  <c r="CG70" i="15"/>
  <c r="CF71" i="15"/>
  <c r="CG73" i="15"/>
  <c r="CF74" i="15"/>
  <c r="CG52" i="15"/>
  <c r="CF53" i="15"/>
  <c r="CG46" i="15"/>
  <c r="CF47" i="15"/>
  <c r="CG85" i="15"/>
  <c r="CF86" i="15"/>
  <c r="CG34" i="15"/>
  <c r="CF35" i="15"/>
  <c r="CG10" i="15"/>
  <c r="CG91" i="15"/>
  <c r="CF92" i="15"/>
  <c r="CG79" i="15"/>
  <c r="CF80" i="15"/>
  <c r="CG7" i="15"/>
  <c r="CG76" i="15"/>
  <c r="CF77" i="15"/>
  <c r="CG40" i="15"/>
  <c r="CF41" i="15"/>
  <c r="CG28" i="15"/>
  <c r="CF29" i="15"/>
  <c r="CG64" i="15"/>
  <c r="CF65" i="15"/>
  <c r="CG94" i="15"/>
  <c r="CF95" i="15"/>
  <c r="CG61" i="15"/>
  <c r="CF62" i="15"/>
  <c r="CG55" i="15"/>
  <c r="CF56" i="15"/>
  <c r="CG67" i="15"/>
  <c r="CF68" i="15"/>
  <c r="CG31" i="15"/>
  <c r="CF32" i="15"/>
  <c r="CG82" i="15"/>
  <c r="CF83" i="15"/>
  <c r="CG16" i="15"/>
  <c r="CF17" i="15"/>
  <c r="CG49" i="15"/>
  <c r="CF50" i="15"/>
  <c r="CG13" i="15"/>
  <c r="CF14" i="15"/>
  <c r="CG37" i="15"/>
  <c r="CF38" i="15"/>
  <c r="CG22" i="15"/>
  <c r="CF23" i="15"/>
  <c r="C96" i="27"/>
  <c r="A97" i="27"/>
  <c r="E96" i="27"/>
  <c r="G52" i="27"/>
  <c r="H52" i="27" s="1"/>
  <c r="J52" i="27" s="1"/>
  <c r="D53" i="27" s="1"/>
  <c r="E90" i="24"/>
  <c r="A91" i="24"/>
  <c r="C90" i="24"/>
  <c r="F53" i="24"/>
  <c r="I53" i="24"/>
  <c r="K53" i="24" s="1"/>
  <c r="A160" i="29" l="1"/>
  <c r="E159" i="29"/>
  <c r="C159" i="29"/>
  <c r="G51" i="29"/>
  <c r="H51" i="29" s="1"/>
  <c r="J51" i="29" s="1"/>
  <c r="D52" i="29" s="1"/>
  <c r="CG17" i="15"/>
  <c r="CH16" i="15"/>
  <c r="CH82" i="15"/>
  <c r="CG83" i="15"/>
  <c r="CH67" i="15"/>
  <c r="CG68" i="15"/>
  <c r="CH55" i="15"/>
  <c r="CG56" i="15"/>
  <c r="CG50" i="15"/>
  <c r="CH49" i="15"/>
  <c r="CH22" i="15"/>
  <c r="CG23" i="15"/>
  <c r="CH13" i="15"/>
  <c r="CG14" i="15"/>
  <c r="CG62" i="15"/>
  <c r="CH61" i="15"/>
  <c r="CH64" i="15"/>
  <c r="CG65" i="15"/>
  <c r="CG41" i="15"/>
  <c r="CH40" i="15"/>
  <c r="CH7" i="15"/>
  <c r="CH91" i="15"/>
  <c r="CG92" i="15"/>
  <c r="CG35" i="15"/>
  <c r="CH34" i="15"/>
  <c r="CH46" i="15"/>
  <c r="CG47" i="15"/>
  <c r="CG74" i="15"/>
  <c r="CH73" i="15"/>
  <c r="CH58" i="15"/>
  <c r="CG59" i="15"/>
  <c r="CG20" i="15"/>
  <c r="CH19" i="15"/>
  <c r="CH88" i="15"/>
  <c r="CG89" i="15"/>
  <c r="CH31" i="15"/>
  <c r="CG32" i="15"/>
  <c r="CG38" i="15"/>
  <c r="CH37" i="15"/>
  <c r="CG95" i="15"/>
  <c r="CH94" i="15"/>
  <c r="CH28" i="15"/>
  <c r="CG29" i="15"/>
  <c r="CH76" i="15"/>
  <c r="CG77" i="15"/>
  <c r="CH79" i="15"/>
  <c r="CG80" i="15"/>
  <c r="CH10" i="15"/>
  <c r="CG86" i="15"/>
  <c r="CH85" i="15"/>
  <c r="CG53" i="15"/>
  <c r="CH52" i="15"/>
  <c r="CG71" i="15"/>
  <c r="CH70" i="15"/>
  <c r="CH25" i="15"/>
  <c r="CG26" i="15"/>
  <c r="CH43" i="15"/>
  <c r="CG44" i="15"/>
  <c r="A98" i="27"/>
  <c r="E97" i="27"/>
  <c r="C97" i="27"/>
  <c r="F53" i="27"/>
  <c r="I53" i="27"/>
  <c r="K53" i="27" s="1"/>
  <c r="E91" i="24"/>
  <c r="A92" i="24"/>
  <c r="C91" i="24"/>
  <c r="G53" i="24"/>
  <c r="H53" i="24" s="1"/>
  <c r="J53" i="24" s="1"/>
  <c r="D54" i="24" s="1"/>
  <c r="A161" i="29" l="1"/>
  <c r="E160" i="29"/>
  <c r="C160" i="29"/>
  <c r="I52" i="29"/>
  <c r="K52" i="29" s="1"/>
  <c r="E207" i="13" s="1"/>
  <c r="E199" i="9" s="1"/>
  <c r="F52" i="29"/>
  <c r="CH65" i="15"/>
  <c r="CI64" i="15"/>
  <c r="CH14" i="15"/>
  <c r="CI13" i="15"/>
  <c r="CH83" i="15"/>
  <c r="CI82" i="15"/>
  <c r="CH44" i="15"/>
  <c r="CI43" i="15"/>
  <c r="CH53" i="15"/>
  <c r="CI52" i="15"/>
  <c r="CI25" i="15"/>
  <c r="CH26" i="15"/>
  <c r="CI70" i="15"/>
  <c r="CH71" i="15"/>
  <c r="CI85" i="15"/>
  <c r="CH86" i="15"/>
  <c r="CH32" i="15"/>
  <c r="CI31" i="15"/>
  <c r="CI7" i="15"/>
  <c r="CH50" i="15"/>
  <c r="CI49" i="15"/>
  <c r="CH80" i="15"/>
  <c r="CI79" i="15"/>
  <c r="CH29" i="15"/>
  <c r="CI28" i="15"/>
  <c r="CI37" i="15"/>
  <c r="CH38" i="15"/>
  <c r="CI40" i="15"/>
  <c r="CH41" i="15"/>
  <c r="CH62" i="15"/>
  <c r="CI61" i="15"/>
  <c r="CI94" i="15"/>
  <c r="CH95" i="15"/>
  <c r="CI88" i="15"/>
  <c r="CH89" i="15"/>
  <c r="CI58" i="15"/>
  <c r="CH59" i="15"/>
  <c r="CH47" i="15"/>
  <c r="CI46" i="15"/>
  <c r="CI91" i="15"/>
  <c r="CH92" i="15"/>
  <c r="CH23" i="15"/>
  <c r="CI22" i="15"/>
  <c r="CI67" i="15"/>
  <c r="CH68" i="15"/>
  <c r="CI16" i="15"/>
  <c r="CH17" i="15"/>
  <c r="CI10" i="15"/>
  <c r="CI76" i="15"/>
  <c r="CH77" i="15"/>
  <c r="CH20" i="15"/>
  <c r="CI19" i="15"/>
  <c r="CH74" i="15"/>
  <c r="CI73" i="15"/>
  <c r="CH35" i="15"/>
  <c r="CI34" i="15"/>
  <c r="CI55" i="15"/>
  <c r="CH56" i="15"/>
  <c r="G53" i="27"/>
  <c r="H53" i="27" s="1"/>
  <c r="J53" i="27" s="1"/>
  <c r="D54" i="27" s="1"/>
  <c r="E98" i="27"/>
  <c r="C98" i="27"/>
  <c r="A99" i="27"/>
  <c r="C92" i="24"/>
  <c r="A93" i="24"/>
  <c r="E92" i="24"/>
  <c r="I54" i="24"/>
  <c r="K54" i="24" s="1"/>
  <c r="F54" i="24"/>
  <c r="A162" i="29" l="1"/>
  <c r="C161" i="29"/>
  <c r="E161" i="29"/>
  <c r="G52" i="29"/>
  <c r="H52" i="29" s="1"/>
  <c r="J52" i="29" s="1"/>
  <c r="D53" i="29" s="1"/>
  <c r="CI23" i="15"/>
  <c r="CJ22" i="15"/>
  <c r="CI62" i="15"/>
  <c r="CJ61" i="15"/>
  <c r="CJ79" i="15"/>
  <c r="CI80" i="15"/>
  <c r="CJ7" i="15"/>
  <c r="CI74" i="15"/>
  <c r="CJ73" i="15"/>
  <c r="CJ28" i="15"/>
  <c r="CI29" i="15"/>
  <c r="CI50" i="15"/>
  <c r="CJ49" i="15"/>
  <c r="CI32" i="15"/>
  <c r="CJ31" i="15"/>
  <c r="CI86" i="15"/>
  <c r="CJ85" i="15"/>
  <c r="CI26" i="15"/>
  <c r="CJ25" i="15"/>
  <c r="CI14" i="15"/>
  <c r="CJ13" i="15"/>
  <c r="CI35" i="15"/>
  <c r="CJ34" i="15"/>
  <c r="CJ10" i="15"/>
  <c r="CI47" i="15"/>
  <c r="CJ46" i="15"/>
  <c r="CI77" i="15"/>
  <c r="CJ76" i="15"/>
  <c r="CJ67" i="15"/>
  <c r="CI68" i="15"/>
  <c r="CJ91" i="15"/>
  <c r="CI92" i="15"/>
  <c r="CJ58" i="15"/>
  <c r="CI59" i="15"/>
  <c r="CJ94" i="15"/>
  <c r="CI95" i="15"/>
  <c r="CJ40" i="15"/>
  <c r="CI41" i="15"/>
  <c r="CI53" i="15"/>
  <c r="CJ52" i="15"/>
  <c r="CJ82" i="15"/>
  <c r="CI83" i="15"/>
  <c r="CI20" i="15"/>
  <c r="CJ19" i="15"/>
  <c r="CJ70" i="15"/>
  <c r="CI71" i="15"/>
  <c r="CI65" i="15"/>
  <c r="CJ64" i="15"/>
  <c r="CJ55" i="15"/>
  <c r="CI56" i="15"/>
  <c r="CI17" i="15"/>
  <c r="CJ16" i="15"/>
  <c r="CI89" i="15"/>
  <c r="CJ88" i="15"/>
  <c r="CJ37" i="15"/>
  <c r="CI38" i="15"/>
  <c r="CI44" i="15"/>
  <c r="CJ43" i="15"/>
  <c r="F54" i="27"/>
  <c r="I54" i="27"/>
  <c r="K54" i="27" s="1"/>
  <c r="C99" i="27"/>
  <c r="A100" i="27"/>
  <c r="E99" i="27"/>
  <c r="E93" i="24"/>
  <c r="A94" i="24"/>
  <c r="C93" i="24"/>
  <c r="G54" i="24"/>
  <c r="H54" i="24" s="1"/>
  <c r="J54" i="24" s="1"/>
  <c r="D55" i="24" s="1"/>
  <c r="A163" i="29" l="1"/>
  <c r="E162" i="29"/>
  <c r="C162" i="29"/>
  <c r="E225" i="13"/>
  <c r="E245" i="13" s="1"/>
  <c r="I53" i="29"/>
  <c r="K53" i="29" s="1"/>
  <c r="F53" i="29"/>
  <c r="CK10" i="15"/>
  <c r="CJ44" i="15"/>
  <c r="CK43" i="15"/>
  <c r="CJ38" i="15"/>
  <c r="CK37" i="15"/>
  <c r="CK64" i="15"/>
  <c r="CJ65" i="15"/>
  <c r="CJ20" i="15"/>
  <c r="CK19" i="15"/>
  <c r="CJ53" i="15"/>
  <c r="CK52" i="15"/>
  <c r="CJ77" i="15"/>
  <c r="CK76" i="15"/>
  <c r="CJ29" i="15"/>
  <c r="CK28" i="15"/>
  <c r="CK7" i="15"/>
  <c r="CJ80" i="15"/>
  <c r="CK79" i="15"/>
  <c r="CK88" i="15"/>
  <c r="CJ89" i="15"/>
  <c r="CJ95" i="15"/>
  <c r="CK94" i="15"/>
  <c r="CJ92" i="15"/>
  <c r="CK91" i="15"/>
  <c r="CJ14" i="15"/>
  <c r="CK13" i="15"/>
  <c r="CJ86" i="15"/>
  <c r="CK85" i="15"/>
  <c r="CJ50" i="15"/>
  <c r="CK49" i="15"/>
  <c r="CJ74" i="15"/>
  <c r="CK73" i="15"/>
  <c r="CK22" i="15"/>
  <c r="CJ23" i="15"/>
  <c r="CJ56" i="15"/>
  <c r="CK55" i="15"/>
  <c r="CJ17" i="15"/>
  <c r="CK16" i="15"/>
  <c r="CJ71" i="15"/>
  <c r="CK70" i="15"/>
  <c r="CJ83" i="15"/>
  <c r="CK82" i="15"/>
  <c r="CJ41" i="15"/>
  <c r="CK40" i="15"/>
  <c r="CJ59" i="15"/>
  <c r="CK58" i="15"/>
  <c r="CJ68" i="15"/>
  <c r="CK67" i="15"/>
  <c r="CK46" i="15"/>
  <c r="CJ47" i="15"/>
  <c r="CK34" i="15"/>
  <c r="CJ35" i="15"/>
  <c r="CJ26" i="15"/>
  <c r="CK25" i="15"/>
  <c r="CJ32" i="15"/>
  <c r="CK31" i="15"/>
  <c r="CJ62" i="15"/>
  <c r="CK61" i="15"/>
  <c r="A101" i="27"/>
  <c r="C100" i="27"/>
  <c r="E100" i="27"/>
  <c r="G54" i="27"/>
  <c r="H54" i="27" s="1"/>
  <c r="J54" i="27" s="1"/>
  <c r="D55" i="27" s="1"/>
  <c r="A95" i="24"/>
  <c r="E94" i="24"/>
  <c r="C94" i="24"/>
  <c r="F55" i="24"/>
  <c r="I55" i="24"/>
  <c r="K55" i="24" s="1"/>
  <c r="A164" i="29" l="1"/>
  <c r="C163" i="29"/>
  <c r="E163" i="29"/>
  <c r="G53" i="29"/>
  <c r="H53" i="29" s="1"/>
  <c r="J53" i="29" s="1"/>
  <c r="D54" i="29" s="1"/>
  <c r="CL58" i="15"/>
  <c r="CK59" i="15"/>
  <c r="CL73" i="15"/>
  <c r="CK74" i="15"/>
  <c r="CL85" i="15"/>
  <c r="CK86" i="15"/>
  <c r="CL91" i="15"/>
  <c r="CK92" i="15"/>
  <c r="CL76" i="15"/>
  <c r="CK77" i="15"/>
  <c r="CL10" i="15"/>
  <c r="CL61" i="15"/>
  <c r="CK62" i="15"/>
  <c r="CL34" i="15"/>
  <c r="CK35" i="15"/>
  <c r="CL67" i="15"/>
  <c r="CK68" i="15"/>
  <c r="CL40" i="15"/>
  <c r="CK41" i="15"/>
  <c r="CL70" i="15"/>
  <c r="CK71" i="15"/>
  <c r="CL49" i="15"/>
  <c r="CK50" i="15"/>
  <c r="CL13" i="15"/>
  <c r="CK14" i="15"/>
  <c r="CL94" i="15"/>
  <c r="CK95" i="15"/>
  <c r="CL79" i="15"/>
  <c r="CK80" i="15"/>
  <c r="CL28" i="15"/>
  <c r="CK29" i="15"/>
  <c r="CL52" i="15"/>
  <c r="CK53" i="15"/>
  <c r="CL43" i="15"/>
  <c r="CK44" i="15"/>
  <c r="CL46" i="15"/>
  <c r="CK47" i="15"/>
  <c r="CK83" i="15"/>
  <c r="CL82" i="15"/>
  <c r="CL25" i="15"/>
  <c r="CK26" i="15"/>
  <c r="CL55" i="15"/>
  <c r="CK56" i="15"/>
  <c r="CL22" i="15"/>
  <c r="CK23" i="15"/>
  <c r="CL64" i="15"/>
  <c r="CK65" i="15"/>
  <c r="CL19" i="15"/>
  <c r="CK20" i="15"/>
  <c r="CL37" i="15"/>
  <c r="CK38" i="15"/>
  <c r="CL31" i="15"/>
  <c r="CK32" i="15"/>
  <c r="CL16" i="15"/>
  <c r="CK17" i="15"/>
  <c r="CL88" i="15"/>
  <c r="CK89" i="15"/>
  <c r="CL7" i="15"/>
  <c r="F55" i="27"/>
  <c r="I55" i="27"/>
  <c r="K55" i="27" s="1"/>
  <c r="E101" i="27"/>
  <c r="C101" i="27"/>
  <c r="A102" i="27"/>
  <c r="E95" i="24"/>
  <c r="C95" i="24"/>
  <c r="A96" i="24"/>
  <c r="G55" i="24"/>
  <c r="H55" i="24" s="1"/>
  <c r="J55" i="24" s="1"/>
  <c r="D56" i="24" s="1"/>
  <c r="A165" i="29" l="1"/>
  <c r="C164" i="29"/>
  <c r="E164" i="29"/>
  <c r="I54" i="29"/>
  <c r="K54" i="29" s="1"/>
  <c r="F54" i="29"/>
  <c r="CL89" i="15"/>
  <c r="CM88" i="15"/>
  <c r="CL20" i="15"/>
  <c r="CM19" i="15"/>
  <c r="CL74" i="15"/>
  <c r="CM73" i="15"/>
  <c r="CL17" i="15"/>
  <c r="CM16" i="15"/>
  <c r="CL38" i="15"/>
  <c r="CM37" i="15"/>
  <c r="CL83" i="15"/>
  <c r="CM82" i="15"/>
  <c r="CM70" i="15"/>
  <c r="CL71" i="15"/>
  <c r="CL68" i="15"/>
  <c r="CM67" i="15"/>
  <c r="CL62" i="15"/>
  <c r="CM61" i="15"/>
  <c r="CL77" i="15"/>
  <c r="CM76" i="15"/>
  <c r="CL86" i="15"/>
  <c r="CM85" i="15"/>
  <c r="CL32" i="15"/>
  <c r="CM31" i="15"/>
  <c r="CM34" i="15"/>
  <c r="CL35" i="15"/>
  <c r="CL59" i="15"/>
  <c r="CM58" i="15"/>
  <c r="CL65" i="15"/>
  <c r="CM64" i="15"/>
  <c r="CL56" i="15"/>
  <c r="CM55" i="15"/>
  <c r="CL44" i="15"/>
  <c r="CM43" i="15"/>
  <c r="CL29" i="15"/>
  <c r="CM28" i="15"/>
  <c r="CL95" i="15"/>
  <c r="CM94" i="15"/>
  <c r="CL50" i="15"/>
  <c r="CM49" i="15"/>
  <c r="CL41" i="15"/>
  <c r="CM40" i="15"/>
  <c r="CM10" i="15"/>
  <c r="CL92" i="15"/>
  <c r="CM91" i="15"/>
  <c r="CM7" i="15"/>
  <c r="CM22" i="15"/>
  <c r="CL23" i="15"/>
  <c r="CL26" i="15"/>
  <c r="CM25" i="15"/>
  <c r="CL47" i="15"/>
  <c r="CM46" i="15"/>
  <c r="CM52" i="15"/>
  <c r="CL53" i="15"/>
  <c r="CL80" i="15"/>
  <c r="CM79" i="15"/>
  <c r="CL14" i="15"/>
  <c r="CM13" i="15"/>
  <c r="A103" i="27"/>
  <c r="C102" i="27"/>
  <c r="E102" i="27"/>
  <c r="G55" i="27"/>
  <c r="H55" i="27" s="1"/>
  <c r="J55" i="27" s="1"/>
  <c r="D56" i="27" s="1"/>
  <c r="A97" i="24"/>
  <c r="C96" i="24"/>
  <c r="E96" i="24"/>
  <c r="F56" i="24"/>
  <c r="I56" i="24"/>
  <c r="K56" i="24" s="1"/>
  <c r="A166" i="29" l="1"/>
  <c r="C165" i="29"/>
  <c r="E165" i="29"/>
  <c r="G54" i="29"/>
  <c r="H54" i="29" s="1"/>
  <c r="J54" i="29" s="1"/>
  <c r="D55" i="29" s="1"/>
  <c r="CN13" i="15"/>
  <c r="CM14" i="15"/>
  <c r="CN25" i="15"/>
  <c r="CM26" i="15"/>
  <c r="CN79" i="15"/>
  <c r="CM80" i="15"/>
  <c r="CM47" i="15"/>
  <c r="CN46" i="15"/>
  <c r="CN10" i="15"/>
  <c r="CN19" i="15"/>
  <c r="CM20" i="15"/>
  <c r="CM23" i="15"/>
  <c r="CN22" i="15"/>
  <c r="CN91" i="15"/>
  <c r="CM92" i="15"/>
  <c r="CM41" i="15"/>
  <c r="CN40" i="15"/>
  <c r="CM95" i="15"/>
  <c r="CN94" i="15"/>
  <c r="CN43" i="15"/>
  <c r="CM44" i="15"/>
  <c r="CM65" i="15"/>
  <c r="CN64" i="15"/>
  <c r="CN85" i="15"/>
  <c r="CM86" i="15"/>
  <c r="CN61" i="15"/>
  <c r="CM62" i="15"/>
  <c r="CN37" i="15"/>
  <c r="CM38" i="15"/>
  <c r="CM35" i="15"/>
  <c r="CN34" i="15"/>
  <c r="CM71" i="15"/>
  <c r="CN70" i="15"/>
  <c r="CN73" i="15"/>
  <c r="CM74" i="15"/>
  <c r="CM89" i="15"/>
  <c r="CN88" i="15"/>
  <c r="CM53" i="15"/>
  <c r="CN52" i="15"/>
  <c r="CN7" i="15"/>
  <c r="CN49" i="15"/>
  <c r="CM50" i="15"/>
  <c r="CM29" i="15"/>
  <c r="CN28" i="15"/>
  <c r="CN55" i="15"/>
  <c r="CM56" i="15"/>
  <c r="CM59" i="15"/>
  <c r="CN58" i="15"/>
  <c r="CN31" i="15"/>
  <c r="CM32" i="15"/>
  <c r="CM77" i="15"/>
  <c r="CN76" i="15"/>
  <c r="CN67" i="15"/>
  <c r="CM68" i="15"/>
  <c r="CM83" i="15"/>
  <c r="CN82" i="15"/>
  <c r="CM17" i="15"/>
  <c r="CN16" i="15"/>
  <c r="I56" i="27"/>
  <c r="K56" i="27" s="1"/>
  <c r="F56" i="27"/>
  <c r="A104" i="27"/>
  <c r="C103" i="27"/>
  <c r="E103" i="27"/>
  <c r="A98" i="24"/>
  <c r="C97" i="24"/>
  <c r="E97" i="24"/>
  <c r="G56" i="24"/>
  <c r="H56" i="24" s="1"/>
  <c r="J56" i="24" s="1"/>
  <c r="D57" i="24" s="1"/>
  <c r="A167" i="29" l="1"/>
  <c r="E166" i="29"/>
  <c r="C166" i="29"/>
  <c r="I55" i="29"/>
  <c r="K55" i="29" s="1"/>
  <c r="F55" i="29"/>
  <c r="CO52" i="15"/>
  <c r="CN53" i="15"/>
  <c r="CN86" i="15"/>
  <c r="CO85" i="15"/>
  <c r="CN44" i="15"/>
  <c r="CO43" i="15"/>
  <c r="CN32" i="15"/>
  <c r="CO31" i="15"/>
  <c r="CN50" i="15"/>
  <c r="CO49" i="15"/>
  <c r="CN83" i="15"/>
  <c r="CO82" i="15"/>
  <c r="CO76" i="15"/>
  <c r="CN77" i="15"/>
  <c r="CN59" i="15"/>
  <c r="CO58" i="15"/>
  <c r="CO28" i="15"/>
  <c r="CN29" i="15"/>
  <c r="CO7" i="15"/>
  <c r="CO88" i="15"/>
  <c r="CN89" i="15"/>
  <c r="CN71" i="15"/>
  <c r="CO70" i="15"/>
  <c r="CN62" i="15"/>
  <c r="CO61" i="15"/>
  <c r="CN92" i="15"/>
  <c r="CO91" i="15"/>
  <c r="CN20" i="15"/>
  <c r="CO19" i="15"/>
  <c r="CN47" i="15"/>
  <c r="CO46" i="15"/>
  <c r="CO40" i="15"/>
  <c r="CN41" i="15"/>
  <c r="CN23" i="15"/>
  <c r="CO22" i="15"/>
  <c r="CO10" i="15"/>
  <c r="CN26" i="15"/>
  <c r="CO25" i="15"/>
  <c r="CO16" i="15"/>
  <c r="CN17" i="15"/>
  <c r="CN35" i="15"/>
  <c r="CO34" i="15"/>
  <c r="CN38" i="15"/>
  <c r="CO37" i="15"/>
  <c r="CN68" i="15"/>
  <c r="CO67" i="15"/>
  <c r="CN56" i="15"/>
  <c r="CO55" i="15"/>
  <c r="CN74" i="15"/>
  <c r="CO73" i="15"/>
  <c r="CO64" i="15"/>
  <c r="CN65" i="15"/>
  <c r="CO94" i="15"/>
  <c r="CN95" i="15"/>
  <c r="CN80" i="15"/>
  <c r="CO79" i="15"/>
  <c r="CN14" i="15"/>
  <c r="CO13" i="15"/>
  <c r="G56" i="27"/>
  <c r="H56" i="27" s="1"/>
  <c r="J56" i="27" s="1"/>
  <c r="D57" i="27" s="1"/>
  <c r="C104" i="27"/>
  <c r="A105" i="27"/>
  <c r="E104" i="27"/>
  <c r="E98" i="24"/>
  <c r="C98" i="24"/>
  <c r="A99" i="24"/>
  <c r="I57" i="24"/>
  <c r="K57" i="24" s="1"/>
  <c r="F57" i="24"/>
  <c r="A168" i="29" l="1"/>
  <c r="C167" i="29"/>
  <c r="E167" i="29"/>
  <c r="G55" i="29"/>
  <c r="H55" i="29" s="1"/>
  <c r="J55" i="29" s="1"/>
  <c r="D56" i="29" s="1"/>
  <c r="CO74" i="15"/>
  <c r="CP74" i="15" s="1"/>
  <c r="CP73" i="15"/>
  <c r="CP67" i="15"/>
  <c r="CO68" i="15"/>
  <c r="CP68" i="15" s="1"/>
  <c r="CO35" i="15"/>
  <c r="CP35" i="15" s="1"/>
  <c r="CP34" i="15"/>
  <c r="CO26" i="15"/>
  <c r="CP26" i="15" s="1"/>
  <c r="CP25" i="15"/>
  <c r="CO23" i="15"/>
  <c r="CP23" i="15" s="1"/>
  <c r="CP22" i="15"/>
  <c r="CO71" i="15"/>
  <c r="CP71" i="15" s="1"/>
  <c r="CP70" i="15"/>
  <c r="CO59" i="15"/>
  <c r="CP59" i="15" s="1"/>
  <c r="CP58" i="15"/>
  <c r="CO83" i="15"/>
  <c r="CP83" i="15" s="1"/>
  <c r="CP82" i="15"/>
  <c r="CP31" i="15"/>
  <c r="CO32" i="15"/>
  <c r="CP32" i="15" s="1"/>
  <c r="CO86" i="15"/>
  <c r="CP86" i="15" s="1"/>
  <c r="CP85" i="15"/>
  <c r="CP79" i="15"/>
  <c r="CO80" i="15"/>
  <c r="CP80" i="15" s="1"/>
  <c r="CO95" i="15"/>
  <c r="CP95" i="15" s="1"/>
  <c r="CP94" i="15"/>
  <c r="CO20" i="15"/>
  <c r="CP20" i="15" s="1"/>
  <c r="CP19" i="15"/>
  <c r="CO62" i="15"/>
  <c r="CP62" i="15" s="1"/>
  <c r="CP61" i="15"/>
  <c r="CP7" i="15"/>
  <c r="CP55" i="15"/>
  <c r="CO56" i="15"/>
  <c r="CP56" i="15" s="1"/>
  <c r="CO38" i="15"/>
  <c r="CP38" i="15" s="1"/>
  <c r="CP37" i="15"/>
  <c r="CP10" i="15"/>
  <c r="CO50" i="15"/>
  <c r="CP50" i="15" s="1"/>
  <c r="CP49" i="15"/>
  <c r="CP43" i="15"/>
  <c r="CO44" i="15"/>
  <c r="CP44" i="15" s="1"/>
  <c r="CP13" i="15"/>
  <c r="CO14" i="15"/>
  <c r="CP14" i="15" s="1"/>
  <c r="CO65" i="15"/>
  <c r="CP65" i="15" s="1"/>
  <c r="CP64" i="15"/>
  <c r="CO17" i="15"/>
  <c r="CP17" i="15" s="1"/>
  <c r="CP16" i="15"/>
  <c r="CO41" i="15"/>
  <c r="CP41" i="15" s="1"/>
  <c r="CP40" i="15"/>
  <c r="CO47" i="15"/>
  <c r="CP47" i="15" s="1"/>
  <c r="CP46" i="15"/>
  <c r="CO92" i="15"/>
  <c r="CP92" i="15" s="1"/>
  <c r="CP91" i="15"/>
  <c r="CO89" i="15"/>
  <c r="CP89" i="15" s="1"/>
  <c r="CP88" i="15"/>
  <c r="CO29" i="15"/>
  <c r="CP29" i="15" s="1"/>
  <c r="CP28" i="15"/>
  <c r="CO77" i="15"/>
  <c r="CP77" i="15" s="1"/>
  <c r="CP76" i="15"/>
  <c r="CO53" i="15"/>
  <c r="CP53" i="15" s="1"/>
  <c r="CP52" i="15"/>
  <c r="I57" i="27"/>
  <c r="K57" i="27" s="1"/>
  <c r="F57" i="27"/>
  <c r="A106" i="27"/>
  <c r="C105" i="27"/>
  <c r="E105" i="27"/>
  <c r="E99" i="24"/>
  <c r="C99" i="24"/>
  <c r="A100" i="24"/>
  <c r="G57" i="24"/>
  <c r="H57" i="24" s="1"/>
  <c r="J57" i="24" s="1"/>
  <c r="D58" i="24" s="1"/>
  <c r="A169" i="29" l="1"/>
  <c r="E168" i="29"/>
  <c r="C168" i="29"/>
  <c r="I56" i="29"/>
  <c r="K56" i="29" s="1"/>
  <c r="F56" i="29"/>
  <c r="G57" i="27"/>
  <c r="H57" i="27" s="1"/>
  <c r="J57" i="27" s="1"/>
  <c r="D58" i="27" s="1"/>
  <c r="E106" i="27"/>
  <c r="C106" i="27"/>
  <c r="A107" i="27"/>
  <c r="E100" i="24"/>
  <c r="A101" i="24"/>
  <c r="C100" i="24"/>
  <c r="I58" i="24"/>
  <c r="K58" i="24" s="1"/>
  <c r="F58" i="24"/>
  <c r="A170" i="29" l="1"/>
  <c r="C169" i="29"/>
  <c r="E169" i="29"/>
  <c r="G56" i="29"/>
  <c r="H56" i="29" s="1"/>
  <c r="J56" i="29" s="1"/>
  <c r="D57" i="29" s="1"/>
  <c r="F58" i="27"/>
  <c r="I58" i="27"/>
  <c r="K58" i="27" s="1"/>
  <c r="E107" i="27"/>
  <c r="A108" i="27"/>
  <c r="C107" i="27"/>
  <c r="C101" i="24"/>
  <c r="E101" i="24"/>
  <c r="A102" i="24"/>
  <c r="G58" i="24"/>
  <c r="H58" i="24" s="1"/>
  <c r="J58" i="24" s="1"/>
  <c r="D59" i="24" s="1"/>
  <c r="A171" i="29" l="1"/>
  <c r="E170" i="29"/>
  <c r="C170" i="29"/>
  <c r="I57" i="29"/>
  <c r="K57" i="29" s="1"/>
  <c r="F57" i="29"/>
  <c r="A109" i="27"/>
  <c r="E108" i="27"/>
  <c r="C108" i="27"/>
  <c r="G58" i="27"/>
  <c r="H58" i="27" s="1"/>
  <c r="J58" i="27" s="1"/>
  <c r="D59" i="27" s="1"/>
  <c r="A103" i="24"/>
  <c r="E102" i="24"/>
  <c r="C102" i="24"/>
  <c r="F59" i="24"/>
  <c r="I59" i="24"/>
  <c r="K59" i="24" s="1"/>
  <c r="A172" i="29" l="1"/>
  <c r="C171" i="29"/>
  <c r="E171" i="29"/>
  <c r="G57" i="29"/>
  <c r="H57" i="29" s="1"/>
  <c r="J57" i="29" s="1"/>
  <c r="D58" i="29" s="1"/>
  <c r="I59" i="27"/>
  <c r="K59" i="27" s="1"/>
  <c r="F59" i="27"/>
  <c r="C109" i="27"/>
  <c r="E109" i="27"/>
  <c r="A110" i="27"/>
  <c r="A104" i="24"/>
  <c r="E103" i="24"/>
  <c r="C103" i="24"/>
  <c r="G59" i="24"/>
  <c r="H59" i="24" s="1"/>
  <c r="J59" i="24" s="1"/>
  <c r="D60" i="24" s="1"/>
  <c r="A173" i="29" l="1"/>
  <c r="E172" i="29"/>
  <c r="C172" i="29"/>
  <c r="I58" i="29"/>
  <c r="K58" i="29" s="1"/>
  <c r="F58" i="29"/>
  <c r="G59" i="27"/>
  <c r="H59" i="27" s="1"/>
  <c r="J59" i="27" s="1"/>
  <c r="D60" i="27" s="1"/>
  <c r="A111" i="27"/>
  <c r="C110" i="27"/>
  <c r="E110" i="27"/>
  <c r="A105" i="24"/>
  <c r="C104" i="24"/>
  <c r="E104" i="24"/>
  <c r="I60" i="24"/>
  <c r="K60" i="24" s="1"/>
  <c r="F60" i="24"/>
  <c r="A174" i="29" l="1"/>
  <c r="C173" i="29"/>
  <c r="E173" i="29"/>
  <c r="G58" i="29"/>
  <c r="H58" i="29" s="1"/>
  <c r="J58" i="29" s="1"/>
  <c r="D59" i="29" s="1"/>
  <c r="I60" i="27"/>
  <c r="K60" i="27" s="1"/>
  <c r="F60" i="27"/>
  <c r="A112" i="27"/>
  <c r="C111" i="27"/>
  <c r="E111" i="27"/>
  <c r="C105" i="24"/>
  <c r="A106" i="24"/>
  <c r="E105" i="24"/>
  <c r="G60" i="24"/>
  <c r="H60" i="24" s="1"/>
  <c r="J60" i="24" s="1"/>
  <c r="D61" i="24" s="1"/>
  <c r="A175" i="29" l="1"/>
  <c r="E174" i="29"/>
  <c r="C174" i="29"/>
  <c r="I59" i="29"/>
  <c r="K59" i="29" s="1"/>
  <c r="F59" i="29"/>
  <c r="A113" i="27"/>
  <c r="E112" i="27"/>
  <c r="C112" i="27"/>
  <c r="G60" i="27"/>
  <c r="H60" i="27" s="1"/>
  <c r="J60" i="27" s="1"/>
  <c r="D61" i="27" s="1"/>
  <c r="A107" i="24"/>
  <c r="E106" i="24"/>
  <c r="C106" i="24"/>
  <c r="I61" i="24"/>
  <c r="K61" i="24" s="1"/>
  <c r="F61" i="24"/>
  <c r="A176" i="29" l="1"/>
  <c r="C175" i="29"/>
  <c r="E175" i="29"/>
  <c r="G59" i="29"/>
  <c r="H59" i="29" s="1"/>
  <c r="J59" i="29" s="1"/>
  <c r="D60" i="29" s="1"/>
  <c r="I61" i="27"/>
  <c r="K61" i="27" s="1"/>
  <c r="F61" i="27"/>
  <c r="E113" i="27"/>
  <c r="C113" i="27"/>
  <c r="A114" i="27"/>
  <c r="A108" i="24"/>
  <c r="E107" i="24"/>
  <c r="C107" i="24"/>
  <c r="G61" i="24"/>
  <c r="H61" i="24" s="1"/>
  <c r="J61" i="24" s="1"/>
  <c r="D62" i="24" s="1"/>
  <c r="A177" i="29" l="1"/>
  <c r="C176" i="29"/>
  <c r="E176" i="29"/>
  <c r="I60" i="29"/>
  <c r="K60" i="29" s="1"/>
  <c r="F60" i="29"/>
  <c r="A115" i="27"/>
  <c r="C114" i="27"/>
  <c r="E114" i="27"/>
  <c r="G61" i="27"/>
  <c r="H61" i="27" s="1"/>
  <c r="J61" i="27" s="1"/>
  <c r="D62" i="27" s="1"/>
  <c r="E108" i="24"/>
  <c r="A109" i="24"/>
  <c r="C108" i="24"/>
  <c r="F62" i="24"/>
  <c r="I62" i="24"/>
  <c r="K62" i="24" s="1"/>
  <c r="A178" i="29" l="1"/>
  <c r="E177" i="29"/>
  <c r="C177" i="29"/>
  <c r="G60" i="29"/>
  <c r="H60" i="29" s="1"/>
  <c r="J60" i="29" s="1"/>
  <c r="D61" i="29" s="1"/>
  <c r="I62" i="27"/>
  <c r="K62" i="27" s="1"/>
  <c r="F62" i="27"/>
  <c r="A116" i="27"/>
  <c r="C115" i="27"/>
  <c r="E115" i="27"/>
  <c r="E109" i="24"/>
  <c r="C109" i="24"/>
  <c r="A110" i="24"/>
  <c r="G62" i="24"/>
  <c r="H62" i="24" s="1"/>
  <c r="J62" i="24" s="1"/>
  <c r="D63" i="24" s="1"/>
  <c r="A179" i="29" l="1"/>
  <c r="C178" i="29"/>
  <c r="E178" i="29"/>
  <c r="I61" i="29"/>
  <c r="K61" i="29" s="1"/>
  <c r="F61" i="29"/>
  <c r="C116" i="27"/>
  <c r="E116" i="27"/>
  <c r="A117" i="27"/>
  <c r="G62" i="27"/>
  <c r="H62" i="27" s="1"/>
  <c r="J62" i="27" s="1"/>
  <c r="D63" i="27" s="1"/>
  <c r="A111" i="24"/>
  <c r="C110" i="24"/>
  <c r="E110" i="24"/>
  <c r="I63" i="24"/>
  <c r="K63" i="24" s="1"/>
  <c r="F63" i="24"/>
  <c r="A180" i="29" l="1"/>
  <c r="C179" i="29"/>
  <c r="E179" i="29"/>
  <c r="G61" i="29"/>
  <c r="H61" i="29" s="1"/>
  <c r="J61" i="29" s="1"/>
  <c r="D62" i="29" s="1"/>
  <c r="I63" i="27"/>
  <c r="K63" i="27" s="1"/>
  <c r="F63" i="27"/>
  <c r="A118" i="27"/>
  <c r="C117" i="27"/>
  <c r="E117" i="27"/>
  <c r="E111" i="24"/>
  <c r="A112" i="24"/>
  <c r="C111" i="24"/>
  <c r="G63" i="24"/>
  <c r="H63" i="24" s="1"/>
  <c r="J63" i="24" s="1"/>
  <c r="D64" i="24" s="1"/>
  <c r="A181" i="29" l="1"/>
  <c r="C180" i="29"/>
  <c r="E180" i="29"/>
  <c r="I62" i="29"/>
  <c r="K62" i="29" s="1"/>
  <c r="F62" i="29"/>
  <c r="E118" i="27"/>
  <c r="C118" i="27"/>
  <c r="A119" i="27"/>
  <c r="G63" i="27"/>
  <c r="H63" i="27" s="1"/>
  <c r="J63" i="27" s="1"/>
  <c r="D64" i="27" s="1"/>
  <c r="A113" i="24"/>
  <c r="C112" i="24"/>
  <c r="E112" i="24"/>
  <c r="F64" i="24"/>
  <c r="I64" i="24"/>
  <c r="K64" i="24" s="1"/>
  <c r="A182" i="29" l="1"/>
  <c r="E181" i="29"/>
  <c r="C181" i="29"/>
  <c r="G62" i="29"/>
  <c r="H62" i="29" s="1"/>
  <c r="J62" i="29"/>
  <c r="D63" i="29" s="1"/>
  <c r="I64" i="27"/>
  <c r="K64" i="27" s="1"/>
  <c r="F64" i="27"/>
  <c r="E119" i="27"/>
  <c r="C119" i="27"/>
  <c r="A120" i="27"/>
  <c r="C113" i="24"/>
  <c r="E113" i="24"/>
  <c r="A114" i="24"/>
  <c r="G64" i="24"/>
  <c r="H64" i="24" s="1"/>
  <c r="J64" i="24" s="1"/>
  <c r="D65" i="24" s="1"/>
  <c r="A183" i="29" l="1"/>
  <c r="C182" i="29"/>
  <c r="E182" i="29"/>
  <c r="I63" i="29"/>
  <c r="K63" i="29" s="1"/>
  <c r="F63" i="29"/>
  <c r="A121" i="27"/>
  <c r="C120" i="27"/>
  <c r="E120" i="27"/>
  <c r="G64" i="27"/>
  <c r="H64" i="27" s="1"/>
  <c r="J64" i="27" s="1"/>
  <c r="D65" i="27" s="1"/>
  <c r="A115" i="24"/>
  <c r="C114" i="24"/>
  <c r="E114" i="24"/>
  <c r="F65" i="24"/>
  <c r="I65" i="24"/>
  <c r="K65" i="24" s="1"/>
  <c r="A184" i="29" l="1"/>
  <c r="C183" i="29"/>
  <c r="E183" i="29"/>
  <c r="G63" i="29"/>
  <c r="H63" i="29" s="1"/>
  <c r="J63" i="29" s="1"/>
  <c r="D64" i="29" s="1"/>
  <c r="I65" i="27"/>
  <c r="K65" i="27" s="1"/>
  <c r="F65" i="27"/>
  <c r="C121" i="27"/>
  <c r="E121" i="27"/>
  <c r="A122" i="27"/>
  <c r="C115" i="24"/>
  <c r="E115" i="24"/>
  <c r="A116" i="24"/>
  <c r="G65" i="24"/>
  <c r="H65" i="24" s="1"/>
  <c r="J65" i="24" s="1"/>
  <c r="D66" i="24" s="1"/>
  <c r="A185" i="29" l="1"/>
  <c r="E184" i="29"/>
  <c r="C184" i="29"/>
  <c r="I64" i="29"/>
  <c r="K64" i="29" s="1"/>
  <c r="F207" i="13" s="1"/>
  <c r="F199" i="9" s="1"/>
  <c r="F64" i="29"/>
  <c r="G65" i="27"/>
  <c r="H65" i="27" s="1"/>
  <c r="J65" i="27" s="1"/>
  <c r="D66" i="27" s="1"/>
  <c r="A123" i="27"/>
  <c r="E122" i="27"/>
  <c r="C122" i="27"/>
  <c r="C116" i="24"/>
  <c r="A117" i="24"/>
  <c r="E116" i="24"/>
  <c r="F66" i="24"/>
  <c r="I66" i="24"/>
  <c r="K66" i="24" s="1"/>
  <c r="A186" i="29" l="1"/>
  <c r="E185" i="29"/>
  <c r="C185" i="29"/>
  <c r="G64" i="29"/>
  <c r="H64" i="29" s="1"/>
  <c r="J64" i="29" s="1"/>
  <c r="D65" i="29" s="1"/>
  <c r="A124" i="27"/>
  <c r="E123" i="27"/>
  <c r="C123" i="27"/>
  <c r="I66" i="27"/>
  <c r="K66" i="27" s="1"/>
  <c r="F66" i="27"/>
  <c r="A118" i="24"/>
  <c r="C117" i="24"/>
  <c r="E117" i="24"/>
  <c r="G66" i="24"/>
  <c r="H66" i="24" s="1"/>
  <c r="J66" i="24" s="1"/>
  <c r="D67" i="24" s="1"/>
  <c r="A187" i="29" l="1"/>
  <c r="E186" i="29"/>
  <c r="C186" i="29"/>
  <c r="I65" i="29"/>
  <c r="K65" i="29" s="1"/>
  <c r="F225" i="13"/>
  <c r="F245" i="13" s="1"/>
  <c r="F65" i="29"/>
  <c r="G66" i="27"/>
  <c r="H66" i="27" s="1"/>
  <c r="J66" i="27" s="1"/>
  <c r="D67" i="27" s="1"/>
  <c r="E124" i="27"/>
  <c r="C124" i="27"/>
  <c r="A125" i="27"/>
  <c r="A119" i="24"/>
  <c r="C118" i="24"/>
  <c r="E118" i="24"/>
  <c r="I67" i="24"/>
  <c r="K67" i="24" s="1"/>
  <c r="F67" i="24"/>
  <c r="A188" i="29" l="1"/>
  <c r="E187" i="29"/>
  <c r="C187" i="29"/>
  <c r="G65" i="29"/>
  <c r="H65" i="29" s="1"/>
  <c r="J65" i="29"/>
  <c r="D66" i="29" s="1"/>
  <c r="I67" i="27"/>
  <c r="K67" i="27" s="1"/>
  <c r="F67" i="27"/>
  <c r="A126" i="27"/>
  <c r="C125" i="27"/>
  <c r="E125" i="27"/>
  <c r="C119" i="24"/>
  <c r="E119" i="24"/>
  <c r="A120" i="24"/>
  <c r="G67" i="24"/>
  <c r="H67" i="24" s="1"/>
  <c r="J67" i="24" s="1"/>
  <c r="D68" i="24" s="1"/>
  <c r="A189" i="29" l="1"/>
  <c r="C188" i="29"/>
  <c r="E188" i="29"/>
  <c r="I66" i="29"/>
  <c r="K66" i="29" s="1"/>
  <c r="F66" i="29"/>
  <c r="E126" i="27"/>
  <c r="C126" i="27"/>
  <c r="A127" i="27"/>
  <c r="G67" i="27"/>
  <c r="H67" i="27" s="1"/>
  <c r="J67" i="27" s="1"/>
  <c r="D68" i="27" s="1"/>
  <c r="E120" i="24"/>
  <c r="A121" i="24"/>
  <c r="C120" i="24"/>
  <c r="I68" i="24"/>
  <c r="K68" i="24" s="1"/>
  <c r="F68" i="24"/>
  <c r="A190" i="29" l="1"/>
  <c r="C189" i="29"/>
  <c r="E189" i="29"/>
  <c r="G66" i="29"/>
  <c r="H66" i="29" s="1"/>
  <c r="J66" i="29" s="1"/>
  <c r="D67" i="29" s="1"/>
  <c r="I68" i="27"/>
  <c r="K68" i="27" s="1"/>
  <c r="F68" i="27"/>
  <c r="E127" i="27"/>
  <c r="C127" i="27"/>
  <c r="A128" i="27"/>
  <c r="A122" i="24"/>
  <c r="E121" i="24"/>
  <c r="C121" i="24"/>
  <c r="G68" i="24"/>
  <c r="H68" i="24" s="1"/>
  <c r="J68" i="24" s="1"/>
  <c r="D69" i="24" s="1"/>
  <c r="A191" i="29" l="1"/>
  <c r="E190" i="29"/>
  <c r="C190" i="29"/>
  <c r="I67" i="29"/>
  <c r="K67" i="29" s="1"/>
  <c r="F67" i="29"/>
  <c r="G68" i="27"/>
  <c r="H68" i="27" s="1"/>
  <c r="J68" i="27" s="1"/>
  <c r="D69" i="27" s="1"/>
  <c r="A129" i="27"/>
  <c r="E128" i="27"/>
  <c r="C128" i="27"/>
  <c r="C122" i="24"/>
  <c r="E122" i="24"/>
  <c r="A123" i="24"/>
  <c r="I69" i="24"/>
  <c r="K69" i="24" s="1"/>
  <c r="F69" i="24"/>
  <c r="A192" i="29" l="1"/>
  <c r="E191" i="29"/>
  <c r="C191" i="29"/>
  <c r="G67" i="29"/>
  <c r="H67" i="29" s="1"/>
  <c r="J67" i="29" s="1"/>
  <c r="D68" i="29" s="1"/>
  <c r="F69" i="27"/>
  <c r="I69" i="27"/>
  <c r="K69" i="27" s="1"/>
  <c r="E129" i="27"/>
  <c r="C129" i="27"/>
  <c r="A130" i="27"/>
  <c r="E123" i="24"/>
  <c r="A124" i="24"/>
  <c r="C123" i="24"/>
  <c r="G69" i="24"/>
  <c r="H69" i="24" s="1"/>
  <c r="J69" i="24" s="1"/>
  <c r="D70" i="24" s="1"/>
  <c r="A193" i="29" l="1"/>
  <c r="E192" i="29"/>
  <c r="C192" i="29"/>
  <c r="I68" i="29"/>
  <c r="K68" i="29" s="1"/>
  <c r="F68" i="29"/>
  <c r="A131" i="27"/>
  <c r="E130" i="27"/>
  <c r="C130" i="27"/>
  <c r="G69" i="27"/>
  <c r="H69" i="27" s="1"/>
  <c r="J69" i="27" s="1"/>
  <c r="D70" i="27" s="1"/>
  <c r="E124" i="24"/>
  <c r="A125" i="24"/>
  <c r="C124" i="24"/>
  <c r="I70" i="24"/>
  <c r="K70" i="24" s="1"/>
  <c r="F70" i="24"/>
  <c r="A194" i="29" l="1"/>
  <c r="C193" i="29"/>
  <c r="E193" i="29"/>
  <c r="G68" i="29"/>
  <c r="H68" i="29" s="1"/>
  <c r="J68" i="29" s="1"/>
  <c r="D69" i="29" s="1"/>
  <c r="I70" i="27"/>
  <c r="K70" i="27" s="1"/>
  <c r="F70" i="27"/>
  <c r="A132" i="27"/>
  <c r="C131" i="27"/>
  <c r="E131" i="27"/>
  <c r="A126" i="24"/>
  <c r="C125" i="24"/>
  <c r="E125" i="24"/>
  <c r="G70" i="24"/>
  <c r="H70" i="24" s="1"/>
  <c r="J70" i="24" s="1"/>
  <c r="D71" i="24" s="1"/>
  <c r="A195" i="29" l="1"/>
  <c r="C194" i="29"/>
  <c r="E194" i="29"/>
  <c r="I69" i="29"/>
  <c r="K69" i="29" s="1"/>
  <c r="F69" i="29"/>
  <c r="E132" i="27"/>
  <c r="C132" i="27"/>
  <c r="A133" i="27"/>
  <c r="G70" i="27"/>
  <c r="H70" i="27" s="1"/>
  <c r="J70" i="27" s="1"/>
  <c r="D71" i="27" s="1"/>
  <c r="C126" i="24"/>
  <c r="E126" i="24"/>
  <c r="A127" i="24"/>
  <c r="I71" i="24"/>
  <c r="K71" i="24" s="1"/>
  <c r="F71" i="24"/>
  <c r="A196" i="29" l="1"/>
  <c r="E195" i="29"/>
  <c r="C195" i="29"/>
  <c r="G69" i="29"/>
  <c r="H69" i="29" s="1"/>
  <c r="J69" i="29" s="1"/>
  <c r="D70" i="29" s="1"/>
  <c r="I71" i="27"/>
  <c r="K71" i="27" s="1"/>
  <c r="F71" i="27"/>
  <c r="A134" i="27"/>
  <c r="C133" i="27"/>
  <c r="E133" i="27"/>
  <c r="E127" i="24"/>
  <c r="C127" i="24"/>
  <c r="A128" i="24"/>
  <c r="G71" i="24"/>
  <c r="H71" i="24" s="1"/>
  <c r="J71" i="24" s="1"/>
  <c r="D72" i="24" s="1"/>
  <c r="A197" i="29" l="1"/>
  <c r="E196" i="29"/>
  <c r="C196" i="29"/>
  <c r="I70" i="29"/>
  <c r="K70" i="29" s="1"/>
  <c r="F70" i="29"/>
  <c r="E134" i="27"/>
  <c r="C134" i="27"/>
  <c r="A135" i="27"/>
  <c r="G71" i="27"/>
  <c r="H71" i="27" s="1"/>
  <c r="J71" i="27" s="1"/>
  <c r="D72" i="27" s="1"/>
  <c r="E128" i="24"/>
  <c r="C128" i="24"/>
  <c r="A129" i="24"/>
  <c r="I72" i="24"/>
  <c r="K72" i="24" s="1"/>
  <c r="F72" i="24"/>
  <c r="A198" i="29" l="1"/>
  <c r="E197" i="29"/>
  <c r="C197" i="29"/>
  <c r="G70" i="29"/>
  <c r="H70" i="29" s="1"/>
  <c r="J70" i="29" s="1"/>
  <c r="D71" i="29" s="1"/>
  <c r="I72" i="27"/>
  <c r="K72" i="27" s="1"/>
  <c r="F72" i="27"/>
  <c r="E135" i="27"/>
  <c r="C135" i="27"/>
  <c r="A136" i="27"/>
  <c r="E129" i="24"/>
  <c r="A130" i="24"/>
  <c r="C129" i="24"/>
  <c r="G72" i="24"/>
  <c r="H72" i="24" s="1"/>
  <c r="J72" i="24" s="1"/>
  <c r="D73" i="24" s="1"/>
  <c r="A199" i="29" l="1"/>
  <c r="E198" i="29"/>
  <c r="C198" i="29"/>
  <c r="I71" i="29"/>
  <c r="K71" i="29" s="1"/>
  <c r="F71" i="29"/>
  <c r="G72" i="27"/>
  <c r="H72" i="27" s="1"/>
  <c r="J72" i="27" s="1"/>
  <c r="D73" i="27" s="1"/>
  <c r="A137" i="27"/>
  <c r="E136" i="27"/>
  <c r="C136" i="27"/>
  <c r="E130" i="24"/>
  <c r="C130" i="24"/>
  <c r="A131" i="24"/>
  <c r="F73" i="24"/>
  <c r="I73" i="24"/>
  <c r="K73" i="24" s="1"/>
  <c r="A200" i="29" l="1"/>
  <c r="E199" i="29"/>
  <c r="C199" i="29"/>
  <c r="G71" i="29"/>
  <c r="H71" i="29" s="1"/>
  <c r="J71" i="29" s="1"/>
  <c r="D72" i="29" s="1"/>
  <c r="F73" i="27"/>
  <c r="I73" i="27"/>
  <c r="K73" i="27" s="1"/>
  <c r="C137" i="27"/>
  <c r="E137" i="27"/>
  <c r="A138" i="27"/>
  <c r="E131" i="24"/>
  <c r="A132" i="24"/>
  <c r="C131" i="24"/>
  <c r="G73" i="24"/>
  <c r="H73" i="24" s="1"/>
  <c r="J73" i="24" s="1"/>
  <c r="D74" i="24" s="1"/>
  <c r="A201" i="29" l="1"/>
  <c r="E200" i="29"/>
  <c r="C200" i="29"/>
  <c r="I72" i="29"/>
  <c r="K72" i="29" s="1"/>
  <c r="F72" i="29"/>
  <c r="A139" i="27"/>
  <c r="C138" i="27"/>
  <c r="E138" i="27"/>
  <c r="G73" i="27"/>
  <c r="H73" i="27" s="1"/>
  <c r="J73" i="27" s="1"/>
  <c r="D74" i="27" s="1"/>
  <c r="A133" i="24"/>
  <c r="C132" i="24"/>
  <c r="E132" i="24"/>
  <c r="I74" i="24"/>
  <c r="K74" i="24" s="1"/>
  <c r="F74" i="24"/>
  <c r="A202" i="29" l="1"/>
  <c r="E201" i="29"/>
  <c r="C201" i="29"/>
  <c r="G72" i="29"/>
  <c r="H72" i="29" s="1"/>
  <c r="J72" i="29" s="1"/>
  <c r="D73" i="29" s="1"/>
  <c r="F74" i="27"/>
  <c r="I74" i="27"/>
  <c r="K74" i="27" s="1"/>
  <c r="A140" i="27"/>
  <c r="C139" i="27"/>
  <c r="E139" i="27"/>
  <c r="C133" i="24"/>
  <c r="A134" i="24"/>
  <c r="E133" i="24"/>
  <c r="G74" i="24"/>
  <c r="H74" i="24" s="1"/>
  <c r="J74" i="24" s="1"/>
  <c r="D75" i="24" s="1"/>
  <c r="A203" i="29" l="1"/>
  <c r="C202" i="29"/>
  <c r="E202" i="29"/>
  <c r="I73" i="29"/>
  <c r="K73" i="29" s="1"/>
  <c r="F73" i="29"/>
  <c r="C140" i="27"/>
  <c r="E140" i="27"/>
  <c r="A141" i="27"/>
  <c r="G74" i="27"/>
  <c r="H74" i="27" s="1"/>
  <c r="J74" i="27" s="1"/>
  <c r="D75" i="27" s="1"/>
  <c r="A135" i="24"/>
  <c r="C134" i="24"/>
  <c r="E134" i="24"/>
  <c r="I75" i="24"/>
  <c r="K75" i="24" s="1"/>
  <c r="F75" i="24"/>
  <c r="A204" i="29" l="1"/>
  <c r="E203" i="29"/>
  <c r="C203" i="29"/>
  <c r="G73" i="29"/>
  <c r="H73" i="29" s="1"/>
  <c r="J73" i="29" s="1"/>
  <c r="D74" i="29" s="1"/>
  <c r="I75" i="27"/>
  <c r="K75" i="27" s="1"/>
  <c r="F75" i="27"/>
  <c r="C141" i="27"/>
  <c r="A142" i="27"/>
  <c r="E141" i="27"/>
  <c r="C135" i="24"/>
  <c r="E135" i="24"/>
  <c r="A136" i="24"/>
  <c r="G75" i="24"/>
  <c r="H75" i="24" s="1"/>
  <c r="J75" i="24" s="1"/>
  <c r="D76" i="24" s="1"/>
  <c r="A205" i="29" l="1"/>
  <c r="E204" i="29"/>
  <c r="C204" i="29"/>
  <c r="I74" i="29"/>
  <c r="K74" i="29" s="1"/>
  <c r="F74" i="29"/>
  <c r="G75" i="27"/>
  <c r="H75" i="27" s="1"/>
  <c r="J75" i="27" s="1"/>
  <c r="D76" i="27" s="1"/>
  <c r="C142" i="27"/>
  <c r="A143" i="27"/>
  <c r="E142" i="27"/>
  <c r="E136" i="24"/>
  <c r="A137" i="24"/>
  <c r="C136" i="24"/>
  <c r="I76" i="24"/>
  <c r="K76" i="24" s="1"/>
  <c r="F76" i="24"/>
  <c r="A206" i="29" l="1"/>
  <c r="C205" i="29"/>
  <c r="E205" i="29"/>
  <c r="G74" i="29"/>
  <c r="H74" i="29" s="1"/>
  <c r="J74" i="29" s="1"/>
  <c r="D75" i="29" s="1"/>
  <c r="I76" i="27"/>
  <c r="K76" i="27" s="1"/>
  <c r="F76" i="27"/>
  <c r="C143" i="27"/>
  <c r="E143" i="27"/>
  <c r="A144" i="27"/>
  <c r="A138" i="24"/>
  <c r="E137" i="24"/>
  <c r="C137" i="24"/>
  <c r="G76" i="24"/>
  <c r="H76" i="24" s="1"/>
  <c r="J76" i="24" s="1"/>
  <c r="D77" i="24" s="1"/>
  <c r="A207" i="29" l="1"/>
  <c r="E206" i="29"/>
  <c r="C206" i="29"/>
  <c r="I75" i="29"/>
  <c r="K75" i="29" s="1"/>
  <c r="F75" i="29"/>
  <c r="G76" i="27"/>
  <c r="H76" i="27" s="1"/>
  <c r="J76" i="27" s="1"/>
  <c r="D77" i="27" s="1"/>
  <c r="A145" i="27"/>
  <c r="E144" i="27"/>
  <c r="C144" i="27"/>
  <c r="E138" i="24"/>
  <c r="A139" i="24"/>
  <c r="C138" i="24"/>
  <c r="F77" i="24"/>
  <c r="I77" i="24"/>
  <c r="K77" i="24" s="1"/>
  <c r="A208" i="29" l="1"/>
  <c r="C207" i="29"/>
  <c r="E207" i="29"/>
  <c r="G75" i="29"/>
  <c r="H75" i="29" s="1"/>
  <c r="J75" i="29" s="1"/>
  <c r="D76" i="29" s="1"/>
  <c r="I77" i="27"/>
  <c r="K77" i="27" s="1"/>
  <c r="F77" i="27"/>
  <c r="C145" i="27"/>
  <c r="A146" i="27"/>
  <c r="E145" i="27"/>
  <c r="C139" i="24"/>
  <c r="E139" i="24"/>
  <c r="A140" i="24"/>
  <c r="G77" i="24"/>
  <c r="H77" i="24" s="1"/>
  <c r="J77" i="24" s="1"/>
  <c r="D78" i="24" s="1"/>
  <c r="A209" i="29" l="1"/>
  <c r="E208" i="29"/>
  <c r="C208" i="29"/>
  <c r="I76" i="29"/>
  <c r="K76" i="29" s="1"/>
  <c r="G207" i="13" s="1"/>
  <c r="F76" i="29"/>
  <c r="C146" i="27"/>
  <c r="A147" i="27"/>
  <c r="E146" i="27"/>
  <c r="G77" i="27"/>
  <c r="H77" i="27" s="1"/>
  <c r="J77" i="27" s="1"/>
  <c r="D78" i="27" s="1"/>
  <c r="C140" i="24"/>
  <c r="A141" i="24"/>
  <c r="E140" i="24"/>
  <c r="I78" i="24"/>
  <c r="K78" i="24" s="1"/>
  <c r="F78" i="24"/>
  <c r="A210" i="29" l="1"/>
  <c r="E209" i="29"/>
  <c r="C209" i="29"/>
  <c r="G199" i="9"/>
  <c r="G76" i="29"/>
  <c r="H76" i="29" s="1"/>
  <c r="J76" i="29" s="1"/>
  <c r="D77" i="29" s="1"/>
  <c r="I78" i="27"/>
  <c r="K78" i="27" s="1"/>
  <c r="F78" i="27"/>
  <c r="A148" i="27"/>
  <c r="C147" i="27"/>
  <c r="E147" i="27"/>
  <c r="A142" i="24"/>
  <c r="C141" i="24"/>
  <c r="E141" i="24"/>
  <c r="G78" i="24"/>
  <c r="H78" i="24" s="1"/>
  <c r="J78" i="24" s="1"/>
  <c r="D79" i="24" s="1"/>
  <c r="A211" i="29" l="1"/>
  <c r="C210" i="29"/>
  <c r="E210" i="29"/>
  <c r="H225" i="13"/>
  <c r="I225" i="13"/>
  <c r="G225" i="13"/>
  <c r="G245" i="13" s="1"/>
  <c r="I77" i="29"/>
  <c r="K77" i="29" s="1"/>
  <c r="F77" i="29"/>
  <c r="G78" i="27"/>
  <c r="H78" i="27" s="1"/>
  <c r="J78" i="27" s="1"/>
  <c r="D79" i="27" s="1"/>
  <c r="C148" i="27"/>
  <c r="E148" i="27"/>
  <c r="A149" i="27"/>
  <c r="C142" i="24"/>
  <c r="E142" i="24"/>
  <c r="A143" i="24"/>
  <c r="I79" i="24"/>
  <c r="K79" i="24" s="1"/>
  <c r="F79" i="24"/>
  <c r="A212" i="29" l="1"/>
  <c r="E211" i="29"/>
  <c r="C211" i="29"/>
  <c r="I245" i="13"/>
  <c r="H245" i="13"/>
  <c r="G77" i="29"/>
  <c r="H77" i="29" s="1"/>
  <c r="J77" i="29" s="1"/>
  <c r="D78" i="29" s="1"/>
  <c r="F79" i="27"/>
  <c r="I79" i="27"/>
  <c r="K79" i="27" s="1"/>
  <c r="E149" i="27"/>
  <c r="A150" i="27"/>
  <c r="C149" i="27"/>
  <c r="E143" i="24"/>
  <c r="C143" i="24"/>
  <c r="A144" i="24"/>
  <c r="G79" i="24"/>
  <c r="H79" i="24" s="1"/>
  <c r="J79" i="24" s="1"/>
  <c r="D80" i="24" s="1"/>
  <c r="A213" i="29" l="1"/>
  <c r="E212" i="29"/>
  <c r="C212" i="29"/>
  <c r="I78" i="29"/>
  <c r="K78" i="29" s="1"/>
  <c r="F78" i="29"/>
  <c r="E150" i="27"/>
  <c r="A151" i="27"/>
  <c r="C150" i="27"/>
  <c r="G79" i="27"/>
  <c r="H79" i="27" s="1"/>
  <c r="J79" i="27" s="1"/>
  <c r="D80" i="27" s="1"/>
  <c r="E144" i="24"/>
  <c r="A145" i="24"/>
  <c r="C144" i="24"/>
  <c r="I80" i="24"/>
  <c r="K80" i="24" s="1"/>
  <c r="F80" i="24"/>
  <c r="A214" i="29" l="1"/>
  <c r="E213" i="29"/>
  <c r="C213" i="29"/>
  <c r="G78" i="29"/>
  <c r="H78" i="29" s="1"/>
  <c r="J78" i="29" s="1"/>
  <c r="D79" i="29" s="1"/>
  <c r="I80" i="27"/>
  <c r="K80" i="27" s="1"/>
  <c r="F80" i="27"/>
  <c r="E151" i="27"/>
  <c r="C151" i="27"/>
  <c r="A152" i="27"/>
  <c r="E145" i="24"/>
  <c r="A146" i="24"/>
  <c r="C145" i="24"/>
  <c r="G80" i="24"/>
  <c r="H80" i="24" s="1"/>
  <c r="J80" i="24" s="1"/>
  <c r="D81" i="24" s="1"/>
  <c r="A215" i="29" l="1"/>
  <c r="E214" i="29"/>
  <c r="C214" i="29"/>
  <c r="I79" i="29"/>
  <c r="K79" i="29" s="1"/>
  <c r="F79" i="29"/>
  <c r="G80" i="27"/>
  <c r="H80" i="27" s="1"/>
  <c r="J80" i="27" s="1"/>
  <c r="D81" i="27" s="1"/>
  <c r="A153" i="27"/>
  <c r="E152" i="27"/>
  <c r="C152" i="27"/>
  <c r="C146" i="24"/>
  <c r="A147" i="24"/>
  <c r="E146" i="24"/>
  <c r="F81" i="24"/>
  <c r="I81" i="24"/>
  <c r="K81" i="24" s="1"/>
  <c r="A216" i="29" l="1"/>
  <c r="C215" i="29"/>
  <c r="E215" i="29"/>
  <c r="G79" i="29"/>
  <c r="H79" i="29" s="1"/>
  <c r="J79" i="29" s="1"/>
  <c r="D80" i="29" s="1"/>
  <c r="C153" i="27"/>
  <c r="E153" i="27"/>
  <c r="A154" i="27"/>
  <c r="F81" i="27"/>
  <c r="I81" i="27"/>
  <c r="K81" i="27" s="1"/>
  <c r="E147" i="24"/>
  <c r="C147" i="24"/>
  <c r="A148" i="24"/>
  <c r="G81" i="24"/>
  <c r="H81" i="24" s="1"/>
  <c r="J81" i="24" s="1"/>
  <c r="D82" i="24" s="1"/>
  <c r="A217" i="29" l="1"/>
  <c r="C216" i="29"/>
  <c r="E216" i="29"/>
  <c r="I80" i="29"/>
  <c r="K80" i="29" s="1"/>
  <c r="F80" i="29"/>
  <c r="A155" i="27"/>
  <c r="E154" i="27"/>
  <c r="C154" i="27"/>
  <c r="G81" i="27"/>
  <c r="H81" i="27" s="1"/>
  <c r="J81" i="27" s="1"/>
  <c r="D82" i="27" s="1"/>
  <c r="A149" i="24"/>
  <c r="E148" i="24"/>
  <c r="C148" i="24"/>
  <c r="I82" i="24"/>
  <c r="K82" i="24" s="1"/>
  <c r="F82" i="24"/>
  <c r="A218" i="29" l="1"/>
  <c r="C217" i="29"/>
  <c r="E217" i="29"/>
  <c r="G80" i="29"/>
  <c r="H80" i="29" s="1"/>
  <c r="J80" i="29" s="1"/>
  <c r="D81" i="29" s="1"/>
  <c r="F82" i="27"/>
  <c r="I82" i="27"/>
  <c r="K82" i="27" s="1"/>
  <c r="A156" i="27"/>
  <c r="E155" i="27"/>
  <c r="C155" i="27"/>
  <c r="C149" i="24"/>
  <c r="A150" i="24"/>
  <c r="E149" i="24"/>
  <c r="G82" i="24"/>
  <c r="H82" i="24" s="1"/>
  <c r="J82" i="24" s="1"/>
  <c r="D83" i="24" s="1"/>
  <c r="A219" i="29" l="1"/>
  <c r="C218" i="29"/>
  <c r="E218" i="29"/>
  <c r="I81" i="29"/>
  <c r="K81" i="29" s="1"/>
  <c r="F81" i="29"/>
  <c r="C156" i="27"/>
  <c r="A157" i="27"/>
  <c r="E156" i="27"/>
  <c r="G82" i="27"/>
  <c r="H82" i="27" s="1"/>
  <c r="J82" i="27" s="1"/>
  <c r="D83" i="27" s="1"/>
  <c r="A151" i="24"/>
  <c r="E150" i="24"/>
  <c r="C150" i="24"/>
  <c r="F83" i="24"/>
  <c r="I83" i="24"/>
  <c r="K83" i="24" s="1"/>
  <c r="A220" i="29" l="1"/>
  <c r="C219" i="29"/>
  <c r="E219" i="29"/>
  <c r="G81" i="29"/>
  <c r="H81" i="29" s="1"/>
  <c r="J81" i="29" s="1"/>
  <c r="D82" i="29" s="1"/>
  <c r="A158" i="27"/>
  <c r="E157" i="27"/>
  <c r="C157" i="27"/>
  <c r="I83" i="27"/>
  <c r="K83" i="27" s="1"/>
  <c r="F83" i="27"/>
  <c r="E151" i="24"/>
  <c r="C151" i="24"/>
  <c r="A152" i="24"/>
  <c r="G83" i="24"/>
  <c r="H83" i="24" s="1"/>
  <c r="J83" i="24" s="1"/>
  <c r="D84" i="24" s="1"/>
  <c r="A221" i="29" l="1"/>
  <c r="E220" i="29"/>
  <c r="C220" i="29"/>
  <c r="I82" i="29"/>
  <c r="K82" i="29" s="1"/>
  <c r="F82" i="29"/>
  <c r="G83" i="27"/>
  <c r="H83" i="27" s="1"/>
  <c r="J83" i="27" s="1"/>
  <c r="D84" i="27" s="1"/>
  <c r="C158" i="27"/>
  <c r="E158" i="27"/>
  <c r="A159" i="27"/>
  <c r="E152" i="24"/>
  <c r="C152" i="24"/>
  <c r="A153" i="24"/>
  <c r="I84" i="24"/>
  <c r="K84" i="24" s="1"/>
  <c r="F84" i="24"/>
  <c r="A222" i="29" l="1"/>
  <c r="E221" i="29"/>
  <c r="C221" i="29"/>
  <c r="G82" i="29"/>
  <c r="H82" i="29" s="1"/>
  <c r="J82" i="29" s="1"/>
  <c r="D83" i="29" s="1"/>
  <c r="I84" i="27"/>
  <c r="K84" i="27" s="1"/>
  <c r="F84" i="27"/>
  <c r="E159" i="27"/>
  <c r="A160" i="27"/>
  <c r="C159" i="27"/>
  <c r="A154" i="24"/>
  <c r="C153" i="24"/>
  <c r="E153" i="24"/>
  <c r="G84" i="24"/>
  <c r="H84" i="24" s="1"/>
  <c r="J84" i="24" s="1"/>
  <c r="D85" i="24" s="1"/>
  <c r="A223" i="29" l="1"/>
  <c r="C222" i="29"/>
  <c r="E222" i="29"/>
  <c r="I83" i="29"/>
  <c r="K83" i="29" s="1"/>
  <c r="F83" i="29"/>
  <c r="G84" i="27"/>
  <c r="H84" i="27" s="1"/>
  <c r="J84" i="27" s="1"/>
  <c r="D85" i="27" s="1"/>
  <c r="A161" i="27"/>
  <c r="C160" i="27"/>
  <c r="E160" i="27"/>
  <c r="C154" i="24"/>
  <c r="E154" i="24"/>
  <c r="A155" i="24"/>
  <c r="F85" i="24"/>
  <c r="I85" i="24"/>
  <c r="K85" i="24" s="1"/>
  <c r="A224" i="29" l="1"/>
  <c r="C223" i="29"/>
  <c r="E223" i="29"/>
  <c r="G83" i="29"/>
  <c r="H83" i="29" s="1"/>
  <c r="J83" i="29" s="1"/>
  <c r="D84" i="29" s="1"/>
  <c r="F85" i="27"/>
  <c r="I85" i="27"/>
  <c r="K85" i="27" s="1"/>
  <c r="C161" i="27"/>
  <c r="E161" i="27"/>
  <c r="A162" i="27"/>
  <c r="E155" i="24"/>
  <c r="A156" i="24"/>
  <c r="C155" i="24"/>
  <c r="G85" i="24"/>
  <c r="H85" i="24" s="1"/>
  <c r="J85" i="24" s="1"/>
  <c r="D86" i="24" s="1"/>
  <c r="A225" i="29" l="1"/>
  <c r="C224" i="29"/>
  <c r="E224" i="29"/>
  <c r="I84" i="29"/>
  <c r="K84" i="29" s="1"/>
  <c r="F84" i="29"/>
  <c r="A163" i="27"/>
  <c r="E162" i="27"/>
  <c r="C162" i="27"/>
  <c r="G85" i="27"/>
  <c r="H85" i="27" s="1"/>
  <c r="J85" i="27" s="1"/>
  <c r="D86" i="27" s="1"/>
  <c r="A157" i="24"/>
  <c r="C156" i="24"/>
  <c r="E156" i="24"/>
  <c r="I86" i="24"/>
  <c r="K86" i="24" s="1"/>
  <c r="F86" i="24"/>
  <c r="A226" i="29" l="1"/>
  <c r="C225" i="29"/>
  <c r="E225" i="29"/>
  <c r="G84" i="29"/>
  <c r="H84" i="29" s="1"/>
  <c r="J84" i="29" s="1"/>
  <c r="D85" i="29" s="1"/>
  <c r="I86" i="27"/>
  <c r="K86" i="27" s="1"/>
  <c r="F86" i="27"/>
  <c r="A164" i="27"/>
  <c r="C163" i="27"/>
  <c r="E163" i="27"/>
  <c r="C157" i="24"/>
  <c r="E157" i="24"/>
  <c r="A158" i="24"/>
  <c r="G86" i="24"/>
  <c r="H86" i="24" s="1"/>
  <c r="J86" i="24" s="1"/>
  <c r="D87" i="24" s="1"/>
  <c r="A227" i="29" l="1"/>
  <c r="C226" i="29"/>
  <c r="E226" i="29"/>
  <c r="I85" i="29"/>
  <c r="K85" i="29" s="1"/>
  <c r="F85" i="29"/>
  <c r="E164" i="27"/>
  <c r="A165" i="27"/>
  <c r="C164" i="27"/>
  <c r="G86" i="27"/>
  <c r="H86" i="27" s="1"/>
  <c r="J86" i="27" s="1"/>
  <c r="D87" i="27" s="1"/>
  <c r="A159" i="24"/>
  <c r="E158" i="24"/>
  <c r="C158" i="24"/>
  <c r="I87" i="24"/>
  <c r="K87" i="24" s="1"/>
  <c r="F87" i="24"/>
  <c r="A228" i="29" l="1"/>
  <c r="E227" i="29"/>
  <c r="C227" i="29"/>
  <c r="G85" i="29"/>
  <c r="H85" i="29" s="1"/>
  <c r="J85" i="29" s="1"/>
  <c r="D86" i="29" s="1"/>
  <c r="A166" i="27"/>
  <c r="E165" i="27"/>
  <c r="C165" i="27"/>
  <c r="I87" i="27"/>
  <c r="K87" i="27" s="1"/>
  <c r="F87" i="27"/>
  <c r="E159" i="24"/>
  <c r="C159" i="24"/>
  <c r="A160" i="24"/>
  <c r="G87" i="24"/>
  <c r="H87" i="24" s="1"/>
  <c r="J87" i="24" s="1"/>
  <c r="D88" i="24" s="1"/>
  <c r="A229" i="29" l="1"/>
  <c r="E228" i="29"/>
  <c r="C228" i="29"/>
  <c r="I86" i="29"/>
  <c r="K86" i="29" s="1"/>
  <c r="F86" i="29"/>
  <c r="G87" i="27"/>
  <c r="H87" i="27" s="1"/>
  <c r="J87" i="27" s="1"/>
  <c r="D88" i="27" s="1"/>
  <c r="C166" i="27"/>
  <c r="E166" i="27"/>
  <c r="A167" i="27"/>
  <c r="A161" i="24"/>
  <c r="C160" i="24"/>
  <c r="E160" i="24"/>
  <c r="I88" i="24"/>
  <c r="K88" i="24" s="1"/>
  <c r="F88" i="24"/>
  <c r="A230" i="29" l="1"/>
  <c r="C229" i="29"/>
  <c r="E229" i="29"/>
  <c r="G86" i="29"/>
  <c r="H86" i="29" s="1"/>
  <c r="J86" i="29"/>
  <c r="D87" i="29" s="1"/>
  <c r="F88" i="27"/>
  <c r="I88" i="27"/>
  <c r="K88" i="27" s="1"/>
  <c r="E167" i="27"/>
  <c r="A168" i="27"/>
  <c r="C167" i="27"/>
  <c r="E161" i="24"/>
  <c r="C161" i="24"/>
  <c r="A162" i="24"/>
  <c r="G88" i="24"/>
  <c r="H88" i="24" s="1"/>
  <c r="J88" i="24" s="1"/>
  <c r="D89" i="24" s="1"/>
  <c r="A231" i="29" l="1"/>
  <c r="E230" i="29"/>
  <c r="C230" i="29"/>
  <c r="I87" i="29"/>
  <c r="K87" i="29" s="1"/>
  <c r="F87" i="29"/>
  <c r="J88" i="27"/>
  <c r="D89" i="27" s="1"/>
  <c r="G88" i="27"/>
  <c r="H88" i="27" s="1"/>
  <c r="A169" i="27"/>
  <c r="C168" i="27"/>
  <c r="E168" i="27"/>
  <c r="A163" i="24"/>
  <c r="E162" i="24"/>
  <c r="C162" i="24"/>
  <c r="I89" i="24"/>
  <c r="K89" i="24" s="1"/>
  <c r="F89" i="24"/>
  <c r="A232" i="29" l="1"/>
  <c r="C231" i="29"/>
  <c r="E231" i="29"/>
  <c r="G87" i="29"/>
  <c r="H87" i="29" s="1"/>
  <c r="J87" i="29" s="1"/>
  <c r="D88" i="29" s="1"/>
  <c r="C169" i="27"/>
  <c r="E169" i="27"/>
  <c r="A170" i="27"/>
  <c r="I89" i="27"/>
  <c r="K89" i="27" s="1"/>
  <c r="F89" i="27"/>
  <c r="E163" i="24"/>
  <c r="A164" i="24"/>
  <c r="C163" i="24"/>
  <c r="G89" i="24"/>
  <c r="H89" i="24" s="1"/>
  <c r="J89" i="24" s="1"/>
  <c r="D90" i="24" s="1"/>
  <c r="A233" i="29" l="1"/>
  <c r="C232" i="29"/>
  <c r="E232" i="29"/>
  <c r="I88" i="29"/>
  <c r="K88" i="29" s="1"/>
  <c r="H207" i="13" s="1"/>
  <c r="F88" i="29"/>
  <c r="J89" i="27"/>
  <c r="D90" i="27" s="1"/>
  <c r="G89" i="27"/>
  <c r="H89" i="27" s="1"/>
  <c r="A171" i="27"/>
  <c r="E170" i="27"/>
  <c r="C170" i="27"/>
  <c r="A165" i="24"/>
  <c r="C164" i="24"/>
  <c r="E164" i="24"/>
  <c r="I90" i="24"/>
  <c r="K90" i="24" s="1"/>
  <c r="F90" i="24"/>
  <c r="A234" i="29" l="1"/>
  <c r="E233" i="29"/>
  <c r="C233" i="29"/>
  <c r="G88" i="29"/>
  <c r="H88" i="29" s="1"/>
  <c r="J88" i="29"/>
  <c r="D89" i="29" s="1"/>
  <c r="H199" i="9"/>
  <c r="A172" i="27"/>
  <c r="E171" i="27"/>
  <c r="C171" i="27"/>
  <c r="I90" i="27"/>
  <c r="K90" i="27" s="1"/>
  <c r="F90" i="27"/>
  <c r="E165" i="24"/>
  <c r="A166" i="24"/>
  <c r="C165" i="24"/>
  <c r="G90" i="24"/>
  <c r="H90" i="24" s="1"/>
  <c r="J90" i="24" s="1"/>
  <c r="D91" i="24" s="1"/>
  <c r="A235" i="29" l="1"/>
  <c r="E234" i="29"/>
  <c r="C234" i="29"/>
  <c r="I89" i="29"/>
  <c r="K89" i="29" s="1"/>
  <c r="F89" i="29"/>
  <c r="G90" i="27"/>
  <c r="H90" i="27" s="1"/>
  <c r="J90" i="27"/>
  <c r="D91" i="27" s="1"/>
  <c r="E172" i="27"/>
  <c r="A173" i="27"/>
  <c r="C172" i="27"/>
  <c r="E166" i="24"/>
  <c r="A167" i="24"/>
  <c r="C166" i="24"/>
  <c r="F91" i="24"/>
  <c r="I91" i="24"/>
  <c r="K91" i="24" s="1"/>
  <c r="A236" i="29" l="1"/>
  <c r="E235" i="29"/>
  <c r="C235" i="29"/>
  <c r="G89" i="29"/>
  <c r="H89" i="29" s="1"/>
  <c r="J89" i="29"/>
  <c r="D90" i="29" s="1"/>
  <c r="I91" i="27"/>
  <c r="K91" i="27" s="1"/>
  <c r="F91" i="27"/>
  <c r="A174" i="27"/>
  <c r="E173" i="27"/>
  <c r="C173" i="27"/>
  <c r="E167" i="24"/>
  <c r="C167" i="24"/>
  <c r="A168" i="24"/>
  <c r="G91" i="24"/>
  <c r="H91" i="24" s="1"/>
  <c r="J91" i="24" s="1"/>
  <c r="D92" i="24" s="1"/>
  <c r="A237" i="29" l="1"/>
  <c r="E236" i="29"/>
  <c r="C236" i="29"/>
  <c r="I90" i="29"/>
  <c r="K90" i="29" s="1"/>
  <c r="F90" i="29"/>
  <c r="C174" i="27"/>
  <c r="E174" i="27"/>
  <c r="A175" i="27"/>
  <c r="G91" i="27"/>
  <c r="H91" i="27" s="1"/>
  <c r="J91" i="27"/>
  <c r="D92" i="27" s="1"/>
  <c r="A169" i="24"/>
  <c r="C168" i="24"/>
  <c r="E168" i="24"/>
  <c r="F92" i="24"/>
  <c r="I92" i="24"/>
  <c r="K92" i="24" s="1"/>
  <c r="A238" i="29" l="1"/>
  <c r="E237" i="29"/>
  <c r="C237" i="29"/>
  <c r="G90" i="29"/>
  <c r="H90" i="29" s="1"/>
  <c r="J90" i="29"/>
  <c r="D91" i="29" s="1"/>
  <c r="C175" i="27"/>
  <c r="A176" i="27"/>
  <c r="E175" i="27"/>
  <c r="I92" i="27"/>
  <c r="K92" i="27" s="1"/>
  <c r="F92" i="27"/>
  <c r="C169" i="24"/>
  <c r="E169" i="24"/>
  <c r="A170" i="24"/>
  <c r="G92" i="24"/>
  <c r="H92" i="24" s="1"/>
  <c r="J92" i="24" s="1"/>
  <c r="D93" i="24" s="1"/>
  <c r="A239" i="29" l="1"/>
  <c r="C238" i="29"/>
  <c r="E238" i="29"/>
  <c r="I91" i="29"/>
  <c r="K91" i="29" s="1"/>
  <c r="F91" i="29"/>
  <c r="J92" i="27"/>
  <c r="D93" i="27" s="1"/>
  <c r="G92" i="27"/>
  <c r="H92" i="27" s="1"/>
  <c r="A177" i="27"/>
  <c r="E176" i="27"/>
  <c r="C176" i="27"/>
  <c r="E170" i="24"/>
  <c r="A171" i="24"/>
  <c r="C170" i="24"/>
  <c r="I93" i="24"/>
  <c r="K93" i="24" s="1"/>
  <c r="F93" i="24"/>
  <c r="A240" i="29" l="1"/>
  <c r="C239" i="29"/>
  <c r="E239" i="29"/>
  <c r="G91" i="29"/>
  <c r="H91" i="29" s="1"/>
  <c r="J91" i="29"/>
  <c r="D92" i="29" s="1"/>
  <c r="C177" i="27"/>
  <c r="E177" i="27"/>
  <c r="A178" i="27"/>
  <c r="I93" i="27"/>
  <c r="K93" i="27" s="1"/>
  <c r="F93" i="27"/>
  <c r="C171" i="24"/>
  <c r="A172" i="24"/>
  <c r="E171" i="24"/>
  <c r="G93" i="24"/>
  <c r="H93" i="24" s="1"/>
  <c r="J93" i="24" s="1"/>
  <c r="D94" i="24" s="1"/>
  <c r="A241" i="29" l="1"/>
  <c r="C240" i="29"/>
  <c r="E240" i="29"/>
  <c r="I92" i="29"/>
  <c r="K92" i="29" s="1"/>
  <c r="F92" i="29"/>
  <c r="A179" i="27"/>
  <c r="E178" i="27"/>
  <c r="C178" i="27"/>
  <c r="G93" i="27"/>
  <c r="H93" i="27" s="1"/>
  <c r="J93" i="27"/>
  <c r="D94" i="27" s="1"/>
  <c r="A173" i="24"/>
  <c r="C172" i="24"/>
  <c r="E172" i="24"/>
  <c r="I94" i="24"/>
  <c r="K94" i="24" s="1"/>
  <c r="F94" i="24"/>
  <c r="A242" i="29" l="1"/>
  <c r="E241" i="29"/>
  <c r="C241" i="29"/>
  <c r="J92" i="29"/>
  <c r="D93" i="29" s="1"/>
  <c r="G92" i="29"/>
  <c r="H92" i="29" s="1"/>
  <c r="I94" i="27"/>
  <c r="K94" i="27" s="1"/>
  <c r="F94" i="27"/>
  <c r="A180" i="27"/>
  <c r="C179" i="27"/>
  <c r="E179" i="27"/>
  <c r="C173" i="24"/>
  <c r="E173" i="24"/>
  <c r="A174" i="24"/>
  <c r="G94" i="24"/>
  <c r="H94" i="24" s="1"/>
  <c r="J94" i="24" s="1"/>
  <c r="D95" i="24" s="1"/>
  <c r="A243" i="29" l="1"/>
  <c r="E242" i="29"/>
  <c r="C242" i="29"/>
  <c r="I93" i="29"/>
  <c r="K93" i="29" s="1"/>
  <c r="F93" i="29"/>
  <c r="E180" i="27"/>
  <c r="A181" i="27"/>
  <c r="C180" i="27"/>
  <c r="J94" i="27"/>
  <c r="D95" i="27" s="1"/>
  <c r="G94" i="27"/>
  <c r="H94" i="27" s="1"/>
  <c r="A175" i="24"/>
  <c r="E174" i="24"/>
  <c r="C174" i="24"/>
  <c r="I95" i="24"/>
  <c r="K95" i="24" s="1"/>
  <c r="F95" i="24"/>
  <c r="A244" i="29" l="1"/>
  <c r="C243" i="29"/>
  <c r="E243" i="29"/>
  <c r="G93" i="29"/>
  <c r="H93" i="29" s="1"/>
  <c r="J93" i="29"/>
  <c r="D94" i="29" s="1"/>
  <c r="A182" i="27"/>
  <c r="E181" i="27"/>
  <c r="C181" i="27"/>
  <c r="I95" i="27"/>
  <c r="K95" i="27" s="1"/>
  <c r="F95" i="27"/>
  <c r="A176" i="24"/>
  <c r="C175" i="24"/>
  <c r="E175" i="24"/>
  <c r="G95" i="24"/>
  <c r="H95" i="24" s="1"/>
  <c r="J95" i="24" s="1"/>
  <c r="D96" i="24" s="1"/>
  <c r="A245" i="29" l="1"/>
  <c r="C244" i="29"/>
  <c r="E244" i="29"/>
  <c r="I94" i="29"/>
  <c r="K94" i="29" s="1"/>
  <c r="F94" i="29"/>
  <c r="J95" i="27"/>
  <c r="D96" i="27" s="1"/>
  <c r="G95" i="27"/>
  <c r="H95" i="27" s="1"/>
  <c r="C182" i="27"/>
  <c r="E182" i="27"/>
  <c r="A183" i="27"/>
  <c r="A177" i="24"/>
  <c r="C176" i="24"/>
  <c r="E176" i="24"/>
  <c r="I96" i="24"/>
  <c r="K96" i="24" s="1"/>
  <c r="F96" i="24"/>
  <c r="A246" i="29" l="1"/>
  <c r="C245" i="29"/>
  <c r="E245" i="29"/>
  <c r="J94" i="29"/>
  <c r="D95" i="29" s="1"/>
  <c r="G94" i="29"/>
  <c r="H94" i="29" s="1"/>
  <c r="I96" i="27"/>
  <c r="K96" i="27" s="1"/>
  <c r="F96" i="27"/>
  <c r="E183" i="27"/>
  <c r="A184" i="27"/>
  <c r="C183" i="27"/>
  <c r="E177" i="24"/>
  <c r="C177" i="24"/>
  <c r="A178" i="24"/>
  <c r="G96" i="24"/>
  <c r="H96" i="24" s="1"/>
  <c r="J96" i="24" s="1"/>
  <c r="D97" i="24" s="1"/>
  <c r="A247" i="29" l="1"/>
  <c r="E246" i="29"/>
  <c r="C246" i="29"/>
  <c r="I95" i="29"/>
  <c r="K95" i="29" s="1"/>
  <c r="F95" i="29"/>
  <c r="A185" i="27"/>
  <c r="E184" i="27"/>
  <c r="C184" i="27"/>
  <c r="G96" i="27"/>
  <c r="H96" i="27" s="1"/>
  <c r="J96" i="27"/>
  <c r="D97" i="27" s="1"/>
  <c r="C178" i="24"/>
  <c r="A179" i="24"/>
  <c r="E178" i="24"/>
  <c r="I97" i="24"/>
  <c r="K97" i="24" s="1"/>
  <c r="F97" i="24"/>
  <c r="A248" i="29" l="1"/>
  <c r="C247" i="29"/>
  <c r="E247" i="29"/>
  <c r="G95" i="29"/>
  <c r="H95" i="29" s="1"/>
  <c r="J95" i="29"/>
  <c r="D96" i="29" s="1"/>
  <c r="I97" i="27"/>
  <c r="K97" i="27" s="1"/>
  <c r="F97" i="27"/>
  <c r="E185" i="27"/>
  <c r="C185" i="27"/>
  <c r="A186" i="27"/>
  <c r="E179" i="24"/>
  <c r="C179" i="24"/>
  <c r="A180" i="24"/>
  <c r="G97" i="24"/>
  <c r="H97" i="24" s="1"/>
  <c r="J97" i="24" s="1"/>
  <c r="D98" i="24" s="1"/>
  <c r="A249" i="29" l="1"/>
  <c r="C248" i="29"/>
  <c r="E248" i="29"/>
  <c r="I96" i="29"/>
  <c r="K96" i="29" s="1"/>
  <c r="F96" i="29"/>
  <c r="A187" i="27"/>
  <c r="C186" i="27"/>
  <c r="E186" i="27"/>
  <c r="G97" i="27"/>
  <c r="H97" i="27" s="1"/>
  <c r="J97" i="27"/>
  <c r="D98" i="27" s="1"/>
  <c r="C180" i="24"/>
  <c r="E180" i="24"/>
  <c r="A181" i="24"/>
  <c r="I98" i="24"/>
  <c r="K98" i="24" s="1"/>
  <c r="F98" i="24"/>
  <c r="A250" i="29" l="1"/>
  <c r="E249" i="29"/>
  <c r="C249" i="29"/>
  <c r="J96" i="29"/>
  <c r="D97" i="29" s="1"/>
  <c r="G96" i="29"/>
  <c r="H96" i="29" s="1"/>
  <c r="I98" i="27"/>
  <c r="K98" i="27" s="1"/>
  <c r="F98" i="27"/>
  <c r="A188" i="27"/>
  <c r="E187" i="27"/>
  <c r="C187" i="27"/>
  <c r="E181" i="24"/>
  <c r="A182" i="24"/>
  <c r="C181" i="24"/>
  <c r="G98" i="24"/>
  <c r="H98" i="24" s="1"/>
  <c r="J98" i="24" s="1"/>
  <c r="D99" i="24" s="1"/>
  <c r="A251" i="29" l="1"/>
  <c r="C250" i="29"/>
  <c r="E250" i="29"/>
  <c r="I97" i="29"/>
  <c r="K97" i="29" s="1"/>
  <c r="F97" i="29"/>
  <c r="E188" i="27"/>
  <c r="A189" i="27"/>
  <c r="C188" i="27"/>
  <c r="G98" i="27"/>
  <c r="H98" i="27" s="1"/>
  <c r="J98" i="27"/>
  <c r="D99" i="27" s="1"/>
  <c r="A183" i="24"/>
  <c r="E182" i="24"/>
  <c r="C182" i="24"/>
  <c r="I99" i="24"/>
  <c r="K99" i="24" s="1"/>
  <c r="F99" i="24"/>
  <c r="A252" i="29" l="1"/>
  <c r="E251" i="29"/>
  <c r="C251" i="29"/>
  <c r="J97" i="29"/>
  <c r="D98" i="29" s="1"/>
  <c r="G97" i="29"/>
  <c r="H97" i="29" s="1"/>
  <c r="E189" i="27"/>
  <c r="C189" i="27"/>
  <c r="A190" i="27"/>
  <c r="I99" i="27"/>
  <c r="K99" i="27" s="1"/>
  <c r="F99" i="27"/>
  <c r="C183" i="24"/>
  <c r="E183" i="24"/>
  <c r="A184" i="24"/>
  <c r="G99" i="24"/>
  <c r="H99" i="24" s="1"/>
  <c r="J99" i="24" s="1"/>
  <c r="D100" i="24" s="1"/>
  <c r="A253" i="29" l="1"/>
  <c r="C252" i="29"/>
  <c r="E252" i="29"/>
  <c r="I98" i="29"/>
  <c r="K98" i="29" s="1"/>
  <c r="F98" i="29"/>
  <c r="C190" i="27"/>
  <c r="A191" i="27"/>
  <c r="E190" i="27"/>
  <c r="J99" i="27"/>
  <c r="D100" i="27" s="1"/>
  <c r="G99" i="27"/>
  <c r="H99" i="27" s="1"/>
  <c r="E184" i="24"/>
  <c r="C184" i="24"/>
  <c r="A185" i="24"/>
  <c r="F100" i="24"/>
  <c r="I100" i="24"/>
  <c r="K100" i="24" s="1"/>
  <c r="A254" i="29" l="1"/>
  <c r="C253" i="29"/>
  <c r="E253" i="29"/>
  <c r="J98" i="29"/>
  <c r="D99" i="29" s="1"/>
  <c r="G98" i="29"/>
  <c r="H98" i="29" s="1"/>
  <c r="E191" i="27"/>
  <c r="C191" i="27"/>
  <c r="A192" i="27"/>
  <c r="I100" i="27"/>
  <c r="K100" i="27" s="1"/>
  <c r="F100" i="27"/>
  <c r="A186" i="24"/>
  <c r="C185" i="24"/>
  <c r="E185" i="24"/>
  <c r="G100" i="24"/>
  <c r="H100" i="24" s="1"/>
  <c r="J100" i="24" s="1"/>
  <c r="D101" i="24" s="1"/>
  <c r="A255" i="29" l="1"/>
  <c r="E254" i="29"/>
  <c r="C254" i="29"/>
  <c r="I99" i="29"/>
  <c r="K99" i="29" s="1"/>
  <c r="F99" i="29"/>
  <c r="G100" i="27"/>
  <c r="H100" i="27" s="1"/>
  <c r="J100" i="27"/>
  <c r="D101" i="27" s="1"/>
  <c r="A193" i="27"/>
  <c r="E192" i="27"/>
  <c r="C192" i="27"/>
  <c r="C186" i="24"/>
  <c r="E186" i="24"/>
  <c r="A187" i="24"/>
  <c r="I101" i="24"/>
  <c r="K101" i="24" s="1"/>
  <c r="F101" i="24"/>
  <c r="A256" i="29" l="1"/>
  <c r="E255" i="29"/>
  <c r="C255" i="29"/>
  <c r="G99" i="29"/>
  <c r="H99" i="29" s="1"/>
  <c r="J99" i="29"/>
  <c r="D100" i="29" s="1"/>
  <c r="E193" i="27"/>
  <c r="A194" i="27"/>
  <c r="C193" i="27"/>
  <c r="I101" i="27"/>
  <c r="K101" i="27" s="1"/>
  <c r="F101" i="27"/>
  <c r="A188" i="24"/>
  <c r="C187" i="24"/>
  <c r="E187" i="24"/>
  <c r="G101" i="24"/>
  <c r="H101" i="24" s="1"/>
  <c r="J101" i="24" s="1"/>
  <c r="D102" i="24" s="1"/>
  <c r="A257" i="29" l="1"/>
  <c r="C256" i="29"/>
  <c r="E256" i="29"/>
  <c r="I100" i="29"/>
  <c r="K100" i="29" s="1"/>
  <c r="I207" i="13" s="1"/>
  <c r="F100" i="29"/>
  <c r="G101" i="27"/>
  <c r="H101" i="27" s="1"/>
  <c r="J101" i="27"/>
  <c r="D102" i="27" s="1"/>
  <c r="C194" i="27"/>
  <c r="A195" i="27"/>
  <c r="E194" i="27"/>
  <c r="C188" i="24"/>
  <c r="E188" i="24"/>
  <c r="A189" i="24"/>
  <c r="I102" i="24"/>
  <c r="K102" i="24" s="1"/>
  <c r="F102" i="24"/>
  <c r="A258" i="29" l="1"/>
  <c r="C257" i="29"/>
  <c r="E257" i="29"/>
  <c r="J100" i="29"/>
  <c r="D101" i="29" s="1"/>
  <c r="G100" i="29"/>
  <c r="H100" i="29" s="1"/>
  <c r="I199" i="9"/>
  <c r="A196" i="27"/>
  <c r="C195" i="27"/>
  <c r="E195" i="27"/>
  <c r="I102" i="27"/>
  <c r="K102" i="27" s="1"/>
  <c r="F102" i="27"/>
  <c r="E189" i="24"/>
  <c r="A190" i="24"/>
  <c r="C189" i="24"/>
  <c r="G102" i="24"/>
  <c r="H102" i="24" s="1"/>
  <c r="J102" i="24" s="1"/>
  <c r="D103" i="24" s="1"/>
  <c r="A259" i="29" l="1"/>
  <c r="E258" i="29"/>
  <c r="C258" i="29"/>
  <c r="I101" i="29"/>
  <c r="K101" i="29" s="1"/>
  <c r="F101" i="29"/>
  <c r="G102" i="27"/>
  <c r="H102" i="27" s="1"/>
  <c r="J102" i="27"/>
  <c r="D103" i="27" s="1"/>
  <c r="C196" i="27"/>
  <c r="E196" i="27"/>
  <c r="A197" i="27"/>
  <c r="E190" i="24"/>
  <c r="C190" i="24"/>
  <c r="A191" i="24"/>
  <c r="F103" i="24"/>
  <c r="I103" i="24"/>
  <c r="K103" i="24" s="1"/>
  <c r="A260" i="29" l="1"/>
  <c r="C259" i="29"/>
  <c r="E259" i="29"/>
  <c r="J101" i="29"/>
  <c r="D102" i="29" s="1"/>
  <c r="G101" i="29"/>
  <c r="H101" i="29" s="1"/>
  <c r="C197" i="27"/>
  <c r="A198" i="27"/>
  <c r="E197" i="27"/>
  <c r="I103" i="27"/>
  <c r="K103" i="27" s="1"/>
  <c r="F103" i="27"/>
  <c r="E191" i="24"/>
  <c r="C191" i="24"/>
  <c r="A192" i="24"/>
  <c r="G103" i="24"/>
  <c r="H103" i="24" s="1"/>
  <c r="J103" i="24" s="1"/>
  <c r="D104" i="24" s="1"/>
  <c r="A261" i="29" l="1"/>
  <c r="C260" i="29"/>
  <c r="E260" i="29"/>
  <c r="I102" i="29"/>
  <c r="K102" i="29" s="1"/>
  <c r="F102" i="29"/>
  <c r="A199" i="27"/>
  <c r="C198" i="27"/>
  <c r="E198" i="27"/>
  <c r="J103" i="27"/>
  <c r="D104" i="27" s="1"/>
  <c r="G103" i="27"/>
  <c r="H103" i="27" s="1"/>
  <c r="E192" i="24"/>
  <c r="C192" i="24"/>
  <c r="A193" i="24"/>
  <c r="I104" i="24"/>
  <c r="K104" i="24" s="1"/>
  <c r="F104" i="24"/>
  <c r="A262" i="29" l="1"/>
  <c r="C261" i="29"/>
  <c r="E261" i="29"/>
  <c r="G102" i="29"/>
  <c r="H102" i="29" s="1"/>
  <c r="J102" i="29"/>
  <c r="D103" i="29" s="1"/>
  <c r="C199" i="27"/>
  <c r="E199" i="27"/>
  <c r="A200" i="27"/>
  <c r="I104" i="27"/>
  <c r="K104" i="27" s="1"/>
  <c r="F104" i="27"/>
  <c r="C193" i="24"/>
  <c r="E193" i="24"/>
  <c r="A194" i="24"/>
  <c r="G104" i="24"/>
  <c r="H104" i="24" s="1"/>
  <c r="J104" i="24" s="1"/>
  <c r="D105" i="24" s="1"/>
  <c r="A263" i="29" l="1"/>
  <c r="C262" i="29"/>
  <c r="E262" i="29"/>
  <c r="I103" i="29"/>
  <c r="K103" i="29" s="1"/>
  <c r="F103" i="29"/>
  <c r="A201" i="27"/>
  <c r="C200" i="27"/>
  <c r="E200" i="27"/>
  <c r="G104" i="27"/>
  <c r="H104" i="27" s="1"/>
  <c r="J104" i="27"/>
  <c r="D105" i="27" s="1"/>
  <c r="E194" i="24"/>
  <c r="C194" i="24"/>
  <c r="A195" i="24"/>
  <c r="F105" i="24"/>
  <c r="I105" i="24"/>
  <c r="K105" i="24" s="1"/>
  <c r="A264" i="29" l="1"/>
  <c r="C263" i="29"/>
  <c r="E263" i="29"/>
  <c r="G103" i="29"/>
  <c r="H103" i="29" s="1"/>
  <c r="J103" i="29"/>
  <c r="D104" i="29" s="1"/>
  <c r="I105" i="27"/>
  <c r="K105" i="27" s="1"/>
  <c r="F105" i="27"/>
  <c r="A202" i="27"/>
  <c r="C201" i="27"/>
  <c r="E201" i="27"/>
  <c r="A196" i="24"/>
  <c r="C195" i="24"/>
  <c r="E195" i="24"/>
  <c r="G105" i="24"/>
  <c r="H105" i="24" s="1"/>
  <c r="J105" i="24" s="1"/>
  <c r="D106" i="24" s="1"/>
  <c r="A265" i="29" l="1"/>
  <c r="C264" i="29"/>
  <c r="E264" i="29"/>
  <c r="I104" i="29"/>
  <c r="K104" i="29" s="1"/>
  <c r="F104" i="29"/>
  <c r="E202" i="27"/>
  <c r="A203" i="27"/>
  <c r="C202" i="27"/>
  <c r="G105" i="27"/>
  <c r="H105" i="27" s="1"/>
  <c r="J105" i="27"/>
  <c r="D106" i="27" s="1"/>
  <c r="A197" i="24"/>
  <c r="E196" i="24"/>
  <c r="C196" i="24"/>
  <c r="F106" i="24"/>
  <c r="I106" i="24"/>
  <c r="K106" i="24" s="1"/>
  <c r="A266" i="29" l="1"/>
  <c r="C265" i="29"/>
  <c r="E265" i="29"/>
  <c r="G104" i="29"/>
  <c r="H104" i="29" s="1"/>
  <c r="J104" i="29"/>
  <c r="D105" i="29" s="1"/>
  <c r="A204" i="27"/>
  <c r="E203" i="27"/>
  <c r="C203" i="27"/>
  <c r="F106" i="27"/>
  <c r="I106" i="27"/>
  <c r="K106" i="27" s="1"/>
  <c r="C197" i="24"/>
  <c r="A198" i="24"/>
  <c r="E197" i="24"/>
  <c r="G106" i="24"/>
  <c r="H106" i="24" s="1"/>
  <c r="J106" i="24" s="1"/>
  <c r="D107" i="24" s="1"/>
  <c r="A267" i="29" l="1"/>
  <c r="E266" i="29"/>
  <c r="C266" i="29"/>
  <c r="I105" i="29"/>
  <c r="K105" i="29" s="1"/>
  <c r="F105" i="29"/>
  <c r="E204" i="27"/>
  <c r="C204" i="27"/>
  <c r="A205" i="27"/>
  <c r="J106" i="27"/>
  <c r="D107" i="27" s="1"/>
  <c r="G106" i="27"/>
  <c r="H106" i="27" s="1"/>
  <c r="C198" i="24"/>
  <c r="E198" i="24"/>
  <c r="A199" i="24"/>
  <c r="I107" i="24"/>
  <c r="K107" i="24" s="1"/>
  <c r="F107" i="24"/>
  <c r="A268" i="29" l="1"/>
  <c r="E267" i="29"/>
  <c r="C267" i="29"/>
  <c r="G105" i="29"/>
  <c r="H105" i="29" s="1"/>
  <c r="J105" i="29"/>
  <c r="D106" i="29" s="1"/>
  <c r="E205" i="27"/>
  <c r="A206" i="27"/>
  <c r="C205" i="27"/>
  <c r="F107" i="27"/>
  <c r="I107" i="27"/>
  <c r="K107" i="27" s="1"/>
  <c r="A200" i="24"/>
  <c r="C199" i="24"/>
  <c r="E199" i="24"/>
  <c r="G107" i="24"/>
  <c r="H107" i="24" s="1"/>
  <c r="J107" i="24" s="1"/>
  <c r="D108" i="24" s="1"/>
  <c r="A269" i="29" l="1"/>
  <c r="E268" i="29"/>
  <c r="C268" i="29"/>
  <c r="I106" i="29"/>
  <c r="K106" i="29" s="1"/>
  <c r="F106" i="29"/>
  <c r="A207" i="27"/>
  <c r="C206" i="27"/>
  <c r="E206" i="27"/>
  <c r="G107" i="27"/>
  <c r="H107" i="27" s="1"/>
  <c r="J107" i="27"/>
  <c r="D108" i="27" s="1"/>
  <c r="E200" i="24"/>
  <c r="C200" i="24"/>
  <c r="A201" i="24"/>
  <c r="F108" i="24"/>
  <c r="I108" i="24"/>
  <c r="K108" i="24" s="1"/>
  <c r="A270" i="29" l="1"/>
  <c r="C269" i="29"/>
  <c r="E269" i="29"/>
  <c r="J106" i="29"/>
  <c r="D107" i="29" s="1"/>
  <c r="G106" i="29"/>
  <c r="H106" i="29" s="1"/>
  <c r="F108" i="27"/>
  <c r="I108" i="27"/>
  <c r="K108" i="27" s="1"/>
  <c r="E207" i="27"/>
  <c r="C207" i="27"/>
  <c r="A208" i="27"/>
  <c r="A202" i="24"/>
  <c r="E201" i="24"/>
  <c r="C201" i="24"/>
  <c r="G108" i="24"/>
  <c r="H108" i="24" s="1"/>
  <c r="J108" i="24" s="1"/>
  <c r="D109" i="24" s="1"/>
  <c r="A271" i="29" l="1"/>
  <c r="C270" i="29"/>
  <c r="E270" i="29"/>
  <c r="I107" i="29"/>
  <c r="K107" i="29" s="1"/>
  <c r="F107" i="29"/>
  <c r="G108" i="27"/>
  <c r="H108" i="27" s="1"/>
  <c r="J108" i="27"/>
  <c r="D109" i="27" s="1"/>
  <c r="A209" i="27"/>
  <c r="E208" i="27"/>
  <c r="C208" i="27"/>
  <c r="C202" i="24"/>
  <c r="E202" i="24"/>
  <c r="A203" i="24"/>
  <c r="F109" i="24"/>
  <c r="I109" i="24"/>
  <c r="K109" i="24" s="1"/>
  <c r="A272" i="29" l="1"/>
  <c r="E271" i="29"/>
  <c r="C271" i="29"/>
  <c r="G107" i="29"/>
  <c r="H107" i="29" s="1"/>
  <c r="J107" i="29"/>
  <c r="D108" i="29" s="1"/>
  <c r="A210" i="27"/>
  <c r="E209" i="27"/>
  <c r="C209" i="27"/>
  <c r="I109" i="27"/>
  <c r="K109" i="27" s="1"/>
  <c r="F109" i="27"/>
  <c r="C203" i="24"/>
  <c r="E203" i="24"/>
  <c r="A204" i="24"/>
  <c r="G109" i="24"/>
  <c r="H109" i="24" s="1"/>
  <c r="J109" i="24" s="1"/>
  <c r="D110" i="24" s="1"/>
  <c r="A273" i="29" l="1"/>
  <c r="E272" i="29"/>
  <c r="C272" i="29"/>
  <c r="I108" i="29"/>
  <c r="K108" i="29" s="1"/>
  <c r="F108" i="29"/>
  <c r="G109" i="27"/>
  <c r="H109" i="27" s="1"/>
  <c r="J109" i="27"/>
  <c r="D110" i="27" s="1"/>
  <c r="E210" i="27"/>
  <c r="A211" i="27"/>
  <c r="C210" i="27"/>
  <c r="E204" i="24"/>
  <c r="C204" i="24"/>
  <c r="A205" i="24"/>
  <c r="I110" i="24"/>
  <c r="K110" i="24" s="1"/>
  <c r="F110" i="24"/>
  <c r="A274" i="29" l="1"/>
  <c r="C273" i="29"/>
  <c r="E273" i="29"/>
  <c r="G108" i="29"/>
  <c r="H108" i="29" s="1"/>
  <c r="J108" i="29"/>
  <c r="D109" i="29" s="1"/>
  <c r="A212" i="27"/>
  <c r="E211" i="27"/>
  <c r="C211" i="27"/>
  <c r="F110" i="27"/>
  <c r="I110" i="27"/>
  <c r="K110" i="27" s="1"/>
  <c r="E205" i="24"/>
  <c r="C205" i="24"/>
  <c r="A206" i="24"/>
  <c r="G110" i="24"/>
  <c r="H110" i="24" s="1"/>
  <c r="J110" i="24" s="1"/>
  <c r="D111" i="24" s="1"/>
  <c r="A275" i="29" l="1"/>
  <c r="E274" i="29"/>
  <c r="C274" i="29"/>
  <c r="I109" i="29"/>
  <c r="K109" i="29" s="1"/>
  <c r="F109" i="29"/>
  <c r="J110" i="27"/>
  <c r="D111" i="27" s="1"/>
  <c r="G110" i="27"/>
  <c r="H110" i="27" s="1"/>
  <c r="E212" i="27"/>
  <c r="C212" i="27"/>
  <c r="A213" i="27"/>
  <c r="E206" i="24"/>
  <c r="A207" i="24"/>
  <c r="C206" i="24"/>
  <c r="I111" i="24"/>
  <c r="K111" i="24" s="1"/>
  <c r="F111" i="24"/>
  <c r="A276" i="29" l="1"/>
  <c r="E275" i="29"/>
  <c r="C275" i="29"/>
  <c r="J109" i="29"/>
  <c r="D110" i="29" s="1"/>
  <c r="G109" i="29"/>
  <c r="H109" i="29" s="1"/>
  <c r="E213" i="27"/>
  <c r="A214" i="27"/>
  <c r="C213" i="27"/>
  <c r="I111" i="27"/>
  <c r="K111" i="27" s="1"/>
  <c r="F111" i="27"/>
  <c r="E207" i="24"/>
  <c r="C207" i="24"/>
  <c r="A208" i="24"/>
  <c r="G111" i="24"/>
  <c r="H111" i="24" s="1"/>
  <c r="J111" i="24" s="1"/>
  <c r="D112" i="24" s="1"/>
  <c r="A277" i="29" l="1"/>
  <c r="C276" i="29"/>
  <c r="E276" i="29"/>
  <c r="I110" i="29"/>
  <c r="K110" i="29" s="1"/>
  <c r="F110" i="29"/>
  <c r="A215" i="27"/>
  <c r="E214" i="27"/>
  <c r="C214" i="27"/>
  <c r="J111" i="27"/>
  <c r="D112" i="27" s="1"/>
  <c r="G111" i="27"/>
  <c r="H111" i="27" s="1"/>
  <c r="E208" i="24"/>
  <c r="A209" i="24"/>
  <c r="C208" i="24"/>
  <c r="I112" i="24"/>
  <c r="K112" i="24" s="1"/>
  <c r="F112" i="24"/>
  <c r="A278" i="29" l="1"/>
  <c r="E277" i="29"/>
  <c r="C277" i="29"/>
  <c r="G110" i="29"/>
  <c r="H110" i="29" s="1"/>
  <c r="J110" i="29"/>
  <c r="D111" i="29" s="1"/>
  <c r="C215" i="27"/>
  <c r="E215" i="27"/>
  <c r="A216" i="27"/>
  <c r="I112" i="27"/>
  <c r="K112" i="27" s="1"/>
  <c r="F112" i="27"/>
  <c r="A210" i="24"/>
  <c r="C209" i="24"/>
  <c r="E209" i="24"/>
  <c r="G112" i="24"/>
  <c r="H112" i="24" s="1"/>
  <c r="J112" i="24" s="1"/>
  <c r="D113" i="24" s="1"/>
  <c r="A279" i="29" l="1"/>
  <c r="C278" i="29"/>
  <c r="E278" i="29"/>
  <c r="I111" i="29"/>
  <c r="K111" i="29" s="1"/>
  <c r="F111" i="29"/>
  <c r="A217" i="27"/>
  <c r="C216" i="27"/>
  <c r="E216" i="27"/>
  <c r="G112" i="27"/>
  <c r="H112" i="27" s="1"/>
  <c r="J112" i="27"/>
  <c r="D113" i="27" s="1"/>
  <c r="C210" i="24"/>
  <c r="A211" i="24"/>
  <c r="E210" i="24"/>
  <c r="I113" i="24"/>
  <c r="K113" i="24" s="1"/>
  <c r="F113" i="24"/>
  <c r="A280" i="29" l="1"/>
  <c r="C279" i="29"/>
  <c r="E279" i="29"/>
  <c r="G111" i="29"/>
  <c r="H111" i="29" s="1"/>
  <c r="J111" i="29"/>
  <c r="D112" i="29" s="1"/>
  <c r="F113" i="27"/>
  <c r="I113" i="27"/>
  <c r="K113" i="27" s="1"/>
  <c r="A218" i="27"/>
  <c r="C217" i="27"/>
  <c r="E217" i="27"/>
  <c r="C211" i="24"/>
  <c r="A212" i="24"/>
  <c r="E211" i="24"/>
  <c r="G113" i="24"/>
  <c r="H113" i="24" s="1"/>
  <c r="J113" i="24" s="1"/>
  <c r="D114" i="24" s="1"/>
  <c r="A281" i="29" l="1"/>
  <c r="C280" i="29"/>
  <c r="E280" i="29"/>
  <c r="I112" i="29"/>
  <c r="K112" i="29" s="1"/>
  <c r="F112" i="29"/>
  <c r="G113" i="27"/>
  <c r="H113" i="27" s="1"/>
  <c r="J113" i="27"/>
  <c r="D114" i="27" s="1"/>
  <c r="C218" i="27"/>
  <c r="A219" i="27"/>
  <c r="E218" i="27"/>
  <c r="E212" i="24"/>
  <c r="C212" i="24"/>
  <c r="A213" i="24"/>
  <c r="I114" i="24"/>
  <c r="K114" i="24" s="1"/>
  <c r="F114" i="24"/>
  <c r="A282" i="29" l="1"/>
  <c r="E281" i="29"/>
  <c r="C281" i="29"/>
  <c r="G112" i="29"/>
  <c r="H112" i="29" s="1"/>
  <c r="J112" i="29"/>
  <c r="D113" i="29" s="1"/>
  <c r="A220" i="27"/>
  <c r="E219" i="27"/>
  <c r="C219" i="27"/>
  <c r="I114" i="27"/>
  <c r="K114" i="27" s="1"/>
  <c r="F114" i="27"/>
  <c r="C213" i="24"/>
  <c r="A214" i="24"/>
  <c r="E213" i="24"/>
  <c r="G114" i="24"/>
  <c r="H114" i="24" s="1"/>
  <c r="J114" i="24" s="1"/>
  <c r="D115" i="24" s="1"/>
  <c r="A283" i="29" l="1"/>
  <c r="C282" i="29"/>
  <c r="E282" i="29"/>
  <c r="I113" i="29"/>
  <c r="K113" i="29" s="1"/>
  <c r="F113" i="29"/>
  <c r="C220" i="27"/>
  <c r="E220" i="27"/>
  <c r="A221" i="27"/>
  <c r="G114" i="27"/>
  <c r="H114" i="27" s="1"/>
  <c r="J114" i="27"/>
  <c r="D115" i="27" s="1"/>
  <c r="E214" i="24"/>
  <c r="C214" i="24"/>
  <c r="A215" i="24"/>
  <c r="I115" i="24"/>
  <c r="K115" i="24" s="1"/>
  <c r="F115" i="24"/>
  <c r="A284" i="29" l="1"/>
  <c r="E283" i="29"/>
  <c r="C283" i="29"/>
  <c r="J113" i="29"/>
  <c r="D114" i="29" s="1"/>
  <c r="G113" i="29"/>
  <c r="H113" i="29" s="1"/>
  <c r="E221" i="27"/>
  <c r="A222" i="27"/>
  <c r="C221" i="27"/>
  <c r="F115" i="27"/>
  <c r="I115" i="27"/>
  <c r="K115" i="27" s="1"/>
  <c r="C215" i="24"/>
  <c r="E215" i="24"/>
  <c r="A216" i="24"/>
  <c r="G115" i="24"/>
  <c r="H115" i="24" s="1"/>
  <c r="J115" i="24" s="1"/>
  <c r="D116" i="24" s="1"/>
  <c r="A285" i="29" l="1"/>
  <c r="E284" i="29"/>
  <c r="C284" i="29"/>
  <c r="I114" i="29"/>
  <c r="K114" i="29" s="1"/>
  <c r="F114" i="29"/>
  <c r="A223" i="27"/>
  <c r="E222" i="27"/>
  <c r="C222" i="27"/>
  <c r="J115" i="27"/>
  <c r="D116" i="27" s="1"/>
  <c r="G115" i="27"/>
  <c r="H115" i="27" s="1"/>
  <c r="E216" i="24"/>
  <c r="C216" i="24"/>
  <c r="A217" i="24"/>
  <c r="I116" i="24"/>
  <c r="K116" i="24" s="1"/>
  <c r="F116" i="24"/>
  <c r="A286" i="29" l="1"/>
  <c r="C285" i="29"/>
  <c r="E285" i="29"/>
  <c r="G114" i="29"/>
  <c r="H114" i="29" s="1"/>
  <c r="J114" i="29"/>
  <c r="D115" i="29" s="1"/>
  <c r="E223" i="27"/>
  <c r="C223" i="27"/>
  <c r="A224" i="27"/>
  <c r="I116" i="27"/>
  <c r="K116" i="27" s="1"/>
  <c r="F116" i="27"/>
  <c r="C217" i="24"/>
  <c r="E217" i="24"/>
  <c r="A218" i="24"/>
  <c r="G116" i="24"/>
  <c r="H116" i="24" s="1"/>
  <c r="J116" i="24" s="1"/>
  <c r="D117" i="24" s="1"/>
  <c r="A287" i="29" l="1"/>
  <c r="E286" i="29"/>
  <c r="C286" i="29"/>
  <c r="I115" i="29"/>
  <c r="K115" i="29" s="1"/>
  <c r="F115" i="29"/>
  <c r="A225" i="27"/>
  <c r="C224" i="27"/>
  <c r="E224" i="27"/>
  <c r="G116" i="27"/>
  <c r="H116" i="27" s="1"/>
  <c r="J116" i="27"/>
  <c r="D117" i="27" s="1"/>
  <c r="A219" i="24"/>
  <c r="C218" i="24"/>
  <c r="E218" i="24"/>
  <c r="I117" i="24"/>
  <c r="K117" i="24" s="1"/>
  <c r="F117" i="24"/>
  <c r="A288" i="29" l="1"/>
  <c r="E287" i="29"/>
  <c r="C287" i="29"/>
  <c r="G115" i="29"/>
  <c r="H115" i="29" s="1"/>
  <c r="J115" i="29"/>
  <c r="D116" i="29" s="1"/>
  <c r="I117" i="27"/>
  <c r="K117" i="27" s="1"/>
  <c r="F117" i="27"/>
  <c r="A226" i="27"/>
  <c r="E225" i="27"/>
  <c r="C225" i="27"/>
  <c r="E219" i="24"/>
  <c r="C219" i="24"/>
  <c r="A220" i="24"/>
  <c r="G117" i="24"/>
  <c r="H117" i="24" s="1"/>
  <c r="J117" i="24" s="1"/>
  <c r="D118" i="24" s="1"/>
  <c r="A289" i="29" l="1"/>
  <c r="E288" i="29"/>
  <c r="C288" i="29"/>
  <c r="I116" i="29"/>
  <c r="K116" i="29" s="1"/>
  <c r="F116" i="29"/>
  <c r="E226" i="27"/>
  <c r="A227" i="27"/>
  <c r="C226" i="27"/>
  <c r="G117" i="27"/>
  <c r="H117" i="27" s="1"/>
  <c r="J117" i="27"/>
  <c r="D118" i="27" s="1"/>
  <c r="E220" i="24"/>
  <c r="C220" i="24"/>
  <c r="A221" i="24"/>
  <c r="I118" i="24"/>
  <c r="K118" i="24" s="1"/>
  <c r="F118" i="24"/>
  <c r="A290" i="29" l="1"/>
  <c r="E289" i="29"/>
  <c r="C289" i="29"/>
  <c r="J116" i="29"/>
  <c r="D117" i="29" s="1"/>
  <c r="G116" i="29"/>
  <c r="H116" i="29" s="1"/>
  <c r="I118" i="27"/>
  <c r="K118" i="27" s="1"/>
  <c r="F118" i="27"/>
  <c r="A228" i="27"/>
  <c r="C227" i="27"/>
  <c r="E227" i="27"/>
  <c r="C221" i="24"/>
  <c r="E221" i="24"/>
  <c r="A222" i="24"/>
  <c r="G118" i="24"/>
  <c r="H118" i="24" s="1"/>
  <c r="J118" i="24" s="1"/>
  <c r="D119" i="24" s="1"/>
  <c r="A291" i="29" l="1"/>
  <c r="E290" i="29"/>
  <c r="C290" i="29"/>
  <c r="I117" i="29"/>
  <c r="K117" i="29" s="1"/>
  <c r="F117" i="29"/>
  <c r="C228" i="27"/>
  <c r="E228" i="27"/>
  <c r="A229" i="27"/>
  <c r="J118" i="27"/>
  <c r="D119" i="27" s="1"/>
  <c r="G118" i="27"/>
  <c r="H118" i="27" s="1"/>
  <c r="C222" i="24"/>
  <c r="E222" i="24"/>
  <c r="A223" i="24"/>
  <c r="I119" i="24"/>
  <c r="K119" i="24" s="1"/>
  <c r="F119" i="24"/>
  <c r="A292" i="29" l="1"/>
  <c r="C291" i="29"/>
  <c r="E291" i="29"/>
  <c r="G117" i="29"/>
  <c r="H117" i="29" s="1"/>
  <c r="J117" i="29"/>
  <c r="D118" i="29" s="1"/>
  <c r="I119" i="27"/>
  <c r="K119" i="27" s="1"/>
  <c r="F119" i="27"/>
  <c r="C229" i="27"/>
  <c r="A230" i="27"/>
  <c r="E229" i="27"/>
  <c r="C223" i="24"/>
  <c r="A224" i="24"/>
  <c r="E223" i="24"/>
  <c r="G119" i="24"/>
  <c r="H119" i="24" s="1"/>
  <c r="J119" i="24" s="1"/>
  <c r="D120" i="24" s="1"/>
  <c r="A293" i="29" l="1"/>
  <c r="E292" i="29"/>
  <c r="C292" i="29"/>
  <c r="I118" i="29"/>
  <c r="K118" i="29" s="1"/>
  <c r="F118" i="29"/>
  <c r="A231" i="27"/>
  <c r="C230" i="27"/>
  <c r="E230" i="27"/>
  <c r="G119" i="27"/>
  <c r="H119" i="27" s="1"/>
  <c r="J119" i="27"/>
  <c r="D120" i="27" s="1"/>
  <c r="A225" i="24"/>
  <c r="E224" i="24"/>
  <c r="C224" i="24"/>
  <c r="I120" i="24"/>
  <c r="K120" i="24" s="1"/>
  <c r="F120" i="24"/>
  <c r="A294" i="29" l="1"/>
  <c r="C293" i="29"/>
  <c r="E293" i="29"/>
  <c r="J118" i="29"/>
  <c r="D119" i="29" s="1"/>
  <c r="G118" i="29"/>
  <c r="H118" i="29" s="1"/>
  <c r="I120" i="27"/>
  <c r="K120" i="27" s="1"/>
  <c r="F120" i="27"/>
  <c r="E231" i="27"/>
  <c r="C231" i="27"/>
  <c r="A232" i="27"/>
  <c r="E225" i="24"/>
  <c r="A226" i="24"/>
  <c r="C225" i="24"/>
  <c r="G120" i="24"/>
  <c r="H120" i="24" s="1"/>
  <c r="J120" i="24" s="1"/>
  <c r="D121" i="24" s="1"/>
  <c r="A295" i="29" l="1"/>
  <c r="C294" i="29"/>
  <c r="E294" i="29"/>
  <c r="I119" i="29"/>
  <c r="K119" i="29" s="1"/>
  <c r="F119" i="29"/>
  <c r="G120" i="27"/>
  <c r="H120" i="27" s="1"/>
  <c r="J120" i="27"/>
  <c r="D121" i="27" s="1"/>
  <c r="A233" i="27"/>
  <c r="C232" i="27"/>
  <c r="E232" i="27"/>
  <c r="C226" i="24"/>
  <c r="E226" i="24"/>
  <c r="A227" i="24"/>
  <c r="I121" i="24"/>
  <c r="K121" i="24" s="1"/>
  <c r="F121" i="24"/>
  <c r="A296" i="29" l="1"/>
  <c r="C295" i="29"/>
  <c r="E295" i="29"/>
  <c r="G119" i="29"/>
  <c r="H119" i="29" s="1"/>
  <c r="J119" i="29"/>
  <c r="D120" i="29" s="1"/>
  <c r="A234" i="27"/>
  <c r="E233" i="27"/>
  <c r="C233" i="27"/>
  <c r="F121" i="27"/>
  <c r="I121" i="27"/>
  <c r="K121" i="27" s="1"/>
  <c r="E227" i="24"/>
  <c r="C227" i="24"/>
  <c r="A228" i="24"/>
  <c r="G121" i="24"/>
  <c r="H121" i="24" s="1"/>
  <c r="J121" i="24" s="1"/>
  <c r="D122" i="24" s="1"/>
  <c r="A297" i="29" l="1"/>
  <c r="C296" i="29"/>
  <c r="E296" i="29"/>
  <c r="I120" i="29"/>
  <c r="K120" i="29" s="1"/>
  <c r="F120" i="29"/>
  <c r="G121" i="27"/>
  <c r="H121" i="27" s="1"/>
  <c r="J121" i="27"/>
  <c r="D122" i="27" s="1"/>
  <c r="C234" i="27"/>
  <c r="A235" i="27"/>
  <c r="E234" i="27"/>
  <c r="A229" i="24"/>
  <c r="C228" i="24"/>
  <c r="E228" i="24"/>
  <c r="I122" i="24"/>
  <c r="K122" i="24" s="1"/>
  <c r="F122" i="24"/>
  <c r="A298" i="29" l="1"/>
  <c r="C297" i="29"/>
  <c r="E297" i="29"/>
  <c r="G120" i="29"/>
  <c r="H120" i="29" s="1"/>
  <c r="J120" i="29"/>
  <c r="D121" i="29" s="1"/>
  <c r="A236" i="27"/>
  <c r="C235" i="27"/>
  <c r="E235" i="27"/>
  <c r="I122" i="27"/>
  <c r="K122" i="27" s="1"/>
  <c r="F122" i="27"/>
  <c r="A230" i="24"/>
  <c r="C229" i="24"/>
  <c r="E229" i="24"/>
  <c r="G122" i="24"/>
  <c r="H122" i="24" s="1"/>
  <c r="J122" i="24" s="1"/>
  <c r="D123" i="24" s="1"/>
  <c r="A299" i="29" l="1"/>
  <c r="C298" i="29"/>
  <c r="E298" i="29"/>
  <c r="I121" i="29"/>
  <c r="K121" i="29" s="1"/>
  <c r="F121" i="29"/>
  <c r="G122" i="27"/>
  <c r="H122" i="27" s="1"/>
  <c r="J122" i="27"/>
  <c r="D123" i="27" s="1"/>
  <c r="E236" i="27"/>
  <c r="C236" i="27"/>
  <c r="A237" i="27"/>
  <c r="E230" i="24"/>
  <c r="C230" i="24"/>
  <c r="A231" i="24"/>
  <c r="I123" i="24"/>
  <c r="K123" i="24" s="1"/>
  <c r="F123" i="24"/>
  <c r="A300" i="29" l="1"/>
  <c r="C299" i="29"/>
  <c r="E299" i="29"/>
  <c r="J121" i="29"/>
  <c r="D122" i="29" s="1"/>
  <c r="G121" i="29"/>
  <c r="H121" i="29" s="1"/>
  <c r="I123" i="27"/>
  <c r="K123" i="27" s="1"/>
  <c r="F123" i="27"/>
  <c r="C237" i="27"/>
  <c r="A238" i="27"/>
  <c r="E237" i="27"/>
  <c r="A232" i="24"/>
  <c r="E231" i="24"/>
  <c r="C231" i="24"/>
  <c r="G123" i="24"/>
  <c r="H123" i="24" s="1"/>
  <c r="J123" i="24" s="1"/>
  <c r="D124" i="24" s="1"/>
  <c r="A301" i="29" l="1"/>
  <c r="C300" i="29"/>
  <c r="E300" i="29"/>
  <c r="I122" i="29"/>
  <c r="K122" i="29" s="1"/>
  <c r="F122" i="29"/>
  <c r="G123" i="27"/>
  <c r="H123" i="27" s="1"/>
  <c r="J123" i="27"/>
  <c r="D124" i="27" s="1"/>
  <c r="A239" i="27"/>
  <c r="C238" i="27"/>
  <c r="E238" i="27"/>
  <c r="C232" i="24"/>
  <c r="A233" i="24"/>
  <c r="E232" i="24"/>
  <c r="I124" i="24"/>
  <c r="K124" i="24" s="1"/>
  <c r="F124" i="24"/>
  <c r="A302" i="29" l="1"/>
  <c r="C301" i="29"/>
  <c r="E301" i="29"/>
  <c r="J122" i="29"/>
  <c r="D123" i="29" s="1"/>
  <c r="G122" i="29"/>
  <c r="H122" i="29" s="1"/>
  <c r="I124" i="27"/>
  <c r="K124" i="27" s="1"/>
  <c r="F124" i="27"/>
  <c r="E239" i="27"/>
  <c r="C239" i="27"/>
  <c r="A240" i="27"/>
  <c r="A234" i="24"/>
  <c r="C233" i="24"/>
  <c r="E233" i="24"/>
  <c r="G124" i="24"/>
  <c r="H124" i="24" s="1"/>
  <c r="J124" i="24" s="1"/>
  <c r="D125" i="24" s="1"/>
  <c r="A303" i="29" l="1"/>
  <c r="E302" i="29"/>
  <c r="C302" i="29"/>
  <c r="I123" i="29"/>
  <c r="K123" i="29" s="1"/>
  <c r="F123" i="29"/>
  <c r="G124" i="27"/>
  <c r="H124" i="27" s="1"/>
  <c r="J124" i="27"/>
  <c r="D125" i="27" s="1"/>
  <c r="A241" i="27"/>
  <c r="E240" i="27"/>
  <c r="C240" i="27"/>
  <c r="C234" i="24"/>
  <c r="A235" i="24"/>
  <c r="E234" i="24"/>
  <c r="F125" i="24"/>
  <c r="I125" i="24"/>
  <c r="K125" i="24" s="1"/>
  <c r="A304" i="29" l="1"/>
  <c r="E303" i="29"/>
  <c r="C303" i="29"/>
  <c r="G123" i="29"/>
  <c r="H123" i="29" s="1"/>
  <c r="J123" i="29"/>
  <c r="D124" i="29" s="1"/>
  <c r="I125" i="27"/>
  <c r="K125" i="27" s="1"/>
  <c r="F125" i="27"/>
  <c r="A242" i="27"/>
  <c r="C241" i="27"/>
  <c r="E241" i="27"/>
  <c r="E235" i="24"/>
  <c r="A236" i="24"/>
  <c r="C235" i="24"/>
  <c r="G125" i="24"/>
  <c r="H125" i="24" s="1"/>
  <c r="J125" i="24" s="1"/>
  <c r="D126" i="24" s="1"/>
  <c r="A305" i="29" l="1"/>
  <c r="C304" i="29"/>
  <c r="E304" i="29"/>
  <c r="I124" i="29"/>
  <c r="K124" i="29" s="1"/>
  <c r="F124" i="29"/>
  <c r="J125" i="27"/>
  <c r="D126" i="27" s="1"/>
  <c r="G125" i="27"/>
  <c r="H125" i="27" s="1"/>
  <c r="E242" i="27"/>
  <c r="A243" i="27"/>
  <c r="C242" i="27"/>
  <c r="A237" i="24"/>
  <c r="C236" i="24"/>
  <c r="E236" i="24"/>
  <c r="I126" i="24"/>
  <c r="K126" i="24" s="1"/>
  <c r="F126" i="24"/>
  <c r="A306" i="29" l="1"/>
  <c r="C305" i="29"/>
  <c r="E305" i="29"/>
  <c r="G124" i="29"/>
  <c r="H124" i="29" s="1"/>
  <c r="J124" i="29"/>
  <c r="D125" i="29" s="1"/>
  <c r="F126" i="27"/>
  <c r="I126" i="27"/>
  <c r="K126" i="27" s="1"/>
  <c r="A244" i="27"/>
  <c r="E243" i="27"/>
  <c r="C243" i="27"/>
  <c r="C237" i="24"/>
  <c r="A238" i="24"/>
  <c r="E237" i="24"/>
  <c r="G126" i="24"/>
  <c r="H126" i="24" s="1"/>
  <c r="J126" i="24" s="1"/>
  <c r="D127" i="24" s="1"/>
  <c r="A307" i="29" l="1"/>
  <c r="E306" i="29"/>
  <c r="C306" i="29"/>
  <c r="I125" i="29"/>
  <c r="K125" i="29" s="1"/>
  <c r="F125" i="29"/>
  <c r="E244" i="27"/>
  <c r="C244" i="27"/>
  <c r="A245" i="27"/>
  <c r="G126" i="27"/>
  <c r="H126" i="27" s="1"/>
  <c r="J126" i="27"/>
  <c r="D127" i="27" s="1"/>
  <c r="E238" i="24"/>
  <c r="A239" i="24"/>
  <c r="C238" i="24"/>
  <c r="I127" i="24"/>
  <c r="K127" i="24" s="1"/>
  <c r="F127" i="24"/>
  <c r="A308" i="29" l="1"/>
  <c r="E307" i="29"/>
  <c r="C307" i="29"/>
  <c r="G125" i="29"/>
  <c r="H125" i="29" s="1"/>
  <c r="J125" i="29"/>
  <c r="D126" i="29" s="1"/>
  <c r="E245" i="27"/>
  <c r="A246" i="27"/>
  <c r="C245" i="27"/>
  <c r="F127" i="27"/>
  <c r="I127" i="27"/>
  <c r="K127" i="27" s="1"/>
  <c r="E239" i="24"/>
  <c r="A240" i="24"/>
  <c r="C239" i="24"/>
  <c r="G127" i="24"/>
  <c r="H127" i="24" s="1"/>
  <c r="J127" i="24" s="1"/>
  <c r="D128" i="24" s="1"/>
  <c r="A309" i="29" l="1"/>
  <c r="E308" i="29"/>
  <c r="C308" i="29"/>
  <c r="I126" i="29"/>
  <c r="K126" i="29" s="1"/>
  <c r="F126" i="29"/>
  <c r="A247" i="27"/>
  <c r="E246" i="27"/>
  <c r="C246" i="27"/>
  <c r="G127" i="27"/>
  <c r="H127" i="27" s="1"/>
  <c r="J127" i="27"/>
  <c r="D128" i="27" s="1"/>
  <c r="C240" i="24"/>
  <c r="A241" i="24"/>
  <c r="E240" i="24"/>
  <c r="I128" i="24"/>
  <c r="K128" i="24" s="1"/>
  <c r="F128" i="24"/>
  <c r="A310" i="29" l="1"/>
  <c r="C309" i="29"/>
  <c r="E309" i="29"/>
  <c r="J126" i="29"/>
  <c r="D127" i="29" s="1"/>
  <c r="G126" i="29"/>
  <c r="H126" i="29" s="1"/>
  <c r="E247" i="27"/>
  <c r="C247" i="27"/>
  <c r="A248" i="27"/>
  <c r="F128" i="27"/>
  <c r="I128" i="27"/>
  <c r="K128" i="27" s="1"/>
  <c r="A242" i="24"/>
  <c r="E241" i="24"/>
  <c r="C241" i="24"/>
  <c r="G128" i="24"/>
  <c r="H128" i="24" s="1"/>
  <c r="J128" i="24" s="1"/>
  <c r="D129" i="24" s="1"/>
  <c r="A311" i="29" l="1"/>
  <c r="E310" i="29"/>
  <c r="C310" i="29"/>
  <c r="I127" i="29"/>
  <c r="K127" i="29" s="1"/>
  <c r="F127" i="29"/>
  <c r="G128" i="27"/>
  <c r="H128" i="27" s="1"/>
  <c r="J128" i="27"/>
  <c r="D129" i="27" s="1"/>
  <c r="A249" i="27"/>
  <c r="E248" i="27"/>
  <c r="C248" i="27"/>
  <c r="A243" i="24"/>
  <c r="E242" i="24"/>
  <c r="C242" i="24"/>
  <c r="I129" i="24"/>
  <c r="K129" i="24" s="1"/>
  <c r="F129" i="24"/>
  <c r="A312" i="29" l="1"/>
  <c r="C311" i="29"/>
  <c r="E311" i="29"/>
  <c r="G127" i="29"/>
  <c r="H127" i="29" s="1"/>
  <c r="J127" i="29"/>
  <c r="D128" i="29" s="1"/>
  <c r="A250" i="27"/>
  <c r="C249" i="27"/>
  <c r="E249" i="27"/>
  <c r="I129" i="27"/>
  <c r="K129" i="27" s="1"/>
  <c r="F129" i="27"/>
  <c r="C243" i="24"/>
  <c r="E243" i="24"/>
  <c r="A244" i="24"/>
  <c r="G129" i="24"/>
  <c r="H129" i="24" s="1"/>
  <c r="J129" i="24" s="1"/>
  <c r="D130" i="24" s="1"/>
  <c r="A313" i="29" l="1"/>
  <c r="E312" i="29"/>
  <c r="C312" i="29"/>
  <c r="I128" i="29"/>
  <c r="K128" i="29" s="1"/>
  <c r="F128" i="29"/>
  <c r="E250" i="27"/>
  <c r="A251" i="27"/>
  <c r="C250" i="27"/>
  <c r="J129" i="27"/>
  <c r="D130" i="27" s="1"/>
  <c r="G129" i="27"/>
  <c r="H129" i="27" s="1"/>
  <c r="E244" i="24"/>
  <c r="A245" i="24"/>
  <c r="C244" i="24"/>
  <c r="F130" i="24"/>
  <c r="I130" i="24"/>
  <c r="K130" i="24" s="1"/>
  <c r="A314" i="29" l="1"/>
  <c r="E313" i="29"/>
  <c r="C313" i="29"/>
  <c r="J128" i="29"/>
  <c r="D129" i="29" s="1"/>
  <c r="G128" i="29"/>
  <c r="H128" i="29" s="1"/>
  <c r="A252" i="27"/>
  <c r="C251" i="27"/>
  <c r="E251" i="27"/>
  <c r="I130" i="27"/>
  <c r="K130" i="27" s="1"/>
  <c r="F130" i="27"/>
  <c r="A246" i="24"/>
  <c r="E245" i="24"/>
  <c r="C245" i="24"/>
  <c r="G130" i="24"/>
  <c r="H130" i="24" s="1"/>
  <c r="J130" i="24" s="1"/>
  <c r="D131" i="24" s="1"/>
  <c r="A315" i="29" l="1"/>
  <c r="E314" i="29"/>
  <c r="C314" i="29"/>
  <c r="I129" i="29"/>
  <c r="K129" i="29" s="1"/>
  <c r="F129" i="29"/>
  <c r="G130" i="27"/>
  <c r="H130" i="27" s="1"/>
  <c r="J130" i="27"/>
  <c r="D131" i="27" s="1"/>
  <c r="E252" i="27"/>
  <c r="C252" i="27"/>
  <c r="A253" i="27"/>
  <c r="E246" i="24"/>
  <c r="C246" i="24"/>
  <c r="A247" i="24"/>
  <c r="I131" i="24"/>
  <c r="K131" i="24" s="1"/>
  <c r="F131" i="24"/>
  <c r="A316" i="29" l="1"/>
  <c r="C315" i="29"/>
  <c r="E315" i="29"/>
  <c r="G129" i="29"/>
  <c r="H129" i="29" s="1"/>
  <c r="J129" i="29"/>
  <c r="D130" i="29" s="1"/>
  <c r="E253" i="27"/>
  <c r="A254" i="27"/>
  <c r="C253" i="27"/>
  <c r="I131" i="27"/>
  <c r="K131" i="27" s="1"/>
  <c r="F131" i="27"/>
  <c r="A248" i="24"/>
  <c r="C247" i="24"/>
  <c r="E247" i="24"/>
  <c r="G131" i="24"/>
  <c r="H131" i="24" s="1"/>
  <c r="J131" i="24" s="1"/>
  <c r="D132" i="24" s="1"/>
  <c r="A317" i="29" l="1"/>
  <c r="E316" i="29"/>
  <c r="C316" i="29"/>
  <c r="I130" i="29"/>
  <c r="K130" i="29" s="1"/>
  <c r="F130" i="29"/>
  <c r="G131" i="27"/>
  <c r="H131" i="27" s="1"/>
  <c r="J131" i="27"/>
  <c r="D132" i="27" s="1"/>
  <c r="A255" i="27"/>
  <c r="E254" i="27"/>
  <c r="C254" i="27"/>
  <c r="A249" i="24"/>
  <c r="C248" i="24"/>
  <c r="E248" i="24"/>
  <c r="F132" i="24"/>
  <c r="I132" i="24"/>
  <c r="K132" i="24" s="1"/>
  <c r="A318" i="29" l="1"/>
  <c r="E317" i="29"/>
  <c r="C317" i="29"/>
  <c r="J130" i="29"/>
  <c r="D131" i="29" s="1"/>
  <c r="G130" i="29"/>
  <c r="H130" i="29" s="1"/>
  <c r="E255" i="27"/>
  <c r="C255" i="27"/>
  <c r="A256" i="27"/>
  <c r="C116" i="13" s="1"/>
  <c r="D116" i="13" s="1"/>
  <c r="I132" i="27"/>
  <c r="K132" i="27" s="1"/>
  <c r="F132" i="27"/>
  <c r="E249" i="24"/>
  <c r="C249" i="24"/>
  <c r="A250" i="24"/>
  <c r="G132" i="24"/>
  <c r="H132" i="24" s="1"/>
  <c r="J132" i="24" s="1"/>
  <c r="D133" i="24" s="1"/>
  <c r="A319" i="29" l="1"/>
  <c r="C318" i="29"/>
  <c r="E318" i="29"/>
  <c r="I131" i="29"/>
  <c r="K131" i="29" s="1"/>
  <c r="F131" i="29"/>
  <c r="J132" i="27"/>
  <c r="D133" i="27" s="1"/>
  <c r="G132" i="27"/>
  <c r="H132" i="27" s="1"/>
  <c r="BP46" i="20"/>
  <c r="BC46" i="20"/>
  <c r="AC46" i="20"/>
  <c r="AR46" i="20"/>
  <c r="Q46" i="20"/>
  <c r="F134" i="13"/>
  <c r="CC46" i="20"/>
  <c r="CD46" i="20"/>
  <c r="BD46" i="20"/>
  <c r="AD46" i="20"/>
  <c r="H134" i="13"/>
  <c r="A257" i="27"/>
  <c r="C134" i="13"/>
  <c r="C154" i="13" s="1"/>
  <c r="G134" i="13"/>
  <c r="G154" i="13" s="1"/>
  <c r="CE46" i="20"/>
  <c r="BQ46" i="20"/>
  <c r="AP46" i="20"/>
  <c r="AQ46" i="20"/>
  <c r="R46" i="20"/>
  <c r="E256" i="27"/>
  <c r="D134" i="13"/>
  <c r="BR46" i="20"/>
  <c r="BE46" i="20"/>
  <c r="I134" i="13"/>
  <c r="AE46" i="20"/>
  <c r="P46" i="20"/>
  <c r="C256" i="27"/>
  <c r="E134" i="13"/>
  <c r="C250" i="24"/>
  <c r="A251" i="24"/>
  <c r="E250" i="24"/>
  <c r="I133" i="24"/>
  <c r="K133" i="24" s="1"/>
  <c r="F133" i="24"/>
  <c r="D154" i="13" l="1"/>
  <c r="A320" i="29"/>
  <c r="E319" i="29"/>
  <c r="C319" i="29"/>
  <c r="J131" i="29"/>
  <c r="D132" i="29" s="1"/>
  <c r="G131" i="29"/>
  <c r="H131" i="29" s="1"/>
  <c r="I154" i="13"/>
  <c r="H154" i="13"/>
  <c r="E154" i="13"/>
  <c r="W46" i="36"/>
  <c r="AA46" i="36"/>
  <c r="G46" i="36"/>
  <c r="F154" i="13"/>
  <c r="K46" i="36"/>
  <c r="I133" i="27"/>
  <c r="K133" i="27" s="1"/>
  <c r="F133" i="27"/>
  <c r="A258" i="27"/>
  <c r="E257" i="27"/>
  <c r="C257" i="27"/>
  <c r="O46" i="36"/>
  <c r="S46" i="36"/>
  <c r="C251" i="24"/>
  <c r="A252" i="24"/>
  <c r="E251" i="24"/>
  <c r="G133" i="24"/>
  <c r="H133" i="24" s="1"/>
  <c r="J133" i="24" s="1"/>
  <c r="D134" i="24" s="1"/>
  <c r="A321" i="29" l="1"/>
  <c r="C320" i="29"/>
  <c r="E320" i="29"/>
  <c r="I132" i="29"/>
  <c r="K132" i="29" s="1"/>
  <c r="F132" i="29"/>
  <c r="D124" i="9"/>
  <c r="E116" i="13"/>
  <c r="F116" i="13" s="1"/>
  <c r="D100" i="9"/>
  <c r="A259" i="27"/>
  <c r="E258" i="27"/>
  <c r="C258" i="27"/>
  <c r="J133" i="27"/>
  <c r="D134" i="27" s="1"/>
  <c r="G133" i="27"/>
  <c r="H133" i="27" s="1"/>
  <c r="E252" i="24"/>
  <c r="C252" i="24"/>
  <c r="A253" i="24"/>
  <c r="F134" i="24"/>
  <c r="I134" i="24"/>
  <c r="K134" i="24" s="1"/>
  <c r="A322" i="29" l="1"/>
  <c r="C321" i="29"/>
  <c r="E321" i="29"/>
  <c r="G132" i="29"/>
  <c r="H132" i="29" s="1"/>
  <c r="J132" i="29"/>
  <c r="D133" i="29" s="1"/>
  <c r="E124" i="9"/>
  <c r="E259" i="27"/>
  <c r="A260" i="27"/>
  <c r="C259" i="27"/>
  <c r="F134" i="27"/>
  <c r="I134" i="27"/>
  <c r="K134" i="27" s="1"/>
  <c r="F124" i="9"/>
  <c r="G116" i="13"/>
  <c r="A254" i="24"/>
  <c r="C253" i="24"/>
  <c r="E253" i="24"/>
  <c r="G134" i="24"/>
  <c r="H134" i="24" s="1"/>
  <c r="J134" i="24" s="1"/>
  <c r="D135" i="24" s="1"/>
  <c r="A323" i="29" l="1"/>
  <c r="E322" i="29"/>
  <c r="C322" i="29"/>
  <c r="I133" i="29"/>
  <c r="K133" i="29" s="1"/>
  <c r="F133" i="29"/>
  <c r="G124" i="9"/>
  <c r="G134" i="27"/>
  <c r="H134" i="27" s="1"/>
  <c r="J134" i="27"/>
  <c r="D135" i="27" s="1"/>
  <c r="A261" i="27"/>
  <c r="E260" i="27"/>
  <c r="C260" i="27"/>
  <c r="H116" i="13"/>
  <c r="E254" i="24"/>
  <c r="A255" i="24"/>
  <c r="C254" i="24"/>
  <c r="I135" i="24"/>
  <c r="K135" i="24" s="1"/>
  <c r="F135" i="24"/>
  <c r="A324" i="29" l="1"/>
  <c r="C323" i="29"/>
  <c r="E323" i="29"/>
  <c r="G133" i="29"/>
  <c r="H133" i="29" s="1"/>
  <c r="J133" i="29"/>
  <c r="D134" i="29" s="1"/>
  <c r="I116" i="13"/>
  <c r="I124" i="9" s="1"/>
  <c r="H124" i="9"/>
  <c r="F135" i="27"/>
  <c r="I135" i="27"/>
  <c r="K135" i="27" s="1"/>
  <c r="E261" i="27"/>
  <c r="C261" i="27"/>
  <c r="A262" i="27"/>
  <c r="A256" i="24"/>
  <c r="E255" i="24"/>
  <c r="C255" i="24"/>
  <c r="G135" i="24"/>
  <c r="H135" i="24" s="1"/>
  <c r="J135" i="24" s="1"/>
  <c r="D136" i="24" s="1"/>
  <c r="A325" i="29" l="1"/>
  <c r="E324" i="29"/>
  <c r="C324" i="29"/>
  <c r="I134" i="29"/>
  <c r="K134" i="29" s="1"/>
  <c r="F134" i="29"/>
  <c r="CN16" i="20"/>
  <c r="CJ16" i="20"/>
  <c r="CE16" i="20"/>
  <c r="I43" i="13"/>
  <c r="I69" i="13" s="1"/>
  <c r="H43" i="13"/>
  <c r="CI16" i="20"/>
  <c r="CF16" i="20"/>
  <c r="CL16" i="20"/>
  <c r="CK16" i="20"/>
  <c r="CC16" i="20"/>
  <c r="CM16" i="20"/>
  <c r="CH16" i="20"/>
  <c r="CG16" i="20"/>
  <c r="CD16" i="20"/>
  <c r="A263" i="27"/>
  <c r="C262" i="27"/>
  <c r="E262" i="27"/>
  <c r="G135" i="27"/>
  <c r="H135" i="27" s="1"/>
  <c r="J135" i="27"/>
  <c r="D136" i="27" s="1"/>
  <c r="AE16" i="20"/>
  <c r="AX16" i="20"/>
  <c r="BN16" i="20"/>
  <c r="AY16" i="20"/>
  <c r="AL16" i="20"/>
  <c r="BQ16" i="20"/>
  <c r="C43" i="13"/>
  <c r="C69" i="13" s="1"/>
  <c r="AF16" i="20"/>
  <c r="E43" i="13"/>
  <c r="Q16" i="20"/>
  <c r="BC16" i="20"/>
  <c r="I16" i="20"/>
  <c r="M16" i="20"/>
  <c r="G16" i="20"/>
  <c r="W16" i="20"/>
  <c r="BG16" i="20"/>
  <c r="F43" i="13"/>
  <c r="F69" i="13" s="1"/>
  <c r="L16" i="20"/>
  <c r="D43" i="13"/>
  <c r="D69" i="13" s="1"/>
  <c r="Y16" i="20"/>
  <c r="C256" i="24"/>
  <c r="AU16" i="20"/>
  <c r="AA16" i="20"/>
  <c r="T16" i="20"/>
  <c r="AR16" i="20"/>
  <c r="Z16" i="20"/>
  <c r="AN16" i="20"/>
  <c r="AV16" i="20"/>
  <c r="BI16" i="20"/>
  <c r="H16" i="20"/>
  <c r="BR16" i="20"/>
  <c r="BP16" i="20"/>
  <c r="S16" i="20"/>
  <c r="AT16" i="20"/>
  <c r="K16" i="20"/>
  <c r="BV16" i="20"/>
  <c r="BX16" i="20"/>
  <c r="BK16" i="20"/>
  <c r="V16" i="20"/>
  <c r="BZ16" i="20"/>
  <c r="A257" i="24"/>
  <c r="J16" i="20"/>
  <c r="AK16" i="20"/>
  <c r="AS16" i="20"/>
  <c r="AC16" i="20"/>
  <c r="BD16" i="20"/>
  <c r="P16" i="20"/>
  <c r="BU16" i="20"/>
  <c r="CA16" i="20"/>
  <c r="AG16" i="20"/>
  <c r="BA16" i="20"/>
  <c r="E16" i="20"/>
  <c r="D16" i="20"/>
  <c r="G43" i="13"/>
  <c r="G69" i="13" s="1"/>
  <c r="BE16" i="20"/>
  <c r="AI16" i="20"/>
  <c r="F16" i="20"/>
  <c r="U16" i="20"/>
  <c r="E256" i="24"/>
  <c r="BJ16" i="20"/>
  <c r="BM16" i="20"/>
  <c r="C24" i="13"/>
  <c r="D24" i="13" s="1"/>
  <c r="AM16" i="20"/>
  <c r="BW16" i="20"/>
  <c r="AD16" i="20"/>
  <c r="R16" i="20"/>
  <c r="AW16" i="20"/>
  <c r="BY16" i="20"/>
  <c r="BT16" i="20"/>
  <c r="AH16" i="20"/>
  <c r="BH16" i="20"/>
  <c r="BS16" i="20"/>
  <c r="AP16" i="20"/>
  <c r="BF16" i="20"/>
  <c r="N16" i="20"/>
  <c r="AQ16" i="20"/>
  <c r="X16" i="20"/>
  <c r="AJ16" i="20"/>
  <c r="AZ16" i="20"/>
  <c r="BL16" i="20"/>
  <c r="I136" i="24"/>
  <c r="K136" i="24" s="1"/>
  <c r="F136" i="24"/>
  <c r="H69" i="13" l="1"/>
  <c r="E69" i="13"/>
  <c r="A326" i="29"/>
  <c r="C325" i="29"/>
  <c r="E325" i="29"/>
  <c r="G134" i="29"/>
  <c r="H134" i="29" s="1"/>
  <c r="J134" i="29"/>
  <c r="D135" i="29" s="1"/>
  <c r="I136" i="27"/>
  <c r="K136" i="27" s="1"/>
  <c r="F136" i="27"/>
  <c r="A264" i="27"/>
  <c r="C263" i="27"/>
  <c r="E263" i="27"/>
  <c r="P16" i="36"/>
  <c r="V16" i="36"/>
  <c r="Z16" i="36"/>
  <c r="D16" i="36"/>
  <c r="T16" i="36"/>
  <c r="AC16" i="36"/>
  <c r="X16" i="36"/>
  <c r="AB16" i="36"/>
  <c r="AB16" i="20"/>
  <c r="G16" i="36"/>
  <c r="E257" i="24"/>
  <c r="C257" i="24"/>
  <c r="A258" i="24"/>
  <c r="D48" i="9"/>
  <c r="D24" i="9"/>
  <c r="E24" i="13"/>
  <c r="O16" i="36"/>
  <c r="BB16" i="20"/>
  <c r="J16" i="36"/>
  <c r="H16" i="36"/>
  <c r="U16" i="36"/>
  <c r="CO16" i="20"/>
  <c r="AA16" i="36"/>
  <c r="E16" i="36"/>
  <c r="N16" i="36"/>
  <c r="M16" i="36"/>
  <c r="AD16" i="36"/>
  <c r="K16" i="36"/>
  <c r="AO16" i="20"/>
  <c r="I16" i="36"/>
  <c r="Y16" i="36"/>
  <c r="CB16" i="20"/>
  <c r="W16" i="36"/>
  <c r="Q16" i="36"/>
  <c r="F16" i="36"/>
  <c r="BO16" i="20"/>
  <c r="S16" i="36"/>
  <c r="L16" i="36"/>
  <c r="R16" i="36"/>
  <c r="G136" i="24"/>
  <c r="H136" i="24" s="1"/>
  <c r="J136" i="24"/>
  <c r="D137" i="24" s="1"/>
  <c r="A327" i="29" l="1"/>
  <c r="E326" i="29"/>
  <c r="C326" i="29"/>
  <c r="I135" i="29"/>
  <c r="K135" i="29" s="1"/>
  <c r="F135" i="29"/>
  <c r="C264" i="27"/>
  <c r="A265" i="27"/>
  <c r="E264" i="27"/>
  <c r="J136" i="27"/>
  <c r="D137" i="27" s="1"/>
  <c r="G136" i="27"/>
  <c r="H136" i="27" s="1"/>
  <c r="E48" i="9"/>
  <c r="F24" i="13"/>
  <c r="A259" i="24"/>
  <c r="E258" i="24"/>
  <c r="C258" i="24"/>
  <c r="I137" i="24"/>
  <c r="K137" i="24" s="1"/>
  <c r="F137" i="24"/>
  <c r="A328" i="29" l="1"/>
  <c r="C327" i="29"/>
  <c r="E327" i="29"/>
  <c r="G135" i="29"/>
  <c r="H135" i="29" s="1"/>
  <c r="J135" i="29"/>
  <c r="D136" i="29" s="1"/>
  <c r="F137" i="27"/>
  <c r="I137" i="27"/>
  <c r="K137" i="27" s="1"/>
  <c r="A266" i="27"/>
  <c r="E265" i="27"/>
  <c r="C265" i="27"/>
  <c r="E259" i="24"/>
  <c r="C259" i="24"/>
  <c r="A260" i="24"/>
  <c r="F48" i="9"/>
  <c r="G24" i="13"/>
  <c r="J137" i="24"/>
  <c r="D138" i="24" s="1"/>
  <c r="G137" i="24"/>
  <c r="H137" i="24" s="1"/>
  <c r="A329" i="29" l="1"/>
  <c r="C328" i="29"/>
  <c r="E328" i="29"/>
  <c r="I136" i="29"/>
  <c r="K136" i="29" s="1"/>
  <c r="F136" i="29"/>
  <c r="J137" i="27"/>
  <c r="D138" i="27" s="1"/>
  <c r="G137" i="27"/>
  <c r="H137" i="27" s="1"/>
  <c r="E266" i="27"/>
  <c r="C266" i="27"/>
  <c r="A267" i="27"/>
  <c r="G48" i="9"/>
  <c r="H24" i="13"/>
  <c r="A261" i="24"/>
  <c r="C260" i="24"/>
  <c r="E260" i="24"/>
  <c r="I138" i="24"/>
  <c r="K138" i="24" s="1"/>
  <c r="F138" i="24"/>
  <c r="A330" i="29" l="1"/>
  <c r="E329" i="29"/>
  <c r="C329" i="29"/>
  <c r="I24" i="13"/>
  <c r="I48" i="9" s="1"/>
  <c r="H48" i="9"/>
  <c r="J136" i="29"/>
  <c r="D137" i="29" s="1"/>
  <c r="G136" i="29"/>
  <c r="H136" i="29" s="1"/>
  <c r="C267" i="27"/>
  <c r="A268" i="27"/>
  <c r="E267" i="27"/>
  <c r="I138" i="27"/>
  <c r="K138" i="27" s="1"/>
  <c r="F138" i="27"/>
  <c r="E261" i="24"/>
  <c r="A262" i="24"/>
  <c r="C261" i="24"/>
  <c r="J138" i="24"/>
  <c r="D139" i="24" s="1"/>
  <c r="G138" i="24"/>
  <c r="H138" i="24" s="1"/>
  <c r="A331" i="29" l="1"/>
  <c r="E330" i="29"/>
  <c r="C330" i="29"/>
  <c r="I137" i="29"/>
  <c r="K137" i="29" s="1"/>
  <c r="F137" i="29"/>
  <c r="J138" i="27"/>
  <c r="D139" i="27" s="1"/>
  <c r="G138" i="27"/>
  <c r="H138" i="27" s="1"/>
  <c r="A269" i="27"/>
  <c r="E268" i="27"/>
  <c r="C268" i="27"/>
  <c r="E262" i="24"/>
  <c r="C262" i="24"/>
  <c r="A263" i="24"/>
  <c r="I139" i="24"/>
  <c r="K139" i="24" s="1"/>
  <c r="F139" i="24"/>
  <c r="A332" i="29" l="1"/>
  <c r="E331" i="29"/>
  <c r="C331" i="29"/>
  <c r="G137" i="29"/>
  <c r="H137" i="29" s="1"/>
  <c r="J137" i="29"/>
  <c r="D138" i="29" s="1"/>
  <c r="F139" i="27"/>
  <c r="I139" i="27"/>
  <c r="K139" i="27" s="1"/>
  <c r="E269" i="27"/>
  <c r="C269" i="27"/>
  <c r="A270" i="27"/>
  <c r="A264" i="24"/>
  <c r="C263" i="24"/>
  <c r="E263" i="24"/>
  <c r="J139" i="24"/>
  <c r="D140" i="24" s="1"/>
  <c r="G139" i="24"/>
  <c r="H139" i="24" s="1"/>
  <c r="A333" i="29" l="1"/>
  <c r="E332" i="29"/>
  <c r="C332" i="29"/>
  <c r="I138" i="29"/>
  <c r="K138" i="29" s="1"/>
  <c r="F138" i="29"/>
  <c r="A271" i="27"/>
  <c r="E270" i="27"/>
  <c r="C270" i="27"/>
  <c r="J139" i="27"/>
  <c r="D140" i="27" s="1"/>
  <c r="G139" i="27"/>
  <c r="H139" i="27" s="1"/>
  <c r="E264" i="24"/>
  <c r="A265" i="24"/>
  <c r="C264" i="24"/>
  <c r="I140" i="24"/>
  <c r="K140" i="24" s="1"/>
  <c r="F140" i="24"/>
  <c r="A334" i="29" l="1"/>
  <c r="E333" i="29"/>
  <c r="C333" i="29"/>
  <c r="J138" i="29"/>
  <c r="D139" i="29" s="1"/>
  <c r="G138" i="29"/>
  <c r="H138" i="29" s="1"/>
  <c r="I140" i="27"/>
  <c r="K140" i="27" s="1"/>
  <c r="F140" i="27"/>
  <c r="A272" i="27"/>
  <c r="E271" i="27"/>
  <c r="C271" i="27"/>
  <c r="A266" i="24"/>
  <c r="E265" i="24"/>
  <c r="C265" i="24"/>
  <c r="G140" i="24"/>
  <c r="H140" i="24" s="1"/>
  <c r="J140" i="24"/>
  <c r="D141" i="24" s="1"/>
  <c r="A335" i="29" l="1"/>
  <c r="C334" i="29"/>
  <c r="E334" i="29"/>
  <c r="I139" i="29"/>
  <c r="K139" i="29" s="1"/>
  <c r="F139" i="29"/>
  <c r="C272" i="27"/>
  <c r="A273" i="27"/>
  <c r="E272" i="27"/>
  <c r="J140" i="27"/>
  <c r="D141" i="27" s="1"/>
  <c r="G140" i="27"/>
  <c r="H140" i="27" s="1"/>
  <c r="E266" i="24"/>
  <c r="C266" i="24"/>
  <c r="A267" i="24"/>
  <c r="I141" i="24"/>
  <c r="K141" i="24" s="1"/>
  <c r="F141" i="24"/>
  <c r="A336" i="29" l="1"/>
  <c r="C335" i="29"/>
  <c r="E335" i="29"/>
  <c r="G139" i="29"/>
  <c r="H139" i="29" s="1"/>
  <c r="J139" i="29"/>
  <c r="D140" i="29" s="1"/>
  <c r="I141" i="27"/>
  <c r="K141" i="27" s="1"/>
  <c r="F141" i="27"/>
  <c r="A274" i="27"/>
  <c r="C273" i="27"/>
  <c r="E273" i="27"/>
  <c r="C267" i="24"/>
  <c r="E267" i="24"/>
  <c r="A268" i="24"/>
  <c r="J141" i="24"/>
  <c r="D142" i="24" s="1"/>
  <c r="G141" i="24"/>
  <c r="H141" i="24" s="1"/>
  <c r="A337" i="29" l="1"/>
  <c r="C336" i="29"/>
  <c r="E336" i="29"/>
  <c r="I140" i="29"/>
  <c r="K140" i="29" s="1"/>
  <c r="F140" i="29"/>
  <c r="E274" i="27"/>
  <c r="C274" i="27"/>
  <c r="A275" i="27"/>
  <c r="J141" i="27"/>
  <c r="D142" i="27" s="1"/>
  <c r="G141" i="27"/>
  <c r="H141" i="27" s="1"/>
  <c r="E268" i="24"/>
  <c r="A269" i="24"/>
  <c r="C268" i="24"/>
  <c r="F142" i="24"/>
  <c r="I142" i="24"/>
  <c r="K142" i="24" s="1"/>
  <c r="A338" i="29" l="1"/>
  <c r="E337" i="29"/>
  <c r="C337" i="29"/>
  <c r="G140" i="29"/>
  <c r="H140" i="29" s="1"/>
  <c r="J140" i="29"/>
  <c r="D141" i="29" s="1"/>
  <c r="C275" i="27"/>
  <c r="A276" i="27"/>
  <c r="E275" i="27"/>
  <c r="I142" i="27"/>
  <c r="K142" i="27" s="1"/>
  <c r="F142" i="27"/>
  <c r="C269" i="24"/>
  <c r="E269" i="24"/>
  <c r="A270" i="24"/>
  <c r="G142" i="24"/>
  <c r="H142" i="24" s="1"/>
  <c r="J142" i="24"/>
  <c r="D143" i="24" s="1"/>
  <c r="A339" i="29" l="1"/>
  <c r="E338" i="29"/>
  <c r="C338" i="29"/>
  <c r="I141" i="29"/>
  <c r="K141" i="29" s="1"/>
  <c r="F141" i="29"/>
  <c r="J142" i="27"/>
  <c r="D143" i="27" s="1"/>
  <c r="G142" i="27"/>
  <c r="H142" i="27" s="1"/>
  <c r="A277" i="27"/>
  <c r="C276" i="27"/>
  <c r="E276" i="27"/>
  <c r="E270" i="24"/>
  <c r="A271" i="24"/>
  <c r="C270" i="24"/>
  <c r="I143" i="24"/>
  <c r="K143" i="24" s="1"/>
  <c r="F143" i="24"/>
  <c r="A340" i="29" l="1"/>
  <c r="C339" i="29"/>
  <c r="E339" i="29"/>
  <c r="G141" i="29"/>
  <c r="H141" i="29" s="1"/>
  <c r="J141" i="29"/>
  <c r="D142" i="29" s="1"/>
  <c r="I143" i="27"/>
  <c r="K143" i="27" s="1"/>
  <c r="F143" i="27"/>
  <c r="C277" i="27"/>
  <c r="E277" i="27"/>
  <c r="A278" i="27"/>
  <c r="A272" i="24"/>
  <c r="C271" i="24"/>
  <c r="E271" i="24"/>
  <c r="J143" i="24"/>
  <c r="D144" i="24" s="1"/>
  <c r="G143" i="24"/>
  <c r="H143" i="24" s="1"/>
  <c r="A341" i="29" l="1"/>
  <c r="C340" i="29"/>
  <c r="E340" i="29"/>
  <c r="I142" i="29"/>
  <c r="K142" i="29" s="1"/>
  <c r="F142" i="29"/>
  <c r="J143" i="27"/>
  <c r="D144" i="27" s="1"/>
  <c r="G143" i="27"/>
  <c r="H143" i="27" s="1"/>
  <c r="C278" i="27"/>
  <c r="A279" i="27"/>
  <c r="E278" i="27"/>
  <c r="C272" i="24"/>
  <c r="E272" i="24"/>
  <c r="A273" i="24"/>
  <c r="I144" i="24"/>
  <c r="K144" i="24" s="1"/>
  <c r="F144" i="24"/>
  <c r="A342" i="29" l="1"/>
  <c r="E341" i="29"/>
  <c r="C341" i="29"/>
  <c r="J142" i="29"/>
  <c r="D143" i="29" s="1"/>
  <c r="G142" i="29"/>
  <c r="H142" i="29" s="1"/>
  <c r="E279" i="27"/>
  <c r="A280" i="27"/>
  <c r="C279" i="27"/>
  <c r="I144" i="27"/>
  <c r="K144" i="27" s="1"/>
  <c r="F144" i="27"/>
  <c r="E273" i="24"/>
  <c r="C273" i="24"/>
  <c r="A274" i="24"/>
  <c r="G144" i="24"/>
  <c r="H144" i="24" s="1"/>
  <c r="J144" i="24"/>
  <c r="D145" i="24" s="1"/>
  <c r="A343" i="29" l="1"/>
  <c r="E342" i="29"/>
  <c r="C342" i="29"/>
  <c r="I143" i="29"/>
  <c r="K143" i="29" s="1"/>
  <c r="F143" i="29"/>
  <c r="G144" i="27"/>
  <c r="H144" i="27" s="1"/>
  <c r="J144" i="27"/>
  <c r="D145" i="27" s="1"/>
  <c r="A281" i="27"/>
  <c r="E280" i="27"/>
  <c r="C280" i="27"/>
  <c r="C274" i="24"/>
  <c r="E274" i="24"/>
  <c r="A275" i="24"/>
  <c r="I145" i="24"/>
  <c r="K145" i="24" s="1"/>
  <c r="F145" i="24"/>
  <c r="A344" i="29" l="1"/>
  <c r="E343" i="29"/>
  <c r="C343" i="29"/>
  <c r="J143" i="29"/>
  <c r="D144" i="29" s="1"/>
  <c r="G143" i="29"/>
  <c r="H143" i="29" s="1"/>
  <c r="C281" i="27"/>
  <c r="E281" i="27"/>
  <c r="A282" i="27"/>
  <c r="I145" i="27"/>
  <c r="K145" i="27" s="1"/>
  <c r="F145" i="27"/>
  <c r="E275" i="24"/>
  <c r="C275" i="24"/>
  <c r="A276" i="24"/>
  <c r="G145" i="24"/>
  <c r="H145" i="24" s="1"/>
  <c r="J145" i="24"/>
  <c r="D146" i="24" s="1"/>
  <c r="A345" i="29" l="1"/>
  <c r="E344" i="29"/>
  <c r="C344" i="29"/>
  <c r="I144" i="29"/>
  <c r="K144" i="29" s="1"/>
  <c r="F144" i="29"/>
  <c r="J145" i="27"/>
  <c r="D146" i="27" s="1"/>
  <c r="G145" i="27"/>
  <c r="H145" i="27" s="1"/>
  <c r="A283" i="27"/>
  <c r="C282" i="27"/>
  <c r="E282" i="27"/>
  <c r="E276" i="24"/>
  <c r="A277" i="24"/>
  <c r="C276" i="24"/>
  <c r="I146" i="24"/>
  <c r="K146" i="24" s="1"/>
  <c r="F146" i="24"/>
  <c r="A346" i="29" l="1"/>
  <c r="E345" i="29"/>
  <c r="C345" i="29"/>
  <c r="J144" i="29"/>
  <c r="D145" i="29" s="1"/>
  <c r="G144" i="29"/>
  <c r="H144" i="29" s="1"/>
  <c r="I146" i="27"/>
  <c r="K146" i="27" s="1"/>
  <c r="F146" i="27"/>
  <c r="A284" i="27"/>
  <c r="C283" i="27"/>
  <c r="E283" i="27"/>
  <c r="E277" i="24"/>
  <c r="C277" i="24"/>
  <c r="A278" i="24"/>
  <c r="G146" i="24"/>
  <c r="H146" i="24" s="1"/>
  <c r="J146" i="24"/>
  <c r="D147" i="24" s="1"/>
  <c r="A347" i="29" l="1"/>
  <c r="C346" i="29"/>
  <c r="E346" i="29"/>
  <c r="I145" i="29"/>
  <c r="K145" i="29" s="1"/>
  <c r="F145" i="29"/>
  <c r="J146" i="27"/>
  <c r="D147" i="27" s="1"/>
  <c r="G146" i="27"/>
  <c r="H146" i="27" s="1"/>
  <c r="E284" i="27"/>
  <c r="A285" i="27"/>
  <c r="C284" i="27"/>
  <c r="E278" i="24"/>
  <c r="C278" i="24"/>
  <c r="A279" i="24"/>
  <c r="I147" i="24"/>
  <c r="K147" i="24" s="1"/>
  <c r="F147" i="24"/>
  <c r="A348" i="29" l="1"/>
  <c r="C347" i="29"/>
  <c r="E347" i="29"/>
  <c r="J145" i="29"/>
  <c r="D146" i="29" s="1"/>
  <c r="G145" i="29"/>
  <c r="H145" i="29" s="1"/>
  <c r="A286" i="27"/>
  <c r="C285" i="27"/>
  <c r="E285" i="27"/>
  <c r="I147" i="27"/>
  <c r="K147" i="27" s="1"/>
  <c r="F147" i="27"/>
  <c r="E279" i="24"/>
  <c r="A280" i="24"/>
  <c r="C279" i="24"/>
  <c r="G147" i="24"/>
  <c r="H147" i="24" s="1"/>
  <c r="J147" i="24"/>
  <c r="D148" i="24" s="1"/>
  <c r="A349" i="29" l="1"/>
  <c r="E348" i="29"/>
  <c r="C348" i="29"/>
  <c r="I146" i="29"/>
  <c r="K146" i="29" s="1"/>
  <c r="F146" i="29"/>
  <c r="G147" i="27"/>
  <c r="H147" i="27" s="1"/>
  <c r="J147" i="27"/>
  <c r="D148" i="27" s="1"/>
  <c r="C286" i="27"/>
  <c r="E286" i="27"/>
  <c r="A287" i="27"/>
  <c r="A281" i="24"/>
  <c r="E280" i="24"/>
  <c r="C280" i="24"/>
  <c r="I148" i="24"/>
  <c r="K148" i="24" s="1"/>
  <c r="F148" i="24"/>
  <c r="A350" i="29" l="1"/>
  <c r="C349" i="29"/>
  <c r="E349" i="29"/>
  <c r="J146" i="29"/>
  <c r="D147" i="29" s="1"/>
  <c r="G146" i="29"/>
  <c r="H146" i="29" s="1"/>
  <c r="F148" i="27"/>
  <c r="I148" i="27"/>
  <c r="K148" i="27" s="1"/>
  <c r="E287" i="27"/>
  <c r="C287" i="27"/>
  <c r="A288" i="27"/>
  <c r="A282" i="24"/>
  <c r="E281" i="24"/>
  <c r="C281" i="24"/>
  <c r="G148" i="24"/>
  <c r="H148" i="24" s="1"/>
  <c r="J148" i="24"/>
  <c r="D149" i="24" s="1"/>
  <c r="A351" i="29" l="1"/>
  <c r="E350" i="29"/>
  <c r="C350" i="29"/>
  <c r="I147" i="29"/>
  <c r="K147" i="29" s="1"/>
  <c r="F147" i="29"/>
  <c r="A289" i="27"/>
  <c r="E288" i="27"/>
  <c r="C288" i="27"/>
  <c r="J148" i="27"/>
  <c r="D149" i="27" s="1"/>
  <c r="G148" i="27"/>
  <c r="H148" i="27" s="1"/>
  <c r="E282" i="24"/>
  <c r="C282" i="24"/>
  <c r="A283" i="24"/>
  <c r="I149" i="24"/>
  <c r="K149" i="24" s="1"/>
  <c r="F149" i="24"/>
  <c r="A352" i="29" l="1"/>
  <c r="E351" i="29"/>
  <c r="C351" i="29"/>
  <c r="G147" i="29"/>
  <c r="H147" i="29" s="1"/>
  <c r="J147" i="29"/>
  <c r="D148" i="29" s="1"/>
  <c r="I149" i="27"/>
  <c r="K149" i="27" s="1"/>
  <c r="F149" i="27"/>
  <c r="A290" i="27"/>
  <c r="E289" i="27"/>
  <c r="C289" i="27"/>
  <c r="A284" i="24"/>
  <c r="E283" i="24"/>
  <c r="C283" i="24"/>
  <c r="G149" i="24"/>
  <c r="H149" i="24" s="1"/>
  <c r="J149" i="24"/>
  <c r="D150" i="24" s="1"/>
  <c r="A353" i="29" l="1"/>
  <c r="E352" i="29"/>
  <c r="C352" i="29"/>
  <c r="I148" i="29"/>
  <c r="K148" i="29" s="1"/>
  <c r="F148" i="29"/>
  <c r="J149" i="27"/>
  <c r="D150" i="27" s="1"/>
  <c r="G149" i="27"/>
  <c r="H149" i="27" s="1"/>
  <c r="E290" i="27"/>
  <c r="A291" i="27"/>
  <c r="C290" i="27"/>
  <c r="A285" i="24"/>
  <c r="C284" i="24"/>
  <c r="E284" i="24"/>
  <c r="I150" i="24"/>
  <c r="K150" i="24" s="1"/>
  <c r="F150" i="24"/>
  <c r="A354" i="29" l="1"/>
  <c r="C353" i="29"/>
  <c r="E353" i="29"/>
  <c r="J148" i="29"/>
  <c r="D149" i="29" s="1"/>
  <c r="G148" i="29"/>
  <c r="H148" i="29" s="1"/>
  <c r="A292" i="27"/>
  <c r="C291" i="27"/>
  <c r="E291" i="27"/>
  <c r="I150" i="27"/>
  <c r="K150" i="27" s="1"/>
  <c r="F150" i="27"/>
  <c r="A286" i="24"/>
  <c r="E285" i="24"/>
  <c r="C285" i="24"/>
  <c r="J150" i="24"/>
  <c r="D151" i="24" s="1"/>
  <c r="G150" i="24"/>
  <c r="H150" i="24" s="1"/>
  <c r="A355" i="29" l="1"/>
  <c r="E354" i="29"/>
  <c r="C354" i="29"/>
  <c r="I149" i="29"/>
  <c r="K149" i="29" s="1"/>
  <c r="F149" i="29"/>
  <c r="J150" i="27"/>
  <c r="D151" i="27" s="1"/>
  <c r="G150" i="27"/>
  <c r="H150" i="27" s="1"/>
  <c r="C292" i="27"/>
  <c r="E292" i="27"/>
  <c r="A293" i="27"/>
  <c r="C286" i="24"/>
  <c r="A287" i="24"/>
  <c r="E286" i="24"/>
  <c r="F151" i="24"/>
  <c r="I151" i="24"/>
  <c r="K151" i="24" s="1"/>
  <c r="A356" i="29" l="1"/>
  <c r="E355" i="29"/>
  <c r="C355" i="29"/>
  <c r="J149" i="29"/>
  <c r="D150" i="29" s="1"/>
  <c r="G149" i="29"/>
  <c r="H149" i="29" s="1"/>
  <c r="E293" i="27"/>
  <c r="A294" i="27"/>
  <c r="C293" i="27"/>
  <c r="F151" i="27"/>
  <c r="I151" i="27"/>
  <c r="K151" i="27" s="1"/>
  <c r="C287" i="24"/>
  <c r="E287" i="24"/>
  <c r="A288" i="24"/>
  <c r="J151" i="24"/>
  <c r="D152" i="24" s="1"/>
  <c r="G151" i="24"/>
  <c r="H151" i="24" s="1"/>
  <c r="A357" i="29" l="1"/>
  <c r="E356" i="29"/>
  <c r="C356" i="29"/>
  <c r="I150" i="29"/>
  <c r="K150" i="29" s="1"/>
  <c r="F150" i="29"/>
  <c r="J151" i="27"/>
  <c r="D152" i="27" s="1"/>
  <c r="G151" i="27"/>
  <c r="H151" i="27" s="1"/>
  <c r="A295" i="27"/>
  <c r="C294" i="27"/>
  <c r="E294" i="27"/>
  <c r="A289" i="24"/>
  <c r="E288" i="24"/>
  <c r="C288" i="24"/>
  <c r="F152" i="24"/>
  <c r="I152" i="24"/>
  <c r="K152" i="24" s="1"/>
  <c r="A358" i="29" l="1"/>
  <c r="C357" i="29"/>
  <c r="E357" i="29"/>
  <c r="J150" i="29"/>
  <c r="D151" i="29" s="1"/>
  <c r="G150" i="29"/>
  <c r="H150" i="29" s="1"/>
  <c r="C295" i="27"/>
  <c r="E295" i="27"/>
  <c r="A296" i="27"/>
  <c r="I152" i="27"/>
  <c r="K152" i="27" s="1"/>
  <c r="F152" i="27"/>
  <c r="E289" i="24"/>
  <c r="C289" i="24"/>
  <c r="A290" i="24"/>
  <c r="G152" i="24"/>
  <c r="H152" i="24" s="1"/>
  <c r="J152" i="24"/>
  <c r="D153" i="24" s="1"/>
  <c r="A359" i="29" l="1"/>
  <c r="C358" i="29"/>
  <c r="E358" i="29"/>
  <c r="I151" i="29"/>
  <c r="K151" i="29" s="1"/>
  <c r="F151" i="29"/>
  <c r="G152" i="27"/>
  <c r="H152" i="27" s="1"/>
  <c r="J152" i="27"/>
  <c r="D153" i="27" s="1"/>
  <c r="A297" i="27"/>
  <c r="C296" i="27"/>
  <c r="E296" i="27"/>
  <c r="E290" i="24"/>
  <c r="A291" i="24"/>
  <c r="C290" i="24"/>
  <c r="I153" i="24"/>
  <c r="K153" i="24" s="1"/>
  <c r="F153" i="24"/>
  <c r="A360" i="29" l="1"/>
  <c r="E359" i="29"/>
  <c r="C359" i="29"/>
  <c r="G151" i="29"/>
  <c r="H151" i="29" s="1"/>
  <c r="J151" i="29"/>
  <c r="D152" i="29" s="1"/>
  <c r="A298" i="27"/>
  <c r="E297" i="27"/>
  <c r="C297" i="27"/>
  <c r="I153" i="27"/>
  <c r="K153" i="27" s="1"/>
  <c r="F153" i="27"/>
  <c r="E291" i="24"/>
  <c r="C291" i="24"/>
  <c r="A292" i="24"/>
  <c r="J153" i="24"/>
  <c r="D154" i="24" s="1"/>
  <c r="G153" i="24"/>
  <c r="H153" i="24" s="1"/>
  <c r="A361" i="29" l="1"/>
  <c r="C360" i="29"/>
  <c r="E360" i="29"/>
  <c r="I152" i="29"/>
  <c r="K152" i="29" s="1"/>
  <c r="F152" i="29"/>
  <c r="G153" i="27"/>
  <c r="H153" i="27" s="1"/>
  <c r="J153" i="27"/>
  <c r="D154" i="27" s="1"/>
  <c r="C298" i="27"/>
  <c r="A299" i="27"/>
  <c r="E298" i="27"/>
  <c r="A293" i="24"/>
  <c r="C292" i="24"/>
  <c r="E292" i="24"/>
  <c r="F154" i="24"/>
  <c r="I154" i="24"/>
  <c r="K154" i="24" s="1"/>
  <c r="A362" i="29" l="1"/>
  <c r="C361" i="29"/>
  <c r="E361" i="29"/>
  <c r="G152" i="29"/>
  <c r="H152" i="29" s="1"/>
  <c r="J152" i="29"/>
  <c r="D153" i="29" s="1"/>
  <c r="I154" i="27"/>
  <c r="K154" i="27" s="1"/>
  <c r="F154" i="27"/>
  <c r="A300" i="27"/>
  <c r="E299" i="27"/>
  <c r="C299" i="27"/>
  <c r="C293" i="24"/>
  <c r="A294" i="24"/>
  <c r="E293" i="24"/>
  <c r="J154" i="24"/>
  <c r="D155" i="24" s="1"/>
  <c r="G154" i="24"/>
  <c r="H154" i="24" s="1"/>
  <c r="A363" i="29" l="1"/>
  <c r="C362" i="29"/>
  <c r="E362" i="29"/>
  <c r="I153" i="29"/>
  <c r="K153" i="29" s="1"/>
  <c r="F153" i="29"/>
  <c r="E300" i="27"/>
  <c r="C300" i="27"/>
  <c r="A301" i="27"/>
  <c r="J154" i="27"/>
  <c r="D155" i="27" s="1"/>
  <c r="G154" i="27"/>
  <c r="H154" i="27" s="1"/>
  <c r="E294" i="24"/>
  <c r="C294" i="24"/>
  <c r="A295" i="24"/>
  <c r="I155" i="24"/>
  <c r="K155" i="24" s="1"/>
  <c r="F155" i="24"/>
  <c r="A364" i="29" l="1"/>
  <c r="E363" i="29"/>
  <c r="C363" i="29"/>
  <c r="J153" i="29"/>
  <c r="D154" i="29" s="1"/>
  <c r="G153" i="29"/>
  <c r="H153" i="29" s="1"/>
  <c r="C301" i="27"/>
  <c r="A302" i="27"/>
  <c r="E301" i="27"/>
  <c r="F155" i="27"/>
  <c r="I155" i="27"/>
  <c r="K155" i="27" s="1"/>
  <c r="A296" i="24"/>
  <c r="E295" i="24"/>
  <c r="C295" i="24"/>
  <c r="J155" i="24"/>
  <c r="D156" i="24" s="1"/>
  <c r="G155" i="24"/>
  <c r="H155" i="24" s="1"/>
  <c r="A365" i="29" l="1"/>
  <c r="E364" i="29"/>
  <c r="C364" i="29"/>
  <c r="I154" i="29"/>
  <c r="K154" i="29" s="1"/>
  <c r="F154" i="29"/>
  <c r="J155" i="27"/>
  <c r="D156" i="27" s="1"/>
  <c r="G155" i="27"/>
  <c r="H155" i="27" s="1"/>
  <c r="A303" i="27"/>
  <c r="E302" i="27"/>
  <c r="C302" i="27"/>
  <c r="A297" i="24"/>
  <c r="C296" i="24"/>
  <c r="E296" i="24"/>
  <c r="I156" i="24"/>
  <c r="K156" i="24" s="1"/>
  <c r="F156" i="24"/>
  <c r="A366" i="29" l="1"/>
  <c r="C365" i="29"/>
  <c r="E365" i="29"/>
  <c r="G154" i="29"/>
  <c r="H154" i="29" s="1"/>
  <c r="J154" i="29"/>
  <c r="D155" i="29" s="1"/>
  <c r="C303" i="27"/>
  <c r="E303" i="27"/>
  <c r="A304" i="27"/>
  <c r="F156" i="27"/>
  <c r="I156" i="27"/>
  <c r="K156" i="27" s="1"/>
  <c r="A298" i="24"/>
  <c r="C297" i="24"/>
  <c r="E297" i="24"/>
  <c r="J156" i="24"/>
  <c r="D157" i="24" s="1"/>
  <c r="G156" i="24"/>
  <c r="H156" i="24" s="1"/>
  <c r="A367" i="29" l="1"/>
  <c r="C366" i="29"/>
  <c r="E366" i="29"/>
  <c r="I155" i="29"/>
  <c r="K155" i="29" s="1"/>
  <c r="F155" i="29"/>
  <c r="A305" i="27"/>
  <c r="E304" i="27"/>
  <c r="C304" i="27"/>
  <c r="G156" i="27"/>
  <c r="H156" i="27" s="1"/>
  <c r="J156" i="27"/>
  <c r="D157" i="27" s="1"/>
  <c r="E298" i="24"/>
  <c r="A299" i="24"/>
  <c r="C298" i="24"/>
  <c r="I157" i="24"/>
  <c r="K157" i="24" s="1"/>
  <c r="F157" i="24"/>
  <c r="A368" i="29" l="1"/>
  <c r="E367" i="29"/>
  <c r="C367" i="29"/>
  <c r="G155" i="29"/>
  <c r="H155" i="29" s="1"/>
  <c r="J155" i="29"/>
  <c r="D156" i="29" s="1"/>
  <c r="A306" i="27"/>
  <c r="C305" i="27"/>
  <c r="E305" i="27"/>
  <c r="I157" i="27"/>
  <c r="K157" i="27" s="1"/>
  <c r="F157" i="27"/>
  <c r="E299" i="24"/>
  <c r="C299" i="24"/>
  <c r="A300" i="24"/>
  <c r="G157" i="24"/>
  <c r="H157" i="24" s="1"/>
  <c r="J157" i="24"/>
  <c r="D158" i="24" s="1"/>
  <c r="A369" i="29" l="1"/>
  <c r="C368" i="29"/>
  <c r="E368" i="29"/>
  <c r="I156" i="29"/>
  <c r="K156" i="29" s="1"/>
  <c r="F156" i="29"/>
  <c r="J157" i="27"/>
  <c r="D158" i="27" s="1"/>
  <c r="G157" i="27"/>
  <c r="H157" i="27" s="1"/>
  <c r="C306" i="27"/>
  <c r="A307" i="27"/>
  <c r="E306" i="27"/>
  <c r="E300" i="24"/>
  <c r="A301" i="24"/>
  <c r="C300" i="24"/>
  <c r="F158" i="24"/>
  <c r="I158" i="24"/>
  <c r="K158" i="24" s="1"/>
  <c r="A370" i="29" l="1"/>
  <c r="C369" i="29"/>
  <c r="E369" i="29"/>
  <c r="G156" i="29"/>
  <c r="H156" i="29" s="1"/>
  <c r="J156" i="29"/>
  <c r="D157" i="29" s="1"/>
  <c r="I158" i="27"/>
  <c r="K158" i="27" s="1"/>
  <c r="F158" i="27"/>
  <c r="A308" i="27"/>
  <c r="E307" i="27"/>
  <c r="C307" i="27"/>
  <c r="A302" i="24"/>
  <c r="E301" i="24"/>
  <c r="C301" i="24"/>
  <c r="J158" i="24"/>
  <c r="D159" i="24" s="1"/>
  <c r="G158" i="24"/>
  <c r="H158" i="24" s="1"/>
  <c r="A371" i="29" l="1"/>
  <c r="C370" i="29"/>
  <c r="E370" i="29"/>
  <c r="I157" i="29"/>
  <c r="K157" i="29" s="1"/>
  <c r="F157" i="29"/>
  <c r="E308" i="27"/>
  <c r="C308" i="27"/>
  <c r="A309" i="27"/>
  <c r="G158" i="27"/>
  <c r="H158" i="27" s="1"/>
  <c r="J158" i="27"/>
  <c r="D159" i="27" s="1"/>
  <c r="C302" i="24"/>
  <c r="E302" i="24"/>
  <c r="A303" i="24"/>
  <c r="I159" i="24"/>
  <c r="K159" i="24" s="1"/>
  <c r="F159" i="24"/>
  <c r="A372" i="29" l="1"/>
  <c r="C371" i="29"/>
  <c r="E371" i="29"/>
  <c r="G157" i="29"/>
  <c r="H157" i="29" s="1"/>
  <c r="J157" i="29"/>
  <c r="D158" i="29" s="1"/>
  <c r="I159" i="27"/>
  <c r="K159" i="27" s="1"/>
  <c r="F159" i="27"/>
  <c r="E309" i="27"/>
  <c r="A310" i="27"/>
  <c r="C309" i="27"/>
  <c r="A304" i="24"/>
  <c r="C303" i="24"/>
  <c r="E303" i="24"/>
  <c r="J159" i="24"/>
  <c r="D160" i="24" s="1"/>
  <c r="G159" i="24"/>
  <c r="H159" i="24" s="1"/>
  <c r="A373" i="29" l="1"/>
  <c r="C372" i="29"/>
  <c r="E372" i="29"/>
  <c r="I158" i="29"/>
  <c r="K158" i="29" s="1"/>
  <c r="F158" i="29"/>
  <c r="A311" i="27"/>
  <c r="E310" i="27"/>
  <c r="C310" i="27"/>
  <c r="G159" i="27"/>
  <c r="H159" i="27" s="1"/>
  <c r="J159" i="27"/>
  <c r="D160" i="27" s="1"/>
  <c r="C304" i="24"/>
  <c r="E304" i="24"/>
  <c r="A305" i="24"/>
  <c r="I160" i="24"/>
  <c r="K160" i="24" s="1"/>
  <c r="F160" i="24"/>
  <c r="A374" i="29" l="1"/>
  <c r="C373" i="29"/>
  <c r="E373" i="29"/>
  <c r="G158" i="29"/>
  <c r="H158" i="29" s="1"/>
  <c r="J158" i="29"/>
  <c r="D159" i="29" s="1"/>
  <c r="I160" i="27"/>
  <c r="K160" i="27" s="1"/>
  <c r="F160" i="27"/>
  <c r="C311" i="27"/>
  <c r="E311" i="27"/>
  <c r="A312" i="27"/>
  <c r="C305" i="24"/>
  <c r="A306" i="24"/>
  <c r="E305" i="24"/>
  <c r="G160" i="24"/>
  <c r="H160" i="24" s="1"/>
  <c r="J160" i="24"/>
  <c r="D161" i="24" s="1"/>
  <c r="A375" i="29" l="1"/>
  <c r="E374" i="29"/>
  <c r="C374" i="29"/>
  <c r="I159" i="29"/>
  <c r="K159" i="29" s="1"/>
  <c r="F159" i="29"/>
  <c r="G160" i="27"/>
  <c r="H160" i="27" s="1"/>
  <c r="J160" i="27"/>
  <c r="D161" i="27" s="1"/>
  <c r="A313" i="27"/>
  <c r="C312" i="27"/>
  <c r="E312" i="27"/>
  <c r="E306" i="24"/>
  <c r="C306" i="24"/>
  <c r="A307" i="24"/>
  <c r="F161" i="24"/>
  <c r="I161" i="24"/>
  <c r="K161" i="24" s="1"/>
  <c r="A376" i="29" l="1"/>
  <c r="E375" i="29"/>
  <c r="C375" i="29"/>
  <c r="J159" i="29"/>
  <c r="D160" i="29" s="1"/>
  <c r="G159" i="29"/>
  <c r="H159" i="29" s="1"/>
  <c r="A314" i="27"/>
  <c r="E313" i="27"/>
  <c r="C313" i="27"/>
  <c r="F161" i="27"/>
  <c r="I161" i="27"/>
  <c r="K161" i="27" s="1"/>
  <c r="C307" i="24"/>
  <c r="E307" i="24"/>
  <c r="A308" i="24"/>
  <c r="J161" i="24"/>
  <c r="D162" i="24" s="1"/>
  <c r="G161" i="24"/>
  <c r="H161" i="24" s="1"/>
  <c r="E376" i="29" l="1"/>
  <c r="C376" i="29"/>
  <c r="I160" i="29"/>
  <c r="K160" i="29" s="1"/>
  <c r="F160" i="29"/>
  <c r="G161" i="27"/>
  <c r="H161" i="27" s="1"/>
  <c r="J161" i="27"/>
  <c r="D162" i="27" s="1"/>
  <c r="C314" i="27"/>
  <c r="A315" i="27"/>
  <c r="E314" i="27"/>
  <c r="C308" i="24"/>
  <c r="A309" i="24"/>
  <c r="E308" i="24"/>
  <c r="I162" i="24"/>
  <c r="K162" i="24" s="1"/>
  <c r="F162" i="24"/>
  <c r="J160" i="29" l="1"/>
  <c r="D161" i="29" s="1"/>
  <c r="G160" i="29"/>
  <c r="H160" i="29" s="1"/>
  <c r="A316" i="27"/>
  <c r="E315" i="27"/>
  <c r="C315" i="27"/>
  <c r="I162" i="27"/>
  <c r="K162" i="27" s="1"/>
  <c r="F162" i="27"/>
  <c r="A310" i="24"/>
  <c r="E309" i="24"/>
  <c r="C309" i="24"/>
  <c r="G162" i="24"/>
  <c r="H162" i="24" s="1"/>
  <c r="J162" i="24"/>
  <c r="D163" i="24" s="1"/>
  <c r="I161" i="29" l="1"/>
  <c r="K161" i="29" s="1"/>
  <c r="F161" i="29"/>
  <c r="J162" i="27"/>
  <c r="D163" i="27" s="1"/>
  <c r="G162" i="27"/>
  <c r="H162" i="27" s="1"/>
  <c r="C316" i="27"/>
  <c r="E316" i="27"/>
  <c r="A317" i="27"/>
  <c r="A311" i="24"/>
  <c r="C310" i="24"/>
  <c r="E310" i="24"/>
  <c r="I163" i="24"/>
  <c r="K163" i="24" s="1"/>
  <c r="F163" i="24"/>
  <c r="J161" i="29" l="1"/>
  <c r="D162" i="29" s="1"/>
  <c r="G161" i="29"/>
  <c r="H161" i="29" s="1"/>
  <c r="E317" i="27"/>
  <c r="A318" i="27"/>
  <c r="C317" i="27"/>
  <c r="F163" i="27"/>
  <c r="I163" i="27"/>
  <c r="K163" i="27" s="1"/>
  <c r="C311" i="24"/>
  <c r="E311" i="24"/>
  <c r="A312" i="24"/>
  <c r="G163" i="24"/>
  <c r="H163" i="24" s="1"/>
  <c r="J163" i="24"/>
  <c r="D164" i="24" s="1"/>
  <c r="I162" i="29" l="1"/>
  <c r="K162" i="29" s="1"/>
  <c r="F162" i="29"/>
  <c r="J163" i="27"/>
  <c r="D164" i="27" s="1"/>
  <c r="G163" i="27"/>
  <c r="H163" i="27" s="1"/>
  <c r="A319" i="27"/>
  <c r="C318" i="27"/>
  <c r="E318" i="27"/>
  <c r="C312" i="24"/>
  <c r="A313" i="24"/>
  <c r="E312" i="24"/>
  <c r="I164" i="24"/>
  <c r="K164" i="24" s="1"/>
  <c r="F164" i="24"/>
  <c r="J162" i="29" l="1"/>
  <c r="D163" i="29" s="1"/>
  <c r="G162" i="29"/>
  <c r="H162" i="29" s="1"/>
  <c r="C319" i="27"/>
  <c r="E319" i="27"/>
  <c r="A320" i="27"/>
  <c r="F164" i="27"/>
  <c r="I164" i="27"/>
  <c r="K164" i="27" s="1"/>
  <c r="A314" i="24"/>
  <c r="C313" i="24"/>
  <c r="E313" i="24"/>
  <c r="G164" i="24"/>
  <c r="H164" i="24" s="1"/>
  <c r="J164" i="24"/>
  <c r="D165" i="24" s="1"/>
  <c r="I163" i="29" l="1"/>
  <c r="K163" i="29" s="1"/>
  <c r="F163" i="29"/>
  <c r="A321" i="27"/>
  <c r="E320" i="27"/>
  <c r="C320" i="27"/>
  <c r="J164" i="27"/>
  <c r="D165" i="27" s="1"/>
  <c r="G164" i="27"/>
  <c r="H164" i="27" s="1"/>
  <c r="C314" i="24"/>
  <c r="E314" i="24"/>
  <c r="A315" i="24"/>
  <c r="I165" i="24"/>
  <c r="K165" i="24" s="1"/>
  <c r="F165" i="24"/>
  <c r="J163" i="29" l="1"/>
  <c r="D164" i="29" s="1"/>
  <c r="G163" i="29"/>
  <c r="H163" i="29" s="1"/>
  <c r="F165" i="27"/>
  <c r="I165" i="27"/>
  <c r="K165" i="27" s="1"/>
  <c r="A322" i="27"/>
  <c r="C321" i="27"/>
  <c r="E321" i="27"/>
  <c r="E315" i="24"/>
  <c r="A316" i="24"/>
  <c r="C315" i="24"/>
  <c r="J165" i="24"/>
  <c r="D166" i="24" s="1"/>
  <c r="G165" i="24"/>
  <c r="H165" i="24" s="1"/>
  <c r="I164" i="29" l="1"/>
  <c r="K164" i="29" s="1"/>
  <c r="F164" i="29"/>
  <c r="C322" i="27"/>
  <c r="A323" i="27"/>
  <c r="E322" i="27"/>
  <c r="G165" i="27"/>
  <c r="H165" i="27" s="1"/>
  <c r="J165" i="27"/>
  <c r="D166" i="27" s="1"/>
  <c r="A317" i="24"/>
  <c r="E316" i="24"/>
  <c r="C316" i="24"/>
  <c r="F166" i="24"/>
  <c r="I166" i="24"/>
  <c r="K166" i="24" s="1"/>
  <c r="G164" i="29" l="1"/>
  <c r="H164" i="29" s="1"/>
  <c r="J164" i="29"/>
  <c r="D165" i="29" s="1"/>
  <c r="F166" i="27"/>
  <c r="I166" i="27"/>
  <c r="K166" i="27" s="1"/>
  <c r="A324" i="27"/>
  <c r="E323" i="27"/>
  <c r="C323" i="27"/>
  <c r="C317" i="24"/>
  <c r="E317" i="24"/>
  <c r="A318" i="24"/>
  <c r="J166" i="24"/>
  <c r="D167" i="24" s="1"/>
  <c r="G166" i="24"/>
  <c r="H166" i="24" s="1"/>
  <c r="I165" i="29" l="1"/>
  <c r="K165" i="29" s="1"/>
  <c r="F165" i="29"/>
  <c r="E324" i="27"/>
  <c r="C324" i="27"/>
  <c r="A325" i="27"/>
  <c r="J166" i="27"/>
  <c r="D167" i="27" s="1"/>
  <c r="G166" i="27"/>
  <c r="H166" i="27" s="1"/>
  <c r="A319" i="24"/>
  <c r="E318" i="24"/>
  <c r="C318" i="24"/>
  <c r="I167" i="24"/>
  <c r="K167" i="24" s="1"/>
  <c r="F167" i="24"/>
  <c r="G165" i="29" l="1"/>
  <c r="H165" i="29" s="1"/>
  <c r="J165" i="29"/>
  <c r="D166" i="29" s="1"/>
  <c r="E325" i="27"/>
  <c r="A326" i="27"/>
  <c r="C325" i="27"/>
  <c r="I167" i="27"/>
  <c r="K167" i="27" s="1"/>
  <c r="F167" i="27"/>
  <c r="C319" i="24"/>
  <c r="A320" i="24"/>
  <c r="E319" i="24"/>
  <c r="G167" i="24"/>
  <c r="H167" i="24" s="1"/>
  <c r="J167" i="24"/>
  <c r="D168" i="24" s="1"/>
  <c r="I166" i="29" l="1"/>
  <c r="K166" i="29" s="1"/>
  <c r="F166" i="29"/>
  <c r="G167" i="27"/>
  <c r="H167" i="27" s="1"/>
  <c r="J167" i="27"/>
  <c r="D168" i="27" s="1"/>
  <c r="A327" i="27"/>
  <c r="C326" i="27"/>
  <c r="E326" i="27"/>
  <c r="C320" i="24"/>
  <c r="A321" i="24"/>
  <c r="E320" i="24"/>
  <c r="I168" i="24"/>
  <c r="K168" i="24" s="1"/>
  <c r="F168" i="24"/>
  <c r="G166" i="29" l="1"/>
  <c r="H166" i="29" s="1"/>
  <c r="J166" i="29"/>
  <c r="D167" i="29" s="1"/>
  <c r="E327" i="27"/>
  <c r="C327" i="27"/>
  <c r="A328" i="27"/>
  <c r="I168" i="27"/>
  <c r="K168" i="27" s="1"/>
  <c r="F168" i="27"/>
  <c r="A322" i="24"/>
  <c r="E321" i="24"/>
  <c r="C321" i="24"/>
  <c r="G168" i="24"/>
  <c r="H168" i="24" s="1"/>
  <c r="J168" i="24"/>
  <c r="D169" i="24" s="1"/>
  <c r="I167" i="29" l="1"/>
  <c r="K167" i="29" s="1"/>
  <c r="F167" i="29"/>
  <c r="G168" i="27"/>
  <c r="H168" i="27" s="1"/>
  <c r="J168" i="27"/>
  <c r="D169" i="27" s="1"/>
  <c r="A329" i="27"/>
  <c r="E328" i="27"/>
  <c r="C328" i="27"/>
  <c r="C322" i="24"/>
  <c r="A323" i="24"/>
  <c r="E322" i="24"/>
  <c r="I169" i="24"/>
  <c r="K169" i="24" s="1"/>
  <c r="F169" i="24"/>
  <c r="G167" i="29" l="1"/>
  <c r="H167" i="29" s="1"/>
  <c r="J167" i="29"/>
  <c r="D168" i="29" s="1"/>
  <c r="A330" i="27"/>
  <c r="C329" i="27"/>
  <c r="E329" i="27"/>
  <c r="I169" i="27"/>
  <c r="K169" i="27" s="1"/>
  <c r="F169" i="27"/>
  <c r="A324" i="24"/>
  <c r="C323" i="24"/>
  <c r="E323" i="24"/>
  <c r="J169" i="24"/>
  <c r="D170" i="24" s="1"/>
  <c r="G169" i="24"/>
  <c r="H169" i="24" s="1"/>
  <c r="I168" i="29" l="1"/>
  <c r="K168" i="29" s="1"/>
  <c r="F168" i="29"/>
  <c r="G169" i="27"/>
  <c r="H169" i="27" s="1"/>
  <c r="J169" i="27"/>
  <c r="D170" i="27" s="1"/>
  <c r="E330" i="27"/>
  <c r="A331" i="27"/>
  <c r="C330" i="27"/>
  <c r="E324" i="24"/>
  <c r="C324" i="24"/>
  <c r="A325" i="24"/>
  <c r="F170" i="24"/>
  <c r="I170" i="24"/>
  <c r="K170" i="24" s="1"/>
  <c r="G168" i="29" l="1"/>
  <c r="H168" i="29" s="1"/>
  <c r="J168" i="29"/>
  <c r="D169" i="29" s="1"/>
  <c r="F170" i="27"/>
  <c r="I170" i="27"/>
  <c r="K170" i="27" s="1"/>
  <c r="A332" i="27"/>
  <c r="E331" i="27"/>
  <c r="C331" i="27"/>
  <c r="E325" i="24"/>
  <c r="C325" i="24"/>
  <c r="A326" i="24"/>
  <c r="G170" i="24"/>
  <c r="H170" i="24" s="1"/>
  <c r="J170" i="24"/>
  <c r="D171" i="24" s="1"/>
  <c r="I169" i="29" l="1"/>
  <c r="K169" i="29" s="1"/>
  <c r="F169" i="29"/>
  <c r="C332" i="27"/>
  <c r="E332" i="27"/>
  <c r="A333" i="27"/>
  <c r="G170" i="27"/>
  <c r="H170" i="27" s="1"/>
  <c r="J170" i="27"/>
  <c r="D171" i="27" s="1"/>
  <c r="A327" i="24"/>
  <c r="E326" i="24"/>
  <c r="C326" i="24"/>
  <c r="I171" i="24"/>
  <c r="K171" i="24" s="1"/>
  <c r="F171" i="24"/>
  <c r="J169" i="29" l="1"/>
  <c r="D170" i="29" s="1"/>
  <c r="G169" i="29"/>
  <c r="H169" i="29" s="1"/>
  <c r="I171" i="27"/>
  <c r="K171" i="27" s="1"/>
  <c r="F171" i="27"/>
  <c r="E333" i="27"/>
  <c r="A334" i="27"/>
  <c r="C333" i="27"/>
  <c r="C327" i="24"/>
  <c r="A328" i="24"/>
  <c r="E327" i="24"/>
  <c r="J171" i="24"/>
  <c r="D172" i="24" s="1"/>
  <c r="G171" i="24"/>
  <c r="H171" i="24" s="1"/>
  <c r="I170" i="29" l="1"/>
  <c r="K170" i="29" s="1"/>
  <c r="F170" i="29"/>
  <c r="G171" i="27"/>
  <c r="H171" i="27" s="1"/>
  <c r="J171" i="27"/>
  <c r="D172" i="27" s="1"/>
  <c r="A335" i="27"/>
  <c r="E334" i="27"/>
  <c r="C334" i="27"/>
  <c r="E328" i="24"/>
  <c r="A329" i="24"/>
  <c r="C328" i="24"/>
  <c r="I172" i="24"/>
  <c r="K172" i="24" s="1"/>
  <c r="F172" i="24"/>
  <c r="J170" i="29" l="1"/>
  <c r="D171" i="29" s="1"/>
  <c r="G170" i="29"/>
  <c r="H170" i="29" s="1"/>
  <c r="E335" i="27"/>
  <c r="C335" i="27"/>
  <c r="A336" i="27"/>
  <c r="I172" i="27"/>
  <c r="K172" i="27" s="1"/>
  <c r="F172" i="27"/>
  <c r="A330" i="24"/>
  <c r="E329" i="24"/>
  <c r="C329" i="24"/>
  <c r="J172" i="24"/>
  <c r="D173" i="24" s="1"/>
  <c r="G172" i="24"/>
  <c r="H172" i="24" s="1"/>
  <c r="I171" i="29" l="1"/>
  <c r="K171" i="29" s="1"/>
  <c r="F171" i="29"/>
  <c r="J172" i="27"/>
  <c r="D173" i="27" s="1"/>
  <c r="G172" i="27"/>
  <c r="H172" i="27" s="1"/>
  <c r="A337" i="27"/>
  <c r="E336" i="27"/>
  <c r="C336" i="27"/>
  <c r="E330" i="24"/>
  <c r="C330" i="24"/>
  <c r="A331" i="24"/>
  <c r="I173" i="24"/>
  <c r="K173" i="24" s="1"/>
  <c r="F173" i="24"/>
  <c r="G171" i="29" l="1"/>
  <c r="H171" i="29" s="1"/>
  <c r="J171" i="29"/>
  <c r="D172" i="29" s="1"/>
  <c r="A338" i="27"/>
  <c r="E337" i="27"/>
  <c r="C337" i="27"/>
  <c r="I173" i="27"/>
  <c r="K173" i="27" s="1"/>
  <c r="F173" i="27"/>
  <c r="A332" i="24"/>
  <c r="E331" i="24"/>
  <c r="C331" i="24"/>
  <c r="J173" i="24"/>
  <c r="D174" i="24" s="1"/>
  <c r="G173" i="24"/>
  <c r="H173" i="24" s="1"/>
  <c r="I172" i="29" l="1"/>
  <c r="K172" i="29" s="1"/>
  <c r="F172" i="29"/>
  <c r="J173" i="27"/>
  <c r="D174" i="27" s="1"/>
  <c r="G173" i="27"/>
  <c r="H173" i="27" s="1"/>
  <c r="C338" i="27"/>
  <c r="A339" i="27"/>
  <c r="E338" i="27"/>
  <c r="E332" i="24"/>
  <c r="C332" i="24"/>
  <c r="A333" i="24"/>
  <c r="I174" i="24"/>
  <c r="K174" i="24" s="1"/>
  <c r="F174" i="24"/>
  <c r="J172" i="29" l="1"/>
  <c r="D173" i="29" s="1"/>
  <c r="G172" i="29"/>
  <c r="H172" i="29" s="1"/>
  <c r="A340" i="27"/>
  <c r="E339" i="27"/>
  <c r="C339" i="27"/>
  <c r="I174" i="27"/>
  <c r="K174" i="27" s="1"/>
  <c r="F174" i="27"/>
  <c r="C333" i="24"/>
  <c r="A334" i="24"/>
  <c r="E333" i="24"/>
  <c r="G174" i="24"/>
  <c r="H174" i="24" s="1"/>
  <c r="J174" i="24"/>
  <c r="D175" i="24" s="1"/>
  <c r="I173" i="29" l="1"/>
  <c r="K173" i="29" s="1"/>
  <c r="F173" i="29"/>
  <c r="J174" i="27"/>
  <c r="D175" i="27" s="1"/>
  <c r="G174" i="27"/>
  <c r="H174" i="27" s="1"/>
  <c r="E340" i="27"/>
  <c r="C340" i="27"/>
  <c r="A341" i="27"/>
  <c r="A335" i="24"/>
  <c r="C334" i="24"/>
  <c r="E334" i="24"/>
  <c r="I175" i="24"/>
  <c r="K175" i="24" s="1"/>
  <c r="F175" i="24"/>
  <c r="J173" i="29" l="1"/>
  <c r="D174" i="29" s="1"/>
  <c r="G173" i="29"/>
  <c r="H173" i="29" s="1"/>
  <c r="E341" i="27"/>
  <c r="A342" i="27"/>
  <c r="C341" i="27"/>
  <c r="I175" i="27"/>
  <c r="K175" i="27" s="1"/>
  <c r="F175" i="27"/>
  <c r="E335" i="24"/>
  <c r="C335" i="24"/>
  <c r="A336" i="24"/>
  <c r="J175" i="24"/>
  <c r="D176" i="24" s="1"/>
  <c r="G175" i="24"/>
  <c r="H175" i="24" s="1"/>
  <c r="I174" i="29" l="1"/>
  <c r="K174" i="29" s="1"/>
  <c r="F174" i="29"/>
  <c r="G175" i="27"/>
  <c r="H175" i="27" s="1"/>
  <c r="J175" i="27"/>
  <c r="D176" i="27" s="1"/>
  <c r="A343" i="27"/>
  <c r="C342" i="27"/>
  <c r="E342" i="27"/>
  <c r="E336" i="24"/>
  <c r="C336" i="24"/>
  <c r="A337" i="24"/>
  <c r="I176" i="24"/>
  <c r="K176" i="24" s="1"/>
  <c r="F176" i="24"/>
  <c r="J174" i="29" l="1"/>
  <c r="D175" i="29" s="1"/>
  <c r="G174" i="29"/>
  <c r="H174" i="29" s="1"/>
  <c r="C343" i="27"/>
  <c r="E343" i="27"/>
  <c r="A344" i="27"/>
  <c r="I176" i="27"/>
  <c r="K176" i="27" s="1"/>
  <c r="F176" i="27"/>
  <c r="E337" i="24"/>
  <c r="C337" i="24"/>
  <c r="A338" i="24"/>
  <c r="G176" i="24"/>
  <c r="H176" i="24" s="1"/>
  <c r="J176" i="24"/>
  <c r="D177" i="24" s="1"/>
  <c r="I175" i="29" l="1"/>
  <c r="K175" i="29" s="1"/>
  <c r="F175" i="29"/>
  <c r="J176" i="27"/>
  <c r="D177" i="27" s="1"/>
  <c r="G176" i="27"/>
  <c r="H176" i="27" s="1"/>
  <c r="A345" i="27"/>
  <c r="E344" i="27"/>
  <c r="C344" i="27"/>
  <c r="C338" i="24"/>
  <c r="A339" i="24"/>
  <c r="E338" i="24"/>
  <c r="F177" i="24"/>
  <c r="I177" i="24"/>
  <c r="K177" i="24" s="1"/>
  <c r="J175" i="29" l="1"/>
  <c r="D176" i="29" s="1"/>
  <c r="G175" i="29"/>
  <c r="H175" i="29" s="1"/>
  <c r="F177" i="27"/>
  <c r="I177" i="27"/>
  <c r="K177" i="27" s="1"/>
  <c r="A346" i="27"/>
  <c r="E345" i="27"/>
  <c r="C345" i="27"/>
  <c r="C339" i="24"/>
  <c r="E339" i="24"/>
  <c r="A340" i="24"/>
  <c r="J177" i="24"/>
  <c r="D178" i="24" s="1"/>
  <c r="G177" i="24"/>
  <c r="H177" i="24" s="1"/>
  <c r="I176" i="29" l="1"/>
  <c r="K176" i="29" s="1"/>
  <c r="F176" i="29"/>
  <c r="C346" i="27"/>
  <c r="A347" i="27"/>
  <c r="E346" i="27"/>
  <c r="J177" i="27"/>
  <c r="D178" i="27" s="1"/>
  <c r="G177" i="27"/>
  <c r="H177" i="27" s="1"/>
  <c r="E340" i="24"/>
  <c r="A341" i="24"/>
  <c r="C340" i="24"/>
  <c r="I178" i="24"/>
  <c r="K178" i="24" s="1"/>
  <c r="F178" i="24"/>
  <c r="J176" i="29" l="1"/>
  <c r="D177" i="29" s="1"/>
  <c r="G176" i="29"/>
  <c r="H176" i="29" s="1"/>
  <c r="I178" i="27"/>
  <c r="K178" i="27" s="1"/>
  <c r="F178" i="27"/>
  <c r="A348" i="27"/>
  <c r="C347" i="27"/>
  <c r="E347" i="27"/>
  <c r="A342" i="24"/>
  <c r="C341" i="24"/>
  <c r="E341" i="24"/>
  <c r="J178" i="24"/>
  <c r="D179" i="24" s="1"/>
  <c r="G178" i="24"/>
  <c r="H178" i="24" s="1"/>
  <c r="I177" i="29" l="1"/>
  <c r="K177" i="29" s="1"/>
  <c r="F177" i="29"/>
  <c r="E348" i="27"/>
  <c r="C348" i="27"/>
  <c r="A349" i="27"/>
  <c r="G178" i="27"/>
  <c r="H178" i="27" s="1"/>
  <c r="J178" i="27"/>
  <c r="D179" i="27" s="1"/>
  <c r="C342" i="24"/>
  <c r="E342" i="24"/>
  <c r="A343" i="24"/>
  <c r="F179" i="24"/>
  <c r="I179" i="24"/>
  <c r="K179" i="24" s="1"/>
  <c r="J177" i="29" l="1"/>
  <c r="D178" i="29" s="1"/>
  <c r="G177" i="29"/>
  <c r="H177" i="29" s="1"/>
  <c r="I179" i="27"/>
  <c r="K179" i="27" s="1"/>
  <c r="F179" i="27"/>
  <c r="E349" i="27"/>
  <c r="A350" i="27"/>
  <c r="C349" i="27"/>
  <c r="E343" i="24"/>
  <c r="A344" i="24"/>
  <c r="C343" i="24"/>
  <c r="J179" i="24"/>
  <c r="D180" i="24" s="1"/>
  <c r="G179" i="24"/>
  <c r="H179" i="24" s="1"/>
  <c r="I178" i="29" l="1"/>
  <c r="K178" i="29" s="1"/>
  <c r="F178" i="29"/>
  <c r="G179" i="27"/>
  <c r="H179" i="27" s="1"/>
  <c r="J179" i="27"/>
  <c r="D180" i="27" s="1"/>
  <c r="A351" i="27"/>
  <c r="E350" i="27"/>
  <c r="C350" i="27"/>
  <c r="E344" i="24"/>
  <c r="A345" i="24"/>
  <c r="C344" i="24"/>
  <c r="I180" i="24"/>
  <c r="K180" i="24" s="1"/>
  <c r="F180" i="24"/>
  <c r="G178" i="29" l="1"/>
  <c r="H178" i="29" s="1"/>
  <c r="J178" i="29"/>
  <c r="D179" i="29" s="1"/>
  <c r="E351" i="27"/>
  <c r="C351" i="27"/>
  <c r="A352" i="27"/>
  <c r="I180" i="27"/>
  <c r="K180" i="27" s="1"/>
  <c r="F180" i="27"/>
  <c r="C345" i="24"/>
  <c r="E345" i="24"/>
  <c r="A346" i="24"/>
  <c r="J180" i="24"/>
  <c r="D181" i="24" s="1"/>
  <c r="G180" i="24"/>
  <c r="H180" i="24" s="1"/>
  <c r="I179" i="29" l="1"/>
  <c r="K179" i="29" s="1"/>
  <c r="F179" i="29"/>
  <c r="J180" i="27"/>
  <c r="D181" i="27" s="1"/>
  <c r="G180" i="27"/>
  <c r="H180" i="27" s="1"/>
  <c r="A353" i="27"/>
  <c r="C352" i="27"/>
  <c r="E352" i="27"/>
  <c r="E346" i="24"/>
  <c r="C346" i="24"/>
  <c r="A347" i="24"/>
  <c r="F181" i="24"/>
  <c r="I181" i="24"/>
  <c r="K181" i="24" s="1"/>
  <c r="G179" i="29" l="1"/>
  <c r="H179" i="29" s="1"/>
  <c r="J179" i="29"/>
  <c r="D180" i="29" s="1"/>
  <c r="A354" i="27"/>
  <c r="C353" i="27"/>
  <c r="E353" i="27"/>
  <c r="I181" i="27"/>
  <c r="K181" i="27" s="1"/>
  <c r="F181" i="27"/>
  <c r="E347" i="24"/>
  <c r="A348" i="24"/>
  <c r="C347" i="24"/>
  <c r="J181" i="24"/>
  <c r="D182" i="24" s="1"/>
  <c r="G181" i="24"/>
  <c r="H181" i="24" s="1"/>
  <c r="I180" i="29" l="1"/>
  <c r="K180" i="29" s="1"/>
  <c r="F180" i="29"/>
  <c r="J181" i="27"/>
  <c r="D182" i="27" s="1"/>
  <c r="G181" i="27"/>
  <c r="H181" i="27" s="1"/>
  <c r="E354" i="27"/>
  <c r="A355" i="27"/>
  <c r="C354" i="27"/>
  <c r="E348" i="24"/>
  <c r="A349" i="24"/>
  <c r="C348" i="24"/>
  <c r="I182" i="24"/>
  <c r="K182" i="24" s="1"/>
  <c r="F182" i="24"/>
  <c r="G180" i="29" l="1"/>
  <c r="H180" i="29" s="1"/>
  <c r="J180" i="29"/>
  <c r="D181" i="29" s="1"/>
  <c r="I182" i="27"/>
  <c r="K182" i="27" s="1"/>
  <c r="F182" i="27"/>
  <c r="A356" i="27"/>
  <c r="C355" i="27"/>
  <c r="E355" i="27"/>
  <c r="A350" i="24"/>
  <c r="C349" i="24"/>
  <c r="E349" i="24"/>
  <c r="J182" i="24"/>
  <c r="D183" i="24" s="1"/>
  <c r="G182" i="24"/>
  <c r="H182" i="24" s="1"/>
  <c r="I181" i="29" l="1"/>
  <c r="K181" i="29" s="1"/>
  <c r="F181" i="29"/>
  <c r="E356" i="27"/>
  <c r="C356" i="27"/>
  <c r="A357" i="27"/>
  <c r="J182" i="27"/>
  <c r="D183" i="27" s="1"/>
  <c r="G182" i="27"/>
  <c r="H182" i="27" s="1"/>
  <c r="C350" i="24"/>
  <c r="A351" i="24"/>
  <c r="E350" i="24"/>
  <c r="I183" i="24"/>
  <c r="K183" i="24" s="1"/>
  <c r="F183" i="24"/>
  <c r="J181" i="29" l="1"/>
  <c r="D182" i="29" s="1"/>
  <c r="G181" i="29"/>
  <c r="H181" i="29" s="1"/>
  <c r="C357" i="27"/>
  <c r="A358" i="27"/>
  <c r="E357" i="27"/>
  <c r="F183" i="27"/>
  <c r="I183" i="27"/>
  <c r="K183" i="27" s="1"/>
  <c r="A352" i="24"/>
  <c r="C351" i="24"/>
  <c r="E351" i="24"/>
  <c r="J183" i="24"/>
  <c r="D184" i="24" s="1"/>
  <c r="G183" i="24"/>
  <c r="H183" i="24" s="1"/>
  <c r="I182" i="29" l="1"/>
  <c r="K182" i="29" s="1"/>
  <c r="F182" i="29"/>
  <c r="J183" i="27"/>
  <c r="D184" i="27" s="1"/>
  <c r="G183" i="27"/>
  <c r="H183" i="27" s="1"/>
  <c r="A359" i="27"/>
  <c r="C358" i="27"/>
  <c r="E358" i="27"/>
  <c r="E352" i="24"/>
  <c r="A353" i="24"/>
  <c r="C352" i="24"/>
  <c r="I184" i="24"/>
  <c r="K184" i="24" s="1"/>
  <c r="F184" i="24"/>
  <c r="J182" i="29" l="1"/>
  <c r="D183" i="29" s="1"/>
  <c r="G182" i="29"/>
  <c r="H182" i="29" s="1"/>
  <c r="F184" i="27"/>
  <c r="I184" i="27"/>
  <c r="K184" i="27" s="1"/>
  <c r="E359" i="27"/>
  <c r="C359" i="27"/>
  <c r="A360" i="27"/>
  <c r="A354" i="24"/>
  <c r="E353" i="24"/>
  <c r="C353" i="24"/>
  <c r="J184" i="24"/>
  <c r="D185" i="24" s="1"/>
  <c r="G184" i="24"/>
  <c r="H184" i="24" s="1"/>
  <c r="I183" i="29" l="1"/>
  <c r="K183" i="29" s="1"/>
  <c r="F183" i="29"/>
  <c r="A361" i="27"/>
  <c r="E360" i="27"/>
  <c r="C360" i="27"/>
  <c r="J184" i="27"/>
  <c r="D185" i="27" s="1"/>
  <c r="G184" i="27"/>
  <c r="H184" i="27" s="1"/>
  <c r="C354" i="24"/>
  <c r="E354" i="24"/>
  <c r="A355" i="24"/>
  <c r="F185" i="24"/>
  <c r="I185" i="24"/>
  <c r="K185" i="24" s="1"/>
  <c r="G183" i="29" l="1"/>
  <c r="H183" i="29" s="1"/>
  <c r="J183" i="29"/>
  <c r="D184" i="29" s="1"/>
  <c r="F185" i="27"/>
  <c r="I185" i="27"/>
  <c r="K185" i="27" s="1"/>
  <c r="A362" i="27"/>
  <c r="E361" i="27"/>
  <c r="C361" i="27"/>
  <c r="C355" i="24"/>
  <c r="E355" i="24"/>
  <c r="A356" i="24"/>
  <c r="G185" i="24"/>
  <c r="H185" i="24" s="1"/>
  <c r="J185" i="24"/>
  <c r="D186" i="24" s="1"/>
  <c r="I184" i="29" l="1"/>
  <c r="K184" i="29" s="1"/>
  <c r="F184" i="29"/>
  <c r="E362" i="27"/>
  <c r="A363" i="27"/>
  <c r="C362" i="27"/>
  <c r="G185" i="27"/>
  <c r="H185" i="27" s="1"/>
  <c r="J185" i="27"/>
  <c r="D186" i="27" s="1"/>
  <c r="C356" i="24"/>
  <c r="E356" i="24"/>
  <c r="A357" i="24"/>
  <c r="I186" i="24"/>
  <c r="K186" i="24" s="1"/>
  <c r="F186" i="24"/>
  <c r="J184" i="29" l="1"/>
  <c r="D185" i="29" s="1"/>
  <c r="G184" i="29"/>
  <c r="H184" i="29" s="1"/>
  <c r="A364" i="27"/>
  <c r="C363" i="27"/>
  <c r="E363" i="27"/>
  <c r="I186" i="27"/>
  <c r="K186" i="27" s="1"/>
  <c r="F186" i="27"/>
  <c r="C357" i="24"/>
  <c r="E357" i="24"/>
  <c r="A358" i="24"/>
  <c r="J186" i="24"/>
  <c r="D187" i="24" s="1"/>
  <c r="G186" i="24"/>
  <c r="H186" i="24" s="1"/>
  <c r="I185" i="29" l="1"/>
  <c r="K185" i="29" s="1"/>
  <c r="F185" i="29"/>
  <c r="J186" i="27"/>
  <c r="D187" i="27" s="1"/>
  <c r="G186" i="27"/>
  <c r="H186" i="27" s="1"/>
  <c r="C364" i="27"/>
  <c r="E364" i="27"/>
  <c r="A365" i="27"/>
  <c r="E358" i="24"/>
  <c r="C358" i="24"/>
  <c r="A359" i="24"/>
  <c r="I187" i="24"/>
  <c r="K187" i="24" s="1"/>
  <c r="F187" i="24"/>
  <c r="G185" i="29" l="1"/>
  <c r="H185" i="29" s="1"/>
  <c r="J185" i="29"/>
  <c r="D186" i="29" s="1"/>
  <c r="E365" i="27"/>
  <c r="A366" i="27"/>
  <c r="C365" i="27"/>
  <c r="I187" i="27"/>
  <c r="K187" i="27" s="1"/>
  <c r="F187" i="27"/>
  <c r="E359" i="24"/>
  <c r="C359" i="24"/>
  <c r="A360" i="24"/>
  <c r="G187" i="24"/>
  <c r="H187" i="24" s="1"/>
  <c r="J187" i="24"/>
  <c r="D188" i="24" s="1"/>
  <c r="I186" i="29" l="1"/>
  <c r="K186" i="29" s="1"/>
  <c r="F186" i="29"/>
  <c r="A367" i="27"/>
  <c r="C366" i="27"/>
  <c r="E366" i="27"/>
  <c r="J187" i="27"/>
  <c r="D188" i="27" s="1"/>
  <c r="G187" i="27"/>
  <c r="H187" i="27" s="1"/>
  <c r="E360" i="24"/>
  <c r="C360" i="24"/>
  <c r="A361" i="24"/>
  <c r="F188" i="24"/>
  <c r="I188" i="24"/>
  <c r="K188" i="24" s="1"/>
  <c r="G186" i="29" l="1"/>
  <c r="H186" i="29" s="1"/>
  <c r="J186" i="29"/>
  <c r="D187" i="29" s="1"/>
  <c r="F188" i="27"/>
  <c r="I188" i="27"/>
  <c r="K188" i="27" s="1"/>
  <c r="C367" i="27"/>
  <c r="E367" i="27"/>
  <c r="A368" i="27"/>
  <c r="A362" i="24"/>
  <c r="E361" i="24"/>
  <c r="C361" i="24"/>
  <c r="G188" i="24"/>
  <c r="H188" i="24" s="1"/>
  <c r="J188" i="24"/>
  <c r="D189" i="24" s="1"/>
  <c r="I187" i="29" l="1"/>
  <c r="K187" i="29" s="1"/>
  <c r="F187" i="29"/>
  <c r="J188" i="27"/>
  <c r="D189" i="27" s="1"/>
  <c r="G188" i="27"/>
  <c r="H188" i="27" s="1"/>
  <c r="A369" i="27"/>
  <c r="C368" i="27"/>
  <c r="E368" i="27"/>
  <c r="A363" i="24"/>
  <c r="C362" i="24"/>
  <c r="E362" i="24"/>
  <c r="F189" i="24"/>
  <c r="I189" i="24"/>
  <c r="K189" i="24" s="1"/>
  <c r="G187" i="29" l="1"/>
  <c r="H187" i="29" s="1"/>
  <c r="J187" i="29"/>
  <c r="D188" i="29" s="1"/>
  <c r="A370" i="27"/>
  <c r="E369" i="27"/>
  <c r="C369" i="27"/>
  <c r="F189" i="27"/>
  <c r="I189" i="27"/>
  <c r="K189" i="27" s="1"/>
  <c r="A364" i="24"/>
  <c r="C363" i="24"/>
  <c r="E363" i="24"/>
  <c r="G189" i="24"/>
  <c r="H189" i="24" s="1"/>
  <c r="J189" i="24"/>
  <c r="D190" i="24" s="1"/>
  <c r="I188" i="29" l="1"/>
  <c r="K188" i="29" s="1"/>
  <c r="F188" i="29"/>
  <c r="C370" i="27"/>
  <c r="E370" i="27"/>
  <c r="A371" i="27"/>
  <c r="J189" i="27"/>
  <c r="D190" i="27" s="1"/>
  <c r="G189" i="27"/>
  <c r="H189" i="27" s="1"/>
  <c r="E364" i="24"/>
  <c r="C364" i="24"/>
  <c r="A365" i="24"/>
  <c r="I190" i="24"/>
  <c r="K190" i="24" s="1"/>
  <c r="F190" i="24"/>
  <c r="G188" i="29" l="1"/>
  <c r="H188" i="29" s="1"/>
  <c r="J188" i="29"/>
  <c r="D189" i="29" s="1"/>
  <c r="C371" i="27"/>
  <c r="E371" i="27"/>
  <c r="A372" i="27"/>
  <c r="I190" i="27"/>
  <c r="K190" i="27" s="1"/>
  <c r="F190" i="27"/>
  <c r="C365" i="24"/>
  <c r="E365" i="24"/>
  <c r="A366" i="24"/>
  <c r="J190" i="24"/>
  <c r="D191" i="24" s="1"/>
  <c r="G190" i="24"/>
  <c r="H190" i="24" s="1"/>
  <c r="I189" i="29" l="1"/>
  <c r="K189" i="29" s="1"/>
  <c r="F189" i="29"/>
  <c r="C372" i="27"/>
  <c r="A373" i="27"/>
  <c r="E372" i="27"/>
  <c r="G190" i="27"/>
  <c r="H190" i="27" s="1"/>
  <c r="J190" i="27"/>
  <c r="D191" i="27" s="1"/>
  <c r="E366" i="24"/>
  <c r="C366" i="24"/>
  <c r="A367" i="24"/>
  <c r="I191" i="24"/>
  <c r="K191" i="24" s="1"/>
  <c r="F191" i="24"/>
  <c r="G189" i="29" l="1"/>
  <c r="H189" i="29" s="1"/>
  <c r="J189" i="29"/>
  <c r="D190" i="29" s="1"/>
  <c r="F191" i="27"/>
  <c r="I191" i="27"/>
  <c r="K191" i="27" s="1"/>
  <c r="E373" i="27"/>
  <c r="C373" i="27"/>
  <c r="A374" i="27"/>
  <c r="C367" i="24"/>
  <c r="A368" i="24"/>
  <c r="E367" i="24"/>
  <c r="G191" i="24"/>
  <c r="H191" i="24" s="1"/>
  <c r="J191" i="24"/>
  <c r="D192" i="24" s="1"/>
  <c r="I190" i="29" l="1"/>
  <c r="K190" i="29" s="1"/>
  <c r="F190" i="29"/>
  <c r="A375" i="27"/>
  <c r="E374" i="27"/>
  <c r="C374" i="27"/>
  <c r="G191" i="27"/>
  <c r="H191" i="27" s="1"/>
  <c r="J191" i="27"/>
  <c r="D192" i="27" s="1"/>
  <c r="E368" i="24"/>
  <c r="A369" i="24"/>
  <c r="C368" i="24"/>
  <c r="I192" i="24"/>
  <c r="K192" i="24" s="1"/>
  <c r="F192" i="24"/>
  <c r="J190" i="29" l="1"/>
  <c r="D191" i="29" s="1"/>
  <c r="G190" i="29"/>
  <c r="H190" i="29" s="1"/>
  <c r="F192" i="27"/>
  <c r="I192" i="27"/>
  <c r="K192" i="27" s="1"/>
  <c r="C375" i="27"/>
  <c r="A376" i="27"/>
  <c r="E375" i="27"/>
  <c r="E369" i="24"/>
  <c r="C369" i="24"/>
  <c r="A370" i="24"/>
  <c r="G192" i="24"/>
  <c r="H192" i="24" s="1"/>
  <c r="J192" i="24"/>
  <c r="D193" i="24" s="1"/>
  <c r="I191" i="29" l="1"/>
  <c r="K191" i="29" s="1"/>
  <c r="F191" i="29"/>
  <c r="E376" i="27"/>
  <c r="C376" i="27"/>
  <c r="J192" i="27"/>
  <c r="D193" i="27" s="1"/>
  <c r="G192" i="27"/>
  <c r="H192" i="27" s="1"/>
  <c r="A371" i="24"/>
  <c r="E370" i="24"/>
  <c r="C370" i="24"/>
  <c r="I193" i="24"/>
  <c r="K193" i="24" s="1"/>
  <c r="F193" i="24"/>
  <c r="J191" i="29" l="1"/>
  <c r="D192" i="29" s="1"/>
  <c r="G191" i="29"/>
  <c r="H191" i="29" s="1"/>
  <c r="I193" i="27"/>
  <c r="K193" i="27" s="1"/>
  <c r="F193" i="27"/>
  <c r="C371" i="24"/>
  <c r="A372" i="24"/>
  <c r="E371" i="24"/>
  <c r="J193" i="24"/>
  <c r="D194" i="24" s="1"/>
  <c r="G193" i="24"/>
  <c r="H193" i="24" s="1"/>
  <c r="I192" i="29" l="1"/>
  <c r="K192" i="29" s="1"/>
  <c r="F192" i="29"/>
  <c r="J193" i="27"/>
  <c r="D194" i="27" s="1"/>
  <c r="G193" i="27"/>
  <c r="H193" i="27" s="1"/>
  <c r="E372" i="24"/>
  <c r="A373" i="24"/>
  <c r="C372" i="24"/>
  <c r="I194" i="24"/>
  <c r="K194" i="24" s="1"/>
  <c r="F194" i="24"/>
  <c r="G192" i="29" l="1"/>
  <c r="H192" i="29" s="1"/>
  <c r="J192" i="29"/>
  <c r="D193" i="29" s="1"/>
  <c r="I194" i="27"/>
  <c r="K194" i="27" s="1"/>
  <c r="F194" i="27"/>
  <c r="E373" i="24"/>
  <c r="A374" i="24"/>
  <c r="C373" i="24"/>
  <c r="J194" i="24"/>
  <c r="D195" i="24" s="1"/>
  <c r="G194" i="24"/>
  <c r="H194" i="24" s="1"/>
  <c r="I193" i="29" l="1"/>
  <c r="K193" i="29" s="1"/>
  <c r="F193" i="29"/>
  <c r="G194" i="27"/>
  <c r="H194" i="27" s="1"/>
  <c r="J194" i="27"/>
  <c r="D195" i="27" s="1"/>
  <c r="C374" i="24"/>
  <c r="E374" i="24"/>
  <c r="A375" i="24"/>
  <c r="I195" i="24"/>
  <c r="K195" i="24" s="1"/>
  <c r="F195" i="24"/>
  <c r="J193" i="29" l="1"/>
  <c r="D194" i="29" s="1"/>
  <c r="G193" i="29"/>
  <c r="H193" i="29" s="1"/>
  <c r="I195" i="27"/>
  <c r="K195" i="27" s="1"/>
  <c r="F195" i="27"/>
  <c r="E375" i="24"/>
  <c r="C375" i="24"/>
  <c r="A376" i="24"/>
  <c r="G195" i="24"/>
  <c r="H195" i="24" s="1"/>
  <c r="J195" i="24"/>
  <c r="D196" i="24" s="1"/>
  <c r="I194" i="29" l="1"/>
  <c r="K194" i="29" s="1"/>
  <c r="F194" i="29"/>
  <c r="G195" i="27"/>
  <c r="H195" i="27" s="1"/>
  <c r="J195" i="27"/>
  <c r="D196" i="27" s="1"/>
  <c r="E376" i="24"/>
  <c r="C376" i="24"/>
  <c r="I196" i="24"/>
  <c r="K196" i="24" s="1"/>
  <c r="F196" i="24"/>
  <c r="J194" i="29" l="1"/>
  <c r="D195" i="29" s="1"/>
  <c r="G194" i="29"/>
  <c r="H194" i="29" s="1"/>
  <c r="I196" i="27"/>
  <c r="K196" i="27" s="1"/>
  <c r="F196" i="27"/>
  <c r="G196" i="24"/>
  <c r="H196" i="24" s="1"/>
  <c r="J196" i="24"/>
  <c r="D197" i="24" s="1"/>
  <c r="I195" i="29" l="1"/>
  <c r="K195" i="29" s="1"/>
  <c r="F195" i="29"/>
  <c r="G196" i="27"/>
  <c r="H196" i="27" s="1"/>
  <c r="J196" i="27"/>
  <c r="D197" i="27" s="1"/>
  <c r="F197" i="24"/>
  <c r="I197" i="24"/>
  <c r="K197" i="24" s="1"/>
  <c r="G195" i="29" l="1"/>
  <c r="H195" i="29" s="1"/>
  <c r="J195" i="29"/>
  <c r="D196" i="29" s="1"/>
  <c r="I197" i="27"/>
  <c r="K197" i="27" s="1"/>
  <c r="F197" i="27"/>
  <c r="J197" i="24"/>
  <c r="D198" i="24" s="1"/>
  <c r="G197" i="24"/>
  <c r="H197" i="24" s="1"/>
  <c r="I196" i="29" l="1"/>
  <c r="K196" i="29" s="1"/>
  <c r="F196" i="29"/>
  <c r="J197" i="27"/>
  <c r="D198" i="27" s="1"/>
  <c r="G197" i="27"/>
  <c r="H197" i="27" s="1"/>
  <c r="I198" i="24"/>
  <c r="K198" i="24" s="1"/>
  <c r="F198" i="24"/>
  <c r="G196" i="29" l="1"/>
  <c r="H196" i="29" s="1"/>
  <c r="J196" i="29"/>
  <c r="D197" i="29" s="1"/>
  <c r="I198" i="27"/>
  <c r="K198" i="27" s="1"/>
  <c r="F198" i="27"/>
  <c r="G198" i="24"/>
  <c r="H198" i="24" s="1"/>
  <c r="J198" i="24"/>
  <c r="D199" i="24" s="1"/>
  <c r="I197" i="29" l="1"/>
  <c r="K197" i="29" s="1"/>
  <c r="F197" i="29"/>
  <c r="G198" i="27"/>
  <c r="H198" i="27" s="1"/>
  <c r="J198" i="27"/>
  <c r="D199" i="27" s="1"/>
  <c r="I199" i="24"/>
  <c r="K199" i="24" s="1"/>
  <c r="F199" i="24"/>
  <c r="G197" i="29" l="1"/>
  <c r="H197" i="29" s="1"/>
  <c r="J197" i="29"/>
  <c r="D198" i="29" s="1"/>
  <c r="I199" i="27"/>
  <c r="K199" i="27" s="1"/>
  <c r="F199" i="27"/>
  <c r="G199" i="24"/>
  <c r="H199" i="24" s="1"/>
  <c r="J199" i="24"/>
  <c r="D200" i="24" s="1"/>
  <c r="I198" i="29" l="1"/>
  <c r="K198" i="29" s="1"/>
  <c r="F198" i="29"/>
  <c r="J199" i="27"/>
  <c r="D200" i="27" s="1"/>
  <c r="G199" i="27"/>
  <c r="H199" i="27" s="1"/>
  <c r="I200" i="24"/>
  <c r="K200" i="24" s="1"/>
  <c r="F200" i="24"/>
  <c r="G198" i="29" l="1"/>
  <c r="H198" i="29" s="1"/>
  <c r="J198" i="29"/>
  <c r="D199" i="29" s="1"/>
  <c r="I200" i="27"/>
  <c r="K200" i="27" s="1"/>
  <c r="F200" i="27"/>
  <c r="J200" i="24"/>
  <c r="D201" i="24" s="1"/>
  <c r="G200" i="24"/>
  <c r="H200" i="24" s="1"/>
  <c r="I199" i="29" l="1"/>
  <c r="K199" i="29" s="1"/>
  <c r="F199" i="29"/>
  <c r="G200" i="27"/>
  <c r="H200" i="27" s="1"/>
  <c r="J200" i="27"/>
  <c r="D201" i="27" s="1"/>
  <c r="I201" i="24"/>
  <c r="K201" i="24" s="1"/>
  <c r="F201" i="24"/>
  <c r="G199" i="29" l="1"/>
  <c r="H199" i="29" s="1"/>
  <c r="J199" i="29"/>
  <c r="D200" i="29" s="1"/>
  <c r="F201" i="27"/>
  <c r="I201" i="27"/>
  <c r="K201" i="27" s="1"/>
  <c r="G201" i="24"/>
  <c r="H201" i="24" s="1"/>
  <c r="J201" i="24"/>
  <c r="D202" i="24" s="1"/>
  <c r="I200" i="29" l="1"/>
  <c r="K200" i="29" s="1"/>
  <c r="F200" i="29"/>
  <c r="J201" i="27"/>
  <c r="D202" i="27" s="1"/>
  <c r="G201" i="27"/>
  <c r="H201" i="27" s="1"/>
  <c r="I202" i="24"/>
  <c r="K202" i="24" s="1"/>
  <c r="F202" i="24"/>
  <c r="J200" i="29" l="1"/>
  <c r="D201" i="29" s="1"/>
  <c r="G200" i="29"/>
  <c r="H200" i="29" s="1"/>
  <c r="I202" i="27"/>
  <c r="K202" i="27" s="1"/>
  <c r="F202" i="27"/>
  <c r="J202" i="24"/>
  <c r="D203" i="24" s="1"/>
  <c r="G202" i="24"/>
  <c r="H202" i="24" s="1"/>
  <c r="I201" i="29" l="1"/>
  <c r="K201" i="29" s="1"/>
  <c r="F201" i="29"/>
  <c r="J202" i="27"/>
  <c r="D203" i="27" s="1"/>
  <c r="G202" i="27"/>
  <c r="H202" i="27" s="1"/>
  <c r="I203" i="24"/>
  <c r="K203" i="24" s="1"/>
  <c r="F203" i="24"/>
  <c r="G201" i="29" l="1"/>
  <c r="H201" i="29" s="1"/>
  <c r="J201" i="29"/>
  <c r="D202" i="29" s="1"/>
  <c r="I203" i="27"/>
  <c r="K203" i="27" s="1"/>
  <c r="F203" i="27"/>
  <c r="J203" i="24"/>
  <c r="D204" i="24" s="1"/>
  <c r="G203" i="24"/>
  <c r="H203" i="24" s="1"/>
  <c r="I202" i="29" l="1"/>
  <c r="K202" i="29" s="1"/>
  <c r="F202" i="29"/>
  <c r="J203" i="27"/>
  <c r="D204" i="27" s="1"/>
  <c r="G203" i="27"/>
  <c r="H203" i="27" s="1"/>
  <c r="I204" i="24"/>
  <c r="K204" i="24" s="1"/>
  <c r="F204" i="24"/>
  <c r="J202" i="29" l="1"/>
  <c r="D203" i="29" s="1"/>
  <c r="G202" i="29"/>
  <c r="H202" i="29" s="1"/>
  <c r="I204" i="27"/>
  <c r="K204" i="27" s="1"/>
  <c r="F204" i="27"/>
  <c r="J204" i="24"/>
  <c r="D205" i="24" s="1"/>
  <c r="G204" i="24"/>
  <c r="H204" i="24" s="1"/>
  <c r="I203" i="29" l="1"/>
  <c r="K203" i="29" s="1"/>
  <c r="F203" i="29"/>
  <c r="G204" i="27"/>
  <c r="H204" i="27" s="1"/>
  <c r="J204" i="27"/>
  <c r="D205" i="27" s="1"/>
  <c r="I205" i="24"/>
  <c r="K205" i="24" s="1"/>
  <c r="F205" i="24"/>
  <c r="J203" i="29" l="1"/>
  <c r="D204" i="29" s="1"/>
  <c r="G203" i="29"/>
  <c r="H203" i="29" s="1"/>
  <c r="I205" i="27"/>
  <c r="K205" i="27" s="1"/>
  <c r="F205" i="27"/>
  <c r="G205" i="24"/>
  <c r="H205" i="24" s="1"/>
  <c r="J205" i="24"/>
  <c r="D206" i="24" s="1"/>
  <c r="I204" i="29" l="1"/>
  <c r="K204" i="29" s="1"/>
  <c r="F204" i="29"/>
  <c r="G205" i="27"/>
  <c r="H205" i="27" s="1"/>
  <c r="J205" i="27"/>
  <c r="D206" i="27" s="1"/>
  <c r="F206" i="24"/>
  <c r="I206" i="24"/>
  <c r="K206" i="24" s="1"/>
  <c r="J204" i="29" l="1"/>
  <c r="D205" i="29" s="1"/>
  <c r="G204" i="29"/>
  <c r="H204" i="29" s="1"/>
  <c r="I206" i="27"/>
  <c r="K206" i="27" s="1"/>
  <c r="F206" i="27"/>
  <c r="J206" i="24"/>
  <c r="D207" i="24" s="1"/>
  <c r="G206" i="24"/>
  <c r="H206" i="24" s="1"/>
  <c r="I205" i="29" l="1"/>
  <c r="K205" i="29" s="1"/>
  <c r="F205" i="29"/>
  <c r="G206" i="27"/>
  <c r="H206" i="27" s="1"/>
  <c r="J206" i="27"/>
  <c r="D207" i="27" s="1"/>
  <c r="I207" i="24"/>
  <c r="K207" i="24" s="1"/>
  <c r="F207" i="24"/>
  <c r="J205" i="29" l="1"/>
  <c r="D206" i="29" s="1"/>
  <c r="G205" i="29"/>
  <c r="H205" i="29" s="1"/>
  <c r="I207" i="27"/>
  <c r="K207" i="27" s="1"/>
  <c r="F207" i="27"/>
  <c r="J207" i="24"/>
  <c r="D208" i="24" s="1"/>
  <c r="G207" i="24"/>
  <c r="H207" i="24" s="1"/>
  <c r="I206" i="29" l="1"/>
  <c r="K206" i="29" s="1"/>
  <c r="F206" i="29"/>
  <c r="G207" i="27"/>
  <c r="H207" i="27" s="1"/>
  <c r="J207" i="27"/>
  <c r="D208" i="27" s="1"/>
  <c r="I208" i="24"/>
  <c r="K208" i="24" s="1"/>
  <c r="F208" i="24"/>
  <c r="G206" i="29" l="1"/>
  <c r="H206" i="29" s="1"/>
  <c r="J206" i="29"/>
  <c r="D207" i="29" s="1"/>
  <c r="F208" i="27"/>
  <c r="I208" i="27"/>
  <c r="K208" i="27" s="1"/>
  <c r="J208" i="24"/>
  <c r="D209" i="24" s="1"/>
  <c r="G208" i="24"/>
  <c r="H208" i="24" s="1"/>
  <c r="I207" i="29" l="1"/>
  <c r="K207" i="29" s="1"/>
  <c r="F207" i="29"/>
  <c r="J208" i="27"/>
  <c r="D209" i="27" s="1"/>
  <c r="G208" i="27"/>
  <c r="H208" i="27" s="1"/>
  <c r="I209" i="24"/>
  <c r="K209" i="24" s="1"/>
  <c r="F209" i="24"/>
  <c r="G207" i="29" l="1"/>
  <c r="H207" i="29" s="1"/>
  <c r="J207" i="29"/>
  <c r="D208" i="29" s="1"/>
  <c r="F209" i="27"/>
  <c r="I209" i="27"/>
  <c r="K209" i="27" s="1"/>
  <c r="G209" i="24"/>
  <c r="H209" i="24" s="1"/>
  <c r="J209" i="24"/>
  <c r="D210" i="24" s="1"/>
  <c r="I208" i="29" l="1"/>
  <c r="K208" i="29" s="1"/>
  <c r="F208" i="29"/>
  <c r="J209" i="27"/>
  <c r="D210" i="27" s="1"/>
  <c r="G209" i="27"/>
  <c r="H209" i="27" s="1"/>
  <c r="F210" i="24"/>
  <c r="I210" i="24"/>
  <c r="K210" i="24" s="1"/>
  <c r="J208" i="29" l="1"/>
  <c r="D209" i="29" s="1"/>
  <c r="G208" i="29"/>
  <c r="H208" i="29" s="1"/>
  <c r="I210" i="27"/>
  <c r="K210" i="27" s="1"/>
  <c r="F210" i="27"/>
  <c r="J210" i="24"/>
  <c r="D211" i="24" s="1"/>
  <c r="G210" i="24"/>
  <c r="H210" i="24" s="1"/>
  <c r="I209" i="29" l="1"/>
  <c r="K209" i="29" s="1"/>
  <c r="F209" i="29"/>
  <c r="J210" i="27"/>
  <c r="D211" i="27" s="1"/>
  <c r="G210" i="27"/>
  <c r="H210" i="27" s="1"/>
  <c r="I211" i="24"/>
  <c r="K211" i="24" s="1"/>
  <c r="F211" i="24"/>
  <c r="G209" i="29" l="1"/>
  <c r="H209" i="29" s="1"/>
  <c r="J209" i="29"/>
  <c r="D210" i="29" s="1"/>
  <c r="I211" i="27"/>
  <c r="K211" i="27" s="1"/>
  <c r="F211" i="27"/>
  <c r="G211" i="24"/>
  <c r="H211" i="24" s="1"/>
  <c r="J211" i="24"/>
  <c r="D212" i="24" s="1"/>
  <c r="I210" i="29" l="1"/>
  <c r="K210" i="29" s="1"/>
  <c r="F210" i="29"/>
  <c r="G211" i="27"/>
  <c r="H211" i="27" s="1"/>
  <c r="J211" i="27"/>
  <c r="D212" i="27" s="1"/>
  <c r="I212" i="24"/>
  <c r="K212" i="24" s="1"/>
  <c r="F212" i="24"/>
  <c r="J210" i="29" l="1"/>
  <c r="D211" i="29" s="1"/>
  <c r="G210" i="29"/>
  <c r="H210" i="29" s="1"/>
  <c r="I212" i="27"/>
  <c r="K212" i="27" s="1"/>
  <c r="F212" i="27"/>
  <c r="J212" i="24"/>
  <c r="D213" i="24" s="1"/>
  <c r="G212" i="24"/>
  <c r="H212" i="24" s="1"/>
  <c r="I211" i="29" l="1"/>
  <c r="K211" i="29" s="1"/>
  <c r="F211" i="29"/>
  <c r="J212" i="27"/>
  <c r="D213" i="27" s="1"/>
  <c r="G212" i="27"/>
  <c r="H212" i="27" s="1"/>
  <c r="I213" i="24"/>
  <c r="K213" i="24" s="1"/>
  <c r="F213" i="24"/>
  <c r="J211" i="29" l="1"/>
  <c r="D212" i="29" s="1"/>
  <c r="G211" i="29"/>
  <c r="H211" i="29" s="1"/>
  <c r="I213" i="27"/>
  <c r="K213" i="27" s="1"/>
  <c r="F213" i="27"/>
  <c r="J213" i="24"/>
  <c r="D214" i="24" s="1"/>
  <c r="G213" i="24"/>
  <c r="H213" i="24" s="1"/>
  <c r="I212" i="29" l="1"/>
  <c r="K212" i="29" s="1"/>
  <c r="F212" i="29"/>
  <c r="G213" i="27"/>
  <c r="H213" i="27" s="1"/>
  <c r="J213" i="27"/>
  <c r="D214" i="27" s="1"/>
  <c r="I214" i="24"/>
  <c r="K214" i="24" s="1"/>
  <c r="F214" i="24"/>
  <c r="G212" i="29" l="1"/>
  <c r="H212" i="29" s="1"/>
  <c r="J212" i="29"/>
  <c r="D213" i="29" s="1"/>
  <c r="I214" i="27"/>
  <c r="K214" i="27" s="1"/>
  <c r="F214" i="27"/>
  <c r="J214" i="24"/>
  <c r="D215" i="24" s="1"/>
  <c r="G214" i="24"/>
  <c r="H214" i="24" s="1"/>
  <c r="I213" i="29" l="1"/>
  <c r="K213" i="29" s="1"/>
  <c r="F213" i="29"/>
  <c r="J214" i="27"/>
  <c r="D215" i="27" s="1"/>
  <c r="G214" i="27"/>
  <c r="H214" i="27" s="1"/>
  <c r="F215" i="24"/>
  <c r="I215" i="24"/>
  <c r="K215" i="24" s="1"/>
  <c r="J213" i="29" l="1"/>
  <c r="D214" i="29" s="1"/>
  <c r="G213" i="29"/>
  <c r="H213" i="29" s="1"/>
  <c r="I215" i="27"/>
  <c r="K215" i="27" s="1"/>
  <c r="F215" i="27"/>
  <c r="J215" i="24"/>
  <c r="D216" i="24" s="1"/>
  <c r="G215" i="24"/>
  <c r="H215" i="24" s="1"/>
  <c r="I214" i="29" l="1"/>
  <c r="K214" i="29" s="1"/>
  <c r="F214" i="29"/>
  <c r="J215" i="27"/>
  <c r="D216" i="27" s="1"/>
  <c r="G215" i="27"/>
  <c r="H215" i="27" s="1"/>
  <c r="I216" i="24"/>
  <c r="K216" i="24" s="1"/>
  <c r="F216" i="24"/>
  <c r="G214" i="29" l="1"/>
  <c r="H214" i="29" s="1"/>
  <c r="J214" i="29"/>
  <c r="D215" i="29" s="1"/>
  <c r="I216" i="27"/>
  <c r="K216" i="27" s="1"/>
  <c r="F216" i="27"/>
  <c r="J216" i="24"/>
  <c r="D217" i="24" s="1"/>
  <c r="G216" i="24"/>
  <c r="H216" i="24" s="1"/>
  <c r="I215" i="29" l="1"/>
  <c r="K215" i="29" s="1"/>
  <c r="F215" i="29"/>
  <c r="G216" i="27"/>
  <c r="H216" i="27" s="1"/>
  <c r="J216" i="27"/>
  <c r="D217" i="27" s="1"/>
  <c r="I217" i="24"/>
  <c r="K217" i="24" s="1"/>
  <c r="F217" i="24"/>
  <c r="G215" i="29" l="1"/>
  <c r="H215" i="29" s="1"/>
  <c r="J215" i="29"/>
  <c r="D216" i="29" s="1"/>
  <c r="I217" i="27"/>
  <c r="K217" i="27" s="1"/>
  <c r="F217" i="27"/>
  <c r="G217" i="24"/>
  <c r="H217" i="24" s="1"/>
  <c r="J217" i="24"/>
  <c r="D218" i="24" s="1"/>
  <c r="I216" i="29" l="1"/>
  <c r="K216" i="29" s="1"/>
  <c r="F216" i="29"/>
  <c r="G217" i="27"/>
  <c r="H217" i="27" s="1"/>
  <c r="J217" i="27"/>
  <c r="D218" i="27" s="1"/>
  <c r="I218" i="24"/>
  <c r="K218" i="24" s="1"/>
  <c r="F218" i="24"/>
  <c r="G216" i="29" l="1"/>
  <c r="H216" i="29" s="1"/>
  <c r="J216" i="29"/>
  <c r="D217" i="29" s="1"/>
  <c r="I218" i="27"/>
  <c r="K218" i="27" s="1"/>
  <c r="F218" i="27"/>
  <c r="J218" i="24"/>
  <c r="D219" i="24" s="1"/>
  <c r="G218" i="24"/>
  <c r="H218" i="24" s="1"/>
  <c r="I217" i="29" l="1"/>
  <c r="K217" i="29" s="1"/>
  <c r="F217" i="29"/>
  <c r="G218" i="27"/>
  <c r="H218" i="27" s="1"/>
  <c r="J218" i="27"/>
  <c r="D219" i="27" s="1"/>
  <c r="I219" i="24"/>
  <c r="K219" i="24" s="1"/>
  <c r="F219" i="24"/>
  <c r="J217" i="29" l="1"/>
  <c r="D218" i="29" s="1"/>
  <c r="G217" i="29"/>
  <c r="H217" i="29" s="1"/>
  <c r="I219" i="27"/>
  <c r="K219" i="27" s="1"/>
  <c r="F219" i="27"/>
  <c r="J219" i="24"/>
  <c r="D220" i="24" s="1"/>
  <c r="G219" i="24"/>
  <c r="H219" i="24" s="1"/>
  <c r="I218" i="29" l="1"/>
  <c r="K218" i="29" s="1"/>
  <c r="F218" i="29"/>
  <c r="J219" i="27"/>
  <c r="D220" i="27" s="1"/>
  <c r="G219" i="27"/>
  <c r="H219" i="27" s="1"/>
  <c r="F220" i="24"/>
  <c r="I220" i="24"/>
  <c r="K220" i="24" s="1"/>
  <c r="G218" i="29" l="1"/>
  <c r="H218" i="29" s="1"/>
  <c r="J218" i="29"/>
  <c r="D219" i="29" s="1"/>
  <c r="I220" i="27"/>
  <c r="K220" i="27" s="1"/>
  <c r="F220" i="27"/>
  <c r="J220" i="24"/>
  <c r="D221" i="24" s="1"/>
  <c r="G220" i="24"/>
  <c r="H220" i="24" s="1"/>
  <c r="I219" i="29" l="1"/>
  <c r="K219" i="29" s="1"/>
  <c r="F219" i="29"/>
  <c r="G220" i="27"/>
  <c r="H220" i="27" s="1"/>
  <c r="J220" i="27"/>
  <c r="D221" i="27" s="1"/>
  <c r="I221" i="24"/>
  <c r="K221" i="24" s="1"/>
  <c r="F221" i="24"/>
  <c r="G219" i="29" l="1"/>
  <c r="H219" i="29" s="1"/>
  <c r="J219" i="29"/>
  <c r="D220" i="29" s="1"/>
  <c r="I221" i="27"/>
  <c r="K221" i="27" s="1"/>
  <c r="F221" i="27"/>
  <c r="G221" i="24"/>
  <c r="H221" i="24" s="1"/>
  <c r="J221" i="24"/>
  <c r="D222" i="24" s="1"/>
  <c r="I220" i="29" l="1"/>
  <c r="K220" i="29" s="1"/>
  <c r="F220" i="29"/>
  <c r="J221" i="27"/>
  <c r="D222" i="27" s="1"/>
  <c r="G221" i="27"/>
  <c r="H221" i="27" s="1"/>
  <c r="I222" i="24"/>
  <c r="K222" i="24" s="1"/>
  <c r="F222" i="24"/>
  <c r="G220" i="29" l="1"/>
  <c r="H220" i="29" s="1"/>
  <c r="J220" i="29"/>
  <c r="D221" i="29" s="1"/>
  <c r="I222" i="27"/>
  <c r="K222" i="27" s="1"/>
  <c r="F222" i="27"/>
  <c r="G222" i="24"/>
  <c r="H222" i="24" s="1"/>
  <c r="J222" i="24"/>
  <c r="D223" i="24" s="1"/>
  <c r="I221" i="29" l="1"/>
  <c r="K221" i="29" s="1"/>
  <c r="F221" i="29"/>
  <c r="G222" i="27"/>
  <c r="H222" i="27" s="1"/>
  <c r="J222" i="27"/>
  <c r="D223" i="27" s="1"/>
  <c r="F223" i="24"/>
  <c r="I223" i="24"/>
  <c r="K223" i="24" s="1"/>
  <c r="G221" i="29" l="1"/>
  <c r="H221" i="29" s="1"/>
  <c r="J221" i="29"/>
  <c r="D222" i="29" s="1"/>
  <c r="I223" i="27"/>
  <c r="K223" i="27" s="1"/>
  <c r="F223" i="27"/>
  <c r="J223" i="24"/>
  <c r="D224" i="24" s="1"/>
  <c r="G223" i="24"/>
  <c r="H223" i="24" s="1"/>
  <c r="I222" i="29" l="1"/>
  <c r="K222" i="29" s="1"/>
  <c r="F222" i="29"/>
  <c r="G223" i="27"/>
  <c r="H223" i="27" s="1"/>
  <c r="J223" i="27"/>
  <c r="D224" i="27" s="1"/>
  <c r="F224" i="24"/>
  <c r="I224" i="24"/>
  <c r="K224" i="24" s="1"/>
  <c r="G222" i="29" l="1"/>
  <c r="H222" i="29" s="1"/>
  <c r="J222" i="29"/>
  <c r="D223" i="29" s="1"/>
  <c r="I224" i="27"/>
  <c r="K224" i="27" s="1"/>
  <c r="F224" i="27"/>
  <c r="G224" i="24"/>
  <c r="H224" i="24" s="1"/>
  <c r="J224" i="24"/>
  <c r="D225" i="24" s="1"/>
  <c r="I223" i="29" l="1"/>
  <c r="K223" i="29" s="1"/>
  <c r="F223" i="29"/>
  <c r="G224" i="27"/>
  <c r="H224" i="27" s="1"/>
  <c r="J224" i="27"/>
  <c r="D225" i="27" s="1"/>
  <c r="I225" i="24"/>
  <c r="K225" i="24" s="1"/>
  <c r="F225" i="24"/>
  <c r="G223" i="29" l="1"/>
  <c r="H223" i="29" s="1"/>
  <c r="J223" i="29"/>
  <c r="D224" i="29" s="1"/>
  <c r="F225" i="27"/>
  <c r="I225" i="27"/>
  <c r="K225" i="27" s="1"/>
  <c r="J225" i="24"/>
  <c r="D226" i="24" s="1"/>
  <c r="G225" i="24"/>
  <c r="H225" i="24" s="1"/>
  <c r="I224" i="29" l="1"/>
  <c r="K224" i="29" s="1"/>
  <c r="F224" i="29"/>
  <c r="G225" i="27"/>
  <c r="H225" i="27" s="1"/>
  <c r="J225" i="27"/>
  <c r="D226" i="27" s="1"/>
  <c r="I226" i="24"/>
  <c r="K226" i="24" s="1"/>
  <c r="F226" i="24"/>
  <c r="G224" i="29" l="1"/>
  <c r="H224" i="29" s="1"/>
  <c r="J224" i="29"/>
  <c r="D225" i="29" s="1"/>
  <c r="I226" i="27"/>
  <c r="K226" i="27" s="1"/>
  <c r="F226" i="27"/>
  <c r="J226" i="24"/>
  <c r="D227" i="24" s="1"/>
  <c r="G226" i="24"/>
  <c r="H226" i="24" s="1"/>
  <c r="I225" i="29" l="1"/>
  <c r="K225" i="29" s="1"/>
  <c r="F225" i="29"/>
  <c r="G226" i="27"/>
  <c r="H226" i="27" s="1"/>
  <c r="J226" i="27"/>
  <c r="D227" i="27" s="1"/>
  <c r="I227" i="24"/>
  <c r="K227" i="24" s="1"/>
  <c r="F227" i="24"/>
  <c r="J225" i="29" l="1"/>
  <c r="D226" i="29" s="1"/>
  <c r="G225" i="29"/>
  <c r="H225" i="29" s="1"/>
  <c r="F227" i="27"/>
  <c r="I227" i="27"/>
  <c r="K227" i="27" s="1"/>
  <c r="J227" i="24"/>
  <c r="D228" i="24" s="1"/>
  <c r="G227" i="24"/>
  <c r="H227" i="24" s="1"/>
  <c r="I226" i="29" l="1"/>
  <c r="K226" i="29" s="1"/>
  <c r="F226" i="29"/>
  <c r="G227" i="27"/>
  <c r="H227" i="27" s="1"/>
  <c r="J227" i="27"/>
  <c r="D228" i="27" s="1"/>
  <c r="F228" i="24"/>
  <c r="I228" i="24"/>
  <c r="K228" i="24" s="1"/>
  <c r="J226" i="29" l="1"/>
  <c r="D227" i="29" s="1"/>
  <c r="G226" i="29"/>
  <c r="H226" i="29" s="1"/>
  <c r="F228" i="27"/>
  <c r="I228" i="27"/>
  <c r="K228" i="27" s="1"/>
  <c r="J228" i="24"/>
  <c r="D229" i="24" s="1"/>
  <c r="G228" i="24"/>
  <c r="H228" i="24" s="1"/>
  <c r="I227" i="29" l="1"/>
  <c r="K227" i="29" s="1"/>
  <c r="F227" i="29"/>
  <c r="G228" i="27"/>
  <c r="H228" i="27" s="1"/>
  <c r="J228" i="27"/>
  <c r="D229" i="27" s="1"/>
  <c r="I229" i="24"/>
  <c r="K229" i="24" s="1"/>
  <c r="F229" i="24"/>
  <c r="G227" i="29" l="1"/>
  <c r="H227" i="29" s="1"/>
  <c r="J227" i="29"/>
  <c r="D228" i="29" s="1"/>
  <c r="F229" i="27"/>
  <c r="I229" i="27"/>
  <c r="K229" i="27" s="1"/>
  <c r="J229" i="24"/>
  <c r="D230" i="24" s="1"/>
  <c r="G229" i="24"/>
  <c r="H229" i="24" s="1"/>
  <c r="I228" i="29" l="1"/>
  <c r="K228" i="29" s="1"/>
  <c r="F228" i="29"/>
  <c r="G229" i="27"/>
  <c r="H229" i="27" s="1"/>
  <c r="J229" i="27"/>
  <c r="D230" i="27" s="1"/>
  <c r="F230" i="24"/>
  <c r="I230" i="24"/>
  <c r="K230" i="24" s="1"/>
  <c r="J228" i="29" l="1"/>
  <c r="D229" i="29" s="1"/>
  <c r="G228" i="29"/>
  <c r="H228" i="29" s="1"/>
  <c r="I230" i="27"/>
  <c r="K230" i="27" s="1"/>
  <c r="F230" i="27"/>
  <c r="J230" i="24"/>
  <c r="D231" i="24" s="1"/>
  <c r="G230" i="24"/>
  <c r="H230" i="24" s="1"/>
  <c r="I229" i="29" l="1"/>
  <c r="K229" i="29" s="1"/>
  <c r="F229" i="29"/>
  <c r="G230" i="27"/>
  <c r="H230" i="27" s="1"/>
  <c r="J230" i="27"/>
  <c r="D231" i="27" s="1"/>
  <c r="F231" i="24"/>
  <c r="I231" i="24"/>
  <c r="K231" i="24" s="1"/>
  <c r="J229" i="29" l="1"/>
  <c r="D230" i="29" s="1"/>
  <c r="G229" i="29"/>
  <c r="H229" i="29" s="1"/>
  <c r="I231" i="27"/>
  <c r="K231" i="27" s="1"/>
  <c r="F231" i="27"/>
  <c r="J231" i="24"/>
  <c r="D232" i="24" s="1"/>
  <c r="G231" i="24"/>
  <c r="H231" i="24" s="1"/>
  <c r="I230" i="29" l="1"/>
  <c r="K230" i="29" s="1"/>
  <c r="F230" i="29"/>
  <c r="G231" i="27"/>
  <c r="H231" i="27" s="1"/>
  <c r="J231" i="27"/>
  <c r="D232" i="27" s="1"/>
  <c r="I232" i="24"/>
  <c r="K232" i="24" s="1"/>
  <c r="F232" i="24"/>
  <c r="G230" i="29" l="1"/>
  <c r="H230" i="29" s="1"/>
  <c r="J230" i="29"/>
  <c r="D231" i="29" s="1"/>
  <c r="I232" i="27"/>
  <c r="K232" i="27" s="1"/>
  <c r="F232" i="27"/>
  <c r="G232" i="24"/>
  <c r="H232" i="24" s="1"/>
  <c r="J232" i="24"/>
  <c r="D233" i="24" s="1"/>
  <c r="I231" i="29" l="1"/>
  <c r="K231" i="29" s="1"/>
  <c r="F231" i="29"/>
  <c r="J232" i="27"/>
  <c r="D233" i="27" s="1"/>
  <c r="G232" i="27"/>
  <c r="H232" i="27" s="1"/>
  <c r="I233" i="24"/>
  <c r="K233" i="24" s="1"/>
  <c r="F233" i="24"/>
  <c r="J231" i="29" l="1"/>
  <c r="D232" i="29" s="1"/>
  <c r="G231" i="29"/>
  <c r="H231" i="29" s="1"/>
  <c r="I233" i="27"/>
  <c r="K233" i="27" s="1"/>
  <c r="F233" i="27"/>
  <c r="G233" i="24"/>
  <c r="H233" i="24" s="1"/>
  <c r="J233" i="24"/>
  <c r="D234" i="24" s="1"/>
  <c r="I232" i="29" l="1"/>
  <c r="K232" i="29" s="1"/>
  <c r="F232" i="29"/>
  <c r="G233" i="27"/>
  <c r="H233" i="27" s="1"/>
  <c r="J233" i="27"/>
  <c r="D234" i="27" s="1"/>
  <c r="F234" i="24"/>
  <c r="I234" i="24"/>
  <c r="K234" i="24" s="1"/>
  <c r="G232" i="29" l="1"/>
  <c r="H232" i="29" s="1"/>
  <c r="J232" i="29"/>
  <c r="D233" i="29" s="1"/>
  <c r="I234" i="27"/>
  <c r="K234" i="27" s="1"/>
  <c r="F234" i="27"/>
  <c r="G234" i="24"/>
  <c r="H234" i="24" s="1"/>
  <c r="J234" i="24"/>
  <c r="D235" i="24" s="1"/>
  <c r="I233" i="29" l="1"/>
  <c r="K233" i="29" s="1"/>
  <c r="F233" i="29"/>
  <c r="J234" i="27"/>
  <c r="D235" i="27" s="1"/>
  <c r="G234" i="27"/>
  <c r="H234" i="27" s="1"/>
  <c r="F235" i="24"/>
  <c r="I235" i="24"/>
  <c r="K235" i="24" s="1"/>
  <c r="G233" i="29" l="1"/>
  <c r="H233" i="29" s="1"/>
  <c r="J233" i="29"/>
  <c r="D234" i="29" s="1"/>
  <c r="I235" i="27"/>
  <c r="K235" i="27" s="1"/>
  <c r="F235" i="27"/>
  <c r="G235" i="24"/>
  <c r="H235" i="24" s="1"/>
  <c r="J235" i="24"/>
  <c r="D236" i="24" s="1"/>
  <c r="I234" i="29" l="1"/>
  <c r="K234" i="29" s="1"/>
  <c r="F234" i="29"/>
  <c r="J235" i="27"/>
  <c r="D236" i="27" s="1"/>
  <c r="G235" i="27"/>
  <c r="H235" i="27" s="1"/>
  <c r="F236" i="24"/>
  <c r="I236" i="24"/>
  <c r="K236" i="24" s="1"/>
  <c r="G234" i="29" l="1"/>
  <c r="H234" i="29" s="1"/>
  <c r="J234" i="29"/>
  <c r="D235" i="29" s="1"/>
  <c r="I236" i="27"/>
  <c r="K236" i="27" s="1"/>
  <c r="F236" i="27"/>
  <c r="J236" i="24"/>
  <c r="D237" i="24" s="1"/>
  <c r="G236" i="24"/>
  <c r="H236" i="24" s="1"/>
  <c r="I235" i="29" l="1"/>
  <c r="K235" i="29" s="1"/>
  <c r="F235" i="29"/>
  <c r="G236" i="27"/>
  <c r="H236" i="27" s="1"/>
  <c r="J236" i="27"/>
  <c r="D237" i="27" s="1"/>
  <c r="I237" i="24"/>
  <c r="K237" i="24" s="1"/>
  <c r="F237" i="24"/>
  <c r="J235" i="29" l="1"/>
  <c r="D236" i="29" s="1"/>
  <c r="G235" i="29"/>
  <c r="H235" i="29" s="1"/>
  <c r="I237" i="27"/>
  <c r="K237" i="27" s="1"/>
  <c r="F237" i="27"/>
  <c r="J237" i="24"/>
  <c r="D238" i="24" s="1"/>
  <c r="G237" i="24"/>
  <c r="H237" i="24" s="1"/>
  <c r="I236" i="29" l="1"/>
  <c r="K236" i="29" s="1"/>
  <c r="F236" i="29"/>
  <c r="G237" i="27"/>
  <c r="H237" i="27" s="1"/>
  <c r="J237" i="27"/>
  <c r="D238" i="27" s="1"/>
  <c r="I238" i="24"/>
  <c r="K238" i="24" s="1"/>
  <c r="F238" i="24"/>
  <c r="J236" i="29" l="1"/>
  <c r="D237" i="29" s="1"/>
  <c r="G236" i="29"/>
  <c r="H236" i="29" s="1"/>
  <c r="I238" i="27"/>
  <c r="K238" i="27" s="1"/>
  <c r="F238" i="27"/>
  <c r="J238" i="24"/>
  <c r="D239" i="24" s="1"/>
  <c r="G238" i="24"/>
  <c r="H238" i="24" s="1"/>
  <c r="I237" i="29" l="1"/>
  <c r="K237" i="29" s="1"/>
  <c r="F237" i="29"/>
  <c r="J238" i="27"/>
  <c r="D239" i="27" s="1"/>
  <c r="G238" i="27"/>
  <c r="H238" i="27" s="1"/>
  <c r="F239" i="24"/>
  <c r="I239" i="24"/>
  <c r="K239" i="24" s="1"/>
  <c r="J237" i="29" l="1"/>
  <c r="D238" i="29" s="1"/>
  <c r="G237" i="29"/>
  <c r="H237" i="29" s="1"/>
  <c r="I239" i="27"/>
  <c r="K239" i="27" s="1"/>
  <c r="F239" i="27"/>
  <c r="G239" i="24"/>
  <c r="H239" i="24" s="1"/>
  <c r="J239" i="24"/>
  <c r="D240" i="24" s="1"/>
  <c r="I238" i="29" l="1"/>
  <c r="K238" i="29" s="1"/>
  <c r="F238" i="29"/>
  <c r="J239" i="27"/>
  <c r="D240" i="27" s="1"/>
  <c r="G239" i="27"/>
  <c r="H239" i="27" s="1"/>
  <c r="F240" i="24"/>
  <c r="I240" i="24"/>
  <c r="K240" i="24" s="1"/>
  <c r="G238" i="29" l="1"/>
  <c r="H238" i="29" s="1"/>
  <c r="J238" i="29"/>
  <c r="D239" i="29" s="1"/>
  <c r="I240" i="27"/>
  <c r="K240" i="27" s="1"/>
  <c r="F240" i="27"/>
  <c r="J240" i="24"/>
  <c r="D241" i="24" s="1"/>
  <c r="G240" i="24"/>
  <c r="H240" i="24" s="1"/>
  <c r="I239" i="29" l="1"/>
  <c r="K239" i="29" s="1"/>
  <c r="F239" i="29"/>
  <c r="J240" i="27"/>
  <c r="D241" i="27" s="1"/>
  <c r="G240" i="27"/>
  <c r="H240" i="27" s="1"/>
  <c r="I241" i="24"/>
  <c r="K241" i="24" s="1"/>
  <c r="F241" i="24"/>
  <c r="G239" i="29" l="1"/>
  <c r="H239" i="29" s="1"/>
  <c r="J239" i="29"/>
  <c r="D240" i="29" s="1"/>
  <c r="F241" i="27"/>
  <c r="I241" i="27"/>
  <c r="K241" i="27" s="1"/>
  <c r="G241" i="24"/>
  <c r="H241" i="24" s="1"/>
  <c r="J241" i="24"/>
  <c r="D242" i="24" s="1"/>
  <c r="I240" i="29" l="1"/>
  <c r="K240" i="29" s="1"/>
  <c r="F240" i="29"/>
  <c r="G241" i="27"/>
  <c r="H241" i="27" s="1"/>
  <c r="J241" i="27"/>
  <c r="D242" i="27" s="1"/>
  <c r="I242" i="24"/>
  <c r="K242" i="24" s="1"/>
  <c r="F242" i="24"/>
  <c r="J240" i="29" l="1"/>
  <c r="D241" i="29" s="1"/>
  <c r="G240" i="29"/>
  <c r="H240" i="29" s="1"/>
  <c r="F242" i="27"/>
  <c r="I242" i="27"/>
  <c r="K242" i="27" s="1"/>
  <c r="G242" i="24"/>
  <c r="H242" i="24" s="1"/>
  <c r="J242" i="24"/>
  <c r="D243" i="24" s="1"/>
  <c r="I241" i="29" l="1"/>
  <c r="K241" i="29" s="1"/>
  <c r="F241" i="29"/>
  <c r="G242" i="27"/>
  <c r="H242" i="27" s="1"/>
  <c r="J242" i="27"/>
  <c r="D243" i="27" s="1"/>
  <c r="I243" i="24"/>
  <c r="K243" i="24" s="1"/>
  <c r="F243" i="24"/>
  <c r="J241" i="29" l="1"/>
  <c r="D242" i="29" s="1"/>
  <c r="G241" i="29"/>
  <c r="H241" i="29" s="1"/>
  <c r="I243" i="27"/>
  <c r="K243" i="27" s="1"/>
  <c r="F243" i="27"/>
  <c r="G243" i="24"/>
  <c r="H243" i="24" s="1"/>
  <c r="J243" i="24"/>
  <c r="D244" i="24" s="1"/>
  <c r="I242" i="29" l="1"/>
  <c r="K242" i="29" s="1"/>
  <c r="F242" i="29"/>
  <c r="J243" i="27"/>
  <c r="D244" i="27" s="1"/>
  <c r="G243" i="27"/>
  <c r="H243" i="27" s="1"/>
  <c r="I244" i="24"/>
  <c r="K244" i="24" s="1"/>
  <c r="F244" i="24"/>
  <c r="J242" i="29" l="1"/>
  <c r="D243" i="29" s="1"/>
  <c r="G242" i="29"/>
  <c r="H242" i="29" s="1"/>
  <c r="I244" i="27"/>
  <c r="K244" i="27" s="1"/>
  <c r="F244" i="27"/>
  <c r="J244" i="24"/>
  <c r="D245" i="24" s="1"/>
  <c r="G244" i="24"/>
  <c r="H244" i="24" s="1"/>
  <c r="I243" i="29" l="1"/>
  <c r="K243" i="29" s="1"/>
  <c r="F243" i="29"/>
  <c r="J244" i="27"/>
  <c r="D245" i="27" s="1"/>
  <c r="G244" i="27"/>
  <c r="H244" i="27" s="1"/>
  <c r="F245" i="24"/>
  <c r="I245" i="24"/>
  <c r="K245" i="24" s="1"/>
  <c r="G243" i="29" l="1"/>
  <c r="H243" i="29" s="1"/>
  <c r="J243" i="29"/>
  <c r="D244" i="29" s="1"/>
  <c r="I245" i="27"/>
  <c r="K245" i="27" s="1"/>
  <c r="F245" i="27"/>
  <c r="J245" i="24"/>
  <c r="D246" i="24" s="1"/>
  <c r="G245" i="24"/>
  <c r="H245" i="24" s="1"/>
  <c r="I244" i="29" l="1"/>
  <c r="K244" i="29" s="1"/>
  <c r="F244" i="29"/>
  <c r="J245" i="27"/>
  <c r="D246" i="27" s="1"/>
  <c r="G245" i="27"/>
  <c r="H245" i="27" s="1"/>
  <c r="I246" i="24"/>
  <c r="K246" i="24" s="1"/>
  <c r="F246" i="24"/>
  <c r="J244" i="29" l="1"/>
  <c r="D245" i="29" s="1"/>
  <c r="G244" i="29"/>
  <c r="H244" i="29" s="1"/>
  <c r="I246" i="27"/>
  <c r="K246" i="27" s="1"/>
  <c r="F246" i="27"/>
  <c r="J246" i="24"/>
  <c r="D247" i="24" s="1"/>
  <c r="G246" i="24"/>
  <c r="H246" i="24" s="1"/>
  <c r="I245" i="29" l="1"/>
  <c r="K245" i="29" s="1"/>
  <c r="F245" i="29"/>
  <c r="G246" i="27"/>
  <c r="H246" i="27" s="1"/>
  <c r="J246" i="27"/>
  <c r="D247" i="27" s="1"/>
  <c r="I247" i="24"/>
  <c r="K247" i="24" s="1"/>
  <c r="F247" i="24"/>
  <c r="J245" i="29" l="1"/>
  <c r="D246" i="29" s="1"/>
  <c r="G245" i="29"/>
  <c r="H245" i="29" s="1"/>
  <c r="I247" i="27"/>
  <c r="K247" i="27" s="1"/>
  <c r="F247" i="27"/>
  <c r="J247" i="24"/>
  <c r="D248" i="24" s="1"/>
  <c r="G247" i="24"/>
  <c r="H247" i="24" s="1"/>
  <c r="I246" i="29" l="1"/>
  <c r="K246" i="29" s="1"/>
  <c r="F246" i="29"/>
  <c r="J247" i="27"/>
  <c r="D248" i="27" s="1"/>
  <c r="G247" i="27"/>
  <c r="H247" i="27" s="1"/>
  <c r="F248" i="24"/>
  <c r="I248" i="24"/>
  <c r="K248" i="24" s="1"/>
  <c r="G246" i="29" l="1"/>
  <c r="H246" i="29" s="1"/>
  <c r="J246" i="29"/>
  <c r="D247" i="29" s="1"/>
  <c r="I248" i="27"/>
  <c r="K248" i="27" s="1"/>
  <c r="F248" i="27"/>
  <c r="G248" i="24"/>
  <c r="H248" i="24" s="1"/>
  <c r="J248" i="24"/>
  <c r="D249" i="24" s="1"/>
  <c r="I247" i="29" l="1"/>
  <c r="K247" i="29" s="1"/>
  <c r="F247" i="29"/>
  <c r="J248" i="27"/>
  <c r="D249" i="27" s="1"/>
  <c r="G248" i="27"/>
  <c r="H248" i="27" s="1"/>
  <c r="F249" i="24"/>
  <c r="I249" i="24"/>
  <c r="K249" i="24" s="1"/>
  <c r="J247" i="29" l="1"/>
  <c r="D248" i="29" s="1"/>
  <c r="G247" i="29"/>
  <c r="H247" i="29" s="1"/>
  <c r="F249" i="27"/>
  <c r="I249" i="27"/>
  <c r="K249" i="27" s="1"/>
  <c r="G249" i="24"/>
  <c r="H249" i="24" s="1"/>
  <c r="J249" i="24"/>
  <c r="D250" i="24" s="1"/>
  <c r="I248" i="29" l="1"/>
  <c r="K248" i="29" s="1"/>
  <c r="F248" i="29"/>
  <c r="G249" i="27"/>
  <c r="H249" i="27" s="1"/>
  <c r="J249" i="27"/>
  <c r="D250" i="27" s="1"/>
  <c r="I250" i="24"/>
  <c r="K250" i="24" s="1"/>
  <c r="F250" i="24"/>
  <c r="G248" i="29" l="1"/>
  <c r="H248" i="29" s="1"/>
  <c r="J248" i="29"/>
  <c r="D249" i="29" s="1"/>
  <c r="I250" i="27"/>
  <c r="K250" i="27" s="1"/>
  <c r="F250" i="27"/>
  <c r="G250" i="24"/>
  <c r="H250" i="24" s="1"/>
  <c r="J250" i="24"/>
  <c r="D251" i="24" s="1"/>
  <c r="I249" i="29" l="1"/>
  <c r="K249" i="29" s="1"/>
  <c r="F249" i="29"/>
  <c r="G250" i="27"/>
  <c r="H250" i="27" s="1"/>
  <c r="J250" i="27"/>
  <c r="D251" i="27" s="1"/>
  <c r="I251" i="24"/>
  <c r="K251" i="24" s="1"/>
  <c r="F251" i="24"/>
  <c r="G249" i="29" l="1"/>
  <c r="H249" i="29" s="1"/>
  <c r="J249" i="29"/>
  <c r="D250" i="29" s="1"/>
  <c r="I251" i="27"/>
  <c r="K251" i="27" s="1"/>
  <c r="F251" i="27"/>
  <c r="J251" i="24"/>
  <c r="D252" i="24" s="1"/>
  <c r="G251" i="24"/>
  <c r="H251" i="24" s="1"/>
  <c r="I250" i="29" l="1"/>
  <c r="K250" i="29" s="1"/>
  <c r="F250" i="29"/>
  <c r="J251" i="27"/>
  <c r="D252" i="27" s="1"/>
  <c r="G251" i="27"/>
  <c r="H251" i="27" s="1"/>
  <c r="I252" i="24"/>
  <c r="K252" i="24" s="1"/>
  <c r="F252" i="24"/>
  <c r="J250" i="29" l="1"/>
  <c r="D251" i="29" s="1"/>
  <c r="G250" i="29"/>
  <c r="H250" i="29" s="1"/>
  <c r="I252" i="27"/>
  <c r="K252" i="27" s="1"/>
  <c r="F252" i="27"/>
  <c r="J252" i="24"/>
  <c r="D253" i="24" s="1"/>
  <c r="G252" i="24"/>
  <c r="H252" i="24" s="1"/>
  <c r="I251" i="29" l="1"/>
  <c r="K251" i="29" s="1"/>
  <c r="F251" i="29"/>
  <c r="G252" i="27"/>
  <c r="H252" i="27" s="1"/>
  <c r="J252" i="27"/>
  <c r="D253" i="27" s="1"/>
  <c r="F253" i="24"/>
  <c r="I253" i="24"/>
  <c r="K253" i="24" s="1"/>
  <c r="J251" i="29" l="1"/>
  <c r="D252" i="29" s="1"/>
  <c r="G251" i="29"/>
  <c r="H251" i="29" s="1"/>
  <c r="I253" i="27"/>
  <c r="K253" i="27" s="1"/>
  <c r="F253" i="27"/>
  <c r="J253" i="24"/>
  <c r="D254" i="24" s="1"/>
  <c r="G253" i="24"/>
  <c r="H253" i="24" s="1"/>
  <c r="I252" i="29" l="1"/>
  <c r="K252" i="29" s="1"/>
  <c r="F252" i="29"/>
  <c r="J253" i="27"/>
  <c r="D254" i="27" s="1"/>
  <c r="G253" i="27"/>
  <c r="H253" i="27" s="1"/>
  <c r="I254" i="24"/>
  <c r="K254" i="24" s="1"/>
  <c r="F254" i="24"/>
  <c r="G252" i="29" l="1"/>
  <c r="H252" i="29" s="1"/>
  <c r="J252" i="29"/>
  <c r="D253" i="29" s="1"/>
  <c r="I254" i="27"/>
  <c r="K254" i="27" s="1"/>
  <c r="F254" i="27"/>
  <c r="J254" i="24"/>
  <c r="D255" i="24" s="1"/>
  <c r="G254" i="24"/>
  <c r="H254" i="24" s="1"/>
  <c r="I253" i="29" l="1"/>
  <c r="K253" i="29" s="1"/>
  <c r="F253" i="29"/>
  <c r="G254" i="27"/>
  <c r="H254" i="27" s="1"/>
  <c r="J254" i="27"/>
  <c r="D255" i="27" s="1"/>
  <c r="F255" i="24"/>
  <c r="I255" i="24"/>
  <c r="K255" i="24" s="1"/>
  <c r="J253" i="29" l="1"/>
  <c r="D254" i="29" s="1"/>
  <c r="G253" i="29"/>
  <c r="H253" i="29" s="1"/>
  <c r="I255" i="27"/>
  <c r="K255" i="27" s="1"/>
  <c r="F255" i="27"/>
  <c r="G255" i="24"/>
  <c r="H255" i="24" s="1"/>
  <c r="J255" i="24"/>
  <c r="D256" i="24" s="1"/>
  <c r="I254" i="29" l="1"/>
  <c r="K254" i="29" s="1"/>
  <c r="F254" i="29"/>
  <c r="J255" i="27"/>
  <c r="D256" i="27" s="1"/>
  <c r="G255" i="27"/>
  <c r="H255" i="27" s="1"/>
  <c r="F256" i="24"/>
  <c r="I256" i="24"/>
  <c r="K256" i="24" s="1"/>
  <c r="J254" i="29" l="1"/>
  <c r="D255" i="29" s="1"/>
  <c r="G254" i="29"/>
  <c r="H254" i="29" s="1"/>
  <c r="I256" i="27"/>
  <c r="K256" i="27" s="1"/>
  <c r="F256" i="27"/>
  <c r="G256" i="24"/>
  <c r="H256" i="24" s="1"/>
  <c r="J256" i="24"/>
  <c r="D257" i="24" s="1"/>
  <c r="I255" i="29" l="1"/>
  <c r="K255" i="29" s="1"/>
  <c r="F255" i="29"/>
  <c r="J256" i="27"/>
  <c r="D257" i="27" s="1"/>
  <c r="G256" i="27"/>
  <c r="H256" i="27" s="1"/>
  <c r="I257" i="24"/>
  <c r="K257" i="24" s="1"/>
  <c r="F257" i="24"/>
  <c r="J255" i="29" l="1"/>
  <c r="D256" i="29" s="1"/>
  <c r="G255" i="29"/>
  <c r="H255" i="29" s="1"/>
  <c r="I257" i="27"/>
  <c r="K257" i="27" s="1"/>
  <c r="F257" i="27"/>
  <c r="J257" i="24"/>
  <c r="D258" i="24" s="1"/>
  <c r="G257" i="24"/>
  <c r="H257" i="24" s="1"/>
  <c r="I256" i="29" l="1"/>
  <c r="K256" i="29" s="1"/>
  <c r="F256" i="29"/>
  <c r="G257" i="27"/>
  <c r="H257" i="27" s="1"/>
  <c r="J257" i="27"/>
  <c r="D258" i="27" s="1"/>
  <c r="I258" i="24"/>
  <c r="K258" i="24" s="1"/>
  <c r="F258" i="24"/>
  <c r="G256" i="29" l="1"/>
  <c r="H256" i="29" s="1"/>
  <c r="J256" i="29"/>
  <c r="D257" i="29" s="1"/>
  <c r="I258" i="27"/>
  <c r="K258" i="27" s="1"/>
  <c r="F258" i="27"/>
  <c r="J258" i="24"/>
  <c r="D259" i="24" s="1"/>
  <c r="G258" i="24"/>
  <c r="H258" i="24" s="1"/>
  <c r="I257" i="29" l="1"/>
  <c r="K257" i="29" s="1"/>
  <c r="F257" i="29"/>
  <c r="G258" i="27"/>
  <c r="H258" i="27" s="1"/>
  <c r="J258" i="27"/>
  <c r="D259" i="27" s="1"/>
  <c r="I259" i="24"/>
  <c r="K259" i="24" s="1"/>
  <c r="F259" i="24"/>
  <c r="G257" i="29" l="1"/>
  <c r="H257" i="29" s="1"/>
  <c r="J257" i="29"/>
  <c r="D258" i="29" s="1"/>
  <c r="F259" i="27"/>
  <c r="I259" i="27"/>
  <c r="K259" i="27" s="1"/>
  <c r="J259" i="24"/>
  <c r="D260" i="24" s="1"/>
  <c r="G259" i="24"/>
  <c r="H259" i="24" s="1"/>
  <c r="I258" i="29" l="1"/>
  <c r="K258" i="29" s="1"/>
  <c r="F258" i="29"/>
  <c r="G259" i="27"/>
  <c r="H259" i="27" s="1"/>
  <c r="J259" i="27"/>
  <c r="D260" i="27" s="1"/>
  <c r="I260" i="24"/>
  <c r="K260" i="24" s="1"/>
  <c r="F260" i="24"/>
  <c r="J258" i="29" l="1"/>
  <c r="D259" i="29" s="1"/>
  <c r="G258" i="29"/>
  <c r="H258" i="29" s="1"/>
  <c r="I260" i="27"/>
  <c r="K260" i="27" s="1"/>
  <c r="F260" i="27"/>
  <c r="G260" i="24"/>
  <c r="H260" i="24" s="1"/>
  <c r="J260" i="24"/>
  <c r="D261" i="24" s="1"/>
  <c r="I259" i="29" l="1"/>
  <c r="K259" i="29" s="1"/>
  <c r="F259" i="29"/>
  <c r="G260" i="27"/>
  <c r="H260" i="27" s="1"/>
  <c r="J260" i="27"/>
  <c r="D261" i="27" s="1"/>
  <c r="I261" i="24"/>
  <c r="K261" i="24" s="1"/>
  <c r="F261" i="24"/>
  <c r="J259" i="29" l="1"/>
  <c r="D260" i="29" s="1"/>
  <c r="G259" i="29"/>
  <c r="H259" i="29" s="1"/>
  <c r="F261" i="27"/>
  <c r="I261" i="27"/>
  <c r="K261" i="27" s="1"/>
  <c r="G261" i="24"/>
  <c r="H261" i="24" s="1"/>
  <c r="J261" i="24"/>
  <c r="D262" i="24" s="1"/>
  <c r="I260" i="29" l="1"/>
  <c r="K260" i="29" s="1"/>
  <c r="F260" i="29"/>
  <c r="G261" i="27"/>
  <c r="H261" i="27" s="1"/>
  <c r="J261" i="27"/>
  <c r="D262" i="27" s="1"/>
  <c r="I262" i="24"/>
  <c r="K262" i="24" s="1"/>
  <c r="F262" i="24"/>
  <c r="G260" i="29" l="1"/>
  <c r="H260" i="29" s="1"/>
  <c r="J260" i="29"/>
  <c r="D261" i="29" s="1"/>
  <c r="I262" i="27"/>
  <c r="K262" i="27" s="1"/>
  <c r="F262" i="27"/>
  <c r="G262" i="24"/>
  <c r="H262" i="24" s="1"/>
  <c r="J262" i="24"/>
  <c r="D263" i="24" s="1"/>
  <c r="I261" i="29" l="1"/>
  <c r="K261" i="29" s="1"/>
  <c r="F261" i="29"/>
  <c r="G262" i="27"/>
  <c r="H262" i="27" s="1"/>
  <c r="J262" i="27"/>
  <c r="D263" i="27" s="1"/>
  <c r="I263" i="24"/>
  <c r="K263" i="24" s="1"/>
  <c r="F263" i="24"/>
  <c r="G261" i="29" l="1"/>
  <c r="H261" i="29" s="1"/>
  <c r="J261" i="29"/>
  <c r="D262" i="29" s="1"/>
  <c r="I263" i="27"/>
  <c r="K263" i="27" s="1"/>
  <c r="F263" i="27"/>
  <c r="G263" i="24"/>
  <c r="H263" i="24" s="1"/>
  <c r="J263" i="24"/>
  <c r="D264" i="24" s="1"/>
  <c r="I262" i="29" l="1"/>
  <c r="K262" i="29" s="1"/>
  <c r="F262" i="29"/>
  <c r="G263" i="27"/>
  <c r="H263" i="27" s="1"/>
  <c r="J263" i="27"/>
  <c r="D264" i="27" s="1"/>
  <c r="I264" i="24"/>
  <c r="K264" i="24" s="1"/>
  <c r="F264" i="24"/>
  <c r="G262" i="29" l="1"/>
  <c r="H262" i="29" s="1"/>
  <c r="J262" i="29"/>
  <c r="D263" i="29" s="1"/>
  <c r="I264" i="27"/>
  <c r="K264" i="27" s="1"/>
  <c r="F264" i="27"/>
  <c r="G264" i="24"/>
  <c r="H264" i="24" s="1"/>
  <c r="J264" i="24"/>
  <c r="D265" i="24" s="1"/>
  <c r="I263" i="29" l="1"/>
  <c r="K263" i="29" s="1"/>
  <c r="F263" i="29"/>
  <c r="G264" i="27"/>
  <c r="H264" i="27" s="1"/>
  <c r="J264" i="27"/>
  <c r="D265" i="27" s="1"/>
  <c r="F265" i="24"/>
  <c r="I265" i="24"/>
  <c r="K265" i="24" s="1"/>
  <c r="J263" i="29" l="1"/>
  <c r="D264" i="29" s="1"/>
  <c r="G263" i="29"/>
  <c r="H263" i="29" s="1"/>
  <c r="I265" i="27"/>
  <c r="K265" i="27" s="1"/>
  <c r="F265" i="27"/>
  <c r="G265" i="24"/>
  <c r="H265" i="24" s="1"/>
  <c r="J265" i="24"/>
  <c r="D266" i="24" s="1"/>
  <c r="I264" i="29" l="1"/>
  <c r="K264" i="29" s="1"/>
  <c r="F264" i="29"/>
  <c r="G265" i="27"/>
  <c r="H265" i="27" s="1"/>
  <c r="J265" i="27"/>
  <c r="D266" i="27" s="1"/>
  <c r="I266" i="24"/>
  <c r="K266" i="24" s="1"/>
  <c r="F266" i="24"/>
  <c r="J264" i="29" l="1"/>
  <c r="D265" i="29" s="1"/>
  <c r="G264" i="29"/>
  <c r="H264" i="29" s="1"/>
  <c r="I266" i="27"/>
  <c r="K266" i="27" s="1"/>
  <c r="F266" i="27"/>
  <c r="G266" i="24"/>
  <c r="H266" i="24" s="1"/>
  <c r="J266" i="24"/>
  <c r="D267" i="24" s="1"/>
  <c r="I265" i="29" l="1"/>
  <c r="K265" i="29" s="1"/>
  <c r="F265" i="29"/>
  <c r="J266" i="27"/>
  <c r="D267" i="27" s="1"/>
  <c r="G266" i="27"/>
  <c r="H266" i="27" s="1"/>
  <c r="I267" i="24"/>
  <c r="K267" i="24" s="1"/>
  <c r="F267" i="24"/>
  <c r="J265" i="29" l="1"/>
  <c r="D266" i="29" s="1"/>
  <c r="G265" i="29"/>
  <c r="H265" i="29" s="1"/>
  <c r="I267" i="27"/>
  <c r="K267" i="27" s="1"/>
  <c r="F267" i="27"/>
  <c r="J267" i="24"/>
  <c r="D268" i="24" s="1"/>
  <c r="G267" i="24"/>
  <c r="H267" i="24" s="1"/>
  <c r="I266" i="29" l="1"/>
  <c r="K266" i="29" s="1"/>
  <c r="F266" i="29"/>
  <c r="J267" i="27"/>
  <c r="D268" i="27" s="1"/>
  <c r="G267" i="27"/>
  <c r="H267" i="27" s="1"/>
  <c r="F268" i="24"/>
  <c r="I268" i="24"/>
  <c r="K268" i="24" s="1"/>
  <c r="G266" i="29" l="1"/>
  <c r="H266" i="29" s="1"/>
  <c r="J266" i="29"/>
  <c r="D267" i="29" s="1"/>
  <c r="F268" i="27"/>
  <c r="I268" i="27"/>
  <c r="K268" i="27" s="1"/>
  <c r="J268" i="24"/>
  <c r="D269" i="24" s="1"/>
  <c r="G268" i="24"/>
  <c r="H268" i="24" s="1"/>
  <c r="I267" i="29" l="1"/>
  <c r="K267" i="29" s="1"/>
  <c r="F267" i="29"/>
  <c r="G268" i="27"/>
  <c r="H268" i="27" s="1"/>
  <c r="J268" i="27"/>
  <c r="D269" i="27" s="1"/>
  <c r="I269" i="24"/>
  <c r="K269" i="24" s="1"/>
  <c r="F269" i="24"/>
  <c r="G267" i="29" l="1"/>
  <c r="H267" i="29" s="1"/>
  <c r="J267" i="29"/>
  <c r="D268" i="29" s="1"/>
  <c r="I269" i="27"/>
  <c r="K269" i="27" s="1"/>
  <c r="F269" i="27"/>
  <c r="J269" i="24"/>
  <c r="D270" i="24" s="1"/>
  <c r="G269" i="24"/>
  <c r="H269" i="24" s="1"/>
  <c r="I268" i="29" l="1"/>
  <c r="K268" i="29" s="1"/>
  <c r="F268" i="29"/>
  <c r="G269" i="27"/>
  <c r="H269" i="27" s="1"/>
  <c r="J269" i="27"/>
  <c r="D270" i="27" s="1"/>
  <c r="F270" i="24"/>
  <c r="I270" i="24"/>
  <c r="K270" i="24" s="1"/>
  <c r="J268" i="29" l="1"/>
  <c r="D269" i="29" s="1"/>
  <c r="G268" i="29"/>
  <c r="H268" i="29" s="1"/>
  <c r="F270" i="27"/>
  <c r="I270" i="27"/>
  <c r="K270" i="27" s="1"/>
  <c r="J270" i="24"/>
  <c r="D271" i="24" s="1"/>
  <c r="G270" i="24"/>
  <c r="H270" i="24" s="1"/>
  <c r="I269" i="29" l="1"/>
  <c r="K269" i="29" s="1"/>
  <c r="F269" i="29"/>
  <c r="G270" i="27"/>
  <c r="H270" i="27" s="1"/>
  <c r="J270" i="27"/>
  <c r="D271" i="27" s="1"/>
  <c r="I271" i="24"/>
  <c r="K271" i="24" s="1"/>
  <c r="F271" i="24"/>
  <c r="G269" i="29" l="1"/>
  <c r="H269" i="29" s="1"/>
  <c r="J269" i="29"/>
  <c r="D270" i="29" s="1"/>
  <c r="F271" i="27"/>
  <c r="I271" i="27"/>
  <c r="K271" i="27" s="1"/>
  <c r="J271" i="24"/>
  <c r="D272" i="24" s="1"/>
  <c r="G271" i="24"/>
  <c r="H271" i="24" s="1"/>
  <c r="I270" i="29" l="1"/>
  <c r="K270" i="29" s="1"/>
  <c r="F270" i="29"/>
  <c r="G271" i="27"/>
  <c r="H271" i="27" s="1"/>
  <c r="J271" i="27"/>
  <c r="D272" i="27" s="1"/>
  <c r="I272" i="24"/>
  <c r="K272" i="24" s="1"/>
  <c r="F272" i="24"/>
  <c r="J270" i="29" l="1"/>
  <c r="D271" i="29" s="1"/>
  <c r="G270" i="29"/>
  <c r="H270" i="29" s="1"/>
  <c r="F272" i="27"/>
  <c r="I272" i="27"/>
  <c r="K272" i="27" s="1"/>
  <c r="J272" i="24"/>
  <c r="D273" i="24" s="1"/>
  <c r="G272" i="24"/>
  <c r="H272" i="24" s="1"/>
  <c r="I271" i="29" l="1"/>
  <c r="K271" i="29" s="1"/>
  <c r="F271" i="29"/>
  <c r="J272" i="27"/>
  <c r="D273" i="27" s="1"/>
  <c r="G272" i="27"/>
  <c r="H272" i="27" s="1"/>
  <c r="I273" i="24"/>
  <c r="K273" i="24" s="1"/>
  <c r="F273" i="24"/>
  <c r="J271" i="29" l="1"/>
  <c r="D272" i="29" s="1"/>
  <c r="G271" i="29"/>
  <c r="H271" i="29" s="1"/>
  <c r="I273" i="27"/>
  <c r="K273" i="27" s="1"/>
  <c r="F273" i="27"/>
  <c r="J273" i="24"/>
  <c r="D274" i="24" s="1"/>
  <c r="G273" i="24"/>
  <c r="H273" i="24" s="1"/>
  <c r="I272" i="29" l="1"/>
  <c r="K272" i="29" s="1"/>
  <c r="F272" i="29"/>
  <c r="G273" i="27"/>
  <c r="H273" i="27" s="1"/>
  <c r="J273" i="27"/>
  <c r="D274" i="27" s="1"/>
  <c r="F274" i="24"/>
  <c r="I274" i="24"/>
  <c r="K274" i="24" s="1"/>
  <c r="J272" i="29" l="1"/>
  <c r="D273" i="29" s="1"/>
  <c r="G272" i="29"/>
  <c r="H272" i="29" s="1"/>
  <c r="I274" i="27"/>
  <c r="K274" i="27" s="1"/>
  <c r="F274" i="27"/>
  <c r="J274" i="24"/>
  <c r="D275" i="24" s="1"/>
  <c r="G274" i="24"/>
  <c r="H274" i="24" s="1"/>
  <c r="I273" i="29" l="1"/>
  <c r="K273" i="29" s="1"/>
  <c r="F273" i="29"/>
  <c r="G274" i="27"/>
  <c r="H274" i="27" s="1"/>
  <c r="J274" i="27"/>
  <c r="D275" i="27" s="1"/>
  <c r="I275" i="24"/>
  <c r="K275" i="24" s="1"/>
  <c r="F275" i="24"/>
  <c r="J273" i="29" l="1"/>
  <c r="D274" i="29" s="1"/>
  <c r="G273" i="29"/>
  <c r="H273" i="29" s="1"/>
  <c r="I275" i="27"/>
  <c r="K275" i="27" s="1"/>
  <c r="F275" i="27"/>
  <c r="J275" i="24"/>
  <c r="D276" i="24" s="1"/>
  <c r="G275" i="24"/>
  <c r="H275" i="24" s="1"/>
  <c r="I274" i="29" l="1"/>
  <c r="K274" i="29" s="1"/>
  <c r="F274" i="29"/>
  <c r="G275" i="27"/>
  <c r="H275" i="27" s="1"/>
  <c r="J275" i="27"/>
  <c r="D276" i="27" s="1"/>
  <c r="I276" i="24"/>
  <c r="K276" i="24" s="1"/>
  <c r="F276" i="24"/>
  <c r="J274" i="29" l="1"/>
  <c r="D275" i="29" s="1"/>
  <c r="G274" i="29"/>
  <c r="H274" i="29" s="1"/>
  <c r="F276" i="27"/>
  <c r="I276" i="27"/>
  <c r="K276" i="27" s="1"/>
  <c r="J276" i="24"/>
  <c r="D277" i="24" s="1"/>
  <c r="G276" i="24"/>
  <c r="H276" i="24" s="1"/>
  <c r="I275" i="29" l="1"/>
  <c r="K275" i="29" s="1"/>
  <c r="F275" i="29"/>
  <c r="G276" i="27"/>
  <c r="H276" i="27" s="1"/>
  <c r="J276" i="27"/>
  <c r="D277" i="27" s="1"/>
  <c r="I277" i="24"/>
  <c r="K277" i="24" s="1"/>
  <c r="F277" i="24"/>
  <c r="G275" i="29" l="1"/>
  <c r="H275" i="29" s="1"/>
  <c r="J275" i="29"/>
  <c r="D276" i="29" s="1"/>
  <c r="F277" i="27"/>
  <c r="I277" i="27"/>
  <c r="K277" i="27" s="1"/>
  <c r="J277" i="24"/>
  <c r="D278" i="24" s="1"/>
  <c r="G277" i="24"/>
  <c r="H277" i="24" s="1"/>
  <c r="I276" i="29" l="1"/>
  <c r="K276" i="29" s="1"/>
  <c r="F276" i="29"/>
  <c r="J277" i="27"/>
  <c r="D278" i="27" s="1"/>
  <c r="G277" i="27"/>
  <c r="H277" i="27" s="1"/>
  <c r="I278" i="24"/>
  <c r="K278" i="24" s="1"/>
  <c r="F278" i="24"/>
  <c r="J276" i="29" l="1"/>
  <c r="D277" i="29" s="1"/>
  <c r="G276" i="29"/>
  <c r="H276" i="29" s="1"/>
  <c r="I278" i="27"/>
  <c r="K278" i="27" s="1"/>
  <c r="F278" i="27"/>
  <c r="G278" i="24"/>
  <c r="H278" i="24" s="1"/>
  <c r="J278" i="24"/>
  <c r="D279" i="24" s="1"/>
  <c r="I277" i="29" l="1"/>
  <c r="K277" i="29" s="1"/>
  <c r="F277" i="29"/>
  <c r="G278" i="27"/>
  <c r="H278" i="27" s="1"/>
  <c r="J278" i="27"/>
  <c r="D279" i="27" s="1"/>
  <c r="I279" i="24"/>
  <c r="K279" i="24" s="1"/>
  <c r="F279" i="24"/>
  <c r="J277" i="29" l="1"/>
  <c r="D278" i="29" s="1"/>
  <c r="G277" i="29"/>
  <c r="H277" i="29" s="1"/>
  <c r="I279" i="27"/>
  <c r="K279" i="27" s="1"/>
  <c r="F279" i="27"/>
  <c r="G279" i="24"/>
  <c r="H279" i="24" s="1"/>
  <c r="J279" i="24"/>
  <c r="D280" i="24" s="1"/>
  <c r="I278" i="29" l="1"/>
  <c r="K278" i="29" s="1"/>
  <c r="F278" i="29"/>
  <c r="J279" i="27"/>
  <c r="D280" i="27" s="1"/>
  <c r="G279" i="27"/>
  <c r="H279" i="27" s="1"/>
  <c r="F280" i="24"/>
  <c r="I280" i="24"/>
  <c r="K280" i="24" s="1"/>
  <c r="G278" i="29" l="1"/>
  <c r="H278" i="29" s="1"/>
  <c r="J278" i="29"/>
  <c r="D279" i="29" s="1"/>
  <c r="F280" i="27"/>
  <c r="I280" i="27"/>
  <c r="K280" i="27" s="1"/>
  <c r="G280" i="24"/>
  <c r="H280" i="24" s="1"/>
  <c r="J280" i="24"/>
  <c r="D281" i="24" s="1"/>
  <c r="I279" i="29" l="1"/>
  <c r="K279" i="29" s="1"/>
  <c r="F279" i="29"/>
  <c r="G280" i="27"/>
  <c r="H280" i="27" s="1"/>
  <c r="J280" i="27"/>
  <c r="D281" i="27" s="1"/>
  <c r="I281" i="24"/>
  <c r="K281" i="24" s="1"/>
  <c r="F281" i="24"/>
  <c r="J279" i="29" l="1"/>
  <c r="D280" i="29" s="1"/>
  <c r="G279" i="29"/>
  <c r="H279" i="29" s="1"/>
  <c r="I281" i="27"/>
  <c r="K281" i="27" s="1"/>
  <c r="F281" i="27"/>
  <c r="J281" i="24"/>
  <c r="D282" i="24" s="1"/>
  <c r="G281" i="24"/>
  <c r="H281" i="24" s="1"/>
  <c r="I280" i="29" l="1"/>
  <c r="K280" i="29" s="1"/>
  <c r="F280" i="29"/>
  <c r="J281" i="27"/>
  <c r="D282" i="27" s="1"/>
  <c r="G281" i="27"/>
  <c r="H281" i="27" s="1"/>
  <c r="F282" i="24"/>
  <c r="I282" i="24"/>
  <c r="K282" i="24" s="1"/>
  <c r="G280" i="29" l="1"/>
  <c r="H280" i="29" s="1"/>
  <c r="J280" i="29"/>
  <c r="D281" i="29" s="1"/>
  <c r="I282" i="27"/>
  <c r="K282" i="27" s="1"/>
  <c r="F282" i="27"/>
  <c r="G282" i="24"/>
  <c r="H282" i="24" s="1"/>
  <c r="J282" i="24"/>
  <c r="D283" i="24" s="1"/>
  <c r="I281" i="29" l="1"/>
  <c r="K281" i="29" s="1"/>
  <c r="F281" i="29"/>
  <c r="G282" i="27"/>
  <c r="H282" i="27" s="1"/>
  <c r="J282" i="27"/>
  <c r="D283" i="27" s="1"/>
  <c r="I283" i="24"/>
  <c r="K283" i="24" s="1"/>
  <c r="F283" i="24"/>
  <c r="J281" i="29" l="1"/>
  <c r="D282" i="29" s="1"/>
  <c r="G281" i="29"/>
  <c r="H281" i="29" s="1"/>
  <c r="I283" i="27"/>
  <c r="K283" i="27" s="1"/>
  <c r="F283" i="27"/>
  <c r="J283" i="24"/>
  <c r="D284" i="24" s="1"/>
  <c r="G283" i="24"/>
  <c r="H283" i="24" s="1"/>
  <c r="I282" i="29" l="1"/>
  <c r="K282" i="29" s="1"/>
  <c r="F282" i="29"/>
  <c r="G283" i="27"/>
  <c r="H283" i="27" s="1"/>
  <c r="J283" i="27"/>
  <c r="D284" i="27" s="1"/>
  <c r="I284" i="24"/>
  <c r="K284" i="24" s="1"/>
  <c r="F284" i="24"/>
  <c r="J282" i="29" l="1"/>
  <c r="D283" i="29" s="1"/>
  <c r="G282" i="29"/>
  <c r="H282" i="29" s="1"/>
  <c r="I284" i="27"/>
  <c r="K284" i="27" s="1"/>
  <c r="F284" i="27"/>
  <c r="G284" i="24"/>
  <c r="H284" i="24" s="1"/>
  <c r="J284" i="24"/>
  <c r="D285" i="24" s="1"/>
  <c r="I283" i="29" l="1"/>
  <c r="K283" i="29" s="1"/>
  <c r="F283" i="29"/>
  <c r="J284" i="27"/>
  <c r="D285" i="27" s="1"/>
  <c r="G284" i="27"/>
  <c r="H284" i="27" s="1"/>
  <c r="I285" i="24"/>
  <c r="K285" i="24" s="1"/>
  <c r="F285" i="24"/>
  <c r="J283" i="29" l="1"/>
  <c r="D284" i="29" s="1"/>
  <c r="G283" i="29"/>
  <c r="H283" i="29" s="1"/>
  <c r="I285" i="27"/>
  <c r="K285" i="27" s="1"/>
  <c r="F285" i="27"/>
  <c r="G285" i="24"/>
  <c r="H285" i="24" s="1"/>
  <c r="J285" i="24"/>
  <c r="D286" i="24" s="1"/>
  <c r="I284" i="29" l="1"/>
  <c r="K284" i="29" s="1"/>
  <c r="F284" i="29"/>
  <c r="G285" i="27"/>
  <c r="H285" i="27" s="1"/>
  <c r="J285" i="27"/>
  <c r="D286" i="27" s="1"/>
  <c r="I286" i="24"/>
  <c r="K286" i="24" s="1"/>
  <c r="F286" i="24"/>
  <c r="G284" i="29" l="1"/>
  <c r="H284" i="29" s="1"/>
  <c r="J284" i="29"/>
  <c r="D285" i="29" s="1"/>
  <c r="F286" i="27"/>
  <c r="I286" i="27"/>
  <c r="K286" i="27" s="1"/>
  <c r="J286" i="24"/>
  <c r="D287" i="24" s="1"/>
  <c r="G286" i="24"/>
  <c r="H286" i="24" s="1"/>
  <c r="I285" i="29" l="1"/>
  <c r="K285" i="29" s="1"/>
  <c r="F285" i="29"/>
  <c r="G286" i="27"/>
  <c r="H286" i="27" s="1"/>
  <c r="J286" i="27"/>
  <c r="D287" i="27" s="1"/>
  <c r="I287" i="24"/>
  <c r="K287" i="24" s="1"/>
  <c r="F287" i="24"/>
  <c r="G285" i="29" l="1"/>
  <c r="H285" i="29" s="1"/>
  <c r="J285" i="29"/>
  <c r="D286" i="29" s="1"/>
  <c r="I287" i="27"/>
  <c r="K287" i="27" s="1"/>
  <c r="F287" i="27"/>
  <c r="G287" i="24"/>
  <c r="H287" i="24" s="1"/>
  <c r="J287" i="24"/>
  <c r="D288" i="24" s="1"/>
  <c r="I286" i="29" l="1"/>
  <c r="K286" i="29" s="1"/>
  <c r="F286" i="29"/>
  <c r="J287" i="27"/>
  <c r="D288" i="27" s="1"/>
  <c r="G287" i="27"/>
  <c r="H287" i="27" s="1"/>
  <c r="F288" i="24"/>
  <c r="I288" i="24"/>
  <c r="K288" i="24" s="1"/>
  <c r="J286" i="29" l="1"/>
  <c r="D287" i="29" s="1"/>
  <c r="G286" i="29"/>
  <c r="H286" i="29" s="1"/>
  <c r="I288" i="27"/>
  <c r="K288" i="27" s="1"/>
  <c r="F288" i="27"/>
  <c r="J288" i="24"/>
  <c r="D289" i="24" s="1"/>
  <c r="G288" i="24"/>
  <c r="H288" i="24" s="1"/>
  <c r="I287" i="29" l="1"/>
  <c r="K287" i="29" s="1"/>
  <c r="F287" i="29"/>
  <c r="G288" i="27"/>
  <c r="H288" i="27" s="1"/>
  <c r="J288" i="27"/>
  <c r="D289" i="27" s="1"/>
  <c r="I289" i="24"/>
  <c r="K289" i="24" s="1"/>
  <c r="F289" i="24"/>
  <c r="G287" i="29" l="1"/>
  <c r="H287" i="29" s="1"/>
  <c r="J287" i="29"/>
  <c r="D288" i="29" s="1"/>
  <c r="I289" i="27"/>
  <c r="K289" i="27" s="1"/>
  <c r="F289" i="27"/>
  <c r="G289" i="24"/>
  <c r="H289" i="24" s="1"/>
  <c r="J289" i="24"/>
  <c r="D290" i="24" s="1"/>
  <c r="I288" i="29" l="1"/>
  <c r="K288" i="29" s="1"/>
  <c r="F288" i="29"/>
  <c r="G289" i="27"/>
  <c r="H289" i="27" s="1"/>
  <c r="J289" i="27"/>
  <c r="D290" i="27" s="1"/>
  <c r="I290" i="24"/>
  <c r="K290" i="24" s="1"/>
  <c r="F290" i="24"/>
  <c r="G288" i="29" l="1"/>
  <c r="H288" i="29" s="1"/>
  <c r="J288" i="29"/>
  <c r="D289" i="29" s="1"/>
  <c r="F290" i="27"/>
  <c r="I290" i="27"/>
  <c r="K290" i="27" s="1"/>
  <c r="J290" i="24"/>
  <c r="D291" i="24" s="1"/>
  <c r="G290" i="24"/>
  <c r="H290" i="24" s="1"/>
  <c r="I289" i="29" l="1"/>
  <c r="K289" i="29" s="1"/>
  <c r="F289" i="29"/>
  <c r="J290" i="27"/>
  <c r="D291" i="27" s="1"/>
  <c r="G290" i="27"/>
  <c r="H290" i="27" s="1"/>
  <c r="I291" i="24"/>
  <c r="K291" i="24" s="1"/>
  <c r="F291" i="24"/>
  <c r="G289" i="29" l="1"/>
  <c r="H289" i="29" s="1"/>
  <c r="J289" i="29"/>
  <c r="D290" i="29" s="1"/>
  <c r="I291" i="27"/>
  <c r="K291" i="27" s="1"/>
  <c r="F291" i="27"/>
  <c r="G291" i="24"/>
  <c r="H291" i="24" s="1"/>
  <c r="J291" i="24"/>
  <c r="D292" i="24" s="1"/>
  <c r="I290" i="29" l="1"/>
  <c r="K290" i="29" s="1"/>
  <c r="F290" i="29"/>
  <c r="G291" i="27"/>
  <c r="H291" i="27" s="1"/>
  <c r="J291" i="27"/>
  <c r="D292" i="27" s="1"/>
  <c r="I292" i="24"/>
  <c r="K292" i="24" s="1"/>
  <c r="F292" i="24"/>
  <c r="J290" i="29" l="1"/>
  <c r="D291" i="29" s="1"/>
  <c r="G290" i="29"/>
  <c r="H290" i="29" s="1"/>
  <c r="F292" i="27"/>
  <c r="I292" i="27"/>
  <c r="K292" i="27" s="1"/>
  <c r="J292" i="24"/>
  <c r="D293" i="24" s="1"/>
  <c r="G292" i="24"/>
  <c r="H292" i="24" s="1"/>
  <c r="I291" i="29" l="1"/>
  <c r="K291" i="29" s="1"/>
  <c r="F291" i="29"/>
  <c r="G292" i="27"/>
  <c r="H292" i="27" s="1"/>
  <c r="J292" i="27"/>
  <c r="D293" i="27" s="1"/>
  <c r="I293" i="24"/>
  <c r="K293" i="24" s="1"/>
  <c r="F293" i="24"/>
  <c r="J291" i="29" l="1"/>
  <c r="D292" i="29" s="1"/>
  <c r="G291" i="29"/>
  <c r="H291" i="29" s="1"/>
  <c r="F293" i="27"/>
  <c r="I293" i="27"/>
  <c r="K293" i="27" s="1"/>
  <c r="G293" i="24"/>
  <c r="H293" i="24" s="1"/>
  <c r="J293" i="24"/>
  <c r="D294" i="24" s="1"/>
  <c r="I292" i="29" l="1"/>
  <c r="K292" i="29" s="1"/>
  <c r="F292" i="29"/>
  <c r="G293" i="27"/>
  <c r="H293" i="27" s="1"/>
  <c r="J293" i="27"/>
  <c r="D294" i="27" s="1"/>
  <c r="I294" i="24"/>
  <c r="K294" i="24" s="1"/>
  <c r="F294" i="24"/>
  <c r="G292" i="29" l="1"/>
  <c r="H292" i="29" s="1"/>
  <c r="J292" i="29"/>
  <c r="D293" i="29" s="1"/>
  <c r="F294" i="27"/>
  <c r="I294" i="27"/>
  <c r="K294" i="27" s="1"/>
  <c r="G294" i="24"/>
  <c r="H294" i="24" s="1"/>
  <c r="J294" i="24"/>
  <c r="D295" i="24" s="1"/>
  <c r="I293" i="29" l="1"/>
  <c r="K293" i="29" s="1"/>
  <c r="F293" i="29"/>
  <c r="G294" i="27"/>
  <c r="H294" i="27" s="1"/>
  <c r="J294" i="27"/>
  <c r="D295" i="27" s="1"/>
  <c r="F295" i="24"/>
  <c r="I295" i="24"/>
  <c r="K295" i="24" s="1"/>
  <c r="J293" i="29" l="1"/>
  <c r="D294" i="29" s="1"/>
  <c r="G293" i="29"/>
  <c r="H293" i="29" s="1"/>
  <c r="F295" i="27"/>
  <c r="I295" i="27"/>
  <c r="K295" i="27" s="1"/>
  <c r="J295" i="24"/>
  <c r="D296" i="24" s="1"/>
  <c r="G295" i="24"/>
  <c r="H295" i="24" s="1"/>
  <c r="I294" i="29" l="1"/>
  <c r="K294" i="29" s="1"/>
  <c r="F294" i="29"/>
  <c r="G295" i="27"/>
  <c r="H295" i="27" s="1"/>
  <c r="J295" i="27"/>
  <c r="D296" i="27" s="1"/>
  <c r="I296" i="24"/>
  <c r="K296" i="24" s="1"/>
  <c r="F296" i="24"/>
  <c r="J294" i="29" l="1"/>
  <c r="D295" i="29" s="1"/>
  <c r="G294" i="29"/>
  <c r="H294" i="29" s="1"/>
  <c r="F296" i="27"/>
  <c r="I296" i="27"/>
  <c r="K296" i="27" s="1"/>
  <c r="G296" i="24"/>
  <c r="H296" i="24" s="1"/>
  <c r="J296" i="24"/>
  <c r="D297" i="24" s="1"/>
  <c r="I295" i="29" l="1"/>
  <c r="K295" i="29" s="1"/>
  <c r="F295" i="29"/>
  <c r="G296" i="27"/>
  <c r="H296" i="27" s="1"/>
  <c r="J296" i="27"/>
  <c r="D297" i="27" s="1"/>
  <c r="I297" i="24"/>
  <c r="K297" i="24" s="1"/>
  <c r="F297" i="24"/>
  <c r="J295" i="29" l="1"/>
  <c r="D296" i="29" s="1"/>
  <c r="G295" i="29"/>
  <c r="H295" i="29" s="1"/>
  <c r="I297" i="27"/>
  <c r="K297" i="27" s="1"/>
  <c r="F297" i="27"/>
  <c r="G297" i="24"/>
  <c r="H297" i="24" s="1"/>
  <c r="J297" i="24"/>
  <c r="D298" i="24" s="1"/>
  <c r="I296" i="29" l="1"/>
  <c r="K296" i="29" s="1"/>
  <c r="F296" i="29"/>
  <c r="G297" i="27"/>
  <c r="H297" i="27" s="1"/>
  <c r="J297" i="27"/>
  <c r="D298" i="27" s="1"/>
  <c r="I298" i="24"/>
  <c r="K298" i="24" s="1"/>
  <c r="F298" i="24"/>
  <c r="J296" i="29" l="1"/>
  <c r="D297" i="29" s="1"/>
  <c r="G296" i="29"/>
  <c r="H296" i="29" s="1"/>
  <c r="F298" i="27"/>
  <c r="I298" i="27"/>
  <c r="K298" i="27" s="1"/>
  <c r="J298" i="24"/>
  <c r="D299" i="24" s="1"/>
  <c r="G298" i="24"/>
  <c r="H298" i="24" s="1"/>
  <c r="I297" i="29" l="1"/>
  <c r="K297" i="29" s="1"/>
  <c r="F297" i="29"/>
  <c r="J298" i="27"/>
  <c r="D299" i="27" s="1"/>
  <c r="G298" i="27"/>
  <c r="H298" i="27" s="1"/>
  <c r="I299" i="24"/>
  <c r="K299" i="24" s="1"/>
  <c r="F299" i="24"/>
  <c r="J297" i="29" l="1"/>
  <c r="D298" i="29" s="1"/>
  <c r="G297" i="29"/>
  <c r="H297" i="29" s="1"/>
  <c r="F299" i="27"/>
  <c r="I299" i="27"/>
  <c r="K299" i="27" s="1"/>
  <c r="G299" i="24"/>
  <c r="H299" i="24" s="1"/>
  <c r="J299" i="24"/>
  <c r="D300" i="24" s="1"/>
  <c r="I298" i="29" l="1"/>
  <c r="K298" i="29" s="1"/>
  <c r="F298" i="29"/>
  <c r="J299" i="27"/>
  <c r="D300" i="27" s="1"/>
  <c r="G299" i="27"/>
  <c r="H299" i="27" s="1"/>
  <c r="I300" i="24"/>
  <c r="K300" i="24" s="1"/>
  <c r="F300" i="24"/>
  <c r="G298" i="29" l="1"/>
  <c r="H298" i="29" s="1"/>
  <c r="J298" i="29"/>
  <c r="D299" i="29" s="1"/>
  <c r="I300" i="27"/>
  <c r="K300" i="27" s="1"/>
  <c r="F300" i="27"/>
  <c r="J300" i="24"/>
  <c r="D301" i="24" s="1"/>
  <c r="G300" i="24"/>
  <c r="H300" i="24" s="1"/>
  <c r="I299" i="29" l="1"/>
  <c r="K299" i="29" s="1"/>
  <c r="F299" i="29"/>
  <c r="G300" i="27"/>
  <c r="H300" i="27" s="1"/>
  <c r="J300" i="27"/>
  <c r="D301" i="27" s="1"/>
  <c r="I301" i="24"/>
  <c r="K301" i="24" s="1"/>
  <c r="F301" i="24"/>
  <c r="G299" i="29" l="1"/>
  <c r="H299" i="29" s="1"/>
  <c r="J299" i="29"/>
  <c r="D300" i="29" s="1"/>
  <c r="F301" i="27"/>
  <c r="I301" i="27"/>
  <c r="K301" i="27" s="1"/>
  <c r="G301" i="24"/>
  <c r="H301" i="24" s="1"/>
  <c r="J301" i="24"/>
  <c r="D302" i="24" s="1"/>
  <c r="I300" i="29" l="1"/>
  <c r="K300" i="29" s="1"/>
  <c r="F300" i="29"/>
  <c r="G301" i="27"/>
  <c r="H301" i="27" s="1"/>
  <c r="J301" i="27"/>
  <c r="D302" i="27" s="1"/>
  <c r="F302" i="24"/>
  <c r="I302" i="24"/>
  <c r="K302" i="24" s="1"/>
  <c r="J300" i="29" l="1"/>
  <c r="D301" i="29" s="1"/>
  <c r="G300" i="29"/>
  <c r="H300" i="29" s="1"/>
  <c r="F302" i="27"/>
  <c r="I302" i="27"/>
  <c r="K302" i="27" s="1"/>
  <c r="J302" i="24"/>
  <c r="D303" i="24" s="1"/>
  <c r="G302" i="24"/>
  <c r="H302" i="24" s="1"/>
  <c r="I301" i="29" l="1"/>
  <c r="K301" i="29" s="1"/>
  <c r="F301" i="29"/>
  <c r="J302" i="27"/>
  <c r="D303" i="27" s="1"/>
  <c r="G302" i="27"/>
  <c r="H302" i="27" s="1"/>
  <c r="F303" i="24"/>
  <c r="I303" i="24"/>
  <c r="K303" i="24" s="1"/>
  <c r="G301" i="29" l="1"/>
  <c r="H301" i="29" s="1"/>
  <c r="J301" i="29"/>
  <c r="D302" i="29" s="1"/>
  <c r="I303" i="27"/>
  <c r="K303" i="27" s="1"/>
  <c r="F303" i="27"/>
  <c r="G303" i="24"/>
  <c r="H303" i="24" s="1"/>
  <c r="J303" i="24"/>
  <c r="D304" i="24" s="1"/>
  <c r="I302" i="29" l="1"/>
  <c r="K302" i="29" s="1"/>
  <c r="F302" i="29"/>
  <c r="J303" i="27"/>
  <c r="D304" i="27" s="1"/>
  <c r="G303" i="27"/>
  <c r="H303" i="27" s="1"/>
  <c r="I304" i="24"/>
  <c r="K304" i="24" s="1"/>
  <c r="F304" i="24"/>
  <c r="J302" i="29" l="1"/>
  <c r="D303" i="29" s="1"/>
  <c r="G302" i="29"/>
  <c r="H302" i="29" s="1"/>
  <c r="I304" i="27"/>
  <c r="K304" i="27" s="1"/>
  <c r="F304" i="27"/>
  <c r="J304" i="24"/>
  <c r="D305" i="24" s="1"/>
  <c r="G304" i="24"/>
  <c r="H304" i="24" s="1"/>
  <c r="I303" i="29" l="1"/>
  <c r="K303" i="29" s="1"/>
  <c r="F303" i="29"/>
  <c r="G304" i="27"/>
  <c r="H304" i="27" s="1"/>
  <c r="J304" i="27"/>
  <c r="D305" i="27" s="1"/>
  <c r="I305" i="24"/>
  <c r="K305" i="24" s="1"/>
  <c r="F305" i="24"/>
  <c r="J303" i="29" l="1"/>
  <c r="D304" i="29" s="1"/>
  <c r="G303" i="29"/>
  <c r="H303" i="29" s="1"/>
  <c r="F305" i="27"/>
  <c r="I305" i="27"/>
  <c r="K305" i="27" s="1"/>
  <c r="J305" i="24"/>
  <c r="D306" i="24" s="1"/>
  <c r="G305" i="24"/>
  <c r="H305" i="24" s="1"/>
  <c r="I304" i="29" l="1"/>
  <c r="K304" i="29" s="1"/>
  <c r="F304" i="29"/>
  <c r="G305" i="27"/>
  <c r="H305" i="27" s="1"/>
  <c r="J305" i="27"/>
  <c r="D306" i="27" s="1"/>
  <c r="I306" i="24"/>
  <c r="K306" i="24" s="1"/>
  <c r="F306" i="24"/>
  <c r="G304" i="29" l="1"/>
  <c r="H304" i="29" s="1"/>
  <c r="J304" i="29"/>
  <c r="D305" i="29" s="1"/>
  <c r="F306" i="27"/>
  <c r="I306" i="27"/>
  <c r="K306" i="27" s="1"/>
  <c r="J306" i="24"/>
  <c r="D307" i="24" s="1"/>
  <c r="G306" i="24"/>
  <c r="H306" i="24" s="1"/>
  <c r="I305" i="29" l="1"/>
  <c r="K305" i="29" s="1"/>
  <c r="F305" i="29"/>
  <c r="G306" i="27"/>
  <c r="H306" i="27" s="1"/>
  <c r="J306" i="27"/>
  <c r="D307" i="27" s="1"/>
  <c r="I307" i="24"/>
  <c r="K307" i="24" s="1"/>
  <c r="F307" i="24"/>
  <c r="G305" i="29" l="1"/>
  <c r="H305" i="29" s="1"/>
  <c r="J305" i="29"/>
  <c r="D306" i="29" s="1"/>
  <c r="I307" i="27"/>
  <c r="K307" i="27" s="1"/>
  <c r="F307" i="27"/>
  <c r="G307" i="24"/>
  <c r="H307" i="24" s="1"/>
  <c r="J307" i="24"/>
  <c r="D308" i="24" s="1"/>
  <c r="I306" i="29" l="1"/>
  <c r="K306" i="29" s="1"/>
  <c r="F306" i="29"/>
  <c r="G307" i="27"/>
  <c r="H307" i="27" s="1"/>
  <c r="J307" i="27"/>
  <c r="D308" i="27" s="1"/>
  <c r="I308" i="24"/>
  <c r="K308" i="24" s="1"/>
  <c r="F308" i="24"/>
  <c r="G306" i="29" l="1"/>
  <c r="H306" i="29" s="1"/>
  <c r="J306" i="29"/>
  <c r="D307" i="29" s="1"/>
  <c r="I308" i="27"/>
  <c r="K308" i="27" s="1"/>
  <c r="F308" i="27"/>
  <c r="J308" i="24"/>
  <c r="D309" i="24" s="1"/>
  <c r="G308" i="24"/>
  <c r="H308" i="24" s="1"/>
  <c r="I307" i="29" l="1"/>
  <c r="K307" i="29" s="1"/>
  <c r="F307" i="29"/>
  <c r="J308" i="27"/>
  <c r="D309" i="27" s="1"/>
  <c r="G308" i="27"/>
  <c r="H308" i="27" s="1"/>
  <c r="I309" i="24"/>
  <c r="K309" i="24" s="1"/>
  <c r="F309" i="24"/>
  <c r="G307" i="29" l="1"/>
  <c r="H307" i="29" s="1"/>
  <c r="J307" i="29"/>
  <c r="D308" i="29" s="1"/>
  <c r="F309" i="27"/>
  <c r="I309" i="27"/>
  <c r="K309" i="27" s="1"/>
  <c r="G309" i="24"/>
  <c r="H309" i="24" s="1"/>
  <c r="J309" i="24"/>
  <c r="D310" i="24" s="1"/>
  <c r="I308" i="29" l="1"/>
  <c r="K308" i="29" s="1"/>
  <c r="F308" i="29"/>
  <c r="J309" i="27"/>
  <c r="D310" i="27" s="1"/>
  <c r="G309" i="27"/>
  <c r="H309" i="27" s="1"/>
  <c r="I310" i="24"/>
  <c r="K310" i="24" s="1"/>
  <c r="F310" i="24"/>
  <c r="G308" i="29" l="1"/>
  <c r="H308" i="29" s="1"/>
  <c r="J308" i="29"/>
  <c r="D309" i="29" s="1"/>
  <c r="I310" i="27"/>
  <c r="K310" i="27" s="1"/>
  <c r="F310" i="27"/>
  <c r="J310" i="24"/>
  <c r="D311" i="24" s="1"/>
  <c r="G310" i="24"/>
  <c r="H310" i="24" s="1"/>
  <c r="I309" i="29" l="1"/>
  <c r="K309" i="29" s="1"/>
  <c r="F309" i="29"/>
  <c r="J310" i="27"/>
  <c r="D311" i="27" s="1"/>
  <c r="G310" i="27"/>
  <c r="H310" i="27" s="1"/>
  <c r="I311" i="24"/>
  <c r="K311" i="24" s="1"/>
  <c r="F311" i="24"/>
  <c r="G309" i="29" l="1"/>
  <c r="H309" i="29" s="1"/>
  <c r="J309" i="29"/>
  <c r="D310" i="29" s="1"/>
  <c r="F311" i="27"/>
  <c r="I311" i="27"/>
  <c r="K311" i="27" s="1"/>
  <c r="G311" i="24"/>
  <c r="H311" i="24" s="1"/>
  <c r="J311" i="24"/>
  <c r="D312" i="24" s="1"/>
  <c r="I310" i="29" l="1"/>
  <c r="K310" i="29" s="1"/>
  <c r="F310" i="29"/>
  <c r="J311" i="27"/>
  <c r="D312" i="27" s="1"/>
  <c r="G311" i="27"/>
  <c r="H311" i="27" s="1"/>
  <c r="F312" i="24"/>
  <c r="I312" i="24"/>
  <c r="K312" i="24" s="1"/>
  <c r="G310" i="29" l="1"/>
  <c r="H310" i="29" s="1"/>
  <c r="J310" i="29"/>
  <c r="D311" i="29" s="1"/>
  <c r="F312" i="27"/>
  <c r="I312" i="27"/>
  <c r="K312" i="27" s="1"/>
  <c r="J312" i="24"/>
  <c r="D313" i="24" s="1"/>
  <c r="G312" i="24"/>
  <c r="H312" i="24" s="1"/>
  <c r="I311" i="29" l="1"/>
  <c r="K311" i="29" s="1"/>
  <c r="F311" i="29"/>
  <c r="G312" i="27"/>
  <c r="H312" i="27" s="1"/>
  <c r="J312" i="27"/>
  <c r="D313" i="27" s="1"/>
  <c r="I313" i="24"/>
  <c r="K313" i="24" s="1"/>
  <c r="F313" i="24"/>
  <c r="G311" i="29" l="1"/>
  <c r="H311" i="29" s="1"/>
  <c r="J311" i="29"/>
  <c r="D312" i="29" s="1"/>
  <c r="F313" i="27"/>
  <c r="I313" i="27"/>
  <c r="K313" i="27" s="1"/>
  <c r="G313" i="24"/>
  <c r="H313" i="24" s="1"/>
  <c r="J313" i="24"/>
  <c r="D314" i="24" s="1"/>
  <c r="I312" i="29" l="1"/>
  <c r="K312" i="29" s="1"/>
  <c r="F312" i="29"/>
  <c r="G313" i="27"/>
  <c r="H313" i="27" s="1"/>
  <c r="J313" i="27"/>
  <c r="D314" i="27" s="1"/>
  <c r="I314" i="24"/>
  <c r="K314" i="24" s="1"/>
  <c r="F314" i="24"/>
  <c r="J312" i="29" l="1"/>
  <c r="D313" i="29" s="1"/>
  <c r="G312" i="29"/>
  <c r="H312" i="29" s="1"/>
  <c r="I314" i="27"/>
  <c r="K314" i="27" s="1"/>
  <c r="F314" i="27"/>
  <c r="G314" i="24"/>
  <c r="H314" i="24" s="1"/>
  <c r="J314" i="24"/>
  <c r="D315" i="24" s="1"/>
  <c r="I313" i="29" l="1"/>
  <c r="K313" i="29" s="1"/>
  <c r="F313" i="29"/>
  <c r="G314" i="27"/>
  <c r="H314" i="27" s="1"/>
  <c r="J314" i="27"/>
  <c r="D315" i="27" s="1"/>
  <c r="I315" i="24"/>
  <c r="K315" i="24" s="1"/>
  <c r="F315" i="24"/>
  <c r="G313" i="29" l="1"/>
  <c r="H313" i="29" s="1"/>
  <c r="J313" i="29"/>
  <c r="D314" i="29" s="1"/>
  <c r="I315" i="27"/>
  <c r="K315" i="27" s="1"/>
  <c r="F315" i="27"/>
  <c r="G315" i="24"/>
  <c r="H315" i="24" s="1"/>
  <c r="J315" i="24"/>
  <c r="D316" i="24" s="1"/>
  <c r="I314" i="29" l="1"/>
  <c r="K314" i="29" s="1"/>
  <c r="F314" i="29"/>
  <c r="G315" i="27"/>
  <c r="H315" i="27" s="1"/>
  <c r="J315" i="27"/>
  <c r="D316" i="27" s="1"/>
  <c r="I316" i="24"/>
  <c r="K316" i="24" s="1"/>
  <c r="F316" i="24"/>
  <c r="G314" i="29" l="1"/>
  <c r="H314" i="29" s="1"/>
  <c r="J314" i="29"/>
  <c r="D315" i="29" s="1"/>
  <c r="F316" i="27"/>
  <c r="I316" i="27"/>
  <c r="K316" i="27" s="1"/>
  <c r="J316" i="24"/>
  <c r="D317" i="24" s="1"/>
  <c r="G316" i="24"/>
  <c r="H316" i="24" s="1"/>
  <c r="I315" i="29" l="1"/>
  <c r="K315" i="29" s="1"/>
  <c r="F315" i="29"/>
  <c r="G316" i="27"/>
  <c r="H316" i="27" s="1"/>
  <c r="J316" i="27"/>
  <c r="D317" i="27" s="1"/>
  <c r="F317" i="24"/>
  <c r="I317" i="24"/>
  <c r="K317" i="24" s="1"/>
  <c r="J315" i="29" l="1"/>
  <c r="D316" i="29" s="1"/>
  <c r="G315" i="29"/>
  <c r="H315" i="29" s="1"/>
  <c r="I317" i="27"/>
  <c r="K317" i="27" s="1"/>
  <c r="F317" i="27"/>
  <c r="J317" i="24"/>
  <c r="D318" i="24" s="1"/>
  <c r="G317" i="24"/>
  <c r="H317" i="24" s="1"/>
  <c r="I316" i="29" l="1"/>
  <c r="K316" i="29" s="1"/>
  <c r="F316" i="29"/>
  <c r="J317" i="27"/>
  <c r="D318" i="27" s="1"/>
  <c r="G317" i="27"/>
  <c r="H317" i="27" s="1"/>
  <c r="F318" i="24"/>
  <c r="I318" i="24"/>
  <c r="K318" i="24" s="1"/>
  <c r="J316" i="29" l="1"/>
  <c r="D317" i="29" s="1"/>
  <c r="G316" i="29"/>
  <c r="H316" i="29" s="1"/>
  <c r="I318" i="27"/>
  <c r="K318" i="27" s="1"/>
  <c r="F318" i="27"/>
  <c r="J318" i="24"/>
  <c r="D319" i="24" s="1"/>
  <c r="G318" i="24"/>
  <c r="H318" i="24" s="1"/>
  <c r="I317" i="29" l="1"/>
  <c r="K317" i="29" s="1"/>
  <c r="F317" i="29"/>
  <c r="J318" i="27"/>
  <c r="D319" i="27" s="1"/>
  <c r="G318" i="27"/>
  <c r="H318" i="27" s="1"/>
  <c r="I319" i="24"/>
  <c r="K319" i="24" s="1"/>
  <c r="F319" i="24"/>
  <c r="G317" i="29" l="1"/>
  <c r="H317" i="29" s="1"/>
  <c r="J317" i="29"/>
  <c r="D318" i="29" s="1"/>
  <c r="F319" i="27"/>
  <c r="I319" i="27"/>
  <c r="K319" i="27" s="1"/>
  <c r="J319" i="24"/>
  <c r="D320" i="24" s="1"/>
  <c r="G319" i="24"/>
  <c r="H319" i="24" s="1"/>
  <c r="I318" i="29" l="1"/>
  <c r="K318" i="29" s="1"/>
  <c r="F318" i="29"/>
  <c r="G319" i="27"/>
  <c r="H319" i="27" s="1"/>
  <c r="J319" i="27"/>
  <c r="D320" i="27" s="1"/>
  <c r="I320" i="24"/>
  <c r="K320" i="24" s="1"/>
  <c r="F320" i="24"/>
  <c r="G318" i="29" l="1"/>
  <c r="H318" i="29" s="1"/>
  <c r="J318" i="29"/>
  <c r="D319" i="29" s="1"/>
  <c r="I320" i="27"/>
  <c r="K320" i="27" s="1"/>
  <c r="F320" i="27"/>
  <c r="G320" i="24"/>
  <c r="H320" i="24" s="1"/>
  <c r="J320" i="24"/>
  <c r="D321" i="24" s="1"/>
  <c r="I319" i="29" l="1"/>
  <c r="K319" i="29" s="1"/>
  <c r="F319" i="29"/>
  <c r="G320" i="27"/>
  <c r="H320" i="27" s="1"/>
  <c r="J320" i="27"/>
  <c r="D321" i="27" s="1"/>
  <c r="I321" i="24"/>
  <c r="K321" i="24" s="1"/>
  <c r="F321" i="24"/>
  <c r="G319" i="29" l="1"/>
  <c r="H319" i="29" s="1"/>
  <c r="J319" i="29"/>
  <c r="D320" i="29" s="1"/>
  <c r="I321" i="27"/>
  <c r="K321" i="27" s="1"/>
  <c r="F321" i="27"/>
  <c r="G321" i="24"/>
  <c r="H321" i="24" s="1"/>
  <c r="J321" i="24"/>
  <c r="D322" i="24" s="1"/>
  <c r="I320" i="29" l="1"/>
  <c r="K320" i="29" s="1"/>
  <c r="F320" i="29"/>
  <c r="J321" i="27"/>
  <c r="D322" i="27" s="1"/>
  <c r="G321" i="27"/>
  <c r="H321" i="27" s="1"/>
  <c r="F322" i="24"/>
  <c r="I322" i="24"/>
  <c r="K322" i="24" s="1"/>
  <c r="G320" i="29" l="1"/>
  <c r="H320" i="29" s="1"/>
  <c r="J320" i="29"/>
  <c r="D321" i="29" s="1"/>
  <c r="F322" i="27"/>
  <c r="I322" i="27"/>
  <c r="K322" i="27" s="1"/>
  <c r="G322" i="24"/>
  <c r="H322" i="24" s="1"/>
  <c r="J322" i="24"/>
  <c r="D323" i="24" s="1"/>
  <c r="I321" i="29" l="1"/>
  <c r="K321" i="29" s="1"/>
  <c r="F321" i="29"/>
  <c r="J322" i="27"/>
  <c r="D323" i="27" s="1"/>
  <c r="G322" i="27"/>
  <c r="H322" i="27" s="1"/>
  <c r="I323" i="24"/>
  <c r="K323" i="24" s="1"/>
  <c r="F323" i="24"/>
  <c r="G321" i="29" l="1"/>
  <c r="H321" i="29" s="1"/>
  <c r="J321" i="29"/>
  <c r="D322" i="29" s="1"/>
  <c r="F323" i="27"/>
  <c r="I323" i="27"/>
  <c r="K323" i="27" s="1"/>
  <c r="J323" i="24"/>
  <c r="D324" i="24" s="1"/>
  <c r="G323" i="24"/>
  <c r="H323" i="24" s="1"/>
  <c r="I322" i="29" l="1"/>
  <c r="K322" i="29" s="1"/>
  <c r="F322" i="29"/>
  <c r="G323" i="27"/>
  <c r="H323" i="27" s="1"/>
  <c r="J323" i="27"/>
  <c r="D324" i="27" s="1"/>
  <c r="I324" i="24"/>
  <c r="K324" i="24" s="1"/>
  <c r="F324" i="24"/>
  <c r="G322" i="29" l="1"/>
  <c r="H322" i="29" s="1"/>
  <c r="J322" i="29"/>
  <c r="D323" i="29" s="1"/>
  <c r="I324" i="27"/>
  <c r="K324" i="27" s="1"/>
  <c r="F324" i="27"/>
  <c r="J324" i="24"/>
  <c r="D325" i="24" s="1"/>
  <c r="G324" i="24"/>
  <c r="H324" i="24" s="1"/>
  <c r="I323" i="29" l="1"/>
  <c r="K323" i="29" s="1"/>
  <c r="F323" i="29"/>
  <c r="J324" i="27"/>
  <c r="D325" i="27" s="1"/>
  <c r="G324" i="27"/>
  <c r="H324" i="27" s="1"/>
  <c r="F325" i="24"/>
  <c r="I325" i="24"/>
  <c r="K325" i="24" s="1"/>
  <c r="G323" i="29" l="1"/>
  <c r="H323" i="29" s="1"/>
  <c r="J323" i="29"/>
  <c r="D324" i="29" s="1"/>
  <c r="F325" i="27"/>
  <c r="I325" i="27"/>
  <c r="K325" i="27" s="1"/>
  <c r="G325" i="24"/>
  <c r="H325" i="24" s="1"/>
  <c r="J325" i="24"/>
  <c r="D326" i="24" s="1"/>
  <c r="I324" i="29" l="1"/>
  <c r="K324" i="29" s="1"/>
  <c r="F324" i="29"/>
  <c r="G325" i="27"/>
  <c r="H325" i="27" s="1"/>
  <c r="J325" i="27"/>
  <c r="D326" i="27" s="1"/>
  <c r="F326" i="24"/>
  <c r="I326" i="24"/>
  <c r="K326" i="24" s="1"/>
  <c r="G324" i="29" l="1"/>
  <c r="H324" i="29" s="1"/>
  <c r="J324" i="29"/>
  <c r="D325" i="29" s="1"/>
  <c r="F326" i="27"/>
  <c r="I326" i="27"/>
  <c r="K326" i="27" s="1"/>
  <c r="G326" i="24"/>
  <c r="H326" i="24" s="1"/>
  <c r="J326" i="24"/>
  <c r="D327" i="24" s="1"/>
  <c r="I325" i="29" l="1"/>
  <c r="K325" i="29" s="1"/>
  <c r="F325" i="29"/>
  <c r="G326" i="27"/>
  <c r="H326" i="27" s="1"/>
  <c r="J326" i="27"/>
  <c r="D327" i="27" s="1"/>
  <c r="F327" i="24"/>
  <c r="I327" i="24"/>
  <c r="K327" i="24" s="1"/>
  <c r="G325" i="29" l="1"/>
  <c r="H325" i="29" s="1"/>
  <c r="J325" i="29"/>
  <c r="D326" i="29" s="1"/>
  <c r="F327" i="27"/>
  <c r="I327" i="27"/>
  <c r="K327" i="27" s="1"/>
  <c r="G327" i="24"/>
  <c r="H327" i="24" s="1"/>
  <c r="J327" i="24"/>
  <c r="D328" i="24" s="1"/>
  <c r="I326" i="29" l="1"/>
  <c r="K326" i="29" s="1"/>
  <c r="F326" i="29"/>
  <c r="G327" i="27"/>
  <c r="H327" i="27" s="1"/>
  <c r="J327" i="27"/>
  <c r="D328" i="27" s="1"/>
  <c r="I328" i="24"/>
  <c r="K328" i="24" s="1"/>
  <c r="F328" i="24"/>
  <c r="G326" i="29" l="1"/>
  <c r="H326" i="29" s="1"/>
  <c r="J326" i="29"/>
  <c r="D327" i="29" s="1"/>
  <c r="I328" i="27"/>
  <c r="K328" i="27" s="1"/>
  <c r="F328" i="27"/>
  <c r="G328" i="24"/>
  <c r="H328" i="24" s="1"/>
  <c r="J328" i="24"/>
  <c r="D329" i="24" s="1"/>
  <c r="I327" i="29" l="1"/>
  <c r="K327" i="29" s="1"/>
  <c r="F327" i="29"/>
  <c r="G328" i="27"/>
  <c r="H328" i="27" s="1"/>
  <c r="J328" i="27"/>
  <c r="D329" i="27" s="1"/>
  <c r="F329" i="24"/>
  <c r="I329" i="24"/>
  <c r="K329" i="24" s="1"/>
  <c r="G327" i="29" l="1"/>
  <c r="H327" i="29" s="1"/>
  <c r="J327" i="29"/>
  <c r="D328" i="29" s="1"/>
  <c r="I329" i="27"/>
  <c r="K329" i="27" s="1"/>
  <c r="F329" i="27"/>
  <c r="G329" i="24"/>
  <c r="H329" i="24" s="1"/>
  <c r="J329" i="24"/>
  <c r="D330" i="24" s="1"/>
  <c r="I328" i="29" l="1"/>
  <c r="K328" i="29" s="1"/>
  <c r="F328" i="29"/>
  <c r="G329" i="27"/>
  <c r="H329" i="27" s="1"/>
  <c r="J329" i="27"/>
  <c r="D330" i="27" s="1"/>
  <c r="I330" i="24"/>
  <c r="K330" i="24" s="1"/>
  <c r="F330" i="24"/>
  <c r="G328" i="29" l="1"/>
  <c r="H328" i="29" s="1"/>
  <c r="J328" i="29"/>
  <c r="D329" i="29" s="1"/>
  <c r="I330" i="27"/>
  <c r="K330" i="27" s="1"/>
  <c r="F330" i="27"/>
  <c r="J330" i="24"/>
  <c r="D331" i="24" s="1"/>
  <c r="G330" i="24"/>
  <c r="H330" i="24" s="1"/>
  <c r="I329" i="29" l="1"/>
  <c r="K329" i="29" s="1"/>
  <c r="F329" i="29"/>
  <c r="G330" i="27"/>
  <c r="H330" i="27" s="1"/>
  <c r="J330" i="27"/>
  <c r="D331" i="27" s="1"/>
  <c r="I331" i="24"/>
  <c r="K331" i="24" s="1"/>
  <c r="F331" i="24"/>
  <c r="G329" i="29" l="1"/>
  <c r="H329" i="29" s="1"/>
  <c r="J329" i="29"/>
  <c r="D330" i="29" s="1"/>
  <c r="F331" i="27"/>
  <c r="I331" i="27"/>
  <c r="K331" i="27" s="1"/>
  <c r="J331" i="24"/>
  <c r="D332" i="24" s="1"/>
  <c r="G331" i="24"/>
  <c r="H331" i="24" s="1"/>
  <c r="I330" i="29" l="1"/>
  <c r="K330" i="29" s="1"/>
  <c r="F330" i="29"/>
  <c r="G331" i="27"/>
  <c r="H331" i="27" s="1"/>
  <c r="J331" i="27"/>
  <c r="D332" i="27" s="1"/>
  <c r="I332" i="24"/>
  <c r="K332" i="24" s="1"/>
  <c r="F332" i="24"/>
  <c r="J330" i="29" l="1"/>
  <c r="D331" i="29" s="1"/>
  <c r="G330" i="29"/>
  <c r="H330" i="29" s="1"/>
  <c r="I332" i="27"/>
  <c r="K332" i="27" s="1"/>
  <c r="F332" i="27"/>
  <c r="J332" i="24"/>
  <c r="D333" i="24" s="1"/>
  <c r="G332" i="24"/>
  <c r="H332" i="24" s="1"/>
  <c r="I331" i="29" l="1"/>
  <c r="K331" i="29" s="1"/>
  <c r="F331" i="29"/>
  <c r="G332" i="27"/>
  <c r="H332" i="27" s="1"/>
  <c r="J332" i="27"/>
  <c r="D333" i="27" s="1"/>
  <c r="I333" i="24"/>
  <c r="K333" i="24" s="1"/>
  <c r="F333" i="24"/>
  <c r="J331" i="29" l="1"/>
  <c r="D332" i="29" s="1"/>
  <c r="G331" i="29"/>
  <c r="H331" i="29" s="1"/>
  <c r="I333" i="27"/>
  <c r="K333" i="27" s="1"/>
  <c r="F333" i="27"/>
  <c r="G333" i="24"/>
  <c r="H333" i="24" s="1"/>
  <c r="J333" i="24"/>
  <c r="D334" i="24" s="1"/>
  <c r="I332" i="29" l="1"/>
  <c r="K332" i="29" s="1"/>
  <c r="F332" i="29"/>
  <c r="J333" i="27"/>
  <c r="D334" i="27" s="1"/>
  <c r="G333" i="27"/>
  <c r="H333" i="27" s="1"/>
  <c r="F334" i="24"/>
  <c r="I334" i="24"/>
  <c r="K334" i="24" s="1"/>
  <c r="J332" i="29" l="1"/>
  <c r="D333" i="29" s="1"/>
  <c r="G332" i="29"/>
  <c r="H332" i="29" s="1"/>
  <c r="I334" i="27"/>
  <c r="K334" i="27" s="1"/>
  <c r="F334" i="27"/>
  <c r="J334" i="24"/>
  <c r="D335" i="24" s="1"/>
  <c r="G334" i="24"/>
  <c r="H334" i="24" s="1"/>
  <c r="I333" i="29" l="1"/>
  <c r="K333" i="29" s="1"/>
  <c r="F333" i="29"/>
  <c r="J334" i="27"/>
  <c r="D335" i="27" s="1"/>
  <c r="G334" i="27"/>
  <c r="H334" i="27" s="1"/>
  <c r="I335" i="24"/>
  <c r="K335" i="24" s="1"/>
  <c r="F335" i="24"/>
  <c r="G333" i="29" l="1"/>
  <c r="H333" i="29" s="1"/>
  <c r="J333" i="29"/>
  <c r="D334" i="29" s="1"/>
  <c r="F335" i="27"/>
  <c r="I335" i="27"/>
  <c r="K335" i="27" s="1"/>
  <c r="G335" i="24"/>
  <c r="H335" i="24" s="1"/>
  <c r="J335" i="24"/>
  <c r="D336" i="24" s="1"/>
  <c r="I334" i="29" l="1"/>
  <c r="K334" i="29" s="1"/>
  <c r="F334" i="29"/>
  <c r="G335" i="27"/>
  <c r="H335" i="27" s="1"/>
  <c r="J335" i="27"/>
  <c r="D336" i="27" s="1"/>
  <c r="F336" i="24"/>
  <c r="I336" i="24"/>
  <c r="K336" i="24" s="1"/>
  <c r="G334" i="29" l="1"/>
  <c r="H334" i="29" s="1"/>
  <c r="J334" i="29"/>
  <c r="D335" i="29" s="1"/>
  <c r="F336" i="27"/>
  <c r="I336" i="27"/>
  <c r="K336" i="27" s="1"/>
  <c r="J336" i="24"/>
  <c r="D337" i="24" s="1"/>
  <c r="G336" i="24"/>
  <c r="H336" i="24" s="1"/>
  <c r="I335" i="29" l="1"/>
  <c r="K335" i="29" s="1"/>
  <c r="F335" i="29"/>
  <c r="G336" i="27"/>
  <c r="H336" i="27" s="1"/>
  <c r="J336" i="27"/>
  <c r="D337" i="27" s="1"/>
  <c r="I337" i="24"/>
  <c r="K337" i="24" s="1"/>
  <c r="F337" i="24"/>
  <c r="G335" i="29" l="1"/>
  <c r="H335" i="29" s="1"/>
  <c r="J335" i="29"/>
  <c r="D336" i="29" s="1"/>
  <c r="I337" i="27"/>
  <c r="K337" i="27" s="1"/>
  <c r="F337" i="27"/>
  <c r="J337" i="24"/>
  <c r="D338" i="24" s="1"/>
  <c r="G337" i="24"/>
  <c r="H337" i="24" s="1"/>
  <c r="I336" i="29" l="1"/>
  <c r="K336" i="29" s="1"/>
  <c r="F336" i="29"/>
  <c r="J337" i="27"/>
  <c r="D338" i="27" s="1"/>
  <c r="G337" i="27"/>
  <c r="H337" i="27" s="1"/>
  <c r="I338" i="24"/>
  <c r="K338" i="24" s="1"/>
  <c r="F338" i="24"/>
  <c r="J336" i="29" l="1"/>
  <c r="D337" i="29" s="1"/>
  <c r="G336" i="29"/>
  <c r="H336" i="29" s="1"/>
  <c r="I338" i="27"/>
  <c r="K338" i="27" s="1"/>
  <c r="F338" i="27"/>
  <c r="G338" i="24"/>
  <c r="H338" i="24" s="1"/>
  <c r="J338" i="24"/>
  <c r="D339" i="24" s="1"/>
  <c r="I337" i="29" l="1"/>
  <c r="K337" i="29" s="1"/>
  <c r="F337" i="29"/>
  <c r="J338" i="27"/>
  <c r="D339" i="27" s="1"/>
  <c r="G338" i="27"/>
  <c r="H338" i="27" s="1"/>
  <c r="F339" i="24"/>
  <c r="I339" i="24"/>
  <c r="K339" i="24" s="1"/>
  <c r="J337" i="29" l="1"/>
  <c r="D338" i="29" s="1"/>
  <c r="G337" i="29"/>
  <c r="H337" i="29" s="1"/>
  <c r="I339" i="27"/>
  <c r="K339" i="27" s="1"/>
  <c r="F339" i="27"/>
  <c r="J339" i="24"/>
  <c r="D340" i="24" s="1"/>
  <c r="G339" i="24"/>
  <c r="H339" i="24" s="1"/>
  <c r="I338" i="29" l="1"/>
  <c r="K338" i="29" s="1"/>
  <c r="F338" i="29"/>
  <c r="G339" i="27"/>
  <c r="H339" i="27" s="1"/>
  <c r="J339" i="27"/>
  <c r="D340" i="27" s="1"/>
  <c r="I340" i="24"/>
  <c r="K340" i="24" s="1"/>
  <c r="F340" i="24"/>
  <c r="J338" i="29" l="1"/>
  <c r="D339" i="29" s="1"/>
  <c r="G338" i="29"/>
  <c r="H338" i="29" s="1"/>
  <c r="I340" i="27"/>
  <c r="K340" i="27" s="1"/>
  <c r="F340" i="27"/>
  <c r="J340" i="24"/>
  <c r="D341" i="24" s="1"/>
  <c r="G340" i="24"/>
  <c r="H340" i="24" s="1"/>
  <c r="I339" i="29" l="1"/>
  <c r="K339" i="29" s="1"/>
  <c r="F339" i="29"/>
  <c r="G340" i="27"/>
  <c r="H340" i="27" s="1"/>
  <c r="J340" i="27"/>
  <c r="D341" i="27" s="1"/>
  <c r="I341" i="24"/>
  <c r="K341" i="24" s="1"/>
  <c r="F341" i="24"/>
  <c r="G339" i="29" l="1"/>
  <c r="H339" i="29" s="1"/>
  <c r="J339" i="29"/>
  <c r="D340" i="29" s="1"/>
  <c r="F341" i="27"/>
  <c r="I341" i="27"/>
  <c r="K341" i="27" s="1"/>
  <c r="G341" i="24"/>
  <c r="H341" i="24" s="1"/>
  <c r="J341" i="24"/>
  <c r="D342" i="24" s="1"/>
  <c r="I340" i="29" l="1"/>
  <c r="K340" i="29" s="1"/>
  <c r="F340" i="29"/>
  <c r="G341" i="27"/>
  <c r="H341" i="27" s="1"/>
  <c r="J341" i="27"/>
  <c r="D342" i="27" s="1"/>
  <c r="I342" i="24"/>
  <c r="K342" i="24" s="1"/>
  <c r="F342" i="24"/>
  <c r="G340" i="29" l="1"/>
  <c r="H340" i="29" s="1"/>
  <c r="J340" i="29"/>
  <c r="D341" i="29" s="1"/>
  <c r="F342" i="27"/>
  <c r="I342" i="27"/>
  <c r="K342" i="27" s="1"/>
  <c r="G342" i="24"/>
  <c r="H342" i="24" s="1"/>
  <c r="J342" i="24"/>
  <c r="D343" i="24" s="1"/>
  <c r="I341" i="29" l="1"/>
  <c r="K341" i="29" s="1"/>
  <c r="F341" i="29"/>
  <c r="J342" i="27"/>
  <c r="D343" i="27" s="1"/>
  <c r="G342" i="27"/>
  <c r="H342" i="27" s="1"/>
  <c r="I343" i="24"/>
  <c r="K343" i="24" s="1"/>
  <c r="F343" i="24"/>
  <c r="J341" i="29" l="1"/>
  <c r="D342" i="29" s="1"/>
  <c r="G341" i="29"/>
  <c r="H341" i="29" s="1"/>
  <c r="I343" i="27"/>
  <c r="K343" i="27" s="1"/>
  <c r="F343" i="27"/>
  <c r="J343" i="24"/>
  <c r="D344" i="24" s="1"/>
  <c r="G343" i="24"/>
  <c r="H343" i="24" s="1"/>
  <c r="I342" i="29" l="1"/>
  <c r="K342" i="29" s="1"/>
  <c r="F342" i="29"/>
  <c r="J343" i="27"/>
  <c r="D344" i="27" s="1"/>
  <c r="G343" i="27"/>
  <c r="H343" i="27" s="1"/>
  <c r="I344" i="24"/>
  <c r="K344" i="24" s="1"/>
  <c r="F344" i="24"/>
  <c r="J342" i="29" l="1"/>
  <c r="D343" i="29" s="1"/>
  <c r="G342" i="29"/>
  <c r="H342" i="29" s="1"/>
  <c r="I344" i="27"/>
  <c r="K344" i="27" s="1"/>
  <c r="F344" i="27"/>
  <c r="J344" i="24"/>
  <c r="D345" i="24" s="1"/>
  <c r="G344" i="24"/>
  <c r="H344" i="24" s="1"/>
  <c r="I343" i="29" l="1"/>
  <c r="K343" i="29" s="1"/>
  <c r="F343" i="29"/>
  <c r="G344" i="27"/>
  <c r="H344" i="27" s="1"/>
  <c r="J344" i="27"/>
  <c r="D345" i="27" s="1"/>
  <c r="I345" i="24"/>
  <c r="K345" i="24" s="1"/>
  <c r="F345" i="24"/>
  <c r="J343" i="29" l="1"/>
  <c r="D344" i="29" s="1"/>
  <c r="G343" i="29"/>
  <c r="H343" i="29" s="1"/>
  <c r="F345" i="27"/>
  <c r="I345" i="27"/>
  <c r="K345" i="27" s="1"/>
  <c r="J345" i="24"/>
  <c r="D346" i="24" s="1"/>
  <c r="G345" i="24"/>
  <c r="H345" i="24" s="1"/>
  <c r="I344" i="29" l="1"/>
  <c r="K344" i="29" s="1"/>
  <c r="F344" i="29"/>
  <c r="G345" i="27"/>
  <c r="H345" i="27" s="1"/>
  <c r="J345" i="27"/>
  <c r="D346" i="27" s="1"/>
  <c r="I346" i="24"/>
  <c r="K346" i="24" s="1"/>
  <c r="F346" i="24"/>
  <c r="G344" i="29" l="1"/>
  <c r="H344" i="29" s="1"/>
  <c r="J344" i="29"/>
  <c r="D345" i="29" s="1"/>
  <c r="I346" i="27"/>
  <c r="K346" i="27" s="1"/>
  <c r="F346" i="27"/>
  <c r="G346" i="24"/>
  <c r="H346" i="24" s="1"/>
  <c r="J346" i="24"/>
  <c r="D347" i="24" s="1"/>
  <c r="I345" i="29" l="1"/>
  <c r="K345" i="29" s="1"/>
  <c r="F345" i="29"/>
  <c r="G346" i="27"/>
  <c r="H346" i="27" s="1"/>
  <c r="J346" i="27"/>
  <c r="D347" i="27" s="1"/>
  <c r="I347" i="24"/>
  <c r="K347" i="24" s="1"/>
  <c r="F347" i="24"/>
  <c r="J345" i="29" l="1"/>
  <c r="D346" i="29" s="1"/>
  <c r="G345" i="29"/>
  <c r="H345" i="29" s="1"/>
  <c r="I347" i="27"/>
  <c r="K347" i="27" s="1"/>
  <c r="F347" i="27"/>
  <c r="G347" i="24"/>
  <c r="H347" i="24" s="1"/>
  <c r="J347" i="24"/>
  <c r="D348" i="24" s="1"/>
  <c r="I346" i="29" l="1"/>
  <c r="K346" i="29" s="1"/>
  <c r="F346" i="29"/>
  <c r="G347" i="27"/>
  <c r="H347" i="27" s="1"/>
  <c r="J347" i="27"/>
  <c r="D348" i="27" s="1"/>
  <c r="I348" i="24"/>
  <c r="K348" i="24" s="1"/>
  <c r="F348" i="24"/>
  <c r="J346" i="29" l="1"/>
  <c r="D347" i="29" s="1"/>
  <c r="G346" i="29"/>
  <c r="H346" i="29" s="1"/>
  <c r="I348" i="27"/>
  <c r="K348" i="27" s="1"/>
  <c r="F348" i="27"/>
  <c r="J348" i="24"/>
  <c r="D349" i="24" s="1"/>
  <c r="G348" i="24"/>
  <c r="H348" i="24" s="1"/>
  <c r="I347" i="29" l="1"/>
  <c r="K347" i="29" s="1"/>
  <c r="F347" i="29"/>
  <c r="J348" i="27"/>
  <c r="D349" i="27" s="1"/>
  <c r="G348" i="27"/>
  <c r="H348" i="27" s="1"/>
  <c r="F349" i="24"/>
  <c r="I349" i="24"/>
  <c r="K349" i="24" s="1"/>
  <c r="J347" i="29" l="1"/>
  <c r="D348" i="29" s="1"/>
  <c r="G347" i="29"/>
  <c r="H347" i="29" s="1"/>
  <c r="I349" i="27"/>
  <c r="K349" i="27" s="1"/>
  <c r="F349" i="27"/>
  <c r="J349" i="24"/>
  <c r="D350" i="24" s="1"/>
  <c r="G349" i="24"/>
  <c r="H349" i="24" s="1"/>
  <c r="I348" i="29" l="1"/>
  <c r="K348" i="29" s="1"/>
  <c r="F348" i="29"/>
  <c r="J349" i="27"/>
  <c r="D350" i="27" s="1"/>
  <c r="G349" i="27"/>
  <c r="H349" i="27" s="1"/>
  <c r="I350" i="24"/>
  <c r="K350" i="24" s="1"/>
  <c r="F350" i="24"/>
  <c r="G348" i="29" l="1"/>
  <c r="H348" i="29" s="1"/>
  <c r="J348" i="29"/>
  <c r="D349" i="29" s="1"/>
  <c r="I350" i="27"/>
  <c r="K350" i="27" s="1"/>
  <c r="F350" i="27"/>
  <c r="J350" i="24"/>
  <c r="D351" i="24" s="1"/>
  <c r="G350" i="24"/>
  <c r="H350" i="24" s="1"/>
  <c r="I349" i="29" l="1"/>
  <c r="K349" i="29" s="1"/>
  <c r="F349" i="29"/>
  <c r="G350" i="27"/>
  <c r="H350" i="27" s="1"/>
  <c r="J350" i="27"/>
  <c r="D351" i="27" s="1"/>
  <c r="I351" i="24"/>
  <c r="K351" i="24" s="1"/>
  <c r="F351" i="24"/>
  <c r="J349" i="29" l="1"/>
  <c r="D350" i="29" s="1"/>
  <c r="G349" i="29"/>
  <c r="H349" i="29" s="1"/>
  <c r="F351" i="27"/>
  <c r="I351" i="27"/>
  <c r="K351" i="27" s="1"/>
  <c r="G351" i="24"/>
  <c r="H351" i="24" s="1"/>
  <c r="J351" i="24"/>
  <c r="D352" i="24" s="1"/>
  <c r="I350" i="29" l="1"/>
  <c r="K350" i="29" s="1"/>
  <c r="F350" i="29"/>
  <c r="J351" i="27"/>
  <c r="D352" i="27" s="1"/>
  <c r="G351" i="27"/>
  <c r="H351" i="27" s="1"/>
  <c r="I352" i="24"/>
  <c r="K352" i="24" s="1"/>
  <c r="F352" i="24"/>
  <c r="J350" i="29" l="1"/>
  <c r="D351" i="29" s="1"/>
  <c r="G350" i="29"/>
  <c r="H350" i="29" s="1"/>
  <c r="I352" i="27"/>
  <c r="K352" i="27" s="1"/>
  <c r="F352" i="27"/>
  <c r="J352" i="24"/>
  <c r="D353" i="24" s="1"/>
  <c r="G352" i="24"/>
  <c r="H352" i="24" s="1"/>
  <c r="I351" i="29" l="1"/>
  <c r="K351" i="29" s="1"/>
  <c r="F351" i="29"/>
  <c r="J352" i="27"/>
  <c r="D353" i="27" s="1"/>
  <c r="G352" i="27"/>
  <c r="H352" i="27" s="1"/>
  <c r="I353" i="24"/>
  <c r="K353" i="24" s="1"/>
  <c r="F353" i="24"/>
  <c r="J351" i="29" l="1"/>
  <c r="D352" i="29" s="1"/>
  <c r="G351" i="29"/>
  <c r="H351" i="29" s="1"/>
  <c r="I353" i="27"/>
  <c r="K353" i="27" s="1"/>
  <c r="F353" i="27"/>
  <c r="J353" i="24"/>
  <c r="D354" i="24" s="1"/>
  <c r="G353" i="24"/>
  <c r="H353" i="24" s="1"/>
  <c r="I352" i="29" l="1"/>
  <c r="K352" i="29" s="1"/>
  <c r="F352" i="29"/>
  <c r="G353" i="27"/>
  <c r="H353" i="27" s="1"/>
  <c r="J353" i="27"/>
  <c r="D354" i="27" s="1"/>
  <c r="I354" i="24"/>
  <c r="K354" i="24" s="1"/>
  <c r="F354" i="24"/>
  <c r="G352" i="29" l="1"/>
  <c r="H352" i="29" s="1"/>
  <c r="J352" i="29"/>
  <c r="D353" i="29" s="1"/>
  <c r="I354" i="27"/>
  <c r="K354" i="27" s="1"/>
  <c r="F354" i="27"/>
  <c r="J354" i="24"/>
  <c r="D355" i="24" s="1"/>
  <c r="G354" i="24"/>
  <c r="H354" i="24" s="1"/>
  <c r="I353" i="29" l="1"/>
  <c r="K353" i="29" s="1"/>
  <c r="F353" i="29"/>
  <c r="G354" i="27"/>
  <c r="H354" i="27" s="1"/>
  <c r="J354" i="27"/>
  <c r="D355" i="27" s="1"/>
  <c r="I355" i="24"/>
  <c r="K355" i="24" s="1"/>
  <c r="F355" i="24"/>
  <c r="G353" i="29" l="1"/>
  <c r="H353" i="29" s="1"/>
  <c r="J353" i="29"/>
  <c r="D354" i="29" s="1"/>
  <c r="F355" i="27"/>
  <c r="I355" i="27"/>
  <c r="K355" i="27" s="1"/>
  <c r="J355" i="24"/>
  <c r="D356" i="24" s="1"/>
  <c r="G355" i="24"/>
  <c r="H355" i="24" s="1"/>
  <c r="I354" i="29" l="1"/>
  <c r="K354" i="29" s="1"/>
  <c r="F354" i="29"/>
  <c r="J355" i="27"/>
  <c r="D356" i="27" s="1"/>
  <c r="G355" i="27"/>
  <c r="H355" i="27" s="1"/>
  <c r="F356" i="24"/>
  <c r="I356" i="24"/>
  <c r="K356" i="24" s="1"/>
  <c r="G354" i="29" l="1"/>
  <c r="H354" i="29" s="1"/>
  <c r="J354" i="29"/>
  <c r="D355" i="29" s="1"/>
  <c r="F356" i="27"/>
  <c r="I356" i="27"/>
  <c r="K356" i="27" s="1"/>
  <c r="G356" i="24"/>
  <c r="H356" i="24" s="1"/>
  <c r="J356" i="24"/>
  <c r="D357" i="24" s="1"/>
  <c r="I355" i="29" l="1"/>
  <c r="K355" i="29" s="1"/>
  <c r="F355" i="29"/>
  <c r="G356" i="27"/>
  <c r="H356" i="27" s="1"/>
  <c r="J356" i="27"/>
  <c r="D357" i="27" s="1"/>
  <c r="I357" i="24"/>
  <c r="K357" i="24" s="1"/>
  <c r="F357" i="24"/>
  <c r="J355" i="29" l="1"/>
  <c r="D356" i="29" s="1"/>
  <c r="G355" i="29"/>
  <c r="H355" i="29" s="1"/>
  <c r="I357" i="27"/>
  <c r="K357" i="27" s="1"/>
  <c r="F357" i="27"/>
  <c r="J357" i="24"/>
  <c r="D358" i="24" s="1"/>
  <c r="G357" i="24"/>
  <c r="H357" i="24" s="1"/>
  <c r="I356" i="29" l="1"/>
  <c r="K356" i="29" s="1"/>
  <c r="F356" i="29"/>
  <c r="G357" i="27"/>
  <c r="H357" i="27" s="1"/>
  <c r="J357" i="27"/>
  <c r="D358" i="27" s="1"/>
  <c r="I358" i="24"/>
  <c r="K358" i="24" s="1"/>
  <c r="F358" i="24"/>
  <c r="G356" i="29" l="1"/>
  <c r="H356" i="29" s="1"/>
  <c r="J356" i="29"/>
  <c r="D357" i="29" s="1"/>
  <c r="I358" i="27"/>
  <c r="K358" i="27" s="1"/>
  <c r="F358" i="27"/>
  <c r="G358" i="24"/>
  <c r="H358" i="24" s="1"/>
  <c r="J358" i="24"/>
  <c r="D359" i="24" s="1"/>
  <c r="I357" i="29" l="1"/>
  <c r="K357" i="29" s="1"/>
  <c r="F357" i="29"/>
  <c r="J358" i="27"/>
  <c r="D359" i="27" s="1"/>
  <c r="G358" i="27"/>
  <c r="H358" i="27" s="1"/>
  <c r="I359" i="24"/>
  <c r="K359" i="24" s="1"/>
  <c r="F359" i="24"/>
  <c r="G357" i="29" l="1"/>
  <c r="H357" i="29" s="1"/>
  <c r="J357" i="29"/>
  <c r="D358" i="29" s="1"/>
  <c r="I359" i="27"/>
  <c r="K359" i="27" s="1"/>
  <c r="F359" i="27"/>
  <c r="J359" i="24"/>
  <c r="D360" i="24" s="1"/>
  <c r="G359" i="24"/>
  <c r="H359" i="24" s="1"/>
  <c r="I358" i="29" l="1"/>
  <c r="K358" i="29" s="1"/>
  <c r="F358" i="29"/>
  <c r="J359" i="27"/>
  <c r="D360" i="27" s="1"/>
  <c r="G359" i="27"/>
  <c r="H359" i="27" s="1"/>
  <c r="I360" i="24"/>
  <c r="K360" i="24" s="1"/>
  <c r="F360" i="24"/>
  <c r="J358" i="29" l="1"/>
  <c r="D359" i="29" s="1"/>
  <c r="G358" i="29"/>
  <c r="H358" i="29" s="1"/>
  <c r="F360" i="27"/>
  <c r="I360" i="27"/>
  <c r="K360" i="27" s="1"/>
  <c r="G360" i="24"/>
  <c r="H360" i="24" s="1"/>
  <c r="J360" i="24"/>
  <c r="D361" i="24" s="1"/>
  <c r="I359" i="29" l="1"/>
  <c r="K359" i="29" s="1"/>
  <c r="F359" i="29"/>
  <c r="J360" i="27"/>
  <c r="D361" i="27" s="1"/>
  <c r="G360" i="27"/>
  <c r="H360" i="27" s="1"/>
  <c r="I361" i="24"/>
  <c r="K361" i="24" s="1"/>
  <c r="F361" i="24"/>
  <c r="J359" i="29" l="1"/>
  <c r="D360" i="29" s="1"/>
  <c r="G359" i="29"/>
  <c r="H359" i="29" s="1"/>
  <c r="I361" i="27"/>
  <c r="K361" i="27" s="1"/>
  <c r="F361" i="27"/>
  <c r="G361" i="24"/>
  <c r="H361" i="24" s="1"/>
  <c r="J361" i="24"/>
  <c r="D362" i="24" s="1"/>
  <c r="I360" i="29" l="1"/>
  <c r="K360" i="29" s="1"/>
  <c r="F360" i="29"/>
  <c r="G361" i="27"/>
  <c r="H361" i="27" s="1"/>
  <c r="J361" i="27"/>
  <c r="D362" i="27" s="1"/>
  <c r="I362" i="24"/>
  <c r="K362" i="24" s="1"/>
  <c r="F362" i="24"/>
  <c r="J360" i="29" l="1"/>
  <c r="D361" i="29" s="1"/>
  <c r="G360" i="29"/>
  <c r="H360" i="29" s="1"/>
  <c r="I362" i="27"/>
  <c r="K362" i="27" s="1"/>
  <c r="F362" i="27"/>
  <c r="J362" i="24"/>
  <c r="D363" i="24" s="1"/>
  <c r="G362" i="24"/>
  <c r="H362" i="24" s="1"/>
  <c r="I361" i="29" l="1"/>
  <c r="K361" i="29" s="1"/>
  <c r="F361" i="29"/>
  <c r="G362" i="27"/>
  <c r="H362" i="27" s="1"/>
  <c r="J362" i="27"/>
  <c r="D363" i="27" s="1"/>
  <c r="I363" i="24"/>
  <c r="K363" i="24" s="1"/>
  <c r="F363" i="24"/>
  <c r="J361" i="29" l="1"/>
  <c r="D362" i="29" s="1"/>
  <c r="G361" i="29"/>
  <c r="H361" i="29" s="1"/>
  <c r="I363" i="27"/>
  <c r="K363" i="27" s="1"/>
  <c r="F363" i="27"/>
  <c r="G363" i="24"/>
  <c r="H363" i="24" s="1"/>
  <c r="J363" i="24"/>
  <c r="D364" i="24" s="1"/>
  <c r="I362" i="29" l="1"/>
  <c r="K362" i="29" s="1"/>
  <c r="F362" i="29"/>
  <c r="G363" i="27"/>
  <c r="H363" i="27" s="1"/>
  <c r="J363" i="27"/>
  <c r="D364" i="27" s="1"/>
  <c r="I364" i="24"/>
  <c r="K364" i="24" s="1"/>
  <c r="F364" i="24"/>
  <c r="G362" i="29" l="1"/>
  <c r="H362" i="29" s="1"/>
  <c r="J362" i="29"/>
  <c r="D363" i="29" s="1"/>
  <c r="I364" i="27"/>
  <c r="K364" i="27" s="1"/>
  <c r="F364" i="27"/>
  <c r="J364" i="24"/>
  <c r="D365" i="24" s="1"/>
  <c r="G364" i="24"/>
  <c r="H364" i="24" s="1"/>
  <c r="I363" i="29" l="1"/>
  <c r="K363" i="29" s="1"/>
  <c r="F363" i="29"/>
  <c r="J364" i="27"/>
  <c r="D365" i="27" s="1"/>
  <c r="G364" i="27"/>
  <c r="H364" i="27" s="1"/>
  <c r="I365" i="24"/>
  <c r="K365" i="24" s="1"/>
  <c r="F365" i="24"/>
  <c r="G363" i="29" l="1"/>
  <c r="H363" i="29" s="1"/>
  <c r="J363" i="29"/>
  <c r="D364" i="29" s="1"/>
  <c r="I365" i="27"/>
  <c r="K365" i="27" s="1"/>
  <c r="F365" i="27"/>
  <c r="J365" i="24"/>
  <c r="D366" i="24" s="1"/>
  <c r="G365" i="24"/>
  <c r="H365" i="24" s="1"/>
  <c r="I364" i="29" l="1"/>
  <c r="K364" i="29" s="1"/>
  <c r="F364" i="29"/>
  <c r="J365" i="27"/>
  <c r="D366" i="27" s="1"/>
  <c r="G365" i="27"/>
  <c r="H365" i="27" s="1"/>
  <c r="F366" i="24"/>
  <c r="I366" i="24"/>
  <c r="K366" i="24" s="1"/>
  <c r="G364" i="29" l="1"/>
  <c r="H364" i="29" s="1"/>
  <c r="J364" i="29"/>
  <c r="D365" i="29" s="1"/>
  <c r="I366" i="27"/>
  <c r="K366" i="27" s="1"/>
  <c r="F366" i="27"/>
  <c r="G366" i="24"/>
  <c r="H366" i="24" s="1"/>
  <c r="J366" i="24"/>
  <c r="D367" i="24" s="1"/>
  <c r="I365" i="29" l="1"/>
  <c r="K365" i="29" s="1"/>
  <c r="F365" i="29"/>
  <c r="J366" i="27"/>
  <c r="D367" i="27" s="1"/>
  <c r="G366" i="27"/>
  <c r="H366" i="27" s="1"/>
  <c r="F367" i="24"/>
  <c r="I367" i="24"/>
  <c r="K367" i="24" s="1"/>
  <c r="G365" i="29" l="1"/>
  <c r="H365" i="29" s="1"/>
  <c r="J365" i="29"/>
  <c r="D366" i="29" s="1"/>
  <c r="F367" i="27"/>
  <c r="I367" i="27"/>
  <c r="K367" i="27" s="1"/>
  <c r="G367" i="24"/>
  <c r="H367" i="24" s="1"/>
  <c r="J367" i="24"/>
  <c r="D368" i="24" s="1"/>
  <c r="I366" i="29" l="1"/>
  <c r="K366" i="29" s="1"/>
  <c r="F366" i="29"/>
  <c r="J367" i="27"/>
  <c r="D368" i="27" s="1"/>
  <c r="G367" i="27"/>
  <c r="H367" i="27" s="1"/>
  <c r="F368" i="24"/>
  <c r="I368" i="24"/>
  <c r="K368" i="24" s="1"/>
  <c r="J366" i="29" l="1"/>
  <c r="D367" i="29" s="1"/>
  <c r="G366" i="29"/>
  <c r="H366" i="29" s="1"/>
  <c r="I368" i="27"/>
  <c r="K368" i="27" s="1"/>
  <c r="F368" i="27"/>
  <c r="G368" i="24"/>
  <c r="H368" i="24" s="1"/>
  <c r="J368" i="24"/>
  <c r="D369" i="24" s="1"/>
  <c r="I367" i="29" l="1"/>
  <c r="K367" i="29" s="1"/>
  <c r="F367" i="29"/>
  <c r="G368" i="27"/>
  <c r="H368" i="27" s="1"/>
  <c r="J368" i="27"/>
  <c r="D369" i="27" s="1"/>
  <c r="I369" i="24"/>
  <c r="K369" i="24" s="1"/>
  <c r="F369" i="24"/>
  <c r="G367" i="29" l="1"/>
  <c r="H367" i="29" s="1"/>
  <c r="J367" i="29"/>
  <c r="D368" i="29" s="1"/>
  <c r="I369" i="27"/>
  <c r="K369" i="27" s="1"/>
  <c r="F369" i="27"/>
  <c r="G369" i="24"/>
  <c r="H369" i="24" s="1"/>
  <c r="J369" i="24"/>
  <c r="D370" i="24" s="1"/>
  <c r="I368" i="29" l="1"/>
  <c r="K368" i="29" s="1"/>
  <c r="F368" i="29"/>
  <c r="G369" i="27"/>
  <c r="H369" i="27" s="1"/>
  <c r="J369" i="27"/>
  <c r="D370" i="27" s="1"/>
  <c r="I370" i="24"/>
  <c r="K370" i="24" s="1"/>
  <c r="F370" i="24"/>
  <c r="G368" i="29" l="1"/>
  <c r="H368" i="29" s="1"/>
  <c r="J368" i="29"/>
  <c r="D369" i="29" s="1"/>
  <c r="I370" i="27"/>
  <c r="K370" i="27" s="1"/>
  <c r="F370" i="27"/>
  <c r="G370" i="24"/>
  <c r="H370" i="24" s="1"/>
  <c r="J370" i="24"/>
  <c r="D371" i="24" s="1"/>
  <c r="I369" i="29" l="1"/>
  <c r="K369" i="29" s="1"/>
  <c r="F369" i="29"/>
  <c r="G370" i="27"/>
  <c r="H370" i="27" s="1"/>
  <c r="J370" i="27"/>
  <c r="D371" i="27" s="1"/>
  <c r="I371" i="24"/>
  <c r="K371" i="24" s="1"/>
  <c r="F371" i="24"/>
  <c r="J369" i="29" l="1"/>
  <c r="D370" i="29" s="1"/>
  <c r="G369" i="29"/>
  <c r="H369" i="29" s="1"/>
  <c r="I371" i="27"/>
  <c r="K371" i="27" s="1"/>
  <c r="F371" i="27"/>
  <c r="G371" i="24"/>
  <c r="H371" i="24" s="1"/>
  <c r="J371" i="24"/>
  <c r="D372" i="24" s="1"/>
  <c r="I370" i="29" l="1"/>
  <c r="K370" i="29" s="1"/>
  <c r="F370" i="29"/>
  <c r="J371" i="27"/>
  <c r="D372" i="27" s="1"/>
  <c r="G371" i="27"/>
  <c r="H371" i="27" s="1"/>
  <c r="F372" i="24"/>
  <c r="I372" i="24"/>
  <c r="K372" i="24" s="1"/>
  <c r="G370" i="29" l="1"/>
  <c r="H370" i="29" s="1"/>
  <c r="J370" i="29"/>
  <c r="D371" i="29" s="1"/>
  <c r="I372" i="27"/>
  <c r="K372" i="27" s="1"/>
  <c r="F372" i="27"/>
  <c r="J372" i="24"/>
  <c r="D373" i="24" s="1"/>
  <c r="G372" i="24"/>
  <c r="H372" i="24" s="1"/>
  <c r="I371" i="29" l="1"/>
  <c r="K371" i="29" s="1"/>
  <c r="F371" i="29"/>
  <c r="J372" i="27"/>
  <c r="D373" i="27" s="1"/>
  <c r="G372" i="27"/>
  <c r="H372" i="27" s="1"/>
  <c r="I373" i="24"/>
  <c r="K373" i="24" s="1"/>
  <c r="F373" i="24"/>
  <c r="G371" i="29" l="1"/>
  <c r="H371" i="29" s="1"/>
  <c r="J371" i="29"/>
  <c r="D372" i="29" s="1"/>
  <c r="F373" i="27"/>
  <c r="I373" i="27"/>
  <c r="K373" i="27" s="1"/>
  <c r="G373" i="24"/>
  <c r="H373" i="24" s="1"/>
  <c r="J373" i="24"/>
  <c r="D374" i="24" s="1"/>
  <c r="I372" i="29" l="1"/>
  <c r="K372" i="29" s="1"/>
  <c r="F372" i="29"/>
  <c r="J373" i="27"/>
  <c r="D374" i="27" s="1"/>
  <c r="G373" i="27"/>
  <c r="H373" i="27" s="1"/>
  <c r="I374" i="24"/>
  <c r="K374" i="24" s="1"/>
  <c r="F374" i="24"/>
  <c r="J372" i="29" l="1"/>
  <c r="D373" i="29" s="1"/>
  <c r="G372" i="29"/>
  <c r="H372" i="29" s="1"/>
  <c r="F374" i="27"/>
  <c r="I374" i="27"/>
  <c r="K374" i="27" s="1"/>
  <c r="G374" i="24"/>
  <c r="H374" i="24" s="1"/>
  <c r="J374" i="24"/>
  <c r="D375" i="24" s="1"/>
  <c r="I373" i="29" l="1"/>
  <c r="K373" i="29" s="1"/>
  <c r="F373" i="29"/>
  <c r="J374" i="27"/>
  <c r="D375" i="27" s="1"/>
  <c r="G374" i="27"/>
  <c r="H374" i="27" s="1"/>
  <c r="I375" i="24"/>
  <c r="K375" i="24" s="1"/>
  <c r="F375" i="24"/>
  <c r="G373" i="29" l="1"/>
  <c r="H373" i="29" s="1"/>
  <c r="J373" i="29"/>
  <c r="D374" i="29" s="1"/>
  <c r="I375" i="27"/>
  <c r="K375" i="27" s="1"/>
  <c r="F375" i="27"/>
  <c r="J375" i="24"/>
  <c r="D376" i="24" s="1"/>
  <c r="G375" i="24"/>
  <c r="H375" i="24" s="1"/>
  <c r="I374" i="29" l="1"/>
  <c r="K374" i="29" s="1"/>
  <c r="F374" i="29"/>
  <c r="G375" i="27"/>
  <c r="H375" i="27" s="1"/>
  <c r="J375" i="27"/>
  <c r="D376" i="27" s="1"/>
  <c r="I9" i="24"/>
  <c r="I10" i="24"/>
  <c r="I376" i="24"/>
  <c r="K376" i="24" s="1"/>
  <c r="F376" i="24"/>
  <c r="G374" i="29" l="1"/>
  <c r="H374" i="29" s="1"/>
  <c r="J374" i="29"/>
  <c r="D375" i="29" s="1"/>
  <c r="I10" i="27"/>
  <c r="I9" i="27"/>
  <c r="I376" i="27"/>
  <c r="K376" i="27" s="1"/>
  <c r="F376" i="27"/>
  <c r="G376" i="24"/>
  <c r="H376" i="24" s="1"/>
  <c r="J376" i="24"/>
  <c r="I8" i="24" s="1"/>
  <c r="H13" i="24"/>
  <c r="I11" i="24"/>
  <c r="C16" i="20" l="1"/>
  <c r="O16" i="20" s="1"/>
  <c r="I375" i="29"/>
  <c r="K375" i="29" s="1"/>
  <c r="F375" i="29"/>
  <c r="G376" i="27"/>
  <c r="H376" i="27" s="1"/>
  <c r="J376" i="27"/>
  <c r="I8" i="27" s="1"/>
  <c r="H13" i="27"/>
  <c r="I11" i="27"/>
  <c r="CK46" i="20" l="1"/>
  <c r="AL46" i="20"/>
  <c r="AN46" i="20"/>
  <c r="BN46" i="20"/>
  <c r="BL46" i="20"/>
  <c r="BX46" i="20"/>
  <c r="AW46" i="20"/>
  <c r="X46" i="20"/>
  <c r="BA46" i="20"/>
  <c r="L46" i="20"/>
  <c r="CJ46" i="20"/>
  <c r="AV46" i="20"/>
  <c r="AI46" i="20"/>
  <c r="CA46" i="20"/>
  <c r="AM46" i="20"/>
  <c r="BV46" i="20"/>
  <c r="J46" i="20"/>
  <c r="I46" i="20"/>
  <c r="BF46" i="20"/>
  <c r="T46" i="20"/>
  <c r="CM46" i="20"/>
  <c r="BJ46" i="20"/>
  <c r="V46" i="20"/>
  <c r="AJ46" i="20"/>
  <c r="CL46" i="20"/>
  <c r="BK46" i="20"/>
  <c r="AH46" i="20"/>
  <c r="BT46" i="20"/>
  <c r="AS46" i="20"/>
  <c r="CG46" i="20"/>
  <c r="G46" i="20"/>
  <c r="BI46" i="20"/>
  <c r="Y46" i="20"/>
  <c r="AU46" i="20"/>
  <c r="BW46" i="20"/>
  <c r="H46" i="20"/>
  <c r="W46" i="20"/>
  <c r="BM46" i="20"/>
  <c r="AY46" i="20"/>
  <c r="N46" i="20"/>
  <c r="F46" i="20"/>
  <c r="AX46" i="20"/>
  <c r="BZ46" i="20"/>
  <c r="CF46" i="20"/>
  <c r="Z46" i="20"/>
  <c r="S46" i="20"/>
  <c r="AK46" i="20"/>
  <c r="U46" i="20"/>
  <c r="C46" i="20"/>
  <c r="BH46" i="20"/>
  <c r="M46" i="20"/>
  <c r="AZ46" i="20"/>
  <c r="AF46" i="20"/>
  <c r="E46" i="20"/>
  <c r="AT46" i="20"/>
  <c r="BG46" i="20"/>
  <c r="D46" i="20"/>
  <c r="K46" i="20"/>
  <c r="AA46" i="20"/>
  <c r="CI46" i="20"/>
  <c r="AC46" i="36" s="1"/>
  <c r="BY46" i="20"/>
  <c r="BS46" i="20"/>
  <c r="AG46" i="20"/>
  <c r="CN46" i="20"/>
  <c r="BU46" i="20"/>
  <c r="CH46" i="20"/>
  <c r="C16" i="36"/>
  <c r="G375" i="29"/>
  <c r="H375" i="29" s="1"/>
  <c r="J375" i="29"/>
  <c r="D376" i="29" s="1"/>
  <c r="D67" i="20"/>
  <c r="D68" i="20" s="1"/>
  <c r="D38" i="20"/>
  <c r="D39" i="20" s="1"/>
  <c r="G38" i="20"/>
  <c r="G39" i="20" s="1"/>
  <c r="E38" i="20"/>
  <c r="E39" i="20" s="1"/>
  <c r="G67" i="20"/>
  <c r="G68" i="20" s="1"/>
  <c r="H38" i="20"/>
  <c r="H39" i="20" s="1"/>
  <c r="E67" i="20"/>
  <c r="E68" i="20" s="1"/>
  <c r="H67" i="20"/>
  <c r="H68" i="20" s="1"/>
  <c r="D49" i="21"/>
  <c r="D40" i="22" s="1"/>
  <c r="C38" i="20"/>
  <c r="C39" i="20" s="1"/>
  <c r="F38" i="20"/>
  <c r="F39" i="20" s="1"/>
  <c r="F67" i="20"/>
  <c r="F68" i="20" s="1"/>
  <c r="C67" i="20"/>
  <c r="C68" i="20" s="1"/>
  <c r="D6" i="15"/>
  <c r="P6" i="15" s="1"/>
  <c r="P19" i="21"/>
  <c r="C55" i="21"/>
  <c r="U46" i="36" l="1"/>
  <c r="Z46" i="36"/>
  <c r="P40" i="22"/>
  <c r="L40" i="22"/>
  <c r="H40" i="22"/>
  <c r="O40" i="22"/>
  <c r="K40" i="22"/>
  <c r="J40" i="22"/>
  <c r="F40" i="22"/>
  <c r="M40" i="22"/>
  <c r="G40" i="22"/>
  <c r="Q40" i="22"/>
  <c r="I40" i="22"/>
  <c r="N40" i="22"/>
  <c r="D46" i="36"/>
  <c r="AB46" i="36"/>
  <c r="CO46" i="20"/>
  <c r="Y46" i="36"/>
  <c r="Q46" i="36"/>
  <c r="R46" i="36"/>
  <c r="I46" i="36"/>
  <c r="BO46" i="20"/>
  <c r="T46" i="36"/>
  <c r="X46" i="36"/>
  <c r="CB46" i="20"/>
  <c r="AB46" i="20"/>
  <c r="H46" i="36"/>
  <c r="E46" i="36"/>
  <c r="F46" i="36"/>
  <c r="N46" i="36"/>
  <c r="L46" i="36"/>
  <c r="AO46" i="20"/>
  <c r="C46" i="36"/>
  <c r="O46" i="20"/>
  <c r="J46" i="36"/>
  <c r="P46" i="36"/>
  <c r="BB46" i="20"/>
  <c r="AD46" i="36"/>
  <c r="M46" i="36"/>
  <c r="V46" i="36"/>
  <c r="G46" i="1"/>
  <c r="H46" i="1" s="1"/>
  <c r="H76" i="1" s="1"/>
  <c r="C6" i="13" s="1"/>
  <c r="C189" i="13" s="1"/>
  <c r="B94" i="4"/>
  <c r="D94" i="4" s="1"/>
  <c r="I376" i="29"/>
  <c r="K376" i="29" s="1"/>
  <c r="F376" i="29"/>
  <c r="I10" i="29"/>
  <c r="I9" i="29"/>
  <c r="O38" i="20"/>
  <c r="O39" i="20" s="1"/>
  <c r="O40" i="20" s="1"/>
  <c r="C38" i="36"/>
  <c r="C39" i="36" s="1"/>
  <c r="D67" i="36"/>
  <c r="D68" i="36" s="1"/>
  <c r="C98" i="13"/>
  <c r="C98" i="9" s="1"/>
  <c r="C67" i="36"/>
  <c r="C68" i="36" s="1"/>
  <c r="O67" i="20"/>
  <c r="O68" i="20" s="1"/>
  <c r="O69" i="20" s="1"/>
  <c r="D8" i="15"/>
  <c r="D96" i="15" s="1"/>
  <c r="H8" i="20" s="1"/>
  <c r="H9" i="20" s="1"/>
  <c r="P55" i="21"/>
  <c r="C100" i="15"/>
  <c r="P49" i="21"/>
  <c r="V38" i="20"/>
  <c r="V39" i="20" s="1"/>
  <c r="B8" i="4"/>
  <c r="D8" i="4" s="1"/>
  <c r="F42" i="16"/>
  <c r="F6" i="16"/>
  <c r="F77" i="16"/>
  <c r="D38" i="36"/>
  <c r="D39" i="36" s="1"/>
  <c r="C16" i="9" l="1"/>
  <c r="C19" i="9"/>
  <c r="C26" i="9"/>
  <c r="C17" i="9"/>
  <c r="B53" i="26"/>
  <c r="D30" i="9"/>
  <c r="C6" i="9"/>
  <c r="C24" i="9"/>
  <c r="C22" i="9"/>
  <c r="C15" i="9"/>
  <c r="C14" i="9"/>
  <c r="C21" i="9"/>
  <c r="AA40" i="22"/>
  <c r="Z40" i="22"/>
  <c r="AB40" i="22"/>
  <c r="V40" i="22"/>
  <c r="R40" i="22"/>
  <c r="S40" i="22"/>
  <c r="U40" i="22"/>
  <c r="AD40" i="22"/>
  <c r="W40" i="22"/>
  <c r="Y40" i="22"/>
  <c r="T40" i="22"/>
  <c r="X40" i="22"/>
  <c r="AC40" i="22"/>
  <c r="A8" i="4"/>
  <c r="I19" i="4" s="1"/>
  <c r="A94" i="4"/>
  <c r="H13" i="29"/>
  <c r="I11" i="29"/>
  <c r="G376" i="29"/>
  <c r="J376" i="29"/>
  <c r="I8" i="29" s="1"/>
  <c r="C91" i="9"/>
  <c r="C97" i="9"/>
  <c r="C90" i="9"/>
  <c r="C132" i="9"/>
  <c r="P8" i="15"/>
  <c r="P96" i="15" s="1"/>
  <c r="T8" i="20" s="1"/>
  <c r="C126" i="13"/>
  <c r="C152" i="13" s="1"/>
  <c r="C93" i="9"/>
  <c r="C102" i="9"/>
  <c r="C95" i="9"/>
  <c r="B54" i="26"/>
  <c r="C82" i="9"/>
  <c r="C92" i="9"/>
  <c r="C100" i="9"/>
  <c r="D106" i="9"/>
  <c r="R36" i="22"/>
  <c r="D36" i="22" s="1"/>
  <c r="E36" i="22" s="1"/>
  <c r="F8" i="20"/>
  <c r="F9" i="20" s="1"/>
  <c r="C8" i="20"/>
  <c r="C9" i="20" s="1"/>
  <c r="G8" i="20"/>
  <c r="G9" i="20" s="1"/>
  <c r="D8" i="20"/>
  <c r="D9" i="20" s="1"/>
  <c r="R35" i="22"/>
  <c r="D35" i="22" s="1"/>
  <c r="E35" i="22" s="1"/>
  <c r="E8" i="20"/>
  <c r="E9" i="20" s="1"/>
  <c r="AB38" i="20"/>
  <c r="AB39" i="20" s="1"/>
  <c r="AB40" i="20" s="1"/>
  <c r="I38" i="36"/>
  <c r="I39" i="36" s="1"/>
  <c r="H77" i="16"/>
  <c r="H6" i="16"/>
  <c r="H42" i="16"/>
  <c r="C167" i="9"/>
  <c r="C173" i="9"/>
  <c r="C170" i="9"/>
  <c r="C207" i="9"/>
  <c r="C168" i="9"/>
  <c r="C166" i="9"/>
  <c r="C172" i="9"/>
  <c r="C157" i="9"/>
  <c r="C175" i="9"/>
  <c r="C217" i="13"/>
  <c r="C216" i="9" s="1"/>
  <c r="C219" i="9" s="1"/>
  <c r="B55" i="26"/>
  <c r="C177" i="9"/>
  <c r="C165" i="9"/>
  <c r="E52" i="22" l="1"/>
  <c r="B14" i="20" s="1"/>
  <c r="B32" i="13"/>
  <c r="B14" i="36"/>
  <c r="B125" i="13"/>
  <c r="B73" i="20"/>
  <c r="C555" i="19"/>
  <c r="C556" i="19"/>
  <c r="C471" i="19"/>
  <c r="C472" i="19"/>
  <c r="C933" i="19"/>
  <c r="C934" i="19"/>
  <c r="C681" i="19"/>
  <c r="C682" i="19"/>
  <c r="C429" i="19"/>
  <c r="C430" i="19"/>
  <c r="C345" i="19"/>
  <c r="C346" i="19"/>
  <c r="C639" i="19"/>
  <c r="C640" i="19"/>
  <c r="C177" i="19"/>
  <c r="C178" i="19"/>
  <c r="C135" i="19"/>
  <c r="C136" i="19"/>
  <c r="C93" i="19"/>
  <c r="C94" i="19"/>
  <c r="C891" i="19"/>
  <c r="C892" i="19"/>
  <c r="C1101" i="19"/>
  <c r="C1102" i="19"/>
  <c r="C219" i="19"/>
  <c r="C220" i="19"/>
  <c r="C1185" i="19"/>
  <c r="C1186" i="19"/>
  <c r="C975" i="19"/>
  <c r="C976" i="19"/>
  <c r="C1017" i="19"/>
  <c r="C1018" i="19"/>
  <c r="C765" i="19"/>
  <c r="C766" i="19"/>
  <c r="C849" i="19"/>
  <c r="C850" i="19"/>
  <c r="C807" i="19"/>
  <c r="C808" i="19"/>
  <c r="C1059" i="19"/>
  <c r="C1060" i="19"/>
  <c r="C387" i="19"/>
  <c r="C388" i="19"/>
  <c r="C723" i="19"/>
  <c r="C724" i="19"/>
  <c r="C513" i="19"/>
  <c r="C514" i="19"/>
  <c r="C597" i="19"/>
  <c r="C598" i="19"/>
  <c r="C261" i="19"/>
  <c r="C262" i="19"/>
  <c r="C1143" i="19"/>
  <c r="C1144" i="19"/>
  <c r="C303" i="19"/>
  <c r="C304" i="19"/>
  <c r="I39" i="4"/>
  <c r="I18" i="4"/>
  <c r="I17" i="4"/>
  <c r="I38" i="4"/>
  <c r="I42" i="4"/>
  <c r="I45" i="4"/>
  <c r="I22" i="4"/>
  <c r="I43" i="4"/>
  <c r="I44" i="4"/>
  <c r="I25" i="4"/>
  <c r="I26" i="4"/>
  <c r="I20" i="4"/>
  <c r="I15" i="4"/>
  <c r="I33" i="4"/>
  <c r="I37" i="4"/>
  <c r="I16" i="4"/>
  <c r="I28" i="4"/>
  <c r="I31" i="4"/>
  <c r="I24" i="4"/>
  <c r="C8" i="19"/>
  <c r="I23" i="4"/>
  <c r="I41" i="4"/>
  <c r="I21" i="4"/>
  <c r="I36" i="4"/>
  <c r="I29" i="4"/>
  <c r="I40" i="4"/>
  <c r="I34" i="4"/>
  <c r="E8" i="4"/>
  <c r="I32" i="4"/>
  <c r="I30" i="4"/>
  <c r="I35" i="4"/>
  <c r="C8" i="4"/>
  <c r="F8" i="4" s="1"/>
  <c r="I27" i="4"/>
  <c r="I46" i="4"/>
  <c r="AP40" i="22"/>
  <c r="BC40" i="22" s="1"/>
  <c r="BP40" i="22" s="1"/>
  <c r="CC40" i="22" s="1"/>
  <c r="CP40" i="22" s="1"/>
  <c r="AE40" i="22"/>
  <c r="AG40" i="22"/>
  <c r="AT40" i="22" s="1"/>
  <c r="BG40" i="22" s="1"/>
  <c r="BT40" i="22" s="1"/>
  <c r="CG40" i="22" s="1"/>
  <c r="AJ40" i="22"/>
  <c r="AW40" i="22" s="1"/>
  <c r="BJ40" i="22" s="1"/>
  <c r="BW40" i="22" s="1"/>
  <c r="CJ40" i="22" s="1"/>
  <c r="AH40" i="22"/>
  <c r="AU40" i="22" s="1"/>
  <c r="BH40" i="22" s="1"/>
  <c r="BU40" i="22" s="1"/>
  <c r="CH40" i="22" s="1"/>
  <c r="AI40" i="22"/>
  <c r="AV40" i="22" s="1"/>
  <c r="BI40" i="22" s="1"/>
  <c r="BV40" i="22" s="1"/>
  <c r="CI40" i="22" s="1"/>
  <c r="AM40" i="22"/>
  <c r="AZ40" i="22" s="1"/>
  <c r="BM40" i="22" s="1"/>
  <c r="BZ40" i="22" s="1"/>
  <c r="CM40" i="22" s="1"/>
  <c r="AF40" i="22"/>
  <c r="AK40" i="22"/>
  <c r="AX40" i="22" s="1"/>
  <c r="BK40" i="22" s="1"/>
  <c r="BX40" i="22" s="1"/>
  <c r="CK40" i="22" s="1"/>
  <c r="AL40" i="22"/>
  <c r="AY40" i="22" s="1"/>
  <c r="BL40" i="22" s="1"/>
  <c r="BY40" i="22" s="1"/>
  <c r="CL40" i="22" s="1"/>
  <c r="AQ40" i="22"/>
  <c r="BD40" i="22" s="1"/>
  <c r="BQ40" i="22" s="1"/>
  <c r="CD40" i="22" s="1"/>
  <c r="CQ40" i="22" s="1"/>
  <c r="AO40" i="22"/>
  <c r="BB40" i="22" s="1"/>
  <c r="BO40" i="22" s="1"/>
  <c r="CB40" i="22" s="1"/>
  <c r="CO40" i="22" s="1"/>
  <c r="AN40" i="22"/>
  <c r="BA40" i="22" s="1"/>
  <c r="BN40" i="22" s="1"/>
  <c r="CA40" i="22" s="1"/>
  <c r="CN40" i="22" s="1"/>
  <c r="C554" i="19"/>
  <c r="C470" i="19"/>
  <c r="C932" i="19"/>
  <c r="C680" i="19"/>
  <c r="C428" i="19"/>
  <c r="C344" i="19"/>
  <c r="C638" i="19"/>
  <c r="C176" i="19"/>
  <c r="C134" i="19"/>
  <c r="I105" i="4"/>
  <c r="I114" i="4"/>
  <c r="I112" i="4"/>
  <c r="I120" i="4"/>
  <c r="I122" i="4"/>
  <c r="I109" i="4"/>
  <c r="I126" i="4"/>
  <c r="I117" i="4"/>
  <c r="I118" i="4"/>
  <c r="I115" i="4"/>
  <c r="I124" i="4"/>
  <c r="I119" i="4"/>
  <c r="I129" i="4"/>
  <c r="I110" i="4"/>
  <c r="I116" i="4"/>
  <c r="I128" i="4"/>
  <c r="I125" i="4"/>
  <c r="I102" i="4"/>
  <c r="I101" i="4"/>
  <c r="I123" i="4"/>
  <c r="I103" i="4"/>
  <c r="C92" i="19"/>
  <c r="I106" i="4"/>
  <c r="C94" i="4"/>
  <c r="F94" i="4" s="1"/>
  <c r="I108" i="4"/>
  <c r="I104" i="4"/>
  <c r="I127" i="4"/>
  <c r="I111" i="4"/>
  <c r="I121" i="4"/>
  <c r="I107" i="4"/>
  <c r="I130" i="4"/>
  <c r="I113" i="4"/>
  <c r="E94" i="4"/>
  <c r="C890" i="19"/>
  <c r="C1100" i="19"/>
  <c r="C218" i="19"/>
  <c r="C1184" i="19"/>
  <c r="C974" i="19"/>
  <c r="C1016" i="19"/>
  <c r="C764" i="19"/>
  <c r="C848" i="19"/>
  <c r="C806" i="19"/>
  <c r="C1058" i="19"/>
  <c r="C386" i="19"/>
  <c r="C722" i="19"/>
  <c r="C512" i="19"/>
  <c r="C596" i="19"/>
  <c r="C260" i="19"/>
  <c r="C1142" i="19"/>
  <c r="C302" i="19"/>
  <c r="H376" i="29"/>
  <c r="BU75" i="20"/>
  <c r="M75" i="20"/>
  <c r="W75" i="20"/>
  <c r="BA75" i="20"/>
  <c r="CI75" i="20"/>
  <c r="H75" i="20"/>
  <c r="P75" i="20"/>
  <c r="AP75" i="20"/>
  <c r="AI75" i="20"/>
  <c r="AF75" i="20"/>
  <c r="D75" i="20"/>
  <c r="BC75" i="20"/>
  <c r="BP75" i="20"/>
  <c r="AU75" i="20"/>
  <c r="L75" i="20"/>
  <c r="BR75" i="20"/>
  <c r="BX75" i="20"/>
  <c r="CN75" i="20"/>
  <c r="AX75" i="20"/>
  <c r="AA75" i="20"/>
  <c r="CL75" i="20"/>
  <c r="BY75" i="20"/>
  <c r="CA75" i="20"/>
  <c r="AN75" i="20"/>
  <c r="BG75" i="20"/>
  <c r="Y75" i="20"/>
  <c r="AY75" i="20"/>
  <c r="AC75" i="20"/>
  <c r="J75" i="20"/>
  <c r="R75" i="20"/>
  <c r="BL75" i="20"/>
  <c r="AD75" i="20"/>
  <c r="K75" i="20"/>
  <c r="CG75" i="20"/>
  <c r="AH75" i="20"/>
  <c r="BD75" i="20"/>
  <c r="AL75" i="20"/>
  <c r="T75" i="20"/>
  <c r="CD75" i="20"/>
  <c r="BS75" i="20"/>
  <c r="BF75" i="20"/>
  <c r="I75" i="20"/>
  <c r="CM75" i="20"/>
  <c r="CE75" i="20"/>
  <c r="BE75" i="20"/>
  <c r="BI75" i="20"/>
  <c r="AZ75" i="20"/>
  <c r="CC75" i="20"/>
  <c r="BM75" i="20"/>
  <c r="AK75" i="20"/>
  <c r="S75" i="20"/>
  <c r="G75" i="20"/>
  <c r="V75" i="20"/>
  <c r="BH75" i="20"/>
  <c r="CF75" i="20"/>
  <c r="CJ75" i="20"/>
  <c r="AQ75" i="20"/>
  <c r="AJ75" i="20"/>
  <c r="CK75" i="20"/>
  <c r="BV75" i="20"/>
  <c r="Q75" i="20"/>
  <c r="AG75" i="20"/>
  <c r="AE75" i="20"/>
  <c r="CH75" i="20"/>
  <c r="E75" i="20"/>
  <c r="BJ75" i="20"/>
  <c r="AT75" i="20"/>
  <c r="Z75" i="20"/>
  <c r="AR75" i="20"/>
  <c r="BT75" i="20"/>
  <c r="AV75" i="20"/>
  <c r="AS75" i="20"/>
  <c r="BQ75" i="20"/>
  <c r="C75" i="20"/>
  <c r="AW75" i="20"/>
  <c r="N75" i="20"/>
  <c r="BN75" i="20"/>
  <c r="BZ75" i="20"/>
  <c r="AM75" i="20"/>
  <c r="F75" i="20"/>
  <c r="BK75" i="20"/>
  <c r="U75" i="20"/>
  <c r="BW75" i="20"/>
  <c r="X75" i="20"/>
  <c r="C141" i="9"/>
  <c r="C144" i="9" s="1"/>
  <c r="D126" i="13"/>
  <c r="D152" i="13" s="1"/>
  <c r="D8" i="36"/>
  <c r="D9" i="36" s="1"/>
  <c r="C8" i="36"/>
  <c r="C9" i="36" s="1"/>
  <c r="O8" i="20"/>
  <c r="O9" i="20" s="1"/>
  <c r="O10" i="20" s="1"/>
  <c r="H72" i="16"/>
  <c r="H36" i="16"/>
  <c r="J6" i="16" s="1"/>
  <c r="H8" i="36"/>
  <c r="H9" i="36" s="1"/>
  <c r="T9" i="20"/>
  <c r="AB8" i="20"/>
  <c r="D173" i="9"/>
  <c r="D170" i="9"/>
  <c r="D175" i="9"/>
  <c r="C55" i="26"/>
  <c r="D181" i="9"/>
  <c r="D165" i="9"/>
  <c r="D157" i="9"/>
  <c r="D177" i="9"/>
  <c r="D166" i="9"/>
  <c r="D172" i="9"/>
  <c r="D207" i="9"/>
  <c r="D168" i="9"/>
  <c r="H107" i="16"/>
  <c r="C243" i="13"/>
  <c r="D217" i="13"/>
  <c r="D216" i="9" s="1"/>
  <c r="D219" i="9" s="1"/>
  <c r="B44" i="36" l="1"/>
  <c r="B73" i="36"/>
  <c r="B44" i="20"/>
  <c r="B60" i="13"/>
  <c r="C60" i="13"/>
  <c r="B151" i="13"/>
  <c r="C151" i="13"/>
  <c r="G8" i="4"/>
  <c r="D75" i="36"/>
  <c r="AS40" i="22"/>
  <c r="AR40" i="22"/>
  <c r="G94" i="4"/>
  <c r="AB75" i="36"/>
  <c r="I75" i="36"/>
  <c r="T75" i="36"/>
  <c r="D141" i="9"/>
  <c r="D144" i="9" s="1"/>
  <c r="Q75" i="36"/>
  <c r="H75" i="36"/>
  <c r="V75" i="36"/>
  <c r="R75" i="36"/>
  <c r="F75" i="36"/>
  <c r="G75" i="36"/>
  <c r="AB75" i="20"/>
  <c r="O75" i="20"/>
  <c r="C75" i="36"/>
  <c r="U75" i="36"/>
  <c r="E75" i="36"/>
  <c r="J75" i="36"/>
  <c r="Z75" i="36"/>
  <c r="L75" i="36"/>
  <c r="N75" i="36"/>
  <c r="AD75" i="36"/>
  <c r="W75" i="36"/>
  <c r="CB75" i="20"/>
  <c r="M75" i="36"/>
  <c r="AC75" i="36"/>
  <c r="P75" i="36"/>
  <c r="Y75" i="36"/>
  <c r="CO75" i="20"/>
  <c r="AA75" i="36"/>
  <c r="X75" i="36"/>
  <c r="AO75" i="20"/>
  <c r="K75" i="36"/>
  <c r="S75" i="36"/>
  <c r="BO75" i="20"/>
  <c r="O75" i="36"/>
  <c r="BB75" i="20"/>
  <c r="C33" i="13"/>
  <c r="C61" i="13" s="1"/>
  <c r="J107" i="16"/>
  <c r="J89" i="16"/>
  <c r="J88" i="16"/>
  <c r="J99" i="16"/>
  <c r="J94" i="16"/>
  <c r="J98" i="16"/>
  <c r="J91" i="16"/>
  <c r="J97" i="16"/>
  <c r="J95" i="16"/>
  <c r="J82" i="16"/>
  <c r="J102" i="16"/>
  <c r="J79" i="16"/>
  <c r="J83" i="16"/>
  <c r="J84" i="16"/>
  <c r="J85" i="16"/>
  <c r="J106" i="16"/>
  <c r="J93" i="16"/>
  <c r="J92" i="16"/>
  <c r="J81" i="16"/>
  <c r="J103" i="16"/>
  <c r="J86" i="16"/>
  <c r="J90" i="16"/>
  <c r="J80" i="16"/>
  <c r="J104" i="16"/>
  <c r="J96" i="16"/>
  <c r="J105" i="16"/>
  <c r="J87" i="16"/>
  <c r="J101" i="16"/>
  <c r="J100" i="16"/>
  <c r="J78" i="16"/>
  <c r="H8" i="4"/>
  <c r="J72" i="16"/>
  <c r="J65" i="16"/>
  <c r="J63" i="16"/>
  <c r="J69" i="16"/>
  <c r="J56" i="16"/>
  <c r="J53" i="16"/>
  <c r="J71" i="16"/>
  <c r="J66" i="16"/>
  <c r="J47" i="16"/>
  <c r="J45" i="16"/>
  <c r="J49" i="16"/>
  <c r="J58" i="16"/>
  <c r="J50" i="16"/>
  <c r="J68" i="16"/>
  <c r="J55" i="16"/>
  <c r="J48" i="16"/>
  <c r="J60" i="16"/>
  <c r="J51" i="16"/>
  <c r="J54" i="16"/>
  <c r="J64" i="16"/>
  <c r="J70" i="16"/>
  <c r="J67" i="16"/>
  <c r="J62" i="16"/>
  <c r="J59" i="16"/>
  <c r="J46" i="16"/>
  <c r="J44" i="16"/>
  <c r="J57" i="16"/>
  <c r="J61" i="16"/>
  <c r="J52" i="16"/>
  <c r="J43" i="16"/>
  <c r="J42" i="16"/>
  <c r="D243" i="13"/>
  <c r="J77" i="16"/>
  <c r="AB9" i="20"/>
  <c r="AB10" i="20" s="1"/>
  <c r="J36" i="16"/>
  <c r="J17" i="16"/>
  <c r="J13" i="16"/>
  <c r="J20" i="16"/>
  <c r="J25" i="16"/>
  <c r="J23" i="16"/>
  <c r="J11" i="16"/>
  <c r="J32" i="16"/>
  <c r="J22" i="16"/>
  <c r="J16" i="16"/>
  <c r="J10" i="16"/>
  <c r="J8" i="16"/>
  <c r="J26" i="16"/>
  <c r="J29" i="16"/>
  <c r="J9" i="16"/>
  <c r="J21" i="16"/>
  <c r="J27" i="16"/>
  <c r="J15" i="16"/>
  <c r="J19" i="16"/>
  <c r="J24" i="16"/>
  <c r="J18" i="16"/>
  <c r="J35" i="16"/>
  <c r="J31" i="16"/>
  <c r="J30" i="16"/>
  <c r="J34" i="16"/>
  <c r="J12" i="16"/>
  <c r="J28" i="16"/>
  <c r="J14" i="16"/>
  <c r="J33" i="16"/>
  <c r="J7" i="16"/>
  <c r="BF40" i="22" l="1"/>
  <c r="BE40" i="22"/>
  <c r="D33" i="13"/>
  <c r="D65" i="9" s="1"/>
  <c r="D68" i="9" s="1"/>
  <c r="C65" i="9"/>
  <c r="C68" i="9" s="1"/>
  <c r="H94" i="4"/>
  <c r="H52" i="4"/>
  <c r="BS40" i="22" l="1"/>
  <c r="BR40" i="22"/>
  <c r="D61" i="13"/>
  <c r="CE40" i="22" l="1"/>
  <c r="CF40" i="22"/>
  <c r="CR40" i="22" s="1"/>
  <c r="C95" i="19" l="1"/>
  <c r="C96" i="19"/>
  <c r="C767" i="19"/>
  <c r="C768" i="19"/>
  <c r="C1019" i="19"/>
  <c r="C1020" i="19"/>
  <c r="C1145" i="19"/>
  <c r="C1146" i="19"/>
  <c r="C599" i="19"/>
  <c r="C600" i="19"/>
  <c r="C389" i="19"/>
  <c r="C390" i="19"/>
  <c r="C305" i="19"/>
  <c r="C306" i="19"/>
  <c r="C725" i="19" l="1"/>
  <c r="C726" i="19"/>
  <c r="C263" i="19"/>
  <c r="C264" i="19"/>
  <c r="C179" i="19"/>
  <c r="C180" i="19"/>
  <c r="C1103" i="19"/>
  <c r="C1104" i="19"/>
  <c r="C515" i="19"/>
  <c r="C516" i="19"/>
  <c r="C641" i="19"/>
  <c r="C642" i="19"/>
  <c r="C557" i="19"/>
  <c r="C558" i="19"/>
  <c r="C431" i="19"/>
  <c r="C432" i="19"/>
  <c r="C977" i="19"/>
  <c r="C978" i="19"/>
  <c r="C893" i="19"/>
  <c r="C894" i="19"/>
  <c r="C221" i="19"/>
  <c r="C222" i="19"/>
  <c r="C1061" i="19"/>
  <c r="C1062" i="19"/>
  <c r="C473" i="19"/>
  <c r="C474" i="19"/>
  <c r="C851" i="19"/>
  <c r="C852" i="19"/>
  <c r="C1187" i="19"/>
  <c r="C1188" i="19"/>
  <c r="C683" i="19"/>
  <c r="C684" i="19"/>
  <c r="C809" i="19"/>
  <c r="C810" i="19"/>
  <c r="C347" i="19"/>
  <c r="C348" i="19"/>
  <c r="C53" i="19"/>
  <c r="C54" i="19"/>
  <c r="C137" i="19"/>
  <c r="C138" i="19"/>
  <c r="C935" i="19"/>
  <c r="C936" i="19"/>
  <c r="C77" i="16"/>
  <c r="C42" i="16"/>
  <c r="C6" i="16"/>
  <c r="BC101" i="15" l="1"/>
  <c r="BD101" i="15" s="1"/>
  <c r="BE101" i="15" s="1"/>
  <c r="BF101" i="15" s="1"/>
  <c r="BG101" i="15" s="1"/>
  <c r="BH101" i="15" s="1"/>
  <c r="BI101" i="15" s="1"/>
  <c r="BJ101" i="15" s="1"/>
  <c r="BK101" i="15" s="1"/>
  <c r="BL101" i="15" s="1"/>
  <c r="BM101" i="15" s="1"/>
  <c r="BN101" i="15" s="1"/>
  <c r="BO101" i="15" s="1"/>
  <c r="BP101" i="15"/>
  <c r="BQ101" i="15" s="1"/>
  <c r="BR101" i="15" s="1"/>
  <c r="BS101" i="15" s="1"/>
  <c r="BT101" i="15" s="1"/>
  <c r="BU101" i="15" s="1"/>
  <c r="BV101" i="15" s="1"/>
  <c r="BW101" i="15" s="1"/>
  <c r="BX101" i="15" s="1"/>
  <c r="BY101" i="15" s="1"/>
  <c r="BZ101" i="15" s="1"/>
  <c r="CA101" i="15" s="1"/>
  <c r="CB101" i="15" s="1"/>
  <c r="AP101" i="15"/>
  <c r="AQ101" i="15" s="1"/>
  <c r="AR101" i="15" s="1"/>
  <c r="AS101" i="15" s="1"/>
  <c r="AT101" i="15" s="1"/>
  <c r="AU101" i="15" s="1"/>
  <c r="AV101" i="15" s="1"/>
  <c r="AW101" i="15" s="1"/>
  <c r="AX101" i="15" s="1"/>
  <c r="AY101" i="15" s="1"/>
  <c r="AZ101" i="15" s="1"/>
  <c r="BA101" i="15" s="1"/>
  <c r="BB101" i="15" s="1"/>
  <c r="P101" i="15"/>
  <c r="Q101" i="15" s="1"/>
  <c r="CC101" i="15"/>
  <c r="CD101" i="15" s="1"/>
  <c r="CE101" i="15" s="1"/>
  <c r="CF101" i="15" s="1"/>
  <c r="CG101" i="15" s="1"/>
  <c r="CH101" i="15" s="1"/>
  <c r="CI101" i="15" s="1"/>
  <c r="CJ101" i="15" s="1"/>
  <c r="CK101" i="15" s="1"/>
  <c r="CL101" i="15" s="1"/>
  <c r="CM101" i="15" s="1"/>
  <c r="CN101" i="15" s="1"/>
  <c r="CO101" i="15" s="1"/>
  <c r="CP101" i="15"/>
  <c r="I6" i="16"/>
  <c r="C101" i="15"/>
  <c r="AC101" i="15"/>
  <c r="AD101" i="15" s="1"/>
  <c r="AE101" i="15" s="1"/>
  <c r="AF101" i="15" s="1"/>
  <c r="AG101" i="15" s="1"/>
  <c r="AH101" i="15" s="1"/>
  <c r="AI101" i="15" s="1"/>
  <c r="AJ101" i="15" s="1"/>
  <c r="AK101" i="15" s="1"/>
  <c r="AL101" i="15" s="1"/>
  <c r="AM101" i="15" s="1"/>
  <c r="AN101" i="15" s="1"/>
  <c r="AO101" i="15" s="1"/>
  <c r="D6" i="16"/>
  <c r="D42" i="16"/>
  <c r="I42" i="16"/>
  <c r="I77" i="16"/>
  <c r="D77" i="16"/>
  <c r="D101" i="15" l="1"/>
  <c r="C102" i="15"/>
  <c r="R101" i="15"/>
  <c r="Q102" i="15"/>
  <c r="K42" i="16"/>
  <c r="E42" i="16"/>
  <c r="K77" i="16"/>
  <c r="E77" i="16"/>
  <c r="E6" i="16"/>
  <c r="K6" i="16"/>
  <c r="S101" i="15" l="1"/>
  <c r="R102" i="15"/>
  <c r="D102" i="15"/>
  <c r="E101" i="15"/>
  <c r="E102" i="15" l="1"/>
  <c r="F101" i="15"/>
  <c r="T101" i="15"/>
  <c r="S102" i="15"/>
  <c r="T102" i="15" l="1"/>
  <c r="U101" i="15"/>
  <c r="G101" i="15"/>
  <c r="F102" i="15"/>
  <c r="H101" i="15" l="1"/>
  <c r="G102" i="15"/>
  <c r="V101" i="15"/>
  <c r="U102" i="15"/>
  <c r="W101" i="15" l="1"/>
  <c r="V102" i="15"/>
  <c r="I101" i="15"/>
  <c r="H102" i="15"/>
  <c r="J101" i="15" l="1"/>
  <c r="I102" i="15"/>
  <c r="X101" i="15"/>
  <c r="W102" i="15"/>
  <c r="X102" i="15" l="1"/>
  <c r="Y101" i="15"/>
  <c r="J102" i="15"/>
  <c r="K101" i="15"/>
  <c r="K102" i="15" l="1"/>
  <c r="L101" i="15"/>
  <c r="Y102" i="15"/>
  <c r="Z101" i="15"/>
  <c r="AA101" i="15" l="1"/>
  <c r="Z102" i="15"/>
  <c r="M101" i="15"/>
  <c r="L102" i="15"/>
  <c r="M102" i="15" l="1"/>
  <c r="N101" i="15"/>
  <c r="AA102" i="15"/>
  <c r="AB101" i="15"/>
  <c r="AB102" i="15" s="1"/>
  <c r="AC102" i="15" l="1"/>
  <c r="N102" i="15"/>
  <c r="O101" i="15"/>
  <c r="O102" i="15" s="1"/>
  <c r="P102" i="15" l="1"/>
  <c r="CG9" i="15" l="1"/>
  <c r="CG11" i="15" s="1"/>
  <c r="CF56" i="21"/>
  <c r="CF103" i="15" s="1"/>
  <c r="CP20" i="21"/>
  <c r="CD9" i="15"/>
  <c r="CD11" i="15" s="1"/>
  <c r="CP19" i="21"/>
  <c r="CD6" i="15"/>
  <c r="CD49" i="21"/>
  <c r="CG55" i="21"/>
  <c r="CG100" i="15" s="1"/>
  <c r="CG102" i="15" s="1"/>
  <c r="CH6" i="15"/>
  <c r="CH8" i="15" s="1"/>
  <c r="CH49" i="21"/>
  <c r="CN38" i="20"/>
  <c r="CN39" i="20" s="1"/>
  <c r="CN67" i="20"/>
  <c r="CN68" i="20" s="1"/>
  <c r="CN55" i="21"/>
  <c r="CN100" i="15" s="1"/>
  <c r="CN102" i="15" s="1"/>
  <c r="CO6" i="15"/>
  <c r="CO8" i="15" s="1"/>
  <c r="CO55" i="21"/>
  <c r="CO100" i="15" s="1"/>
  <c r="CO102" i="15" s="1"/>
  <c r="CO49" i="21"/>
  <c r="CH67" i="20"/>
  <c r="CH68" i="20" s="1"/>
  <c r="CH38" i="20"/>
  <c r="CH39" i="20" s="1"/>
  <c r="CI49" i="21"/>
  <c r="CI6" i="15"/>
  <c r="CI8" i="15" s="1"/>
  <c r="CH55" i="21"/>
  <c r="CG6" i="15"/>
  <c r="CG8" i="15" s="1"/>
  <c r="CG49" i="21"/>
  <c r="CF55" i="21"/>
  <c r="CH9" i="15"/>
  <c r="CH11" i="15" s="1"/>
  <c r="CG56" i="21"/>
  <c r="CG103" i="15" s="1"/>
  <c r="CJ9" i="15"/>
  <c r="CJ11" i="15" s="1"/>
  <c r="CI56" i="21"/>
  <c r="CI103" i="15" s="1"/>
  <c r="CI38" i="20"/>
  <c r="CI39" i="20" s="1"/>
  <c r="CI67" i="20"/>
  <c r="CI68" i="20" s="1"/>
  <c r="CJ6" i="15"/>
  <c r="CJ8" i="15" s="1"/>
  <c r="CJ49" i="21"/>
  <c r="CI55" i="21"/>
  <c r="CO56" i="21"/>
  <c r="CO103" i="15" s="1"/>
  <c r="CN56" i="21"/>
  <c r="CN103" i="15" s="1"/>
  <c r="CO9" i="15"/>
  <c r="CO11" i="15" s="1"/>
  <c r="CM38" i="20"/>
  <c r="CM39" i="20" s="1"/>
  <c r="CM67" i="20"/>
  <c r="CM68" i="20" s="1"/>
  <c r="CN49" i="21"/>
  <c r="CN6" i="15"/>
  <c r="CN8" i="15" s="1"/>
  <c r="CM55" i="21"/>
  <c r="CM100" i="15" s="1"/>
  <c r="CM102" i="15" s="1"/>
  <c r="CK9" i="15"/>
  <c r="CK11" i="15" s="1"/>
  <c r="CJ56" i="21"/>
  <c r="CJ103" i="15" s="1"/>
  <c r="CE9" i="15"/>
  <c r="CE11" i="15" s="1"/>
  <c r="CD56" i="21"/>
  <c r="CE56" i="21"/>
  <c r="CE103" i="15" s="1"/>
  <c r="CF9" i="15"/>
  <c r="CF11" i="15" s="1"/>
  <c r="CM56" i="21"/>
  <c r="CM103" i="15" s="1"/>
  <c r="CN9" i="15"/>
  <c r="CN11" i="15" s="1"/>
  <c r="CH56" i="21"/>
  <c r="CH103" i="15" s="1"/>
  <c r="CI9" i="15"/>
  <c r="CI11" i="15" s="1"/>
  <c r="CF49" i="21"/>
  <c r="CE55" i="21"/>
  <c r="CF6" i="15"/>
  <c r="CF8" i="15" s="1"/>
  <c r="CL9" i="15"/>
  <c r="CL11" i="15" s="1"/>
  <c r="CK56" i="21"/>
  <c r="CK103" i="15" s="1"/>
  <c r="CL56" i="21"/>
  <c r="CL103" i="15" s="1"/>
  <c r="CM9" i="15"/>
  <c r="CM11" i="15" s="1"/>
  <c r="CE49" i="21"/>
  <c r="CE6" i="15"/>
  <c r="CE8" i="15" s="1"/>
  <c r="CD55" i="21"/>
  <c r="CJ38" i="20"/>
  <c r="CJ39" i="20" s="1"/>
  <c r="CJ67" i="20"/>
  <c r="CJ68" i="20" s="1"/>
  <c r="CK6" i="15"/>
  <c r="CK8" i="15" s="1"/>
  <c r="CJ55" i="21"/>
  <c r="CJ100" i="15" s="1"/>
  <c r="CJ102" i="15" s="1"/>
  <c r="CK49" i="21"/>
  <c r="CK68" i="20"/>
  <c r="CK67" i="20"/>
  <c r="CK38" i="20"/>
  <c r="CK39" i="20" s="1"/>
  <c r="CL49" i="21"/>
  <c r="CK55" i="21"/>
  <c r="CL6" i="15"/>
  <c r="CL8" i="15" s="1"/>
  <c r="CL38" i="20"/>
  <c r="CL39" i="20" s="1"/>
  <c r="CL67" i="20"/>
  <c r="CL68" i="20" s="1"/>
  <c r="CM49" i="21"/>
  <c r="CM6" i="15"/>
  <c r="CM8" i="15" s="1"/>
  <c r="CL55" i="21"/>
  <c r="CP49" i="21" l="1"/>
  <c r="AD38" i="36"/>
  <c r="AD39" i="36" s="1"/>
  <c r="CM96" i="15"/>
  <c r="CG96" i="15"/>
  <c r="CJ96" i="15"/>
  <c r="CL35" i="22" s="1"/>
  <c r="AC67" i="36"/>
  <c r="AC68" i="36" s="1"/>
  <c r="AC38" i="36"/>
  <c r="AC39" i="36" s="1"/>
  <c r="CL96" i="15"/>
  <c r="CE96" i="15"/>
  <c r="CG36" i="22" s="1"/>
  <c r="CP11" i="15"/>
  <c r="CF96" i="15"/>
  <c r="CH36" i="22" s="1"/>
  <c r="AD67" i="36"/>
  <c r="AD68" i="36" s="1"/>
  <c r="CP56" i="21"/>
  <c r="CI100" i="15"/>
  <c r="CI102" i="15" s="1"/>
  <c r="CH100" i="15"/>
  <c r="CH102" i="15" s="1"/>
  <c r="CD8" i="15"/>
  <c r="CP6" i="15"/>
  <c r="CP55" i="21"/>
  <c r="CD100" i="15"/>
  <c r="CD103" i="15"/>
  <c r="CP9" i="15"/>
  <c r="CO96" i="15"/>
  <c r="CK100" i="15"/>
  <c r="CK102" i="15" s="1"/>
  <c r="CF100" i="15"/>
  <c r="CF102" i="15" s="1"/>
  <c r="CI96" i="15"/>
  <c r="CH96" i="15"/>
  <c r="CL100" i="15"/>
  <c r="CL102" i="15" s="1"/>
  <c r="CK96" i="15"/>
  <c r="CE100" i="15"/>
  <c r="CE102" i="15" s="1"/>
  <c r="CN96" i="15"/>
  <c r="CI35" i="22" l="1"/>
  <c r="CO36" i="22"/>
  <c r="CO35" i="22"/>
  <c r="CI36" i="22"/>
  <c r="CL36" i="22"/>
  <c r="CN35" i="22"/>
  <c r="CN36" i="22"/>
  <c r="CG35" i="22"/>
  <c r="CH35" i="22"/>
  <c r="CK8" i="20"/>
  <c r="CK9" i="20" s="1"/>
  <c r="CL8" i="20"/>
  <c r="CD96" i="15"/>
  <c r="CP8" i="15"/>
  <c r="CP96" i="15" s="1"/>
  <c r="I6" i="13" s="1"/>
  <c r="I189" i="13" s="1"/>
  <c r="CQ35" i="22"/>
  <c r="CN8" i="20"/>
  <c r="CN9" i="20" s="1"/>
  <c r="CQ36" i="22"/>
  <c r="CM8" i="20"/>
  <c r="CM9" i="20" s="1"/>
  <c r="CP35" i="22"/>
  <c r="CP36" i="22"/>
  <c r="CJ35" i="22"/>
  <c r="CJ36" i="22"/>
  <c r="CP103" i="15"/>
  <c r="CD102" i="15"/>
  <c r="CP100" i="15"/>
  <c r="CK36" i="22"/>
  <c r="CK35" i="22"/>
  <c r="CI8" i="20"/>
  <c r="CM35" i="22"/>
  <c r="CM36" i="22"/>
  <c r="CJ8" i="20"/>
  <c r="CJ9" i="20" s="1"/>
  <c r="I21" i="9" l="1"/>
  <c r="I17" i="9"/>
  <c r="I24" i="9"/>
  <c r="I16" i="9"/>
  <c r="I6" i="9"/>
  <c r="I19" i="9"/>
  <c r="I15" i="9"/>
  <c r="I26" i="9"/>
  <c r="I22" i="9"/>
  <c r="I14" i="9"/>
  <c r="CP102" i="15"/>
  <c r="CF36" i="22"/>
  <c r="CR36" i="22" s="1"/>
  <c r="CF35" i="22"/>
  <c r="AC8" i="36"/>
  <c r="AC9" i="36" s="1"/>
  <c r="CI9" i="20"/>
  <c r="AD8" i="36"/>
  <c r="AD9" i="36" s="1"/>
  <c r="CL9" i="20"/>
  <c r="CH8" i="20"/>
  <c r="CH9" i="20" s="1"/>
  <c r="CR35" i="22" l="1"/>
  <c r="AF56" i="21" l="1"/>
  <c r="AF103" i="15" s="1"/>
  <c r="AO9" i="15"/>
  <c r="AO11" i="15" s="1"/>
  <c r="AK56" i="21"/>
  <c r="AK103" i="15" s="1"/>
  <c r="AJ56" i="21"/>
  <c r="AJ103" i="15" s="1"/>
  <c r="AM56" i="21"/>
  <c r="AM103" i="15" s="1"/>
  <c r="AH56" i="21"/>
  <c r="AH103" i="15" s="1"/>
  <c r="AL56" i="21"/>
  <c r="AL103" i="15" s="1"/>
  <c r="AI56" i="21"/>
  <c r="AI103" i="15" s="1"/>
  <c r="AE56" i="21"/>
  <c r="AE103" i="15" s="1"/>
  <c r="AN6" i="15"/>
  <c r="AN8" i="15" s="1"/>
  <c r="AD6" i="15"/>
  <c r="AM6" i="15"/>
  <c r="AM8" i="15" s="1"/>
  <c r="AG56" i="21"/>
  <c r="AG103" i="15" s="1"/>
  <c r="AO6" i="15"/>
  <c r="AO8" i="15" s="1"/>
  <c r="AI67" i="20"/>
  <c r="AI68" i="20" s="1"/>
  <c r="AD56" i="21"/>
  <c r="AK9" i="15" l="1"/>
  <c r="AK11" i="15" s="1"/>
  <c r="AO96" i="15"/>
  <c r="AQ36" i="22" s="1"/>
  <c r="AI9" i="15"/>
  <c r="AI11" i="15" s="1"/>
  <c r="AN9" i="15"/>
  <c r="AN11" i="15" s="1"/>
  <c r="AN96" i="15" s="1"/>
  <c r="AP35" i="22" s="1"/>
  <c r="AE9" i="15"/>
  <c r="AE11" i="15" s="1"/>
  <c r="AE49" i="21"/>
  <c r="AJ9" i="15"/>
  <c r="AJ11" i="15" s="1"/>
  <c r="AP20" i="21"/>
  <c r="AD9" i="15"/>
  <c r="AD11" i="15" s="1"/>
  <c r="AD8" i="15"/>
  <c r="AD103" i="15"/>
  <c r="AK49" i="21"/>
  <c r="AJ55" i="21"/>
  <c r="AJ100" i="15" s="1"/>
  <c r="AJ102" i="15" s="1"/>
  <c r="AI49" i="21"/>
  <c r="AH55" i="21"/>
  <c r="AN67" i="20"/>
  <c r="AN68" i="20" s="1"/>
  <c r="AF49" i="21"/>
  <c r="AE55" i="21"/>
  <c r="AG49" i="21"/>
  <c r="AF55" i="21"/>
  <c r="AH49" i="21"/>
  <c r="AG55" i="21"/>
  <c r="AK67" i="20"/>
  <c r="AK68" i="20" s="1"/>
  <c r="AL38" i="20"/>
  <c r="AL39" i="20" s="1"/>
  <c r="AD49" i="21"/>
  <c r="AM38" i="20"/>
  <c r="AM39" i="20" s="1"/>
  <c r="AC38" i="20"/>
  <c r="AC39" i="20" s="1"/>
  <c r="AH6" i="15"/>
  <c r="AH8" i="15" s="1"/>
  <c r="AI38" i="20"/>
  <c r="AI39" i="20" s="1"/>
  <c r="AJ49" i="21"/>
  <c r="AI55" i="21"/>
  <c r="AI100" i="15" s="1"/>
  <c r="AI102" i="15" s="1"/>
  <c r="AJ38" i="20"/>
  <c r="AJ39" i="20" s="1"/>
  <c r="AE6" i="15"/>
  <c r="AE8" i="15" s="1"/>
  <c r="AH67" i="20"/>
  <c r="AH68" i="20" s="1"/>
  <c r="AO49" i="21"/>
  <c r="AO55" i="21"/>
  <c r="AO100" i="15" s="1"/>
  <c r="AO102" i="15" s="1"/>
  <c r="AN55" i="21"/>
  <c r="AE67" i="20"/>
  <c r="AE68" i="20" s="1"/>
  <c r="AL67" i="20"/>
  <c r="AL68" i="20" s="1"/>
  <c r="AG38" i="20"/>
  <c r="AG39" i="20" s="1"/>
  <c r="AD67" i="20"/>
  <c r="AD68" i="20" s="1"/>
  <c r="AF38" i="20"/>
  <c r="AF39" i="20" s="1"/>
  <c r="AF9" i="15"/>
  <c r="AF11" i="15" s="1"/>
  <c r="AP19" i="21"/>
  <c r="AP49" i="21" s="1"/>
  <c r="AD55" i="21"/>
  <c r="AI6" i="15"/>
  <c r="AI8" i="15" s="1"/>
  <c r="AN38" i="20"/>
  <c r="AN39" i="20" s="1"/>
  <c r="AM49" i="21"/>
  <c r="AL55" i="21"/>
  <c r="AL100" i="15" s="1"/>
  <c r="AL102" i="15" s="1"/>
  <c r="AK38" i="20"/>
  <c r="AK39" i="20" s="1"/>
  <c r="AD38" i="20"/>
  <c r="AD39" i="20" s="1"/>
  <c r="AC67" i="20"/>
  <c r="AC68" i="20" s="1"/>
  <c r="AF6" i="15"/>
  <c r="AF8" i="15" s="1"/>
  <c r="AJ6" i="15"/>
  <c r="AJ8" i="15" s="1"/>
  <c r="AM67" i="20"/>
  <c r="AM68" i="20" s="1"/>
  <c r="AK6" i="15"/>
  <c r="AK8" i="15" s="1"/>
  <c r="AJ67" i="20"/>
  <c r="AJ68" i="20" s="1"/>
  <c r="AH38" i="20"/>
  <c r="AH39" i="20" s="1"/>
  <c r="AE38" i="20"/>
  <c r="AE39" i="20" s="1"/>
  <c r="AH9" i="15"/>
  <c r="AH11" i="15" s="1"/>
  <c r="AG6" i="15"/>
  <c r="AG8" i="15" s="1"/>
  <c r="AF67" i="20"/>
  <c r="AF68" i="20" s="1"/>
  <c r="AG67" i="20"/>
  <c r="AG68" i="20" s="1"/>
  <c r="AL49" i="21"/>
  <c r="AK55" i="21"/>
  <c r="AK100" i="15" s="1"/>
  <c r="AK102" i="15" s="1"/>
  <c r="AN49" i="21"/>
  <c r="AM55" i="21"/>
  <c r="AM100" i="15" s="1"/>
  <c r="AM102" i="15" s="1"/>
  <c r="AM9" i="15"/>
  <c r="AM11" i="15" s="1"/>
  <c r="AM96" i="15" s="1"/>
  <c r="AL6" i="15"/>
  <c r="AL8" i="15" s="1"/>
  <c r="AL9" i="15"/>
  <c r="AL11" i="15" s="1"/>
  <c r="AO56" i="21"/>
  <c r="AO103" i="15" s="1"/>
  <c r="AN56" i="21"/>
  <c r="AN103" i="15" s="1"/>
  <c r="AG9" i="15"/>
  <c r="AG11" i="15" s="1"/>
  <c r="AK96" i="15" l="1"/>
  <c r="AM35" i="22" s="1"/>
  <c r="AE96" i="15"/>
  <c r="AQ35" i="22"/>
  <c r="AI96" i="15"/>
  <c r="AK35" i="22" s="1"/>
  <c r="AJ96" i="15"/>
  <c r="AL35" i="22" s="1"/>
  <c r="M67" i="36"/>
  <c r="M68" i="36" s="1"/>
  <c r="AP36" i="22"/>
  <c r="AP11" i="15"/>
  <c r="AO35" i="22"/>
  <c r="AO36" i="22"/>
  <c r="L67" i="36"/>
  <c r="L68" i="36" s="1"/>
  <c r="AL96" i="15"/>
  <c r="AG96" i="15"/>
  <c r="AF96" i="15"/>
  <c r="AP55" i="21"/>
  <c r="AD100" i="15"/>
  <c r="AG100" i="15"/>
  <c r="AG102" i="15" s="1"/>
  <c r="AE100" i="15"/>
  <c r="AE102" i="15" s="1"/>
  <c r="K67" i="36"/>
  <c r="K68" i="36" s="1"/>
  <c r="AO67" i="20"/>
  <c r="AO68" i="20" s="1"/>
  <c r="AO69" i="20" s="1"/>
  <c r="AN100" i="15"/>
  <c r="AN102" i="15" s="1"/>
  <c r="M38" i="36"/>
  <c r="M39" i="36" s="1"/>
  <c r="AP56" i="21"/>
  <c r="AP8" i="15"/>
  <c r="AD96" i="15"/>
  <c r="N67" i="36"/>
  <c r="N68" i="36" s="1"/>
  <c r="AH96" i="15"/>
  <c r="N38" i="36"/>
  <c r="N39" i="36" s="1"/>
  <c r="AF100" i="15"/>
  <c r="AF102" i="15" s="1"/>
  <c r="AP103" i="15"/>
  <c r="AP6" i="15"/>
  <c r="L38" i="36"/>
  <c r="L39" i="36" s="1"/>
  <c r="AP9" i="15"/>
  <c r="K38" i="36"/>
  <c r="K39" i="36" s="1"/>
  <c r="AO38" i="20"/>
  <c r="AO39" i="20" s="1"/>
  <c r="AO40" i="20" s="1"/>
  <c r="AH100" i="15"/>
  <c r="AH102" i="15" s="1"/>
  <c r="AM36" i="22" l="1"/>
  <c r="AG35" i="22"/>
  <c r="AD8" i="20"/>
  <c r="AD9" i="20" s="1"/>
  <c r="AG36" i="22"/>
  <c r="AK36" i="22"/>
  <c r="AL36" i="22"/>
  <c r="AM8" i="20"/>
  <c r="AM9" i="20" s="1"/>
  <c r="AP96" i="15"/>
  <c r="E6" i="13" s="1"/>
  <c r="AH8" i="20"/>
  <c r="AH9" i="20" s="1"/>
  <c r="AL8" i="20"/>
  <c r="AD102" i="15"/>
  <c r="AP100" i="15"/>
  <c r="AE8" i="20"/>
  <c r="AE9" i="20" s="1"/>
  <c r="AH35" i="22"/>
  <c r="AH36" i="22"/>
  <c r="AN8" i="20"/>
  <c r="AN9" i="20" s="1"/>
  <c r="AG8" i="20"/>
  <c r="AG9" i="20" s="1"/>
  <c r="AJ35" i="22"/>
  <c r="AJ36" i="22"/>
  <c r="AF36" i="22"/>
  <c r="AC8" i="20"/>
  <c r="AF35" i="22"/>
  <c r="AF8" i="20"/>
  <c r="AI36" i="22"/>
  <c r="AI35" i="22"/>
  <c r="AI8" i="20"/>
  <c r="AJ8" i="20"/>
  <c r="AJ9" i="20" s="1"/>
  <c r="AK8" i="20"/>
  <c r="AK9" i="20" s="1"/>
  <c r="AN35" i="22"/>
  <c r="AN36" i="22"/>
  <c r="E17" i="9" l="1"/>
  <c r="E189" i="13"/>
  <c r="E21" i="9"/>
  <c r="E26" i="9"/>
  <c r="E98" i="13"/>
  <c r="E19" i="9"/>
  <c r="E6" i="9"/>
  <c r="E30" i="9"/>
  <c r="D53" i="26"/>
  <c r="E15" i="9"/>
  <c r="E22" i="9"/>
  <c r="E24" i="9"/>
  <c r="E16" i="9"/>
  <c r="E14" i="9"/>
  <c r="M8" i="36"/>
  <c r="M9" i="36" s="1"/>
  <c r="AI9" i="20"/>
  <c r="L8" i="36"/>
  <c r="L9" i="36" s="1"/>
  <c r="AF9" i="20"/>
  <c r="AR35" i="22"/>
  <c r="AR36" i="22"/>
  <c r="AP102" i="15"/>
  <c r="N8" i="36"/>
  <c r="N9" i="36" s="1"/>
  <c r="AL9" i="20"/>
  <c r="AC9" i="20"/>
  <c r="K8" i="36"/>
  <c r="K9" i="36" s="1"/>
  <c r="AO8" i="20"/>
  <c r="D55" i="26" l="1"/>
  <c r="E181" i="9"/>
  <c r="E168" i="9"/>
  <c r="E157" i="9"/>
  <c r="E177" i="9"/>
  <c r="E175" i="9"/>
  <c r="E170" i="9"/>
  <c r="E166" i="9"/>
  <c r="E173" i="9"/>
  <c r="E217" i="13"/>
  <c r="E216" i="9" s="1"/>
  <c r="E219" i="9" s="1"/>
  <c r="E165" i="9"/>
  <c r="E172" i="9"/>
  <c r="E207" i="9"/>
  <c r="E126" i="13"/>
  <c r="E152" i="13" s="1"/>
  <c r="D54" i="26"/>
  <c r="E102" i="9"/>
  <c r="E93" i="9"/>
  <c r="E97" i="9"/>
  <c r="E90" i="9"/>
  <c r="E98" i="9"/>
  <c r="E91" i="9"/>
  <c r="E95" i="9"/>
  <c r="E132" i="9"/>
  <c r="E106" i="9"/>
  <c r="E82" i="9"/>
  <c r="E100" i="9"/>
  <c r="AO9" i="20"/>
  <c r="AO10" i="20" s="1"/>
  <c r="E33" i="13"/>
  <c r="E243" i="13" l="1"/>
  <c r="E141" i="9"/>
  <c r="E144" i="9" s="1"/>
  <c r="E61" i="13"/>
  <c r="E65" i="9"/>
  <c r="E68" i="9" s="1"/>
  <c r="AW56" i="21" l="1"/>
  <c r="AW103" i="15" s="1"/>
  <c r="AX9" i="15"/>
  <c r="AX11" i="15" s="1"/>
  <c r="BB9" i="15"/>
  <c r="BB11" i="15" s="1"/>
  <c r="AX56" i="21"/>
  <c r="AX103" i="15" s="1"/>
  <c r="AT56" i="21"/>
  <c r="AT103" i="15" s="1"/>
  <c r="AZ56" i="21"/>
  <c r="AZ103" i="15" s="1"/>
  <c r="AS56" i="21"/>
  <c r="AS103" i="15" s="1"/>
  <c r="AQ9" i="15"/>
  <c r="AU56" i="21"/>
  <c r="AU103" i="15" s="1"/>
  <c r="AR56" i="21"/>
  <c r="AR103" i="15" s="1"/>
  <c r="AS9" i="15"/>
  <c r="AS11" i="15" s="1"/>
  <c r="AR6" i="15"/>
  <c r="AR8" i="15" s="1"/>
  <c r="BA6" i="15"/>
  <c r="BA8" i="15" s="1"/>
  <c r="AQ56" i="21"/>
  <c r="AY6" i="15"/>
  <c r="AY8" i="15" s="1"/>
  <c r="AV56" i="21"/>
  <c r="AV103" i="15" s="1"/>
  <c r="AQ6" i="15"/>
  <c r="AY38" i="20"/>
  <c r="AY39" i="20" s="1"/>
  <c r="AT38" i="20" l="1"/>
  <c r="AT39" i="20" s="1"/>
  <c r="AY9" i="15"/>
  <c r="AY11" i="15" s="1"/>
  <c r="AY96" i="15" s="1"/>
  <c r="BA35" i="22" s="1"/>
  <c r="AU6" i="15"/>
  <c r="AU8" i="15" s="1"/>
  <c r="AU9" i="15"/>
  <c r="AU11" i="15" s="1"/>
  <c r="AT9" i="15"/>
  <c r="AT11" i="15" s="1"/>
  <c r="AW9" i="15"/>
  <c r="AW11" i="15" s="1"/>
  <c r="AS49" i="21"/>
  <c r="AR55" i="21"/>
  <c r="AR38" i="20"/>
  <c r="AR39" i="20" s="1"/>
  <c r="AR67" i="20"/>
  <c r="AR68" i="20" s="1"/>
  <c r="BC19" i="21"/>
  <c r="AZ49" i="21"/>
  <c r="AY55" i="21"/>
  <c r="AQ49" i="21"/>
  <c r="AP38" i="20"/>
  <c r="AP39" i="20" s="1"/>
  <c r="AZ6" i="15"/>
  <c r="AZ8" i="15" s="1"/>
  <c r="AS6" i="15"/>
  <c r="AS8" i="15" s="1"/>
  <c r="AS96" i="15" s="1"/>
  <c r="AQ8" i="15"/>
  <c r="AY49" i="21"/>
  <c r="AX55" i="21"/>
  <c r="AX38" i="20"/>
  <c r="AX39" i="20" s="1"/>
  <c r="AX67" i="20"/>
  <c r="AX68" i="20" s="1"/>
  <c r="AR9" i="15"/>
  <c r="AR11" i="15" s="1"/>
  <c r="AR96" i="15" s="1"/>
  <c r="BA49" i="21"/>
  <c r="AZ55" i="21"/>
  <c r="AZ67" i="20"/>
  <c r="AZ68" i="20" s="1"/>
  <c r="AZ38" i="20"/>
  <c r="AZ39" i="20" s="1"/>
  <c r="AW49" i="21"/>
  <c r="AV55" i="21"/>
  <c r="AP67" i="20"/>
  <c r="AP68" i="20" s="1"/>
  <c r="AW55" i="21"/>
  <c r="AX49" i="21"/>
  <c r="AW67" i="20"/>
  <c r="AW68" i="20" s="1"/>
  <c r="AW38" i="20"/>
  <c r="AW39" i="20" s="1"/>
  <c r="AV9" i="15"/>
  <c r="AV11" i="15" s="1"/>
  <c r="AV49" i="21"/>
  <c r="AU55" i="21"/>
  <c r="AU67" i="20"/>
  <c r="AU68" i="20" s="1"/>
  <c r="AU38" i="20"/>
  <c r="AU39" i="20" s="1"/>
  <c r="AQ103" i="15"/>
  <c r="AS67" i="20"/>
  <c r="AS68" i="20" s="1"/>
  <c r="AU49" i="21"/>
  <c r="AT55" i="21"/>
  <c r="AR49" i="21"/>
  <c r="AQ55" i="21"/>
  <c r="AQ67" i="20"/>
  <c r="AQ68" i="20" s="1"/>
  <c r="AQ38" i="20"/>
  <c r="AQ39" i="20" s="1"/>
  <c r="AV38" i="20"/>
  <c r="AV39" i="20" s="1"/>
  <c r="AT67" i="20"/>
  <c r="AT68" i="20" s="1"/>
  <c r="AT49" i="21"/>
  <c r="AS55" i="21"/>
  <c r="AS38" i="20"/>
  <c r="AS39" i="20" s="1"/>
  <c r="AT6" i="15"/>
  <c r="AT8" i="15" s="1"/>
  <c r="AY67" i="20"/>
  <c r="AY68" i="20" s="1"/>
  <c r="BC20" i="21"/>
  <c r="AV67" i="20"/>
  <c r="AV68" i="20" s="1"/>
  <c r="AX6" i="15"/>
  <c r="AX8" i="15" s="1"/>
  <c r="AX96" i="15" s="1"/>
  <c r="AW6" i="15"/>
  <c r="AW8" i="15" s="1"/>
  <c r="AV6" i="15"/>
  <c r="AV8" i="15" s="1"/>
  <c r="AQ11" i="15"/>
  <c r="AY56" i="21"/>
  <c r="AY103" i="15" s="1"/>
  <c r="AZ9" i="15"/>
  <c r="AZ11" i="15" s="1"/>
  <c r="BB49" i="21"/>
  <c r="BB55" i="21"/>
  <c r="BA55" i="21"/>
  <c r="BA38" i="20"/>
  <c r="BA39" i="20" s="1"/>
  <c r="BA67" i="20"/>
  <c r="BA68" i="20" s="1"/>
  <c r="BA9" i="15"/>
  <c r="BA11" i="15" s="1"/>
  <c r="BA96" i="15" s="1"/>
  <c r="BB6" i="15"/>
  <c r="BB8" i="15" s="1"/>
  <c r="BB96" i="15" s="1"/>
  <c r="BA56" i="21"/>
  <c r="BA103" i="15" s="1"/>
  <c r="BB56" i="21"/>
  <c r="BB103" i="15" s="1"/>
  <c r="AU96" i="15" l="1"/>
  <c r="AT96" i="15"/>
  <c r="AW96" i="15"/>
  <c r="BA36" i="22"/>
  <c r="Q67" i="36"/>
  <c r="Q68" i="36" s="1"/>
  <c r="R38" i="36"/>
  <c r="R39" i="36" s="1"/>
  <c r="P38" i="36"/>
  <c r="P39" i="36" s="1"/>
  <c r="AT35" i="22"/>
  <c r="AT36" i="22"/>
  <c r="AZ35" i="22"/>
  <c r="AZ36" i="22"/>
  <c r="Q38" i="36"/>
  <c r="Q39" i="36" s="1"/>
  <c r="BC103" i="15"/>
  <c r="AU100" i="15"/>
  <c r="AU102" i="15" s="1"/>
  <c r="AU35" i="22"/>
  <c r="AU36" i="22"/>
  <c r="AY100" i="15"/>
  <c r="AY102" i="15" s="1"/>
  <c r="BC55" i="21"/>
  <c r="AQ100" i="15"/>
  <c r="BC9" i="15"/>
  <c r="AV100" i="15"/>
  <c r="AV102" i="15" s="1"/>
  <c r="AZ100" i="15"/>
  <c r="AZ102" i="15" s="1"/>
  <c r="AV96" i="15"/>
  <c r="AS100" i="15"/>
  <c r="AS102" i="15" s="1"/>
  <c r="AT100" i="15"/>
  <c r="AT102" i="15" s="1"/>
  <c r="BC56" i="21"/>
  <c r="AX100" i="15"/>
  <c r="AX102" i="15" s="1"/>
  <c r="AZ96" i="15"/>
  <c r="AR100" i="15"/>
  <c r="AR102" i="15" s="1"/>
  <c r="BC36" i="22"/>
  <c r="BC35" i="22"/>
  <c r="BB100" i="15"/>
  <c r="BB102" i="15" s="1"/>
  <c r="BC11" i="15"/>
  <c r="BD36" i="22"/>
  <c r="BD35" i="22"/>
  <c r="BA100" i="15"/>
  <c r="BA102" i="15" s="1"/>
  <c r="R67" i="36"/>
  <c r="R68" i="36" s="1"/>
  <c r="AW100" i="15"/>
  <c r="AW102" i="15" s="1"/>
  <c r="O38" i="36"/>
  <c r="O39" i="36" s="1"/>
  <c r="BB38" i="20"/>
  <c r="BB39" i="20" s="1"/>
  <c r="BB40" i="20" s="1"/>
  <c r="BC49" i="21"/>
  <c r="BC6" i="15"/>
  <c r="P67" i="36"/>
  <c r="P68" i="36" s="1"/>
  <c r="O67" i="36"/>
  <c r="O68" i="36" s="1"/>
  <c r="BB67" i="20"/>
  <c r="BB68" i="20" s="1"/>
  <c r="BB69" i="20" s="1"/>
  <c r="BC8" i="15"/>
  <c r="AQ96" i="15"/>
  <c r="AQ8" i="20" s="1"/>
  <c r="AQ9" i="20" s="1"/>
  <c r="AW35" i="22" l="1"/>
  <c r="AW36" i="22"/>
  <c r="AV36" i="22"/>
  <c r="AV35" i="22"/>
  <c r="AY36" i="22"/>
  <c r="AY35" i="22"/>
  <c r="AZ8" i="20"/>
  <c r="AZ9" i="20" s="1"/>
  <c r="AV8" i="20"/>
  <c r="AV9" i="20" s="1"/>
  <c r="BC96" i="15"/>
  <c r="F6" i="13" s="1"/>
  <c r="AX8" i="20"/>
  <c r="AX9" i="20" s="1"/>
  <c r="BA8" i="20"/>
  <c r="BA9" i="20" s="1"/>
  <c r="BB35" i="22"/>
  <c r="BB36" i="22"/>
  <c r="AY8" i="20"/>
  <c r="AX35" i="22"/>
  <c r="AX36" i="22"/>
  <c r="AU8" i="20"/>
  <c r="AU9" i="20" s="1"/>
  <c r="AS36" i="22"/>
  <c r="AP8" i="20"/>
  <c r="AS35" i="22"/>
  <c r="AT8" i="20"/>
  <c r="AT9" i="20" s="1"/>
  <c r="AS8" i="20"/>
  <c r="BC100" i="15"/>
  <c r="AQ102" i="15"/>
  <c r="AW8" i="20"/>
  <c r="AW9" i="20" s="1"/>
  <c r="AR8" i="20"/>
  <c r="AR9" i="20" s="1"/>
  <c r="F6" i="9" l="1"/>
  <c r="F189" i="13"/>
  <c r="F26" i="9"/>
  <c r="F14" i="9"/>
  <c r="F17" i="9"/>
  <c r="F24" i="9"/>
  <c r="F98" i="13"/>
  <c r="E54" i="26" s="1"/>
  <c r="E53" i="26"/>
  <c r="F19" i="9"/>
  <c r="F33" i="13"/>
  <c r="F61" i="13" s="1"/>
  <c r="F15" i="9"/>
  <c r="F22" i="9"/>
  <c r="F16" i="9"/>
  <c r="F30" i="9"/>
  <c r="F21" i="9"/>
  <c r="BE36" i="22"/>
  <c r="O8" i="36"/>
  <c r="O9" i="36" s="1"/>
  <c r="AP9" i="20"/>
  <c r="BB8" i="20"/>
  <c r="BB9" i="20" s="1"/>
  <c r="BB10" i="20" s="1"/>
  <c r="BC102" i="15"/>
  <c r="AY9" i="20"/>
  <c r="R8" i="36"/>
  <c r="R9" i="36" s="1"/>
  <c r="P8" i="36"/>
  <c r="P9" i="36" s="1"/>
  <c r="AS9" i="20"/>
  <c r="BE35" i="22"/>
  <c r="Q8" i="36"/>
  <c r="Q9" i="36" s="1"/>
  <c r="F65" i="9" l="1"/>
  <c r="F68" i="9" s="1"/>
  <c r="F181" i="9"/>
  <c r="F165" i="9"/>
  <c r="F175" i="9"/>
  <c r="F217" i="13"/>
  <c r="F216" i="9" s="1"/>
  <c r="F219" i="9" s="1"/>
  <c r="F168" i="9"/>
  <c r="E55" i="26"/>
  <c r="F177" i="9"/>
  <c r="F166" i="9"/>
  <c r="F157" i="9"/>
  <c r="F172" i="9"/>
  <c r="F170" i="9"/>
  <c r="F207" i="9"/>
  <c r="F173" i="9"/>
  <c r="F98" i="9"/>
  <c r="F102" i="9"/>
  <c r="F106" i="9"/>
  <c r="F95" i="9"/>
  <c r="F100" i="9"/>
  <c r="F91" i="9"/>
  <c r="F126" i="13"/>
  <c r="F141" i="9" s="1"/>
  <c r="F144" i="9" s="1"/>
  <c r="F132" i="9"/>
  <c r="F93" i="9"/>
  <c r="F97" i="9"/>
  <c r="F82" i="9"/>
  <c r="F90" i="9"/>
  <c r="F243" i="13" l="1"/>
  <c r="F152" i="13"/>
  <c r="BD9" i="15" l="1"/>
  <c r="BD11" i="15" s="1"/>
  <c r="BM9" i="15"/>
  <c r="BM11" i="15" s="1"/>
  <c r="BN9" i="15"/>
  <c r="BN11" i="15" s="1"/>
  <c r="BG9" i="15"/>
  <c r="BG11" i="15" s="1"/>
  <c r="BJ9" i="15"/>
  <c r="BJ11" i="15" s="1"/>
  <c r="BI9" i="15"/>
  <c r="BI11" i="15" s="1"/>
  <c r="BF9" i="15"/>
  <c r="BF11" i="15" s="1"/>
  <c r="BL9" i="15"/>
  <c r="BL11" i="15" s="1"/>
  <c r="BE9" i="15"/>
  <c r="BE11" i="15" s="1"/>
  <c r="BO55" i="21"/>
  <c r="BH9" i="15"/>
  <c r="BH11" i="15" s="1"/>
  <c r="BE6" i="15"/>
  <c r="BE8" i="15" s="1"/>
  <c r="BI55" i="21"/>
  <c r="BI100" i="15" s="1"/>
  <c r="BI102" i="15" s="1"/>
  <c r="BN49" i="21"/>
  <c r="BF6" i="15"/>
  <c r="BF8" i="15" s="1"/>
  <c r="BL55" i="21"/>
  <c r="BH67" i="20" l="1"/>
  <c r="BH68" i="20" s="1"/>
  <c r="BE56" i="21"/>
  <c r="BE103" i="15" s="1"/>
  <c r="BD56" i="21"/>
  <c r="BD103" i="15" s="1"/>
  <c r="BH49" i="21"/>
  <c r="BE96" i="15"/>
  <c r="BF96" i="15"/>
  <c r="BM49" i="21"/>
  <c r="BF49" i="21"/>
  <c r="BE55" i="21"/>
  <c r="BE100" i="15" s="1"/>
  <c r="BE102" i="15" s="1"/>
  <c r="BM56" i="21"/>
  <c r="BM103" i="15" s="1"/>
  <c r="BL100" i="15"/>
  <c r="BL102" i="15" s="1"/>
  <c r="BP19" i="21"/>
  <c r="BC38" i="20"/>
  <c r="BC39" i="20" s="1"/>
  <c r="BC67" i="20"/>
  <c r="BC68" i="20" s="1"/>
  <c r="BD6" i="15"/>
  <c r="BL6" i="15"/>
  <c r="BL8" i="15" s="1"/>
  <c r="BL96" i="15" s="1"/>
  <c r="BK55" i="21"/>
  <c r="BI49" i="21"/>
  <c r="BJ38" i="20"/>
  <c r="BJ39" i="20" s="1"/>
  <c r="BJ55" i="21"/>
  <c r="BK6" i="15"/>
  <c r="BK8" i="15" s="1"/>
  <c r="BF67" i="20"/>
  <c r="BF68" i="20" s="1"/>
  <c r="BF38" i="20"/>
  <c r="BF39" i="20" s="1"/>
  <c r="BG6" i="15"/>
  <c r="BG8" i="15" s="1"/>
  <c r="BG96" i="15" s="1"/>
  <c r="BH6" i="15"/>
  <c r="BH8" i="15" s="1"/>
  <c r="BH96" i="15" s="1"/>
  <c r="BG67" i="20"/>
  <c r="BG68" i="20" s="1"/>
  <c r="BG38" i="20"/>
  <c r="BG39" i="20" s="1"/>
  <c r="BE49" i="21"/>
  <c r="BK38" i="20"/>
  <c r="BK39" i="20" s="1"/>
  <c r="BN6" i="15"/>
  <c r="BN8" i="15" s="1"/>
  <c r="BN96" i="15" s="1"/>
  <c r="BM38" i="20"/>
  <c r="BM39" i="20" s="1"/>
  <c r="BH38" i="20"/>
  <c r="BH39" i="20" s="1"/>
  <c r="BG56" i="21"/>
  <c r="BG103" i="15" s="1"/>
  <c r="BD67" i="20"/>
  <c r="BD68" i="20" s="1"/>
  <c r="BO6" i="15"/>
  <c r="BO8" i="15" s="1"/>
  <c r="BN55" i="21"/>
  <c r="BO49" i="21"/>
  <c r="BN67" i="20"/>
  <c r="BN68" i="20" s="1"/>
  <c r="BN38" i="20"/>
  <c r="BN39" i="20" s="1"/>
  <c r="BD49" i="21"/>
  <c r="BI67" i="20"/>
  <c r="BI68" i="20" s="1"/>
  <c r="BI38" i="20"/>
  <c r="BI39" i="20" s="1"/>
  <c r="BJ6" i="15"/>
  <c r="BJ8" i="15" s="1"/>
  <c r="BJ96" i="15" s="1"/>
  <c r="BJ49" i="21"/>
  <c r="BM55" i="21"/>
  <c r="BG49" i="21"/>
  <c r="BE38" i="20"/>
  <c r="BE39" i="20" s="1"/>
  <c r="BD38" i="20"/>
  <c r="BD39" i="20" s="1"/>
  <c r="BJ67" i="20"/>
  <c r="BJ68" i="20" s="1"/>
  <c r="BI6" i="15"/>
  <c r="BI8" i="15" s="1"/>
  <c r="BI96" i="15" s="1"/>
  <c r="BH55" i="21"/>
  <c r="BL49" i="21"/>
  <c r="BK49" i="21"/>
  <c r="BL67" i="20"/>
  <c r="BL68" i="20" s="1"/>
  <c r="BL38" i="20"/>
  <c r="BL39" i="20" s="1"/>
  <c r="BM6" i="15"/>
  <c r="BM8" i="15" s="1"/>
  <c r="BM96" i="15" s="1"/>
  <c r="BF55" i="21"/>
  <c r="BG55" i="21"/>
  <c r="BD55" i="21"/>
  <c r="BK67" i="20"/>
  <c r="BK68" i="20" s="1"/>
  <c r="BE67" i="20"/>
  <c r="BE68" i="20" s="1"/>
  <c r="BO100" i="15"/>
  <c r="BO102" i="15" s="1"/>
  <c r="BM67" i="20"/>
  <c r="BM68" i="20" s="1"/>
  <c r="BO9" i="15"/>
  <c r="BO11" i="15" s="1"/>
  <c r="BN56" i="21"/>
  <c r="BN103" i="15" s="1"/>
  <c r="BH56" i="21"/>
  <c r="BH103" i="15" s="1"/>
  <c r="BK56" i="21"/>
  <c r="BK103" i="15" s="1"/>
  <c r="BO56" i="21"/>
  <c r="BO103" i="15" s="1"/>
  <c r="BI56" i="21"/>
  <c r="BI103" i="15" s="1"/>
  <c r="BF56" i="21"/>
  <c r="BF103" i="15" s="1"/>
  <c r="BK9" i="15"/>
  <c r="BK11" i="15" s="1"/>
  <c r="BJ56" i="21"/>
  <c r="BJ103" i="15" s="1"/>
  <c r="BP20" i="21"/>
  <c r="BL56" i="21"/>
  <c r="BL103" i="15" s="1"/>
  <c r="BG35" i="22" l="1"/>
  <c r="BP11" i="15"/>
  <c r="V38" i="36"/>
  <c r="V39" i="36" s="1"/>
  <c r="BG36" i="22"/>
  <c r="U38" i="36"/>
  <c r="U39" i="36" s="1"/>
  <c r="BH36" i="22"/>
  <c r="BH35" i="22"/>
  <c r="V67" i="36"/>
  <c r="V68" i="36" s="1"/>
  <c r="BH100" i="15"/>
  <c r="BH102" i="15" s="1"/>
  <c r="BI8" i="20"/>
  <c r="BL36" i="22"/>
  <c r="BL35" i="22"/>
  <c r="BO96" i="15"/>
  <c r="T38" i="36"/>
  <c r="T39" i="36" s="1"/>
  <c r="BP6" i="15"/>
  <c r="BD8" i="15"/>
  <c r="T67" i="36"/>
  <c r="T68" i="36" s="1"/>
  <c r="BO67" i="20"/>
  <c r="BO68" i="20" s="1"/>
  <c r="BO69" i="20" s="1"/>
  <c r="S67" i="36"/>
  <c r="S68" i="36" s="1"/>
  <c r="BF100" i="15"/>
  <c r="BF102" i="15" s="1"/>
  <c r="BK35" i="22"/>
  <c r="BK36" i="22"/>
  <c r="BM100" i="15"/>
  <c r="BM102" i="15" s="1"/>
  <c r="U67" i="36"/>
  <c r="U68" i="36" s="1"/>
  <c r="BJ35" i="22"/>
  <c r="BJ36" i="22"/>
  <c r="BK96" i="15"/>
  <c r="BM8" i="20" s="1"/>
  <c r="BM9" i="20" s="1"/>
  <c r="BK100" i="15"/>
  <c r="BK102" i="15" s="1"/>
  <c r="BO38" i="20"/>
  <c r="BO39" i="20" s="1"/>
  <c r="BO40" i="20" s="1"/>
  <c r="S38" i="36"/>
  <c r="S39" i="36" s="1"/>
  <c r="BG100" i="15"/>
  <c r="BG102" i="15" s="1"/>
  <c r="BP9" i="15"/>
  <c r="BP56" i="21"/>
  <c r="BP103" i="15"/>
  <c r="BP55" i="21"/>
  <c r="BD100" i="15"/>
  <c r="BO35" i="22"/>
  <c r="BO36" i="22"/>
  <c r="BN100" i="15"/>
  <c r="BN102" i="15" s="1"/>
  <c r="BP35" i="22"/>
  <c r="BP36" i="22"/>
  <c r="BI35" i="22"/>
  <c r="BI36" i="22"/>
  <c r="BJ100" i="15"/>
  <c r="BJ102" i="15" s="1"/>
  <c r="BN35" i="22"/>
  <c r="BN36" i="22"/>
  <c r="BP49" i="21"/>
  <c r="BK8" i="20" l="1"/>
  <c r="BK9" i="20" s="1"/>
  <c r="BI9" i="20"/>
  <c r="BJ8" i="20"/>
  <c r="BJ9" i="20" s="1"/>
  <c r="BM36" i="22"/>
  <c r="BM35" i="22"/>
  <c r="BL8" i="20"/>
  <c r="BP100" i="15"/>
  <c r="BD102" i="15"/>
  <c r="BP8" i="15"/>
  <c r="BP96" i="15" s="1"/>
  <c r="G6" i="13" s="1"/>
  <c r="G189" i="13" s="1"/>
  <c r="BD96" i="15"/>
  <c r="BN8" i="20"/>
  <c r="BN9" i="20" s="1"/>
  <c r="BQ36" i="22"/>
  <c r="BQ35" i="22"/>
  <c r="G181" i="9" l="1"/>
  <c r="G175" i="9"/>
  <c r="G177" i="9"/>
  <c r="F55" i="26"/>
  <c r="G170" i="9"/>
  <c r="G166" i="9"/>
  <c r="G165" i="9"/>
  <c r="G168" i="9"/>
  <c r="G207" i="9"/>
  <c r="G173" i="9"/>
  <c r="G172" i="9"/>
  <c r="G157" i="9"/>
  <c r="G217" i="13"/>
  <c r="G216" i="9" s="1"/>
  <c r="G219" i="9" s="1"/>
  <c r="G26" i="9"/>
  <c r="G14" i="9"/>
  <c r="G24" i="9"/>
  <c r="G33" i="13"/>
  <c r="G61" i="13" s="1"/>
  <c r="G6" i="9"/>
  <c r="G16" i="9"/>
  <c r="G22" i="9"/>
  <c r="G30" i="9"/>
  <c r="G19" i="9"/>
  <c r="G17" i="9"/>
  <c r="G98" i="13"/>
  <c r="G15" i="9"/>
  <c r="F53" i="26"/>
  <c r="G21" i="9"/>
  <c r="BP102" i="15"/>
  <c r="BL9" i="20"/>
  <c r="V8" i="36"/>
  <c r="V9" i="36" s="1"/>
  <c r="U8" i="36"/>
  <c r="U9" i="36" s="1"/>
  <c r="BF36" i="22"/>
  <c r="BR36" i="22" s="1"/>
  <c r="BF35" i="22"/>
  <c r="BC8" i="20"/>
  <c r="BE8" i="20"/>
  <c r="BE9" i="20" s="1"/>
  <c r="BD8" i="20"/>
  <c r="BD9" i="20" s="1"/>
  <c r="BG8" i="20"/>
  <c r="BG9" i="20" s="1"/>
  <c r="BF8" i="20"/>
  <c r="BH8" i="20"/>
  <c r="BH9" i="20" s="1"/>
  <c r="G243" i="13" l="1"/>
  <c r="G65" i="9"/>
  <c r="G68" i="9" s="1"/>
  <c r="G82" i="9"/>
  <c r="G93" i="9"/>
  <c r="G90" i="9"/>
  <c r="G102" i="9"/>
  <c r="G132" i="9"/>
  <c r="G97" i="9"/>
  <c r="G95" i="9"/>
  <c r="F54" i="26"/>
  <c r="G98" i="9"/>
  <c r="G100" i="9"/>
  <c r="G91" i="9"/>
  <c r="G126" i="13"/>
  <c r="G106" i="9"/>
  <c r="BO8" i="20"/>
  <c r="BO9" i="20" s="1"/>
  <c r="BO10" i="20" s="1"/>
  <c r="S8" i="36"/>
  <c r="S9" i="36" s="1"/>
  <c r="BC9" i="20"/>
  <c r="BR35" i="22"/>
  <c r="T8" i="36"/>
  <c r="T9" i="36" s="1"/>
  <c r="BF9" i="20"/>
  <c r="G141" i="9" l="1"/>
  <c r="G144" i="9" s="1"/>
  <c r="G152" i="13"/>
  <c r="BW56" i="21" l="1"/>
  <c r="BW103" i="15" s="1"/>
  <c r="BX9" i="15"/>
  <c r="BX11" i="15" s="1"/>
  <c r="BR56" i="21"/>
  <c r="BR103" i="15" s="1"/>
  <c r="BV56" i="21"/>
  <c r="BV103" i="15" s="1"/>
  <c r="BT56" i="21"/>
  <c r="BT103" i="15" s="1"/>
  <c r="BQ9" i="15"/>
  <c r="BQ55" i="21"/>
  <c r="BQ100" i="15" s="1"/>
  <c r="BZ56" i="21"/>
  <c r="BZ103" i="15" s="1"/>
  <c r="CA9" i="15"/>
  <c r="CA11" i="15" s="1"/>
  <c r="CA6" i="15"/>
  <c r="CA8" i="15" s="1"/>
  <c r="BY56" i="21"/>
  <c r="BY103" i="15" s="1"/>
  <c r="BZ9" i="15"/>
  <c r="BZ11" i="15" s="1"/>
  <c r="BY6" i="15"/>
  <c r="BY8" i="15" s="1"/>
  <c r="BZ6" i="15"/>
  <c r="BZ8" i="15" s="1"/>
  <c r="BW6" i="15"/>
  <c r="BW8" i="15" s="1"/>
  <c r="BS56" i="21"/>
  <c r="BS103" i="15" s="1"/>
  <c r="BX6" i="15"/>
  <c r="BX8" i="15" s="1"/>
  <c r="BT6" i="15"/>
  <c r="BT8" i="15" s="1"/>
  <c r="BU6" i="15"/>
  <c r="BU8" i="15" s="1"/>
  <c r="CG38" i="20"/>
  <c r="CG39" i="20" s="1"/>
  <c r="CG67" i="20"/>
  <c r="CG68" i="20" s="1"/>
  <c r="BQ56" i="21"/>
  <c r="BR9" i="15"/>
  <c r="BR11" i="15" s="1"/>
  <c r="CB56" i="21"/>
  <c r="CB103" i="15" s="1"/>
  <c r="BS6" i="15"/>
  <c r="BS8" i="15" s="1"/>
  <c r="BV9" i="15"/>
  <c r="BV11" i="15" s="1"/>
  <c r="CA67" i="20"/>
  <c r="CA68" i="20" s="1"/>
  <c r="CB6" i="15"/>
  <c r="CB8" i="15" s="1"/>
  <c r="BQ49" i="21"/>
  <c r="BZ96" i="15" l="1"/>
  <c r="CA96" i="15"/>
  <c r="CB55" i="21"/>
  <c r="CB100" i="15" s="1"/>
  <c r="CB102" i="15" s="1"/>
  <c r="CA56" i="21"/>
  <c r="CA103" i="15" s="1"/>
  <c r="CE38" i="20"/>
  <c r="CE39" i="20" s="1"/>
  <c r="BX96" i="15"/>
  <c r="BZ36" i="22" s="1"/>
  <c r="BP67" i="20"/>
  <c r="BP68" i="20" s="1"/>
  <c r="CC19" i="21"/>
  <c r="CB49" i="21"/>
  <c r="CC38" i="20"/>
  <c r="CC39" i="20" s="1"/>
  <c r="CF38" i="20"/>
  <c r="CA55" i="21"/>
  <c r="CF67" i="20"/>
  <c r="CA38" i="20"/>
  <c r="CA39" i="20" s="1"/>
  <c r="CE67" i="20"/>
  <c r="CE68" i="20" s="1"/>
  <c r="BQ6" i="15"/>
  <c r="BY55" i="21"/>
  <c r="BY67" i="20"/>
  <c r="BY68" i="20" s="1"/>
  <c r="BZ49" i="21"/>
  <c r="BY38" i="20"/>
  <c r="BY39" i="20" s="1"/>
  <c r="BX56" i="21"/>
  <c r="BX103" i="15" s="1"/>
  <c r="BY9" i="15"/>
  <c r="BY11" i="15" s="1"/>
  <c r="BY96" i="15" s="1"/>
  <c r="BQ11" i="15"/>
  <c r="BQ103" i="15"/>
  <c r="BU56" i="21"/>
  <c r="BU103" i="15" s="1"/>
  <c r="CD38" i="20"/>
  <c r="CD39" i="20" s="1"/>
  <c r="CD67" i="20"/>
  <c r="CD68" i="20" s="1"/>
  <c r="CB9" i="15"/>
  <c r="CB11" i="15" s="1"/>
  <c r="CB96" i="15" s="1"/>
  <c r="BU49" i="21"/>
  <c r="BT67" i="20"/>
  <c r="BT68" i="20" s="1"/>
  <c r="BT38" i="20"/>
  <c r="BT39" i="20" s="1"/>
  <c r="BT9" i="15"/>
  <c r="BT11" i="15" s="1"/>
  <c r="BT96" i="15" s="1"/>
  <c r="BS49" i="21"/>
  <c r="BR55" i="21"/>
  <c r="BR67" i="20"/>
  <c r="BR68" i="20" s="1"/>
  <c r="BR38" i="20"/>
  <c r="BR39" i="20" s="1"/>
  <c r="BT49" i="21"/>
  <c r="BS67" i="20"/>
  <c r="BS68" i="20" s="1"/>
  <c r="BS55" i="21"/>
  <c r="BS38" i="20"/>
  <c r="BS39" i="20" s="1"/>
  <c r="BT55" i="21"/>
  <c r="BP38" i="20"/>
  <c r="BP39" i="20" s="1"/>
  <c r="BV49" i="21"/>
  <c r="BU67" i="20"/>
  <c r="BU68" i="20" s="1"/>
  <c r="BU55" i="21"/>
  <c r="BV6" i="15"/>
  <c r="BV8" i="15" s="1"/>
  <c r="BV96" i="15" s="1"/>
  <c r="BU38" i="20"/>
  <c r="BU39" i="20" s="1"/>
  <c r="BQ102" i="15"/>
  <c r="BW67" i="20"/>
  <c r="BW68" i="20" s="1"/>
  <c r="BW38" i="20"/>
  <c r="BW39" i="20" s="1"/>
  <c r="BX49" i="21"/>
  <c r="BV67" i="20"/>
  <c r="BV68" i="20" s="1"/>
  <c r="BV55" i="21"/>
  <c r="BW49" i="21"/>
  <c r="BV38" i="20"/>
  <c r="BV39" i="20" s="1"/>
  <c r="BY49" i="21"/>
  <c r="BX38" i="20"/>
  <c r="BX39" i="20" s="1"/>
  <c r="BX55" i="21"/>
  <c r="BX67" i="20"/>
  <c r="BX68" i="20" s="1"/>
  <c r="CC67" i="20"/>
  <c r="CC68" i="20" s="1"/>
  <c r="BW55" i="21"/>
  <c r="CA49" i="21"/>
  <c r="BZ38" i="20"/>
  <c r="BZ39" i="20" s="1"/>
  <c r="BQ38" i="20"/>
  <c r="BQ39" i="20" s="1"/>
  <c r="BQ67" i="20"/>
  <c r="BQ68" i="20" s="1"/>
  <c r="BR49" i="21"/>
  <c r="CC20" i="21"/>
  <c r="BR6" i="15"/>
  <c r="BR8" i="15" s="1"/>
  <c r="BR96" i="15" s="1"/>
  <c r="BZ55" i="21"/>
  <c r="BZ67" i="20"/>
  <c r="BZ68" i="20" s="1"/>
  <c r="BW9" i="15"/>
  <c r="BW11" i="15" s="1"/>
  <c r="BW96" i="15" s="1"/>
  <c r="BU9" i="15"/>
  <c r="BU11" i="15" s="1"/>
  <c r="BU96" i="15" s="1"/>
  <c r="BS9" i="15"/>
  <c r="BS11" i="15" s="1"/>
  <c r="BS96" i="15" s="1"/>
  <c r="AB38" i="36" l="1"/>
  <c r="AB39" i="36" s="1"/>
  <c r="CF39" i="20"/>
  <c r="AB67" i="36"/>
  <c r="AB68" i="36" s="1"/>
  <c r="CF68" i="20"/>
  <c r="CB35" i="22"/>
  <c r="CB36" i="22"/>
  <c r="CC36" i="22"/>
  <c r="CC35" i="22"/>
  <c r="X38" i="36"/>
  <c r="X39" i="36" s="1"/>
  <c r="BZ35" i="22"/>
  <c r="BV8" i="20"/>
  <c r="BY35" i="22"/>
  <c r="BY36" i="22"/>
  <c r="BW8" i="20"/>
  <c r="BW9" i="20" s="1"/>
  <c r="BU36" i="22"/>
  <c r="BU35" i="22"/>
  <c r="CE8" i="20"/>
  <c r="CE9" i="20" s="1"/>
  <c r="CG8" i="20"/>
  <c r="CG9" i="20" s="1"/>
  <c r="CF8" i="20"/>
  <c r="CD35" i="22"/>
  <c r="CA8" i="20"/>
  <c r="CA9" i="20" s="1"/>
  <c r="CD36" i="22"/>
  <c r="CD8" i="20"/>
  <c r="CD9" i="20" s="1"/>
  <c r="CC8" i="20"/>
  <c r="BV35" i="22"/>
  <c r="BV36" i="22"/>
  <c r="BW36" i="22"/>
  <c r="BW35" i="22"/>
  <c r="CA35" i="22"/>
  <c r="BX8" i="20"/>
  <c r="BX9" i="20" s="1"/>
  <c r="CA36" i="22"/>
  <c r="BY8" i="20"/>
  <c r="BZ8" i="20"/>
  <c r="BZ9" i="20" s="1"/>
  <c r="BV100" i="15"/>
  <c r="BV102" i="15" s="1"/>
  <c r="CC56" i="21"/>
  <c r="Z67" i="36"/>
  <c r="Z68" i="36" s="1"/>
  <c r="CO38" i="20"/>
  <c r="CO39" i="20" s="1"/>
  <c r="CO40" i="20" s="1"/>
  <c r="AA38" i="36"/>
  <c r="AA39" i="36" s="1"/>
  <c r="AA67" i="36"/>
  <c r="AA68" i="36" s="1"/>
  <c r="CO67" i="20"/>
  <c r="CO68" i="20" s="1"/>
  <c r="CO69" i="20" s="1"/>
  <c r="Y67" i="36"/>
  <c r="Y68" i="36" s="1"/>
  <c r="BS100" i="15"/>
  <c r="BS102" i="15" s="1"/>
  <c r="CC103" i="15"/>
  <c r="BY100" i="15"/>
  <c r="BY102" i="15" s="1"/>
  <c r="BW100" i="15"/>
  <c r="BW102" i="15" s="1"/>
  <c r="BZ100" i="15"/>
  <c r="BZ102" i="15" s="1"/>
  <c r="Y38" i="36"/>
  <c r="Y39" i="36" s="1"/>
  <c r="BX36" i="22"/>
  <c r="BX35" i="22"/>
  <c r="W38" i="36"/>
  <c r="W39" i="36" s="1"/>
  <c r="CB38" i="20"/>
  <c r="CB39" i="20" s="1"/>
  <c r="CB40" i="20" s="1"/>
  <c r="X67" i="36"/>
  <c r="X68" i="36" s="1"/>
  <c r="BR100" i="15"/>
  <c r="CC11" i="15"/>
  <c r="Z38" i="36"/>
  <c r="Z39" i="36" s="1"/>
  <c r="CC6" i="15"/>
  <c r="BQ8" i="15"/>
  <c r="CA100" i="15"/>
  <c r="CA102" i="15" s="1"/>
  <c r="CC49" i="21"/>
  <c r="BT35" i="22"/>
  <c r="BT36" i="22"/>
  <c r="CC55" i="21"/>
  <c r="BX100" i="15"/>
  <c r="BX102" i="15" s="1"/>
  <c r="BU100" i="15"/>
  <c r="BU102" i="15" s="1"/>
  <c r="BT100" i="15"/>
  <c r="BT102" i="15" s="1"/>
  <c r="CC9" i="15"/>
  <c r="W67" i="36"/>
  <c r="W68" i="36" s="1"/>
  <c r="CB67" i="20"/>
  <c r="CB68" i="20" s="1"/>
  <c r="CB69" i="20" s="1"/>
  <c r="CC8" i="15" l="1"/>
  <c r="CC96" i="15" s="1"/>
  <c r="H6" i="13" s="1"/>
  <c r="BQ96" i="15"/>
  <c r="BR102" i="15"/>
  <c r="CC100" i="15"/>
  <c r="AB8" i="36"/>
  <c r="AB9" i="36" s="1"/>
  <c r="CF9" i="20"/>
  <c r="BY9" i="20"/>
  <c r="Z8" i="36"/>
  <c r="Z9" i="36" s="1"/>
  <c r="AA8" i="36"/>
  <c r="AA9" i="36" s="1"/>
  <c r="CC9" i="20"/>
  <c r="CO8" i="20"/>
  <c r="CO9" i="20" s="1"/>
  <c r="CO10" i="20" s="1"/>
  <c r="Y8" i="36"/>
  <c r="Y9" i="36" s="1"/>
  <c r="BV9" i="20"/>
  <c r="I30" i="9" l="1"/>
  <c r="H189" i="13"/>
  <c r="H21" i="9"/>
  <c r="H17" i="9"/>
  <c r="H26" i="9"/>
  <c r="H30" i="9"/>
  <c r="H24" i="9"/>
  <c r="H16" i="9"/>
  <c r="H6" i="9"/>
  <c r="H19" i="9"/>
  <c r="H15" i="9"/>
  <c r="H22" i="9"/>
  <c r="H14" i="9"/>
  <c r="H98" i="13"/>
  <c r="G53" i="26"/>
  <c r="H33" i="13"/>
  <c r="H61" i="13" s="1"/>
  <c r="CC102" i="15"/>
  <c r="BS35" i="22"/>
  <c r="BP8" i="20"/>
  <c r="BS36" i="22"/>
  <c r="CE36" i="22" s="1"/>
  <c r="BS8" i="20"/>
  <c r="BT8" i="20"/>
  <c r="BT9" i="20" s="1"/>
  <c r="BU8" i="20"/>
  <c r="BU9" i="20" s="1"/>
  <c r="BQ8" i="20"/>
  <c r="BQ9" i="20" s="1"/>
  <c r="BR8" i="20"/>
  <c r="BR9" i="20" s="1"/>
  <c r="H173" i="9" l="1"/>
  <c r="H165" i="9"/>
  <c r="H166" i="9"/>
  <c r="H217" i="13"/>
  <c r="H216" i="9" s="1"/>
  <c r="H219" i="9" s="1"/>
  <c r="H175" i="9"/>
  <c r="G55" i="26"/>
  <c r="H207" i="9"/>
  <c r="H172" i="9"/>
  <c r="H157" i="9"/>
  <c r="H181" i="9"/>
  <c r="H170" i="9"/>
  <c r="H168" i="9"/>
  <c r="H177" i="9"/>
  <c r="H102" i="9"/>
  <c r="H98" i="9"/>
  <c r="H90" i="9"/>
  <c r="H97" i="9"/>
  <c r="H93" i="9"/>
  <c r="H82" i="9"/>
  <c r="H132" i="9"/>
  <c r="H106" i="9"/>
  <c r="H100" i="9"/>
  <c r="H91" i="9"/>
  <c r="H95" i="9"/>
  <c r="H65" i="9"/>
  <c r="H68" i="9" s="1"/>
  <c r="G54" i="26"/>
  <c r="H126" i="13"/>
  <c r="H141" i="9" s="1"/>
  <c r="H144" i="9" s="1"/>
  <c r="I98" i="13"/>
  <c r="H53" i="26"/>
  <c r="I33" i="13"/>
  <c r="W8" i="36"/>
  <c r="W9" i="36" s="1"/>
  <c r="CB8" i="20"/>
  <c r="CB9" i="20" s="1"/>
  <c r="CB10" i="20" s="1"/>
  <c r="BP9" i="20"/>
  <c r="BS9" i="20"/>
  <c r="X8" i="36"/>
  <c r="X9" i="36" s="1"/>
  <c r="CE35" i="22"/>
  <c r="I217" i="13" l="1"/>
  <c r="I243" i="13" s="1"/>
  <c r="H243" i="13"/>
  <c r="I177" i="9"/>
  <c r="I157" i="9"/>
  <c r="I173" i="9"/>
  <c r="I168" i="9"/>
  <c r="I181" i="9"/>
  <c r="I175" i="9"/>
  <c r="H55" i="26"/>
  <c r="I170" i="9"/>
  <c r="I172" i="9"/>
  <c r="I165" i="9"/>
  <c r="I166" i="9"/>
  <c r="I207" i="9"/>
  <c r="I61" i="13"/>
  <c r="I65" i="9"/>
  <c r="I68" i="9" s="1"/>
  <c r="H54" i="26"/>
  <c r="I102" i="9"/>
  <c r="I98" i="9"/>
  <c r="I97" i="9"/>
  <c r="I93" i="9"/>
  <c r="I82" i="9"/>
  <c r="I106" i="9"/>
  <c r="I100" i="9"/>
  <c r="I91" i="9"/>
  <c r="I132" i="9"/>
  <c r="I95" i="9"/>
  <c r="I90" i="9"/>
  <c r="I126" i="13"/>
  <c r="I152" i="13" s="1"/>
  <c r="H152" i="13"/>
  <c r="I216" i="9" l="1"/>
  <c r="I219" i="9" s="1"/>
  <c r="I141" i="9"/>
  <c r="I144" i="9" s="1"/>
  <c r="D37" i="22" l="1"/>
  <c r="G37" i="22" s="1"/>
  <c r="D38" i="22"/>
  <c r="F38" i="22" s="1"/>
  <c r="S38" i="22" s="1"/>
  <c r="AF38" i="22" s="1"/>
  <c r="AS38" i="22" s="1"/>
  <c r="BF38" i="22" s="1"/>
  <c r="BS38" i="22" s="1"/>
  <c r="CF38" i="22" s="1"/>
  <c r="B76" i="20"/>
  <c r="B79" i="20" s="1"/>
  <c r="B80" i="20" s="1"/>
  <c r="C76" i="20"/>
  <c r="C79" i="20" s="1"/>
  <c r="D76" i="20"/>
  <c r="D79" i="20" s="1"/>
  <c r="E76" i="20"/>
  <c r="E79" i="20" s="1"/>
  <c r="F76" i="20"/>
  <c r="F79" i="20" s="1"/>
  <c r="G76" i="20"/>
  <c r="G79" i="20" s="1"/>
  <c r="H76" i="20"/>
  <c r="H79" i="20" s="1"/>
  <c r="I76" i="20"/>
  <c r="I79" i="20" s="1"/>
  <c r="J76" i="20"/>
  <c r="J79" i="20" s="1"/>
  <c r="K76" i="20"/>
  <c r="K79" i="20" s="1"/>
  <c r="L76" i="20"/>
  <c r="L79" i="20" s="1"/>
  <c r="M76" i="20"/>
  <c r="M79" i="20" s="1"/>
  <c r="N76" i="20"/>
  <c r="N79" i="20" s="1"/>
  <c r="P76" i="20"/>
  <c r="P79" i="20" s="1"/>
  <c r="Q76" i="20"/>
  <c r="Q79" i="20" s="1"/>
  <c r="R76" i="20"/>
  <c r="R79" i="20" s="1"/>
  <c r="S76" i="20"/>
  <c r="S79" i="20" s="1"/>
  <c r="T76" i="20"/>
  <c r="T79" i="20" s="1"/>
  <c r="U76" i="20"/>
  <c r="U79" i="20" s="1"/>
  <c r="V76" i="20"/>
  <c r="V79" i="20" s="1"/>
  <c r="W76" i="20"/>
  <c r="W79" i="20" s="1"/>
  <c r="X76" i="20"/>
  <c r="X79" i="20" s="1"/>
  <c r="Y76" i="20"/>
  <c r="Y79" i="20" s="1"/>
  <c r="Z76" i="20"/>
  <c r="Z79" i="20" s="1"/>
  <c r="AA76" i="20"/>
  <c r="AA79" i="20" s="1"/>
  <c r="AC76" i="20"/>
  <c r="AC79" i="20" s="1"/>
  <c r="AD76" i="20"/>
  <c r="AD79" i="20" s="1"/>
  <c r="AE76" i="20"/>
  <c r="AE79" i="20" s="1"/>
  <c r="AF76" i="20"/>
  <c r="AF79" i="20" s="1"/>
  <c r="AG76" i="20"/>
  <c r="AG79" i="20" s="1"/>
  <c r="AH76" i="20"/>
  <c r="AH79" i="20" s="1"/>
  <c r="AI76" i="20"/>
  <c r="AI79" i="20" s="1"/>
  <c r="AJ76" i="20"/>
  <c r="AJ79" i="20" s="1"/>
  <c r="AK76" i="20"/>
  <c r="AK79" i="20" s="1"/>
  <c r="AL76" i="20"/>
  <c r="AL79" i="20" s="1"/>
  <c r="AM76" i="20"/>
  <c r="AM79" i="20" s="1"/>
  <c r="AN76" i="20"/>
  <c r="AN79" i="20" s="1"/>
  <c r="AP76" i="20"/>
  <c r="AP79" i="20" s="1"/>
  <c r="AQ76" i="20"/>
  <c r="AQ79" i="20" s="1"/>
  <c r="AR76" i="20"/>
  <c r="AR79" i="20" s="1"/>
  <c r="AS76" i="20"/>
  <c r="AS79" i="20" s="1"/>
  <c r="AT76" i="20"/>
  <c r="AT79" i="20" s="1"/>
  <c r="AU76" i="20"/>
  <c r="AU79" i="20" s="1"/>
  <c r="AV76" i="20"/>
  <c r="AV79" i="20" s="1"/>
  <c r="AW76" i="20"/>
  <c r="AW79" i="20" s="1"/>
  <c r="AX76" i="20"/>
  <c r="AX79" i="20" s="1"/>
  <c r="AY76" i="20"/>
  <c r="AY79" i="20" s="1"/>
  <c r="AZ76" i="20"/>
  <c r="AZ79" i="20" s="1"/>
  <c r="BA76" i="20"/>
  <c r="BA79" i="20" s="1"/>
  <c r="BC76" i="20"/>
  <c r="BC79" i="20" s="1"/>
  <c r="BD76" i="20"/>
  <c r="BD79" i="20" s="1"/>
  <c r="BE76" i="20"/>
  <c r="BE79" i="20" s="1"/>
  <c r="BF76" i="20"/>
  <c r="BF79" i="20" s="1"/>
  <c r="BG76" i="20"/>
  <c r="BG79" i="20" s="1"/>
  <c r="BH76" i="20"/>
  <c r="BH79" i="20" s="1"/>
  <c r="BI76" i="20"/>
  <c r="BI79" i="20" s="1"/>
  <c r="BJ76" i="20"/>
  <c r="BJ79" i="20" s="1"/>
  <c r="BK76" i="20"/>
  <c r="BK79" i="20" s="1"/>
  <c r="BL76" i="20"/>
  <c r="BL79" i="20" s="1"/>
  <c r="BM76" i="20"/>
  <c r="BM79" i="20" s="1"/>
  <c r="BN76" i="20"/>
  <c r="BN79" i="20" s="1"/>
  <c r="BP76" i="20"/>
  <c r="BP79" i="20" s="1"/>
  <c r="BQ76" i="20"/>
  <c r="BQ79" i="20" s="1"/>
  <c r="BR76" i="20"/>
  <c r="BR79" i="20" s="1"/>
  <c r="BS76" i="20"/>
  <c r="BS79" i="20" s="1"/>
  <c r="BT76" i="20"/>
  <c r="BT79" i="20" s="1"/>
  <c r="BU76" i="20"/>
  <c r="BU79" i="20" s="1"/>
  <c r="BV76" i="20"/>
  <c r="BV79" i="20" s="1"/>
  <c r="BW76" i="20"/>
  <c r="BW79" i="20" s="1"/>
  <c r="BX76" i="20"/>
  <c r="BX79" i="20" s="1"/>
  <c r="BY76" i="20"/>
  <c r="BY79" i="20" s="1"/>
  <c r="BZ76" i="20"/>
  <c r="BZ79" i="20" s="1"/>
  <c r="CA76" i="20"/>
  <c r="CA79" i="20" s="1"/>
  <c r="CC76" i="20"/>
  <c r="CC79" i="20" s="1"/>
  <c r="CD76" i="20"/>
  <c r="CD79" i="20" s="1"/>
  <c r="CE76" i="20"/>
  <c r="CE79" i="20" s="1"/>
  <c r="CF76" i="20"/>
  <c r="CF79" i="20" s="1"/>
  <c r="CG76" i="20"/>
  <c r="CG79" i="20" s="1"/>
  <c r="CH76" i="20"/>
  <c r="CH79" i="20" s="1"/>
  <c r="CI76" i="20"/>
  <c r="CI79" i="20" s="1"/>
  <c r="CJ76" i="20"/>
  <c r="CJ79" i="20" s="1"/>
  <c r="CK76" i="20"/>
  <c r="CK79" i="20" s="1"/>
  <c r="CL76" i="20"/>
  <c r="CL79" i="20" s="1"/>
  <c r="CM76" i="20"/>
  <c r="CM79" i="20" s="1"/>
  <c r="CN76" i="20"/>
  <c r="CN79" i="20" s="1"/>
  <c r="CO76" i="20"/>
  <c r="CB76" i="20"/>
  <c r="BO76" i="20"/>
  <c r="BB76" i="20"/>
  <c r="AO76" i="20"/>
  <c r="O76" i="20"/>
  <c r="AB76" i="20"/>
  <c r="P37" i="22" l="1"/>
  <c r="AC37" i="22" s="1"/>
  <c r="AP37" i="22" s="1"/>
  <c r="BC37" i="22" s="1"/>
  <c r="N38" i="22"/>
  <c r="AA38" i="22" s="1"/>
  <c r="AN38" i="22" s="1"/>
  <c r="BA38" i="22" s="1"/>
  <c r="BN38" i="22" s="1"/>
  <c r="CA38" i="22" s="1"/>
  <c r="CN38" i="22" s="1"/>
  <c r="BO79" i="20"/>
  <c r="O79" i="20"/>
  <c r="BB79" i="20"/>
  <c r="L38" i="22"/>
  <c r="Y38" i="22" s="1"/>
  <c r="P38" i="22"/>
  <c r="AC38" i="22" s="1"/>
  <c r="AC52" i="22" s="1"/>
  <c r="Z14" i="20" s="1"/>
  <c r="Z44" i="20" s="1"/>
  <c r="I38" i="22"/>
  <c r="V38" i="22" s="1"/>
  <c r="AI38" i="22" s="1"/>
  <c r="AV38" i="22" s="1"/>
  <c r="BI38" i="22" s="1"/>
  <c r="BV38" i="22" s="1"/>
  <c r="CI38" i="22" s="1"/>
  <c r="AO79" i="20"/>
  <c r="M37" i="22"/>
  <c r="J37" i="22"/>
  <c r="W37" i="22" s="1"/>
  <c r="AJ37" i="22" s="1"/>
  <c r="AW37" i="22" s="1"/>
  <c r="BJ37" i="22" s="1"/>
  <c r="BW37" i="22" s="1"/>
  <c r="CJ37" i="22" s="1"/>
  <c r="Q38" i="22"/>
  <c r="AD38" i="22" s="1"/>
  <c r="AQ38" i="22" s="1"/>
  <c r="BD38" i="22" s="1"/>
  <c r="BQ38" i="22" s="1"/>
  <c r="CD38" i="22" s="1"/>
  <c r="CQ38" i="22" s="1"/>
  <c r="O38" i="22"/>
  <c r="AB38" i="22" s="1"/>
  <c r="AO38" i="22" s="1"/>
  <c r="BB38" i="22" s="1"/>
  <c r="BO38" i="22" s="1"/>
  <c r="CB38" i="22" s="1"/>
  <c r="CO38" i="22" s="1"/>
  <c r="N37" i="22"/>
  <c r="K38" i="22"/>
  <c r="X38" i="22" s="1"/>
  <c r="H38" i="22"/>
  <c r="U38" i="22" s="1"/>
  <c r="AH38" i="22" s="1"/>
  <c r="AU38" i="22" s="1"/>
  <c r="BH38" i="22" s="1"/>
  <c r="BU38" i="22" s="1"/>
  <c r="CH38" i="22" s="1"/>
  <c r="Q37" i="22"/>
  <c r="O37" i="22"/>
  <c r="AB37" i="22" s="1"/>
  <c r="AO37" i="22" s="1"/>
  <c r="M38" i="22"/>
  <c r="Z38" i="22" s="1"/>
  <c r="AM38" i="22" s="1"/>
  <c r="AZ38" i="22" s="1"/>
  <c r="BM38" i="22" s="1"/>
  <c r="BZ38" i="22" s="1"/>
  <c r="CM38" i="22" s="1"/>
  <c r="K37" i="22"/>
  <c r="X37" i="22" s="1"/>
  <c r="AK37" i="22" s="1"/>
  <c r="AX37" i="22" s="1"/>
  <c r="G38" i="22"/>
  <c r="T38" i="22" s="1"/>
  <c r="AG38" i="22" s="1"/>
  <c r="AT38" i="22" s="1"/>
  <c r="BG38" i="22" s="1"/>
  <c r="BT38" i="22" s="1"/>
  <c r="CG38" i="22" s="1"/>
  <c r="T37" i="22"/>
  <c r="AB79" i="20"/>
  <c r="CB79" i="20"/>
  <c r="P52" i="22"/>
  <c r="H37" i="22"/>
  <c r="F37" i="22"/>
  <c r="AB52" i="22"/>
  <c r="Y14" i="20" s="1"/>
  <c r="Y44" i="20" s="1"/>
  <c r="L37" i="22"/>
  <c r="J38" i="22"/>
  <c r="I37" i="22"/>
  <c r="CO79" i="20"/>
  <c r="B82" i="20"/>
  <c r="B83" i="20" s="1"/>
  <c r="B85" i="20" s="1"/>
  <c r="B87" i="20" s="1"/>
  <c r="B89" i="20" s="1"/>
  <c r="C65" i="20" s="1"/>
  <c r="C69" i="20" s="1"/>
  <c r="C80" i="20" s="1"/>
  <c r="BP37" i="22"/>
  <c r="BB37" i="22"/>
  <c r="AO52" i="22"/>
  <c r="AL14" i="20" s="1"/>
  <c r="AP38" i="22"/>
  <c r="AL38" i="22"/>
  <c r="O52" i="22" l="1"/>
  <c r="G52" i="22"/>
  <c r="K52" i="22"/>
  <c r="H73" i="20" s="1"/>
  <c r="AA37" i="22"/>
  <c r="N52" i="22"/>
  <c r="M52" i="22"/>
  <c r="Z37" i="22"/>
  <c r="X52" i="22"/>
  <c r="U14" i="20" s="1"/>
  <c r="U44" i="20" s="1"/>
  <c r="AK38" i="22"/>
  <c r="J52" i="22"/>
  <c r="G73" i="20" s="1"/>
  <c r="AD37" i="22"/>
  <c r="Q52" i="22"/>
  <c r="L52" i="22"/>
  <c r="Y37" i="22"/>
  <c r="H14" i="20"/>
  <c r="H44" i="20"/>
  <c r="L14" i="20"/>
  <c r="L73" i="20"/>
  <c r="L44" i="20"/>
  <c r="M14" i="20"/>
  <c r="M73" i="20"/>
  <c r="M44" i="20"/>
  <c r="AG37" i="22"/>
  <c r="T52" i="22"/>
  <c r="Q14" i="20" s="1"/>
  <c r="Q44" i="20" s="1"/>
  <c r="I52" i="22"/>
  <c r="V37" i="22"/>
  <c r="F52" i="22"/>
  <c r="S37" i="22"/>
  <c r="R37" i="22"/>
  <c r="D14" i="20"/>
  <c r="D44" i="20"/>
  <c r="D73" i="20"/>
  <c r="R38" i="22"/>
  <c r="W38" i="22"/>
  <c r="H52" i="22"/>
  <c r="U37" i="22"/>
  <c r="C82" i="20"/>
  <c r="C83" i="20" s="1"/>
  <c r="C85" i="20" s="1"/>
  <c r="C87" i="20" s="1"/>
  <c r="C89" i="20" s="1"/>
  <c r="D65" i="20" s="1"/>
  <c r="D69" i="20" s="1"/>
  <c r="D80" i="20" s="1"/>
  <c r="BO37" i="22"/>
  <c r="BB52" i="22"/>
  <c r="AY14" i="20" s="1"/>
  <c r="AL44" i="20"/>
  <c r="AY38" i="22"/>
  <c r="BC38" i="22"/>
  <c r="AP52" i="22"/>
  <c r="AM14" i="20" s="1"/>
  <c r="AM44" i="20" s="1"/>
  <c r="CC37" i="22"/>
  <c r="BK37" i="22"/>
  <c r="G14" i="20" l="1"/>
  <c r="J73" i="20"/>
  <c r="J44" i="20"/>
  <c r="J14" i="20"/>
  <c r="G44" i="20"/>
  <c r="AX38" i="22"/>
  <c r="AK52" i="22"/>
  <c r="AH14" i="20" s="1"/>
  <c r="AH44" i="20" s="1"/>
  <c r="K44" i="20"/>
  <c r="K73" i="20"/>
  <c r="K14" i="20"/>
  <c r="N14" i="20"/>
  <c r="F14" i="36" s="1"/>
  <c r="N44" i="20"/>
  <c r="N73" i="20"/>
  <c r="P73" i="20" s="1"/>
  <c r="AN37" i="22"/>
  <c r="AA52" i="22"/>
  <c r="X14" i="20" s="1"/>
  <c r="X44" i="20" s="1"/>
  <c r="AQ37" i="22"/>
  <c r="AD52" i="22"/>
  <c r="AA14" i="20" s="1"/>
  <c r="AM37" i="22"/>
  <c r="Z52" i="22"/>
  <c r="W14" i="20" s="1"/>
  <c r="W44" i="20" s="1"/>
  <c r="AH37" i="22"/>
  <c r="U52" i="22"/>
  <c r="R14" i="20" s="1"/>
  <c r="R44" i="20" s="1"/>
  <c r="F14" i="20"/>
  <c r="D14" i="36" s="1"/>
  <c r="F73" i="20"/>
  <c r="D73" i="36" s="1"/>
  <c r="F44" i="20"/>
  <c r="D44" i="36" s="1"/>
  <c r="E14" i="20"/>
  <c r="E73" i="20"/>
  <c r="E44" i="20"/>
  <c r="S52" i="22"/>
  <c r="P14" i="20" s="1"/>
  <c r="AE37" i="22"/>
  <c r="AF37" i="22"/>
  <c r="AJ38" i="22"/>
  <c r="AE38" i="22"/>
  <c r="W52" i="22"/>
  <c r="T14" i="20" s="1"/>
  <c r="T44" i="20" s="1"/>
  <c r="C44" i="20"/>
  <c r="C73" i="20"/>
  <c r="R52" i="22"/>
  <c r="C18" i="13" s="1"/>
  <c r="C14" i="20"/>
  <c r="AT37" i="22"/>
  <c r="AG52" i="22"/>
  <c r="AD14" i="20" s="1"/>
  <c r="AD44" i="20" s="1"/>
  <c r="AL37" i="22"/>
  <c r="Y52" i="22"/>
  <c r="V14" i="20" s="1"/>
  <c r="AI37" i="22"/>
  <c r="V52" i="22"/>
  <c r="S14" i="20" s="1"/>
  <c r="F44" i="36"/>
  <c r="F73" i="36"/>
  <c r="I14" i="20"/>
  <c r="E14" i="36" s="1"/>
  <c r="I73" i="20"/>
  <c r="E73" i="36" s="1"/>
  <c r="I44" i="20"/>
  <c r="E44" i="36" s="1"/>
  <c r="BL38" i="22"/>
  <c r="BO52" i="22"/>
  <c r="BL14" i="20" s="1"/>
  <c r="CB37" i="22"/>
  <c r="BP38" i="22"/>
  <c r="BC52" i="22"/>
  <c r="AZ14" i="20" s="1"/>
  <c r="AZ44" i="20" s="1"/>
  <c r="D82" i="20"/>
  <c r="D83" i="20" s="1"/>
  <c r="D85" i="20" s="1"/>
  <c r="D87" i="20" s="1"/>
  <c r="D89" i="20" s="1"/>
  <c r="E65" i="20" s="1"/>
  <c r="E69" i="20" s="1"/>
  <c r="E80" i="20" s="1"/>
  <c r="BX37" i="22"/>
  <c r="CP37" i="22"/>
  <c r="AY44" i="20"/>
  <c r="AQ52" i="22" l="1"/>
  <c r="AN14" i="20" s="1"/>
  <c r="BD37" i="22"/>
  <c r="AM52" i="22"/>
  <c r="AJ14" i="20" s="1"/>
  <c r="AJ44" i="20" s="1"/>
  <c r="AZ37" i="22"/>
  <c r="AN52" i="22"/>
  <c r="AK14" i="20" s="1"/>
  <c r="AK44" i="20" s="1"/>
  <c r="BA37" i="22"/>
  <c r="BK38" i="22"/>
  <c r="AX52" i="22"/>
  <c r="AU14" i="20" s="1"/>
  <c r="AU44" i="20" s="1"/>
  <c r="J14" i="36"/>
  <c r="AA44" i="20"/>
  <c r="J44" i="36" s="1"/>
  <c r="R73" i="20"/>
  <c r="W73" i="20"/>
  <c r="AA73" i="20"/>
  <c r="AC73" i="20" s="1"/>
  <c r="Q73" i="20"/>
  <c r="X73" i="20"/>
  <c r="T73" i="20"/>
  <c r="Y73" i="20"/>
  <c r="U73" i="20"/>
  <c r="Z73" i="20"/>
  <c r="V73" i="20"/>
  <c r="S73" i="20"/>
  <c r="AV37" i="22"/>
  <c r="AI52" i="22"/>
  <c r="AF14" i="20" s="1"/>
  <c r="BG37" i="22"/>
  <c r="AT52" i="22"/>
  <c r="AQ14" i="20" s="1"/>
  <c r="AQ44" i="20" s="1"/>
  <c r="C44" i="36"/>
  <c r="O44" i="20"/>
  <c r="AF52" i="22"/>
  <c r="AC14" i="20" s="1"/>
  <c r="AS37" i="22"/>
  <c r="AR37" i="22"/>
  <c r="V44" i="20"/>
  <c r="I44" i="36" s="1"/>
  <c r="I14" i="36"/>
  <c r="O14" i="20"/>
  <c r="C14" i="36"/>
  <c r="AE52" i="22"/>
  <c r="D18" i="13" s="1"/>
  <c r="AY37" i="22"/>
  <c r="AL52" i="22"/>
  <c r="AI14" i="20" s="1"/>
  <c r="L37" i="16"/>
  <c r="C110" i="13"/>
  <c r="C18" i="9"/>
  <c r="P44" i="20"/>
  <c r="G14" i="36"/>
  <c r="AB14" i="20"/>
  <c r="AU37" i="22"/>
  <c r="AH52" i="22"/>
  <c r="AE14" i="20" s="1"/>
  <c r="AE44" i="20" s="1"/>
  <c r="H14" i="36"/>
  <c r="S44" i="20"/>
  <c r="H44" i="36" s="1"/>
  <c r="C73" i="36"/>
  <c r="O73" i="20"/>
  <c r="AW38" i="22"/>
  <c r="AJ52" i="22"/>
  <c r="AG14" i="20" s="1"/>
  <c r="AG44" i="20" s="1"/>
  <c r="AR38" i="22"/>
  <c r="E82" i="20"/>
  <c r="E83" i="20" s="1"/>
  <c r="E85" i="20" s="1"/>
  <c r="E87" i="20" s="1"/>
  <c r="E89" i="20" s="1"/>
  <c r="F65" i="20" s="1"/>
  <c r="F69" i="20" s="1"/>
  <c r="F80" i="20" s="1"/>
  <c r="CC38" i="22"/>
  <c r="BP52" i="22"/>
  <c r="BM14" i="20" s="1"/>
  <c r="BM44" i="20" s="1"/>
  <c r="BY38" i="22"/>
  <c r="CB52" i="22"/>
  <c r="BY14" i="20" s="1"/>
  <c r="CO37" i="22"/>
  <c r="CO52" i="22" s="1"/>
  <c r="CL14" i="20" s="1"/>
  <c r="CK37" i="22"/>
  <c r="BL44" i="20"/>
  <c r="I73" i="36" l="1"/>
  <c r="AB73" i="20"/>
  <c r="G73" i="36"/>
  <c r="H73" i="36"/>
  <c r="AZ52" i="22"/>
  <c r="AW14" i="20" s="1"/>
  <c r="AW44" i="20" s="1"/>
  <c r="BM37" i="22"/>
  <c r="BX38" i="22"/>
  <c r="BK52" i="22"/>
  <c r="BH14" i="20" s="1"/>
  <c r="BH44" i="20" s="1"/>
  <c r="J73" i="36"/>
  <c r="AD73" i="20"/>
  <c r="AL73" i="20"/>
  <c r="AM73" i="20"/>
  <c r="AH73" i="20"/>
  <c r="AK73" i="20"/>
  <c r="AN73" i="20"/>
  <c r="AP73" i="20" s="1"/>
  <c r="AJ73" i="20"/>
  <c r="AF73" i="20"/>
  <c r="AE73" i="20"/>
  <c r="K73" i="36" s="1"/>
  <c r="AI73" i="20"/>
  <c r="AG73" i="20"/>
  <c r="BA52" i="22"/>
  <c r="AX14" i="20" s="1"/>
  <c r="AX44" i="20" s="1"/>
  <c r="BN37" i="22"/>
  <c r="BD52" i="22"/>
  <c r="BA14" i="20" s="1"/>
  <c r="BQ37" i="22"/>
  <c r="AN44" i="20"/>
  <c r="N44" i="36" s="1"/>
  <c r="N14" i="36"/>
  <c r="BE38" i="22"/>
  <c r="AW52" i="22"/>
  <c r="AT14" i="20" s="1"/>
  <c r="AT44" i="20" s="1"/>
  <c r="BJ38" i="22"/>
  <c r="C94" i="9"/>
  <c r="C201" i="13"/>
  <c r="L73" i="16"/>
  <c r="D110" i="13"/>
  <c r="D18" i="9"/>
  <c r="D42" i="9"/>
  <c r="L11" i="16"/>
  <c r="L19" i="16"/>
  <c r="L27" i="16"/>
  <c r="L35" i="16"/>
  <c r="L12" i="16"/>
  <c r="L20" i="16"/>
  <c r="L28" i="16"/>
  <c r="I8" i="4"/>
  <c r="L13" i="16"/>
  <c r="L21" i="16"/>
  <c r="L29" i="16"/>
  <c r="L7" i="16"/>
  <c r="L14" i="16"/>
  <c r="L22" i="16"/>
  <c r="L30" i="16"/>
  <c r="I52" i="4"/>
  <c r="L8" i="16"/>
  <c r="L15" i="16"/>
  <c r="L23" i="16"/>
  <c r="L31" i="16"/>
  <c r="L6" i="16"/>
  <c r="L16" i="16"/>
  <c r="L24" i="16"/>
  <c r="L32" i="16"/>
  <c r="I94" i="4"/>
  <c r="L9" i="16"/>
  <c r="L17" i="16"/>
  <c r="L25" i="16"/>
  <c r="L33" i="16"/>
  <c r="L10" i="16"/>
  <c r="L18" i="16"/>
  <c r="L26" i="16"/>
  <c r="L34" i="16"/>
  <c r="AR52" i="22"/>
  <c r="E18" i="13" s="1"/>
  <c r="BG52" i="22"/>
  <c r="BD14" i="20" s="1"/>
  <c r="BD44" i="20" s="1"/>
  <c r="BT37" i="22"/>
  <c r="G44" i="36"/>
  <c r="AB44" i="20"/>
  <c r="AO14" i="20"/>
  <c r="M14" i="36"/>
  <c r="AI44" i="20"/>
  <c r="M44" i="36" s="1"/>
  <c r="AS52" i="22"/>
  <c r="AP14" i="20" s="1"/>
  <c r="BF37" i="22"/>
  <c r="BE37" i="22"/>
  <c r="BE52" i="22" s="1"/>
  <c r="F18" i="13" s="1"/>
  <c r="L14" i="36"/>
  <c r="AF44" i="20"/>
  <c r="L44" i="36" s="1"/>
  <c r="AU52" i="22"/>
  <c r="AR14" i="20" s="1"/>
  <c r="AR44" i="20" s="1"/>
  <c r="BH37" i="22"/>
  <c r="BL37" i="22"/>
  <c r="AY52" i="22"/>
  <c r="AV14" i="20" s="1"/>
  <c r="AC44" i="20"/>
  <c r="K14" i="36"/>
  <c r="BI37" i="22"/>
  <c r="AV52" i="22"/>
  <c r="AS14" i="20" s="1"/>
  <c r="CL44" i="20"/>
  <c r="BY44" i="20"/>
  <c r="CL38" i="22"/>
  <c r="CP38" i="22"/>
  <c r="CP52" i="22" s="1"/>
  <c r="CM14" i="20" s="1"/>
  <c r="CM44" i="20" s="1"/>
  <c r="CC52" i="22"/>
  <c r="BZ14" i="20" s="1"/>
  <c r="BZ44" i="20" s="1"/>
  <c r="F82" i="20"/>
  <c r="F83" i="20" s="1"/>
  <c r="F85" i="20" s="1"/>
  <c r="F87" i="20" s="1"/>
  <c r="F89" i="20" s="1"/>
  <c r="G65" i="20" s="1"/>
  <c r="G69" i="20" s="1"/>
  <c r="G80" i="20" s="1"/>
  <c r="M73" i="36" l="1"/>
  <c r="CK38" i="22"/>
  <c r="CK52" i="22" s="1"/>
  <c r="CH14" i="20" s="1"/>
  <c r="CH44" i="20" s="1"/>
  <c r="BX52" i="22"/>
  <c r="BU14" i="20" s="1"/>
  <c r="BU44" i="20" s="1"/>
  <c r="BQ52" i="22"/>
  <c r="BN14" i="20" s="1"/>
  <c r="CD37" i="22"/>
  <c r="AO73" i="20"/>
  <c r="L73" i="36"/>
  <c r="BM52" i="22"/>
  <c r="BJ14" i="20" s="1"/>
  <c r="BJ44" i="20" s="1"/>
  <c r="BZ37" i="22"/>
  <c r="BA44" i="20"/>
  <c r="R44" i="36" s="1"/>
  <c r="R14" i="36"/>
  <c r="BN52" i="22"/>
  <c r="BK14" i="20" s="1"/>
  <c r="BK44" i="20" s="1"/>
  <c r="CA37" i="22"/>
  <c r="AS73" i="20"/>
  <c r="AR73" i="20"/>
  <c r="AY73" i="20"/>
  <c r="AV73" i="20"/>
  <c r="AZ73" i="20"/>
  <c r="AW73" i="20"/>
  <c r="BA73" i="20"/>
  <c r="BC73" i="20" s="1"/>
  <c r="AX73" i="20"/>
  <c r="AU73" i="20"/>
  <c r="AQ73" i="20"/>
  <c r="O73" i="36" s="1"/>
  <c r="AT73" i="20"/>
  <c r="N73" i="36"/>
  <c r="BI52" i="22"/>
  <c r="BF14" i="20" s="1"/>
  <c r="BV37" i="22"/>
  <c r="BY37" i="22"/>
  <c r="BL52" i="22"/>
  <c r="BI14" i="20" s="1"/>
  <c r="C769" i="19"/>
  <c r="C685" i="19"/>
  <c r="J52" i="4"/>
  <c r="B55" i="4"/>
  <c r="A55" i="4" s="1" a="1"/>
  <c r="A55" i="4" s="1"/>
  <c r="C55" i="19" s="1"/>
  <c r="J49" i="4"/>
  <c r="K49" i="4" s="1"/>
  <c r="K52" i="4" s="1"/>
  <c r="C979" i="19"/>
  <c r="C559" i="19"/>
  <c r="C139" i="19"/>
  <c r="C937" i="19"/>
  <c r="C853" i="19"/>
  <c r="BU37" i="22"/>
  <c r="BH52" i="22"/>
  <c r="BE14" i="20" s="1"/>
  <c r="BE44" i="20" s="1"/>
  <c r="F18" i="9"/>
  <c r="F110" i="13"/>
  <c r="F42" i="9"/>
  <c r="BT52" i="22"/>
  <c r="BQ14" i="20" s="1"/>
  <c r="BQ44" i="20" s="1"/>
  <c r="CG37" i="22"/>
  <c r="CG52" i="22" s="1"/>
  <c r="CD14" i="20" s="1"/>
  <c r="CD44" i="20" s="1"/>
  <c r="B97" i="4"/>
  <c r="A97" i="4" s="1" a="1"/>
  <c r="A97" i="4" s="1"/>
  <c r="C97" i="19" s="1"/>
  <c r="J91" i="4"/>
  <c r="K91" i="4" s="1"/>
  <c r="K94" i="4" s="1"/>
  <c r="J94" i="4"/>
  <c r="C1147" i="19"/>
  <c r="C727" i="19"/>
  <c r="C307" i="19"/>
  <c r="C1105" i="19"/>
  <c r="C1021" i="19"/>
  <c r="C265" i="19"/>
  <c r="C181" i="19"/>
  <c r="D201" i="13"/>
  <c r="D94" i="9"/>
  <c r="D118" i="9"/>
  <c r="BJ52" i="22"/>
  <c r="BG14" i="20" s="1"/>
  <c r="BG44" i="20" s="1"/>
  <c r="BW38" i="22"/>
  <c r="BR38" i="22"/>
  <c r="K44" i="36"/>
  <c r="AO44" i="20"/>
  <c r="BS37" i="22"/>
  <c r="BF52" i="22"/>
  <c r="BC14" i="20" s="1"/>
  <c r="BR37" i="22"/>
  <c r="C895" i="19"/>
  <c r="C475" i="19"/>
  <c r="L36" i="16"/>
  <c r="N6" i="16"/>
  <c r="O6" i="16" s="1"/>
  <c r="J46" i="1" s="1"/>
  <c r="I46" i="1" s="1"/>
  <c r="M6" i="16"/>
  <c r="C1189" i="19"/>
  <c r="C433" i="19"/>
  <c r="C349" i="19"/>
  <c r="C1063" i="19"/>
  <c r="C643" i="19"/>
  <c r="L53" i="16"/>
  <c r="L69" i="16"/>
  <c r="L60" i="16"/>
  <c r="L47" i="16"/>
  <c r="L63" i="16"/>
  <c r="L46" i="16"/>
  <c r="L62" i="16"/>
  <c r="L49" i="16"/>
  <c r="L44" i="16"/>
  <c r="L59" i="16"/>
  <c r="L43" i="16"/>
  <c r="L57" i="16"/>
  <c r="L48" i="16"/>
  <c r="L64" i="16"/>
  <c r="L51" i="16"/>
  <c r="L67" i="16"/>
  <c r="L50" i="16"/>
  <c r="L66" i="16"/>
  <c r="L65" i="16"/>
  <c r="L58" i="16"/>
  <c r="L45" i="16"/>
  <c r="L61" i="16"/>
  <c r="L52" i="16"/>
  <c r="L68" i="16"/>
  <c r="L55" i="16"/>
  <c r="L71" i="16"/>
  <c r="L54" i="16"/>
  <c r="L70" i="16"/>
  <c r="L56" i="16"/>
  <c r="L42" i="16"/>
  <c r="P14" i="36"/>
  <c r="AS44" i="20"/>
  <c r="P44" i="36" s="1"/>
  <c r="AV44" i="20"/>
  <c r="Q44" i="36" s="1"/>
  <c r="Q14" i="36"/>
  <c r="AP44" i="20"/>
  <c r="O14" i="36"/>
  <c r="BB14" i="20"/>
  <c r="E42" i="9"/>
  <c r="E110" i="13"/>
  <c r="E18" i="9"/>
  <c r="C223" i="19"/>
  <c r="C601" i="19"/>
  <c r="C517" i="19"/>
  <c r="B11" i="4"/>
  <c r="A11" i="4" s="1" a="1"/>
  <c r="A11" i="4" s="1"/>
  <c r="J8" i="4"/>
  <c r="J5" i="4"/>
  <c r="K5" i="4" s="1"/>
  <c r="K8" i="4" s="1"/>
  <c r="C811" i="19"/>
  <c r="C391" i="19"/>
  <c r="L108" i="16"/>
  <c r="C169" i="9"/>
  <c r="G82" i="20"/>
  <c r="G83" i="20" s="1"/>
  <c r="G85" i="20" s="1"/>
  <c r="G87" i="20" s="1"/>
  <c r="G89" i="20" s="1"/>
  <c r="H65" i="20" s="1"/>
  <c r="H69" i="20" s="1"/>
  <c r="H80" i="20" s="1"/>
  <c r="C60" i="16" l="1"/>
  <c r="C64" i="16"/>
  <c r="C33" i="16"/>
  <c r="C89" i="16"/>
  <c r="C82" i="16"/>
  <c r="C55" i="16"/>
  <c r="C86" i="16"/>
  <c r="C15" i="16"/>
  <c r="C61" i="16"/>
  <c r="C35" i="16"/>
  <c r="C87" i="16"/>
  <c r="C11" i="16"/>
  <c r="C30" i="16"/>
  <c r="C13" i="16"/>
  <c r="C81" i="16"/>
  <c r="C100" i="16"/>
  <c r="C50" i="16"/>
  <c r="C101" i="16"/>
  <c r="C17" i="16"/>
  <c r="C49" i="16"/>
  <c r="C31" i="16"/>
  <c r="C53" i="16"/>
  <c r="C69" i="16"/>
  <c r="C23" i="16"/>
  <c r="C16" i="16"/>
  <c r="C83" i="16"/>
  <c r="C52" i="16"/>
  <c r="C10" i="16"/>
  <c r="C98" i="16"/>
  <c r="C51" i="16"/>
  <c r="C45" i="16"/>
  <c r="C48" i="16"/>
  <c r="C103" i="16"/>
  <c r="C27" i="16"/>
  <c r="C68" i="16"/>
  <c r="C97" i="16"/>
  <c r="C26" i="16"/>
  <c r="C58" i="16"/>
  <c r="C29" i="16"/>
  <c r="C66" i="16"/>
  <c r="C85" i="16"/>
  <c r="C105" i="16"/>
  <c r="C24" i="16"/>
  <c r="C88" i="16"/>
  <c r="C106" i="16"/>
  <c r="C65" i="16"/>
  <c r="C99" i="16"/>
  <c r="C62" i="16"/>
  <c r="C91" i="16"/>
  <c r="C12" i="16"/>
  <c r="C22" i="16"/>
  <c r="C57" i="16"/>
  <c r="C71" i="16"/>
  <c r="C46" i="16"/>
  <c r="C59" i="16"/>
  <c r="C9" i="16"/>
  <c r="C104" i="16"/>
  <c r="C67" i="16"/>
  <c r="C28" i="16"/>
  <c r="C102" i="16"/>
  <c r="C14" i="16"/>
  <c r="C47" i="16"/>
  <c r="C56" i="16"/>
  <c r="C19" i="16"/>
  <c r="C21" i="16"/>
  <c r="C25" i="16"/>
  <c r="C96" i="16"/>
  <c r="C18" i="16"/>
  <c r="C20" i="16"/>
  <c r="C54" i="16"/>
  <c r="C32" i="16"/>
  <c r="C94" i="16"/>
  <c r="C84" i="16"/>
  <c r="C63" i="16"/>
  <c r="C95" i="16"/>
  <c r="C90" i="16"/>
  <c r="C80" i="16"/>
  <c r="C93" i="16"/>
  <c r="C34" i="16"/>
  <c r="C92" i="16"/>
  <c r="C70" i="16"/>
  <c r="P73" i="36"/>
  <c r="Q6" i="16"/>
  <c r="F199" i="1"/>
  <c r="H199" i="1" s="1"/>
  <c r="BR52" i="22"/>
  <c r="G18" i="13" s="1"/>
  <c r="G18" i="9" s="1"/>
  <c r="Q73" i="36"/>
  <c r="CA52" i="22"/>
  <c r="BX14" i="20" s="1"/>
  <c r="BX44" i="20" s="1"/>
  <c r="CN37" i="22"/>
  <c r="CN52" i="22" s="1"/>
  <c r="CK14" i="20" s="1"/>
  <c r="CK44" i="20" s="1"/>
  <c r="BZ52" i="22"/>
  <c r="BW14" i="20" s="1"/>
  <c r="BW44" i="20" s="1"/>
  <c r="CM37" i="22"/>
  <c r="CM52" i="22" s="1"/>
  <c r="CJ14" i="20" s="1"/>
  <c r="CJ44" i="20" s="1"/>
  <c r="CQ37" i="22"/>
  <c r="CQ52" i="22" s="1"/>
  <c r="CN14" i="20" s="1"/>
  <c r="CD52" i="22"/>
  <c r="CA14" i="20" s="1"/>
  <c r="BL73" i="20"/>
  <c r="BJ73" i="20"/>
  <c r="BF73" i="20"/>
  <c r="BI73" i="20"/>
  <c r="BN73" i="20"/>
  <c r="BP73" i="20" s="1"/>
  <c r="BD73" i="20"/>
  <c r="BG73" i="20"/>
  <c r="BK73" i="20"/>
  <c r="BM73" i="20"/>
  <c r="BH73" i="20"/>
  <c r="BE73" i="20"/>
  <c r="R73" i="36"/>
  <c r="BN44" i="20"/>
  <c r="V44" i="36" s="1"/>
  <c r="V14" i="36"/>
  <c r="BB73" i="20"/>
  <c r="F171" i="1"/>
  <c r="H171" i="1" s="1"/>
  <c r="F197" i="1"/>
  <c r="H197" i="1" s="1"/>
  <c r="F180" i="1"/>
  <c r="H180" i="1" s="1"/>
  <c r="F111" i="1"/>
  <c r="H111" i="1" s="1"/>
  <c r="F134" i="1"/>
  <c r="H134" i="1" s="1"/>
  <c r="F152" i="1"/>
  <c r="H152" i="1" s="1"/>
  <c r="F89" i="1"/>
  <c r="H89" i="1" s="1"/>
  <c r="F112" i="1"/>
  <c r="H112" i="1" s="1"/>
  <c r="C8" i="16"/>
  <c r="C44" i="16"/>
  <c r="F209" i="1"/>
  <c r="H209" i="1" s="1"/>
  <c r="F192" i="1"/>
  <c r="H192" i="1" s="1"/>
  <c r="F123" i="1"/>
  <c r="H123" i="1" s="1"/>
  <c r="F146" i="1"/>
  <c r="H146" i="1" s="1"/>
  <c r="F82" i="1"/>
  <c r="H82" i="1" s="1"/>
  <c r="F101" i="1"/>
  <c r="H101" i="1" s="1"/>
  <c r="F124" i="1"/>
  <c r="H124" i="1" s="1"/>
  <c r="F167" i="1"/>
  <c r="H167" i="1" s="1"/>
  <c r="F195" i="1"/>
  <c r="H195" i="1" s="1"/>
  <c r="F174" i="1"/>
  <c r="H174" i="1" s="1"/>
  <c r="F204" i="1"/>
  <c r="H204" i="1" s="1"/>
  <c r="F135" i="1"/>
  <c r="H135" i="1" s="1"/>
  <c r="F158" i="1"/>
  <c r="H158" i="1" s="1"/>
  <c r="F94" i="1"/>
  <c r="H94" i="1" s="1"/>
  <c r="F113" i="1"/>
  <c r="H113" i="1" s="1"/>
  <c r="F136" i="1"/>
  <c r="H136" i="1" s="1"/>
  <c r="F202" i="1"/>
  <c r="H202" i="1" s="1"/>
  <c r="F185" i="1"/>
  <c r="H185" i="1" s="1"/>
  <c r="F168" i="1"/>
  <c r="H168" i="1" s="1"/>
  <c r="F99" i="1"/>
  <c r="H99" i="1" s="1"/>
  <c r="F122" i="1"/>
  <c r="H122" i="1" s="1"/>
  <c r="F141" i="1"/>
  <c r="H141" i="1" s="1"/>
  <c r="F198" i="1"/>
  <c r="H198" i="1" s="1"/>
  <c r="F181" i="1"/>
  <c r="H181" i="1" s="1"/>
  <c r="F161" i="1"/>
  <c r="H161" i="1" s="1"/>
  <c r="F95" i="1"/>
  <c r="H95" i="1" s="1"/>
  <c r="F118" i="1"/>
  <c r="H118" i="1" s="1"/>
  <c r="F137" i="1"/>
  <c r="H137" i="1" s="1"/>
  <c r="F159" i="1"/>
  <c r="H159" i="1" s="1"/>
  <c r="F96" i="1"/>
  <c r="H96" i="1" s="1"/>
  <c r="C43" i="16"/>
  <c r="C11" i="19"/>
  <c r="F183" i="1"/>
  <c r="H183" i="1" s="1"/>
  <c r="F193" i="1"/>
  <c r="H193" i="1" s="1"/>
  <c r="F176" i="1"/>
  <c r="H176" i="1" s="1"/>
  <c r="F107" i="1"/>
  <c r="H107" i="1" s="1"/>
  <c r="F130" i="1"/>
  <c r="H130" i="1" s="1"/>
  <c r="F149" i="1"/>
  <c r="H149" i="1" s="1"/>
  <c r="F85" i="1"/>
  <c r="H85" i="1" s="1"/>
  <c r="F108" i="1"/>
  <c r="H108" i="1" s="1"/>
  <c r="F179" i="1"/>
  <c r="H179" i="1" s="1"/>
  <c r="F205" i="1"/>
  <c r="H205" i="1" s="1"/>
  <c r="F188" i="1"/>
  <c r="H188" i="1" s="1"/>
  <c r="F119" i="1"/>
  <c r="H119" i="1" s="1"/>
  <c r="F142" i="1"/>
  <c r="H142" i="1" s="1"/>
  <c r="F160" i="1"/>
  <c r="H160" i="1" s="1"/>
  <c r="F97" i="1"/>
  <c r="H97" i="1" s="1"/>
  <c r="F120" i="1"/>
  <c r="H120" i="1" s="1"/>
  <c r="F207" i="1"/>
  <c r="H207" i="1" s="1"/>
  <c r="F186" i="1"/>
  <c r="H186" i="1" s="1"/>
  <c r="F169" i="1"/>
  <c r="H169" i="1" s="1"/>
  <c r="F147" i="1"/>
  <c r="H147" i="1" s="1"/>
  <c r="F83" i="1"/>
  <c r="H83" i="1" s="1"/>
  <c r="F106" i="1"/>
  <c r="H106" i="1" s="1"/>
  <c r="F125" i="1"/>
  <c r="H125" i="1" s="1"/>
  <c r="F148" i="1"/>
  <c r="H148" i="1" s="1"/>
  <c r="F84" i="1"/>
  <c r="H84" i="1" s="1"/>
  <c r="F203" i="1"/>
  <c r="H203" i="1" s="1"/>
  <c r="F182" i="1"/>
  <c r="H182" i="1" s="1"/>
  <c r="F164" i="1"/>
  <c r="H164" i="1" s="1"/>
  <c r="F143" i="1"/>
  <c r="H143" i="1" s="1"/>
  <c r="F165" i="1"/>
  <c r="H165" i="1" s="1"/>
  <c r="F102" i="1"/>
  <c r="H102" i="1" s="1"/>
  <c r="F121" i="1"/>
  <c r="H121" i="1" s="1"/>
  <c r="F144" i="1"/>
  <c r="H144" i="1" s="1"/>
  <c r="F80" i="1"/>
  <c r="H80" i="1" s="1"/>
  <c r="C78" i="16"/>
  <c r="F194" i="1"/>
  <c r="H194" i="1" s="1"/>
  <c r="F177" i="1"/>
  <c r="H177" i="1" s="1"/>
  <c r="F156" i="1"/>
  <c r="H156" i="1" s="1"/>
  <c r="F91" i="1"/>
  <c r="H91" i="1" s="1"/>
  <c r="F114" i="1"/>
  <c r="H114" i="1" s="1"/>
  <c r="F133" i="1"/>
  <c r="H133" i="1" s="1"/>
  <c r="F154" i="1"/>
  <c r="H154" i="1" s="1"/>
  <c r="F92" i="1"/>
  <c r="H92" i="1" s="1"/>
  <c r="F206" i="1"/>
  <c r="H206" i="1" s="1"/>
  <c r="F189" i="1"/>
  <c r="H189" i="1" s="1"/>
  <c r="F172" i="1"/>
  <c r="H172" i="1" s="1"/>
  <c r="F103" i="1"/>
  <c r="H103" i="1" s="1"/>
  <c r="F126" i="1"/>
  <c r="H126" i="1" s="1"/>
  <c r="F145" i="1"/>
  <c r="H145" i="1" s="1"/>
  <c r="F81" i="1"/>
  <c r="H81" i="1" s="1"/>
  <c r="F104" i="1"/>
  <c r="H104" i="1" s="1"/>
  <c r="F191" i="1"/>
  <c r="H191" i="1" s="1"/>
  <c r="F170" i="1"/>
  <c r="H170" i="1" s="1"/>
  <c r="F200" i="1"/>
  <c r="H200" i="1" s="1"/>
  <c r="F131" i="1"/>
  <c r="H131" i="1" s="1"/>
  <c r="F187" i="1"/>
  <c r="H187" i="1" s="1"/>
  <c r="F166" i="1"/>
  <c r="H166" i="1" s="1"/>
  <c r="F196" i="1"/>
  <c r="H196" i="1" s="1"/>
  <c r="F127" i="1"/>
  <c r="H127" i="1" s="1"/>
  <c r="F150" i="1"/>
  <c r="H150" i="1" s="1"/>
  <c r="F86" i="1"/>
  <c r="H86" i="1" s="1"/>
  <c r="F105" i="1"/>
  <c r="H105" i="1" s="1"/>
  <c r="F128" i="1"/>
  <c r="H128" i="1" s="1"/>
  <c r="C7" i="16"/>
  <c r="C79" i="16"/>
  <c r="F178" i="1"/>
  <c r="H178" i="1" s="1"/>
  <c r="F208" i="1"/>
  <c r="H208" i="1" s="1"/>
  <c r="F139" i="1"/>
  <c r="H139" i="1" s="1"/>
  <c r="F163" i="1"/>
  <c r="H163" i="1" s="1"/>
  <c r="F98" i="1"/>
  <c r="H98" i="1" s="1"/>
  <c r="F117" i="1"/>
  <c r="H117" i="1" s="1"/>
  <c r="F140" i="1"/>
  <c r="H140" i="1" s="1"/>
  <c r="F79" i="1"/>
  <c r="H79" i="1" s="1"/>
  <c r="F190" i="1"/>
  <c r="H190" i="1" s="1"/>
  <c r="F173" i="1"/>
  <c r="H173" i="1" s="1"/>
  <c r="F153" i="1"/>
  <c r="H153" i="1" s="1"/>
  <c r="F87" i="1"/>
  <c r="H87" i="1" s="1"/>
  <c r="F110" i="1"/>
  <c r="H110" i="1" s="1"/>
  <c r="F129" i="1"/>
  <c r="H129" i="1" s="1"/>
  <c r="F151" i="1"/>
  <c r="H151" i="1" s="1"/>
  <c r="F88" i="1"/>
  <c r="H88" i="1" s="1"/>
  <c r="H213" i="1" s="1"/>
  <c r="F175" i="1"/>
  <c r="H175" i="1" s="1"/>
  <c r="F201" i="1"/>
  <c r="H201" i="1" s="1"/>
  <c r="F184" i="1"/>
  <c r="H184" i="1" s="1"/>
  <c r="F115" i="1"/>
  <c r="H115" i="1" s="1"/>
  <c r="F138" i="1"/>
  <c r="H138" i="1" s="1"/>
  <c r="F157" i="1"/>
  <c r="H157" i="1" s="1"/>
  <c r="F93" i="1"/>
  <c r="H93" i="1" s="1"/>
  <c r="F116" i="1"/>
  <c r="H116" i="1" s="1"/>
  <c r="F162" i="1"/>
  <c r="H162" i="1" s="1"/>
  <c r="F100" i="1"/>
  <c r="H100" i="1" s="1"/>
  <c r="F109" i="1"/>
  <c r="H109" i="1" s="1"/>
  <c r="F132" i="1"/>
  <c r="H132" i="1" s="1"/>
  <c r="F155" i="1"/>
  <c r="H155" i="1" s="1"/>
  <c r="F90" i="1"/>
  <c r="H90" i="1" s="1"/>
  <c r="M42" i="16"/>
  <c r="L72" i="16"/>
  <c r="N42" i="16"/>
  <c r="O42" i="16" s="1"/>
  <c r="BS52" i="22"/>
  <c r="BP14" i="20" s="1"/>
  <c r="CF37" i="22"/>
  <c r="CE37" i="22"/>
  <c r="BW52" i="22"/>
  <c r="BT14" i="20" s="1"/>
  <c r="BT44" i="20" s="1"/>
  <c r="CE38" i="22"/>
  <c r="CJ38" i="22"/>
  <c r="D169" i="9"/>
  <c r="D193" i="9"/>
  <c r="F201" i="13"/>
  <c r="F118" i="9"/>
  <c r="F94" i="9"/>
  <c r="BI44" i="20"/>
  <c r="U44" i="36" s="1"/>
  <c r="U14" i="36"/>
  <c r="CL37" i="22"/>
  <c r="CL52" i="22" s="1"/>
  <c r="CI14" i="20" s="1"/>
  <c r="BY52" i="22"/>
  <c r="BV14" i="20" s="1"/>
  <c r="L79" i="16"/>
  <c r="L94" i="16"/>
  <c r="L77" i="16"/>
  <c r="L93" i="16"/>
  <c r="L80" i="16"/>
  <c r="L96" i="16"/>
  <c r="L87" i="16"/>
  <c r="L103" i="16"/>
  <c r="L82" i="16"/>
  <c r="L98" i="16"/>
  <c r="L81" i="16"/>
  <c r="L97" i="16"/>
  <c r="L84" i="16"/>
  <c r="L100" i="16"/>
  <c r="L91" i="16"/>
  <c r="L86" i="16"/>
  <c r="L102" i="16"/>
  <c r="L85" i="16"/>
  <c r="L101" i="16"/>
  <c r="L88" i="16"/>
  <c r="L104" i="16"/>
  <c r="L95" i="16"/>
  <c r="L78" i="16"/>
  <c r="L90" i="16"/>
  <c r="L106" i="16"/>
  <c r="L89" i="16"/>
  <c r="L105" i="16"/>
  <c r="L92" i="16"/>
  <c r="L83" i="16"/>
  <c r="L99" i="16"/>
  <c r="CI37" i="22"/>
  <c r="CI52" i="22" s="1"/>
  <c r="CF14" i="20" s="1"/>
  <c r="BV52" i="22"/>
  <c r="BS14" i="20" s="1"/>
  <c r="E201" i="13"/>
  <c r="E94" i="9"/>
  <c r="E118" i="9"/>
  <c r="O44" i="36"/>
  <c r="BB44" i="20"/>
  <c r="BC44" i="20"/>
  <c r="S14" i="36"/>
  <c r="BO14" i="20"/>
  <c r="CH37" i="22"/>
  <c r="CH52" i="22" s="1"/>
  <c r="CE14" i="20" s="1"/>
  <c r="CE44" i="20" s="1"/>
  <c r="BU52" i="22"/>
  <c r="BR14" i="20" s="1"/>
  <c r="BR44" i="20" s="1"/>
  <c r="BF44" i="20"/>
  <c r="T44" i="36" s="1"/>
  <c r="T14" i="36"/>
  <c r="Q42" i="16"/>
  <c r="H82" i="20"/>
  <c r="H83" i="20" s="1"/>
  <c r="H85" i="20" s="1"/>
  <c r="H87" i="20" s="1"/>
  <c r="H89" i="20" s="1"/>
  <c r="I65" i="20" s="1"/>
  <c r="I69" i="20" s="1"/>
  <c r="I80" i="20" s="1"/>
  <c r="I92" i="16" l="1"/>
  <c r="D92" i="16"/>
  <c r="I90" i="16"/>
  <c r="D90" i="16"/>
  <c r="I94" i="16"/>
  <c r="D94" i="16"/>
  <c r="D18" i="16"/>
  <c r="C137" i="15"/>
  <c r="I18" i="16"/>
  <c r="I19" i="16"/>
  <c r="C140" i="15"/>
  <c r="D19" i="16"/>
  <c r="I102" i="16"/>
  <c r="D102" i="16"/>
  <c r="I9" i="16"/>
  <c r="C110" i="15"/>
  <c r="D9" i="16"/>
  <c r="I57" i="16"/>
  <c r="D57" i="16"/>
  <c r="D62" i="16"/>
  <c r="I62" i="16"/>
  <c r="I88" i="16"/>
  <c r="D88" i="16"/>
  <c r="I66" i="16"/>
  <c r="D66" i="16"/>
  <c r="I97" i="16"/>
  <c r="D97" i="16"/>
  <c r="D48" i="16"/>
  <c r="I48" i="16"/>
  <c r="C113" i="15"/>
  <c r="D10" i="16"/>
  <c r="I10" i="16"/>
  <c r="I23" i="16"/>
  <c r="D23" i="16"/>
  <c r="C152" i="15"/>
  <c r="I49" i="16"/>
  <c r="D49" i="16"/>
  <c r="I100" i="16"/>
  <c r="D100" i="16"/>
  <c r="C116" i="15"/>
  <c r="I11" i="16"/>
  <c r="D11" i="16"/>
  <c r="I15" i="16"/>
  <c r="C128" i="15"/>
  <c r="D15" i="16"/>
  <c r="I89" i="16"/>
  <c r="D89" i="16"/>
  <c r="C185" i="15"/>
  <c r="D34" i="16"/>
  <c r="I34" i="16"/>
  <c r="I95" i="16"/>
  <c r="D95" i="16"/>
  <c r="I32" i="16"/>
  <c r="D32" i="16"/>
  <c r="C179" i="15"/>
  <c r="I96" i="16"/>
  <c r="D96" i="16"/>
  <c r="I56" i="16"/>
  <c r="D56" i="16"/>
  <c r="I28" i="16"/>
  <c r="C167" i="15"/>
  <c r="D28" i="16"/>
  <c r="I59" i="16"/>
  <c r="D59" i="16"/>
  <c r="I22" i="16"/>
  <c r="C149" i="15"/>
  <c r="D22" i="16"/>
  <c r="D99" i="16"/>
  <c r="I99" i="16"/>
  <c r="C155" i="15"/>
  <c r="D24" i="16"/>
  <c r="I24" i="16"/>
  <c r="I29" i="16"/>
  <c r="C170" i="15"/>
  <c r="D29" i="16"/>
  <c r="I68" i="16"/>
  <c r="D68" i="16"/>
  <c r="I45" i="16"/>
  <c r="D45" i="16"/>
  <c r="I52" i="16"/>
  <c r="D52" i="16"/>
  <c r="I69" i="16"/>
  <c r="D69" i="16"/>
  <c r="D17" i="16"/>
  <c r="I17" i="16"/>
  <c r="C134" i="15"/>
  <c r="I81" i="16"/>
  <c r="D81" i="16"/>
  <c r="D87" i="16"/>
  <c r="I87" i="16"/>
  <c r="I86" i="16"/>
  <c r="D86" i="16"/>
  <c r="I33" i="16"/>
  <c r="C182" i="15"/>
  <c r="D33" i="16"/>
  <c r="I93" i="16"/>
  <c r="D93" i="16"/>
  <c r="I63" i="16"/>
  <c r="D63" i="16"/>
  <c r="I54" i="16"/>
  <c r="D54" i="16"/>
  <c r="C158" i="15"/>
  <c r="D25" i="16"/>
  <c r="I25" i="16"/>
  <c r="I47" i="16"/>
  <c r="D47" i="16"/>
  <c r="I67" i="16"/>
  <c r="D67" i="16"/>
  <c r="I46" i="16"/>
  <c r="D46" i="16"/>
  <c r="I12" i="16"/>
  <c r="C119" i="15"/>
  <c r="D12" i="16"/>
  <c r="D65" i="16"/>
  <c r="I65" i="16"/>
  <c r="D105" i="16"/>
  <c r="I105" i="16"/>
  <c r="D58" i="16"/>
  <c r="I58" i="16"/>
  <c r="C164" i="15"/>
  <c r="D27" i="16"/>
  <c r="I27" i="16"/>
  <c r="I51" i="16"/>
  <c r="D51" i="16"/>
  <c r="I83" i="16"/>
  <c r="D83" i="16"/>
  <c r="I53" i="16"/>
  <c r="D53" i="16"/>
  <c r="D101" i="16"/>
  <c r="I101" i="16"/>
  <c r="D13" i="16"/>
  <c r="C122" i="15"/>
  <c r="I13" i="16"/>
  <c r="I35" i="16"/>
  <c r="C188" i="15"/>
  <c r="D35" i="16"/>
  <c r="I55" i="16"/>
  <c r="D55" i="16"/>
  <c r="D64" i="16"/>
  <c r="I64" i="16"/>
  <c r="D70" i="16"/>
  <c r="I70" i="16"/>
  <c r="I80" i="16"/>
  <c r="D80" i="16"/>
  <c r="I84" i="16"/>
  <c r="D84" i="16"/>
  <c r="I20" i="16"/>
  <c r="C143" i="15"/>
  <c r="D20" i="16"/>
  <c r="D21" i="16"/>
  <c r="C146" i="15"/>
  <c r="I21" i="16"/>
  <c r="I14" i="16"/>
  <c r="C125" i="15"/>
  <c r="D14" i="16"/>
  <c r="I104" i="16"/>
  <c r="D104" i="16"/>
  <c r="D71" i="16"/>
  <c r="I71" i="16"/>
  <c r="I91" i="16"/>
  <c r="D91" i="16"/>
  <c r="I106" i="16"/>
  <c r="D106" i="16"/>
  <c r="I85" i="16"/>
  <c r="D85" i="16"/>
  <c r="C161" i="15"/>
  <c r="D26" i="16"/>
  <c r="I26" i="16"/>
  <c r="I103" i="16"/>
  <c r="D103" i="16"/>
  <c r="I98" i="16"/>
  <c r="D98" i="16"/>
  <c r="D16" i="16"/>
  <c r="C131" i="15"/>
  <c r="I16" i="16"/>
  <c r="D31" i="16"/>
  <c r="I31" i="16"/>
  <c r="C176" i="15"/>
  <c r="I50" i="16"/>
  <c r="D50" i="16"/>
  <c r="I30" i="16"/>
  <c r="C173" i="15"/>
  <c r="D30" i="16"/>
  <c r="D61" i="16"/>
  <c r="I61" i="16"/>
  <c r="D82" i="16"/>
  <c r="I82" i="16"/>
  <c r="D60" i="16"/>
  <c r="I60" i="16"/>
  <c r="S73" i="36"/>
  <c r="H212" i="1"/>
  <c r="G213" i="1" s="1"/>
  <c r="G42" i="9"/>
  <c r="G110" i="13"/>
  <c r="G94" i="9" s="1"/>
  <c r="T73" i="36"/>
  <c r="BO73" i="20"/>
  <c r="BQ73" i="20"/>
  <c r="BT73" i="20"/>
  <c r="BZ73" i="20"/>
  <c r="BR73" i="20"/>
  <c r="BW73" i="20"/>
  <c r="BU73" i="20"/>
  <c r="BV73" i="20"/>
  <c r="BX73" i="20"/>
  <c r="CA73" i="20"/>
  <c r="CC73" i="20" s="1"/>
  <c r="BS73" i="20"/>
  <c r="BY73" i="20"/>
  <c r="V73" i="36"/>
  <c r="U73" i="36"/>
  <c r="CA44" i="20"/>
  <c r="Z44" i="36" s="1"/>
  <c r="Z14" i="36"/>
  <c r="CN44" i="20"/>
  <c r="AD44" i="36" s="1"/>
  <c r="AD14" i="36"/>
  <c r="CF44" i="20"/>
  <c r="Y14" i="36"/>
  <c r="BV44" i="20"/>
  <c r="Y44" i="36" s="1"/>
  <c r="F193" i="9"/>
  <c r="F169" i="9"/>
  <c r="CE52" i="22"/>
  <c r="H18" i="13" s="1"/>
  <c r="D78" i="16"/>
  <c r="I78" i="16"/>
  <c r="I43" i="16"/>
  <c r="D43" i="16"/>
  <c r="CI44" i="20"/>
  <c r="AC44" i="36" s="1"/>
  <c r="AC14" i="36"/>
  <c r="CJ52" i="22"/>
  <c r="CG14" i="20" s="1"/>
  <c r="CG44" i="20" s="1"/>
  <c r="CR38" i="22"/>
  <c r="CF52" i="22"/>
  <c r="CC14" i="20" s="1"/>
  <c r="CR37" i="22"/>
  <c r="E193" i="9"/>
  <c r="E169" i="9"/>
  <c r="BP44" i="20"/>
  <c r="CB14" i="20"/>
  <c r="W14" i="36"/>
  <c r="H210" i="1"/>
  <c r="G167" i="1" s="1"/>
  <c r="I79" i="16"/>
  <c r="D79" i="16"/>
  <c r="S44" i="36"/>
  <c r="BO44" i="20"/>
  <c r="BS44" i="20"/>
  <c r="X44" i="36" s="1"/>
  <c r="X14" i="36"/>
  <c r="N77" i="16"/>
  <c r="O77" i="16" s="1"/>
  <c r="Q77" i="16" s="1"/>
  <c r="L107" i="16"/>
  <c r="M77" i="16"/>
  <c r="F71" i="20"/>
  <c r="G42" i="20"/>
  <c r="G47" i="20" s="1"/>
  <c r="G50" i="20" s="1"/>
  <c r="G71" i="20"/>
  <c r="L42" i="20"/>
  <c r="E42" i="20"/>
  <c r="E47" i="20" s="1"/>
  <c r="E50" i="20" s="1"/>
  <c r="I71" i="20"/>
  <c r="N42" i="20"/>
  <c r="N47" i="20" s="1"/>
  <c r="N50" i="20" s="1"/>
  <c r="T71" i="20"/>
  <c r="AT71" i="20"/>
  <c r="BT71" i="20"/>
  <c r="U71" i="20"/>
  <c r="AH71" i="20"/>
  <c r="AU71" i="20"/>
  <c r="BH71" i="20"/>
  <c r="BU71" i="20"/>
  <c r="CH71" i="20"/>
  <c r="AJ71" i="20"/>
  <c r="BJ71" i="20"/>
  <c r="CJ71" i="20"/>
  <c r="Y71" i="20"/>
  <c r="AL71" i="20"/>
  <c r="AY71" i="20"/>
  <c r="BL71" i="20"/>
  <c r="BY71" i="20"/>
  <c r="CK71" i="20"/>
  <c r="I7" i="16"/>
  <c r="B42" i="20"/>
  <c r="H71" i="20"/>
  <c r="M42" i="20"/>
  <c r="M47" i="20" s="1"/>
  <c r="M50" i="20" s="1"/>
  <c r="B42" i="36"/>
  <c r="B47" i="36" s="1"/>
  <c r="B50" i="36" s="1"/>
  <c r="B51" i="36" s="1"/>
  <c r="B53" i="36" s="1"/>
  <c r="B54" i="36" s="1"/>
  <c r="B56" i="36" s="1"/>
  <c r="B58" i="36" s="1"/>
  <c r="B60" i="36" s="1"/>
  <c r="C36" i="36" s="1"/>
  <c r="C40" i="36" s="1"/>
  <c r="BG71" i="20"/>
  <c r="AA71" i="20"/>
  <c r="BN71" i="20"/>
  <c r="W71" i="20"/>
  <c r="S71" i="20"/>
  <c r="AS71" i="20"/>
  <c r="CF71" i="20"/>
  <c r="J71" i="20"/>
  <c r="K42" i="20"/>
  <c r="K47" i="20" s="1"/>
  <c r="K50" i="20" s="1"/>
  <c r="K71" i="20"/>
  <c r="D71" i="20"/>
  <c r="I42" i="20"/>
  <c r="M71" i="20"/>
  <c r="R71" i="20"/>
  <c r="Z71" i="20"/>
  <c r="AZ71" i="20"/>
  <c r="BZ71" i="20"/>
  <c r="V71" i="20"/>
  <c r="AI71" i="20"/>
  <c r="AV71" i="20"/>
  <c r="BI71" i="20"/>
  <c r="BV71" i="20"/>
  <c r="P71" i="20"/>
  <c r="AQ71" i="20"/>
  <c r="BQ71" i="20"/>
  <c r="Q71" i="20"/>
  <c r="AE71" i="20"/>
  <c r="AR71" i="20"/>
  <c r="BE71" i="20"/>
  <c r="BR71" i="20"/>
  <c r="CE71" i="20"/>
  <c r="CL71" i="20"/>
  <c r="B71" i="20"/>
  <c r="N71" i="20"/>
  <c r="D42" i="20"/>
  <c r="D47" i="20" s="1"/>
  <c r="D50" i="20" s="1"/>
  <c r="F42" i="20"/>
  <c r="AG71" i="20"/>
  <c r="CG71" i="20"/>
  <c r="AN71" i="20"/>
  <c r="BA71" i="20"/>
  <c r="CA71" i="20"/>
  <c r="BW71" i="20"/>
  <c r="BF71" i="20"/>
  <c r="CN71" i="20"/>
  <c r="C104" i="15"/>
  <c r="C42" i="20"/>
  <c r="C71" i="20"/>
  <c r="H42" i="20"/>
  <c r="H47" i="20" s="1"/>
  <c r="H50" i="20" s="1"/>
  <c r="L71" i="20"/>
  <c r="E71" i="20"/>
  <c r="J42" i="20"/>
  <c r="J47" i="20" s="1"/>
  <c r="J50" i="20" s="1"/>
  <c r="B71" i="36"/>
  <c r="B76" i="36" s="1"/>
  <c r="B79" i="36" s="1"/>
  <c r="B80" i="36" s="1"/>
  <c r="B82" i="36" s="1"/>
  <c r="B83" i="36" s="1"/>
  <c r="B85" i="36" s="1"/>
  <c r="B87" i="36" s="1"/>
  <c r="B89" i="36" s="1"/>
  <c r="C65" i="36" s="1"/>
  <c r="C69" i="36" s="1"/>
  <c r="AM71" i="20"/>
  <c r="BM71" i="20"/>
  <c r="CM71" i="20"/>
  <c r="AC71" i="20"/>
  <c r="AP71" i="20"/>
  <c r="BC71" i="20"/>
  <c r="BP71" i="20"/>
  <c r="CC71" i="20"/>
  <c r="AD71" i="20"/>
  <c r="BD71" i="20"/>
  <c r="CD71" i="20"/>
  <c r="X71" i="20"/>
  <c r="AK71" i="20"/>
  <c r="AX71" i="20"/>
  <c r="BK71" i="20"/>
  <c r="BX71" i="20"/>
  <c r="CI71" i="20"/>
  <c r="D7" i="16"/>
  <c r="AW71" i="20"/>
  <c r="AF71" i="20"/>
  <c r="BS71" i="20"/>
  <c r="D14" i="19"/>
  <c r="E14" i="19" s="1"/>
  <c r="F14" i="19" s="1"/>
  <c r="D19" i="19"/>
  <c r="E19" i="19" s="1"/>
  <c r="F19" i="19" s="1"/>
  <c r="D16" i="19"/>
  <c r="E16" i="19" s="1"/>
  <c r="F16" i="19" s="1"/>
  <c r="D7" i="19"/>
  <c r="E7" i="19" s="1"/>
  <c r="F7" i="19" s="1"/>
  <c r="D11" i="19"/>
  <c r="E11" i="19" s="1"/>
  <c r="F11" i="19" s="1"/>
  <c r="D12" i="19"/>
  <c r="E12" i="19" s="1"/>
  <c r="F12" i="19" s="1"/>
  <c r="D17" i="19"/>
  <c r="E17" i="19" s="1"/>
  <c r="F17" i="19" s="1"/>
  <c r="D226" i="19"/>
  <c r="E226" i="19" s="1"/>
  <c r="F226" i="19" s="1"/>
  <c r="D4" i="19"/>
  <c r="E4" i="19" s="1"/>
  <c r="F4" i="19" s="1"/>
  <c r="D227" i="19"/>
  <c r="E227" i="19" s="1"/>
  <c r="F227" i="19" s="1"/>
  <c r="D225" i="19"/>
  <c r="E225" i="19" s="1"/>
  <c r="F225" i="19" s="1"/>
  <c r="D9" i="19"/>
  <c r="E9" i="19" s="1"/>
  <c r="F9" i="19" s="1"/>
  <c r="D6" i="19"/>
  <c r="E6" i="19" s="1"/>
  <c r="F6" i="19" s="1"/>
  <c r="D15" i="19"/>
  <c r="E15" i="19" s="1"/>
  <c r="F15" i="19" s="1"/>
  <c r="D5" i="19"/>
  <c r="E5" i="19" s="1"/>
  <c r="F5" i="19" s="1"/>
  <c r="D21" i="19"/>
  <c r="E21" i="19" s="1"/>
  <c r="F21" i="19" s="1"/>
  <c r="D18" i="19"/>
  <c r="E18" i="19" s="1"/>
  <c r="F18" i="19" s="1"/>
  <c r="D10" i="19"/>
  <c r="E10" i="19" s="1"/>
  <c r="F10" i="19" s="1"/>
  <c r="D20" i="19"/>
  <c r="E20" i="19" s="1"/>
  <c r="F20" i="19" s="1"/>
  <c r="D228" i="19"/>
  <c r="E228" i="19" s="1"/>
  <c r="F228" i="19" s="1"/>
  <c r="D8" i="19"/>
  <c r="E8" i="19" s="1"/>
  <c r="F8" i="19" s="1"/>
  <c r="G137" i="1"/>
  <c r="I44" i="16"/>
  <c r="D44" i="16"/>
  <c r="D8" i="16"/>
  <c r="I8" i="16"/>
  <c r="C107" i="15"/>
  <c r="I82" i="20"/>
  <c r="I83" i="20" s="1"/>
  <c r="I85" i="20" s="1"/>
  <c r="I87" i="20" s="1"/>
  <c r="I89" i="20" s="1"/>
  <c r="J65" i="20" s="1"/>
  <c r="J69" i="20" s="1"/>
  <c r="J80" i="20" s="1"/>
  <c r="E60" i="16" l="1"/>
  <c r="N60" i="16" s="1"/>
  <c r="O60" i="16" s="1"/>
  <c r="Q60" i="16" s="1"/>
  <c r="K60" i="16"/>
  <c r="M60" i="16" s="1"/>
  <c r="K61" i="16"/>
  <c r="M61" i="16" s="1"/>
  <c r="E61" i="16"/>
  <c r="N61" i="16" s="1"/>
  <c r="O61" i="16" s="1"/>
  <c r="Q61" i="16" s="1"/>
  <c r="K50" i="16"/>
  <c r="M50" i="16" s="1"/>
  <c r="E50" i="16"/>
  <c r="N50" i="16" s="1"/>
  <c r="O50" i="16" s="1"/>
  <c r="Q50" i="16" s="1"/>
  <c r="E31" i="16"/>
  <c r="N31" i="16" s="1"/>
  <c r="O31" i="16" s="1"/>
  <c r="K31" i="16"/>
  <c r="M31" i="16" s="1"/>
  <c r="E98" i="16"/>
  <c r="N98" i="16" s="1"/>
  <c r="O98" i="16" s="1"/>
  <c r="Q98" i="16" s="1"/>
  <c r="K98" i="16"/>
  <c r="M98" i="16" s="1"/>
  <c r="D143" i="15"/>
  <c r="C144" i="15"/>
  <c r="E80" i="16"/>
  <c r="N80" i="16" s="1"/>
  <c r="O80" i="16" s="1"/>
  <c r="Q80" i="16" s="1"/>
  <c r="K80" i="16"/>
  <c r="M80" i="16" s="1"/>
  <c r="K35" i="16"/>
  <c r="M35" i="16" s="1"/>
  <c r="E35" i="16"/>
  <c r="N35" i="16" s="1"/>
  <c r="O35" i="16" s="1"/>
  <c r="D122" i="15"/>
  <c r="C123" i="15"/>
  <c r="E53" i="16"/>
  <c r="N53" i="16" s="1"/>
  <c r="O53" i="16" s="1"/>
  <c r="Q53" i="16" s="1"/>
  <c r="K53" i="16"/>
  <c r="M53" i="16" s="1"/>
  <c r="E51" i="16"/>
  <c r="N51" i="16" s="1"/>
  <c r="O51" i="16" s="1"/>
  <c r="Q51" i="16" s="1"/>
  <c r="K51" i="16"/>
  <c r="M51" i="16" s="1"/>
  <c r="D164" i="15"/>
  <c r="C165" i="15"/>
  <c r="E105" i="16"/>
  <c r="N105" i="16" s="1"/>
  <c r="O105" i="16" s="1"/>
  <c r="Q105" i="16" s="1"/>
  <c r="K105" i="16"/>
  <c r="M105" i="16" s="1"/>
  <c r="C120" i="15"/>
  <c r="D119" i="15"/>
  <c r="K67" i="16"/>
  <c r="M67" i="16" s="1"/>
  <c r="E67" i="16"/>
  <c r="N67" i="16" s="1"/>
  <c r="O67" i="16" s="1"/>
  <c r="Q67" i="16" s="1"/>
  <c r="K86" i="16"/>
  <c r="M86" i="16" s="1"/>
  <c r="E86" i="16"/>
  <c r="N86" i="16" s="1"/>
  <c r="O86" i="16" s="1"/>
  <c r="Q86" i="16" s="1"/>
  <c r="K81" i="16"/>
  <c r="M81" i="16" s="1"/>
  <c r="E81" i="16"/>
  <c r="N81" i="16" s="1"/>
  <c r="O81" i="16" s="1"/>
  <c r="Q81" i="16" s="1"/>
  <c r="E17" i="16"/>
  <c r="N17" i="16" s="1"/>
  <c r="O17" i="16" s="1"/>
  <c r="K17" i="16"/>
  <c r="M17" i="16" s="1"/>
  <c r="K99" i="16"/>
  <c r="M99" i="16" s="1"/>
  <c r="E99" i="16"/>
  <c r="N99" i="16" s="1"/>
  <c r="O99" i="16" s="1"/>
  <c r="Q99" i="16" s="1"/>
  <c r="E59" i="16"/>
  <c r="N59" i="16" s="1"/>
  <c r="O59" i="16" s="1"/>
  <c r="Q59" i="16" s="1"/>
  <c r="K59" i="16"/>
  <c r="M59" i="16" s="1"/>
  <c r="K95" i="16"/>
  <c r="M95" i="16" s="1"/>
  <c r="E95" i="16"/>
  <c r="N95" i="16" s="1"/>
  <c r="O95" i="16" s="1"/>
  <c r="Q95" i="16" s="1"/>
  <c r="C186" i="15"/>
  <c r="D185" i="15"/>
  <c r="C129" i="15"/>
  <c r="D128" i="15"/>
  <c r="C117" i="15"/>
  <c r="D116" i="15"/>
  <c r="E48" i="16"/>
  <c r="N48" i="16" s="1"/>
  <c r="O48" i="16" s="1"/>
  <c r="Q48" i="16" s="1"/>
  <c r="K48" i="16"/>
  <c r="M48" i="16" s="1"/>
  <c r="K62" i="16"/>
  <c r="M62" i="16" s="1"/>
  <c r="E62" i="16"/>
  <c r="N62" i="16" s="1"/>
  <c r="O62" i="16" s="1"/>
  <c r="Q62" i="16" s="1"/>
  <c r="D110" i="15"/>
  <c r="C111" i="15"/>
  <c r="E19" i="16"/>
  <c r="N19" i="16" s="1"/>
  <c r="O19" i="16" s="1"/>
  <c r="K19" i="16"/>
  <c r="M19" i="16" s="1"/>
  <c r="C138" i="15"/>
  <c r="D137" i="15"/>
  <c r="E90" i="16"/>
  <c r="N90" i="16" s="1"/>
  <c r="O90" i="16" s="1"/>
  <c r="Q90" i="16" s="1"/>
  <c r="K90" i="16"/>
  <c r="M90" i="16" s="1"/>
  <c r="E30" i="16"/>
  <c r="N30" i="16" s="1"/>
  <c r="O30" i="16" s="1"/>
  <c r="K30" i="16"/>
  <c r="M30" i="16" s="1"/>
  <c r="E26" i="16"/>
  <c r="N26" i="16" s="1"/>
  <c r="O26" i="16" s="1"/>
  <c r="K26" i="16"/>
  <c r="M26" i="16" s="1"/>
  <c r="K106" i="16"/>
  <c r="M106" i="16" s="1"/>
  <c r="E106" i="16"/>
  <c r="N106" i="16" s="1"/>
  <c r="O106" i="16" s="1"/>
  <c r="Q106" i="16" s="1"/>
  <c r="K14" i="16"/>
  <c r="M14" i="16" s="1"/>
  <c r="E14" i="16"/>
  <c r="N14" i="16" s="1"/>
  <c r="O14" i="16" s="1"/>
  <c r="D146" i="15"/>
  <c r="C147" i="15"/>
  <c r="E64" i="16"/>
  <c r="N64" i="16" s="1"/>
  <c r="O64" i="16" s="1"/>
  <c r="Q64" i="16" s="1"/>
  <c r="K64" i="16"/>
  <c r="M64" i="16" s="1"/>
  <c r="D188" i="15"/>
  <c r="C189" i="15"/>
  <c r="E13" i="16"/>
  <c r="N13" i="16" s="1"/>
  <c r="O13" i="16" s="1"/>
  <c r="K13" i="16"/>
  <c r="M13" i="16" s="1"/>
  <c r="K25" i="16"/>
  <c r="M25" i="16" s="1"/>
  <c r="E25" i="16"/>
  <c r="N25" i="16" s="1"/>
  <c r="O25" i="16" s="1"/>
  <c r="K63" i="16"/>
  <c r="M63" i="16" s="1"/>
  <c r="E63" i="16"/>
  <c r="N63" i="16" s="1"/>
  <c r="O63" i="16" s="1"/>
  <c r="Q63" i="16" s="1"/>
  <c r="K33" i="16"/>
  <c r="M33" i="16" s="1"/>
  <c r="E33" i="16"/>
  <c r="N33" i="16" s="1"/>
  <c r="O33" i="16" s="1"/>
  <c r="K69" i="16"/>
  <c r="M69" i="16" s="1"/>
  <c r="E69" i="16"/>
  <c r="N69" i="16" s="1"/>
  <c r="O69" i="16" s="1"/>
  <c r="Q69" i="16" s="1"/>
  <c r="E45" i="16"/>
  <c r="N45" i="16" s="1"/>
  <c r="O45" i="16" s="1"/>
  <c r="Q45" i="16" s="1"/>
  <c r="K45" i="16"/>
  <c r="M45" i="16" s="1"/>
  <c r="E29" i="16"/>
  <c r="N29" i="16" s="1"/>
  <c r="O29" i="16" s="1"/>
  <c r="K29" i="16"/>
  <c r="M29" i="16" s="1"/>
  <c r="E24" i="16"/>
  <c r="N24" i="16" s="1"/>
  <c r="O24" i="16" s="1"/>
  <c r="K24" i="16"/>
  <c r="M24" i="16" s="1"/>
  <c r="E22" i="16"/>
  <c r="N22" i="16" s="1"/>
  <c r="O22" i="16" s="1"/>
  <c r="K22" i="16"/>
  <c r="M22" i="16" s="1"/>
  <c r="E56" i="16"/>
  <c r="N56" i="16" s="1"/>
  <c r="O56" i="16" s="1"/>
  <c r="Q56" i="16" s="1"/>
  <c r="K56" i="16"/>
  <c r="M56" i="16" s="1"/>
  <c r="C180" i="15"/>
  <c r="D179" i="15"/>
  <c r="E89" i="16"/>
  <c r="N89" i="16" s="1"/>
  <c r="O89" i="16" s="1"/>
  <c r="Q89" i="16" s="1"/>
  <c r="K89" i="16"/>
  <c r="M89" i="16" s="1"/>
  <c r="E100" i="16"/>
  <c r="N100" i="16" s="1"/>
  <c r="O100" i="16" s="1"/>
  <c r="Q100" i="16" s="1"/>
  <c r="K100" i="16"/>
  <c r="M100" i="16" s="1"/>
  <c r="C153" i="15"/>
  <c r="D152" i="15"/>
  <c r="E10" i="16"/>
  <c r="N10" i="16" s="1"/>
  <c r="O10" i="16" s="1"/>
  <c r="K10" i="16"/>
  <c r="M10" i="16" s="1"/>
  <c r="E97" i="16"/>
  <c r="N97" i="16" s="1"/>
  <c r="O97" i="16" s="1"/>
  <c r="Q97" i="16" s="1"/>
  <c r="K97" i="16"/>
  <c r="M97" i="16" s="1"/>
  <c r="K88" i="16"/>
  <c r="M88" i="16" s="1"/>
  <c r="E88" i="16"/>
  <c r="N88" i="16" s="1"/>
  <c r="O88" i="16" s="1"/>
  <c r="Q88" i="16" s="1"/>
  <c r="K57" i="16"/>
  <c r="M57" i="16" s="1"/>
  <c r="E57" i="16"/>
  <c r="N57" i="16" s="1"/>
  <c r="O57" i="16" s="1"/>
  <c r="Q57" i="16" s="1"/>
  <c r="C141" i="15"/>
  <c r="D140" i="15"/>
  <c r="E18" i="16"/>
  <c r="N18" i="16" s="1"/>
  <c r="O18" i="16" s="1"/>
  <c r="K18" i="16"/>
  <c r="M18" i="16" s="1"/>
  <c r="E82" i="16"/>
  <c r="N82" i="16" s="1"/>
  <c r="O82" i="16" s="1"/>
  <c r="Q82" i="16" s="1"/>
  <c r="K82" i="16"/>
  <c r="M82" i="16" s="1"/>
  <c r="C174" i="15"/>
  <c r="D173" i="15"/>
  <c r="C177" i="15"/>
  <c r="D176" i="15"/>
  <c r="D131" i="15"/>
  <c r="C132" i="15"/>
  <c r="E103" i="16"/>
  <c r="N103" i="16" s="1"/>
  <c r="O103" i="16" s="1"/>
  <c r="Q103" i="16" s="1"/>
  <c r="K103" i="16"/>
  <c r="M103" i="16" s="1"/>
  <c r="C162" i="15"/>
  <c r="D161" i="15"/>
  <c r="K71" i="16"/>
  <c r="M71" i="16" s="1"/>
  <c r="E71" i="16"/>
  <c r="N71" i="16" s="1"/>
  <c r="O71" i="16" s="1"/>
  <c r="Q71" i="16" s="1"/>
  <c r="C126" i="15"/>
  <c r="D125" i="15"/>
  <c r="E21" i="16"/>
  <c r="N21" i="16" s="1"/>
  <c r="O21" i="16" s="1"/>
  <c r="K21" i="16"/>
  <c r="M21" i="16" s="1"/>
  <c r="K84" i="16"/>
  <c r="M84" i="16" s="1"/>
  <c r="E84" i="16"/>
  <c r="N84" i="16" s="1"/>
  <c r="O84" i="16" s="1"/>
  <c r="Q84" i="16" s="1"/>
  <c r="E55" i="16"/>
  <c r="N55" i="16" s="1"/>
  <c r="O55" i="16" s="1"/>
  <c r="Q55" i="16" s="1"/>
  <c r="K55" i="16"/>
  <c r="M55" i="16" s="1"/>
  <c r="K83" i="16"/>
  <c r="M83" i="16" s="1"/>
  <c r="E83" i="16"/>
  <c r="N83" i="16" s="1"/>
  <c r="O83" i="16" s="1"/>
  <c r="Q83" i="16" s="1"/>
  <c r="E58" i="16"/>
  <c r="N58" i="16" s="1"/>
  <c r="O58" i="16" s="1"/>
  <c r="Q58" i="16" s="1"/>
  <c r="K58" i="16"/>
  <c r="M58" i="16" s="1"/>
  <c r="K65" i="16"/>
  <c r="M65" i="16" s="1"/>
  <c r="E65" i="16"/>
  <c r="N65" i="16" s="1"/>
  <c r="O65" i="16" s="1"/>
  <c r="Q65" i="16" s="1"/>
  <c r="K46" i="16"/>
  <c r="M46" i="16" s="1"/>
  <c r="E46" i="16"/>
  <c r="N46" i="16" s="1"/>
  <c r="O46" i="16" s="1"/>
  <c r="Q46" i="16" s="1"/>
  <c r="E47" i="16"/>
  <c r="N47" i="16" s="1"/>
  <c r="O47" i="16" s="1"/>
  <c r="Q47" i="16" s="1"/>
  <c r="K47" i="16"/>
  <c r="M47" i="16" s="1"/>
  <c r="C159" i="15"/>
  <c r="D158" i="15"/>
  <c r="C183" i="15"/>
  <c r="D182" i="15"/>
  <c r="D134" i="15"/>
  <c r="C135" i="15"/>
  <c r="C171" i="15"/>
  <c r="D170" i="15"/>
  <c r="D155" i="15"/>
  <c r="C156" i="15"/>
  <c r="C150" i="15"/>
  <c r="D149" i="15"/>
  <c r="K28" i="16"/>
  <c r="M28" i="16" s="1"/>
  <c r="E28" i="16"/>
  <c r="N28" i="16" s="1"/>
  <c r="O28" i="16" s="1"/>
  <c r="E32" i="16"/>
  <c r="N32" i="16" s="1"/>
  <c r="O32" i="16" s="1"/>
  <c r="K32" i="16"/>
  <c r="M32" i="16" s="1"/>
  <c r="K11" i="16"/>
  <c r="M11" i="16" s="1"/>
  <c r="E11" i="16"/>
  <c r="N11" i="16" s="1"/>
  <c r="O11" i="16" s="1"/>
  <c r="K23" i="16"/>
  <c r="M23" i="16" s="1"/>
  <c r="E23" i="16"/>
  <c r="N23" i="16" s="1"/>
  <c r="O23" i="16" s="1"/>
  <c r="C114" i="15"/>
  <c r="D113" i="15"/>
  <c r="K102" i="16"/>
  <c r="M102" i="16" s="1"/>
  <c r="E102" i="16"/>
  <c r="N102" i="16" s="1"/>
  <c r="O102" i="16" s="1"/>
  <c r="Q102" i="16" s="1"/>
  <c r="K94" i="16"/>
  <c r="M94" i="16" s="1"/>
  <c r="E94" i="16"/>
  <c r="N94" i="16" s="1"/>
  <c r="O94" i="16" s="1"/>
  <c r="Q94" i="16" s="1"/>
  <c r="E92" i="16"/>
  <c r="N92" i="16" s="1"/>
  <c r="O92" i="16" s="1"/>
  <c r="Q92" i="16" s="1"/>
  <c r="K92" i="16"/>
  <c r="M92" i="16" s="1"/>
  <c r="K16" i="16"/>
  <c r="M16" i="16" s="1"/>
  <c r="E16" i="16"/>
  <c r="N16" i="16" s="1"/>
  <c r="O16" i="16" s="1"/>
  <c r="K85" i="16"/>
  <c r="M85" i="16" s="1"/>
  <c r="E85" i="16"/>
  <c r="N85" i="16" s="1"/>
  <c r="O85" i="16" s="1"/>
  <c r="Q85" i="16" s="1"/>
  <c r="K91" i="16"/>
  <c r="M91" i="16" s="1"/>
  <c r="E91" i="16"/>
  <c r="N91" i="16" s="1"/>
  <c r="O91" i="16" s="1"/>
  <c r="Q91" i="16" s="1"/>
  <c r="E104" i="16"/>
  <c r="N104" i="16" s="1"/>
  <c r="O104" i="16" s="1"/>
  <c r="Q104" i="16" s="1"/>
  <c r="K104" i="16"/>
  <c r="M104" i="16" s="1"/>
  <c r="E20" i="16"/>
  <c r="N20" i="16" s="1"/>
  <c r="O20" i="16" s="1"/>
  <c r="K20" i="16"/>
  <c r="M20" i="16" s="1"/>
  <c r="K70" i="16"/>
  <c r="M70" i="16" s="1"/>
  <c r="E70" i="16"/>
  <c r="N70" i="16" s="1"/>
  <c r="O70" i="16" s="1"/>
  <c r="Q70" i="16" s="1"/>
  <c r="K101" i="16"/>
  <c r="M101" i="16" s="1"/>
  <c r="E101" i="16"/>
  <c r="N101" i="16" s="1"/>
  <c r="O101" i="16" s="1"/>
  <c r="Q101" i="16" s="1"/>
  <c r="E27" i="16"/>
  <c r="N27" i="16" s="1"/>
  <c r="O27" i="16" s="1"/>
  <c r="K27" i="16"/>
  <c r="M27" i="16" s="1"/>
  <c r="K12" i="16"/>
  <c r="M12" i="16" s="1"/>
  <c r="E12" i="16"/>
  <c r="N12" i="16" s="1"/>
  <c r="O12" i="16" s="1"/>
  <c r="E54" i="16"/>
  <c r="N54" i="16" s="1"/>
  <c r="O54" i="16" s="1"/>
  <c r="Q54" i="16" s="1"/>
  <c r="K54" i="16"/>
  <c r="M54" i="16" s="1"/>
  <c r="E93" i="16"/>
  <c r="N93" i="16" s="1"/>
  <c r="O93" i="16" s="1"/>
  <c r="Q93" i="16" s="1"/>
  <c r="K93" i="16"/>
  <c r="M93" i="16" s="1"/>
  <c r="E87" i="16"/>
  <c r="N87" i="16" s="1"/>
  <c r="O87" i="16" s="1"/>
  <c r="Q87" i="16" s="1"/>
  <c r="K87" i="16"/>
  <c r="M87" i="16" s="1"/>
  <c r="E52" i="16"/>
  <c r="N52" i="16" s="1"/>
  <c r="O52" i="16" s="1"/>
  <c r="Q52" i="16" s="1"/>
  <c r="K52" i="16"/>
  <c r="M52" i="16" s="1"/>
  <c r="K68" i="16"/>
  <c r="M68" i="16" s="1"/>
  <c r="E68" i="16"/>
  <c r="N68" i="16" s="1"/>
  <c r="O68" i="16" s="1"/>
  <c r="Q68" i="16" s="1"/>
  <c r="D167" i="15"/>
  <c r="C168" i="15"/>
  <c r="E96" i="16"/>
  <c r="N96" i="16" s="1"/>
  <c r="O96" i="16" s="1"/>
  <c r="Q96" i="16" s="1"/>
  <c r="K96" i="16"/>
  <c r="M96" i="16" s="1"/>
  <c r="K34" i="16"/>
  <c r="M34" i="16" s="1"/>
  <c r="E34" i="16"/>
  <c r="N34" i="16" s="1"/>
  <c r="O34" i="16" s="1"/>
  <c r="E15" i="16"/>
  <c r="N15" i="16" s="1"/>
  <c r="O15" i="16" s="1"/>
  <c r="K15" i="16"/>
  <c r="M15" i="16" s="1"/>
  <c r="K49" i="16"/>
  <c r="M49" i="16" s="1"/>
  <c r="E49" i="16"/>
  <c r="N49" i="16" s="1"/>
  <c r="O49" i="16" s="1"/>
  <c r="Q49" i="16" s="1"/>
  <c r="K66" i="16"/>
  <c r="M66" i="16" s="1"/>
  <c r="E66" i="16"/>
  <c r="N66" i="16" s="1"/>
  <c r="O66" i="16" s="1"/>
  <c r="Q66" i="16" s="1"/>
  <c r="E9" i="16"/>
  <c r="N9" i="16" s="1"/>
  <c r="O9" i="16" s="1"/>
  <c r="K9" i="16"/>
  <c r="M9" i="16" s="1"/>
  <c r="X73" i="36"/>
  <c r="G152" i="1"/>
  <c r="G214" i="1"/>
  <c r="G212" i="1"/>
  <c r="W73" i="36"/>
  <c r="G171" i="1"/>
  <c r="AC71" i="36"/>
  <c r="G134" i="1"/>
  <c r="G197" i="1"/>
  <c r="G181" i="1"/>
  <c r="P71" i="36"/>
  <c r="P76" i="36" s="1"/>
  <c r="P79" i="36" s="1"/>
  <c r="H71" i="36"/>
  <c r="H76" i="36" s="1"/>
  <c r="H79" i="36" s="1"/>
  <c r="F71" i="36"/>
  <c r="F76" i="36" s="1"/>
  <c r="F79" i="36" s="1"/>
  <c r="X71" i="36"/>
  <c r="G201" i="13"/>
  <c r="G193" i="9" s="1"/>
  <c r="G118" i="9"/>
  <c r="Z73" i="36"/>
  <c r="T71" i="36"/>
  <c r="T76" i="36" s="1"/>
  <c r="T79" i="36" s="1"/>
  <c r="G159" i="1"/>
  <c r="G139" i="1"/>
  <c r="G140" i="1"/>
  <c r="CB73" i="20"/>
  <c r="G96" i="1"/>
  <c r="G126" i="1"/>
  <c r="Y73" i="36"/>
  <c r="G89" i="1"/>
  <c r="G125" i="1"/>
  <c r="G161" i="1"/>
  <c r="G163" i="1"/>
  <c r="CF73" i="20"/>
  <c r="CI73" i="20"/>
  <c r="CD73" i="20"/>
  <c r="CL73" i="20"/>
  <c r="CM73" i="20"/>
  <c r="CE73" i="20"/>
  <c r="CH73" i="20"/>
  <c r="CG73" i="20"/>
  <c r="CK73" i="20"/>
  <c r="CN73" i="20"/>
  <c r="CJ73" i="20"/>
  <c r="E8" i="16"/>
  <c r="N8" i="16" s="1"/>
  <c r="O8" i="16" s="1"/>
  <c r="K8" i="16"/>
  <c r="M8" i="16" s="1"/>
  <c r="O71" i="20"/>
  <c r="U71" i="36"/>
  <c r="U76" i="36" s="1"/>
  <c r="U79" i="36" s="1"/>
  <c r="B47" i="20"/>
  <c r="B50" i="20" s="1"/>
  <c r="O42" i="20"/>
  <c r="O47" i="20" s="1"/>
  <c r="V71" i="36"/>
  <c r="V76" i="36" s="1"/>
  <c r="V79" i="36" s="1"/>
  <c r="W44" i="36"/>
  <c r="CB44" i="20"/>
  <c r="I72" i="16"/>
  <c r="AB44" i="36"/>
  <c r="O71" i="36"/>
  <c r="O76" i="36" s="1"/>
  <c r="O79" i="36" s="1"/>
  <c r="BB71" i="20"/>
  <c r="L71" i="36"/>
  <c r="L76" i="36" s="1"/>
  <c r="L79" i="36" s="1"/>
  <c r="CO71" i="20"/>
  <c r="AA71" i="36"/>
  <c r="AO71" i="20"/>
  <c r="K71" i="36"/>
  <c r="K76" i="36" s="1"/>
  <c r="K79" i="36" s="1"/>
  <c r="F47" i="20"/>
  <c r="F50" i="20" s="1"/>
  <c r="D42" i="36"/>
  <c r="D47" i="36" s="1"/>
  <c r="D50" i="36" s="1"/>
  <c r="AD71" i="36"/>
  <c r="Q71" i="36"/>
  <c r="Q76" i="36" s="1"/>
  <c r="Q79" i="36" s="1"/>
  <c r="E42" i="36"/>
  <c r="E47" i="36" s="1"/>
  <c r="E50" i="36" s="1"/>
  <c r="I47" i="20"/>
  <c r="I50" i="20" s="1"/>
  <c r="I36" i="16"/>
  <c r="R71" i="36"/>
  <c r="R76" i="36" s="1"/>
  <c r="R79" i="36" s="1"/>
  <c r="E71" i="36"/>
  <c r="E76" i="36" s="1"/>
  <c r="E79" i="36" s="1"/>
  <c r="G199" i="1"/>
  <c r="G136" i="1"/>
  <c r="G90" i="1"/>
  <c r="G110" i="1"/>
  <c r="G176" i="1"/>
  <c r="G187" i="1"/>
  <c r="G145" i="1"/>
  <c r="G148" i="1"/>
  <c r="G184" i="1"/>
  <c r="G82" i="1"/>
  <c r="G130" i="1"/>
  <c r="G190" i="1"/>
  <c r="G178" i="1"/>
  <c r="G94" i="1"/>
  <c r="G170" i="1"/>
  <c r="G156" i="1"/>
  <c r="G80" i="1"/>
  <c r="G87" i="1"/>
  <c r="G194" i="1"/>
  <c r="G117" i="1"/>
  <c r="G106" i="1"/>
  <c r="G102" i="1"/>
  <c r="G123" i="1"/>
  <c r="G183" i="1"/>
  <c r="G127" i="1"/>
  <c r="G179" i="1"/>
  <c r="G122" i="1"/>
  <c r="G98" i="1"/>
  <c r="G168" i="1"/>
  <c r="G100" i="1"/>
  <c r="G108" i="1"/>
  <c r="G128" i="1"/>
  <c r="G169" i="1"/>
  <c r="G193" i="1"/>
  <c r="G164" i="1"/>
  <c r="G146" i="1"/>
  <c r="G201" i="1"/>
  <c r="G150" i="1"/>
  <c r="G115" i="1"/>
  <c r="G195" i="1"/>
  <c r="G120" i="1"/>
  <c r="G143" i="1"/>
  <c r="G189" i="1"/>
  <c r="G93" i="1"/>
  <c r="G207" i="1"/>
  <c r="G192" i="1"/>
  <c r="G119" i="1"/>
  <c r="G124" i="1"/>
  <c r="G81" i="1"/>
  <c r="G142" i="1"/>
  <c r="G158" i="1"/>
  <c r="G144" i="1"/>
  <c r="G138" i="1"/>
  <c r="G166" i="1"/>
  <c r="G83" i="1"/>
  <c r="G203" i="1"/>
  <c r="G101" i="1"/>
  <c r="G205" i="1"/>
  <c r="G196" i="1"/>
  <c r="G141" i="1"/>
  <c r="G177" i="1"/>
  <c r="G162" i="1"/>
  <c r="G135" i="1"/>
  <c r="G160" i="1"/>
  <c r="G92" i="1"/>
  <c r="G155" i="1"/>
  <c r="G185" i="1"/>
  <c r="G147" i="1"/>
  <c r="G107" i="1"/>
  <c r="G151" i="1"/>
  <c r="G209" i="1"/>
  <c r="G109" i="1"/>
  <c r="G154" i="1"/>
  <c r="G86" i="1"/>
  <c r="G202" i="1"/>
  <c r="G174" i="1"/>
  <c r="G84" i="1"/>
  <c r="G157" i="1"/>
  <c r="G165" i="1"/>
  <c r="G191" i="1"/>
  <c r="G116" i="1"/>
  <c r="G105" i="1"/>
  <c r="G208" i="1"/>
  <c r="G186" i="1"/>
  <c r="G133" i="1"/>
  <c r="G182" i="1"/>
  <c r="G200" i="1"/>
  <c r="G88" i="1"/>
  <c r="G172" i="1"/>
  <c r="G175" i="1"/>
  <c r="G149" i="1"/>
  <c r="G85" i="1"/>
  <c r="G129" i="1"/>
  <c r="G204" i="1"/>
  <c r="G173" i="1"/>
  <c r="G104" i="1"/>
  <c r="G114" i="1"/>
  <c r="G111" i="1"/>
  <c r="CR52" i="22"/>
  <c r="I18" i="13" s="1"/>
  <c r="G198" i="1"/>
  <c r="I107" i="16"/>
  <c r="G113" i="1"/>
  <c r="G91" i="1"/>
  <c r="G99" i="1"/>
  <c r="G153" i="1"/>
  <c r="C105" i="15"/>
  <c r="D104" i="15"/>
  <c r="C108" i="15"/>
  <c r="D107" i="15"/>
  <c r="CB71" i="20"/>
  <c r="W71" i="36"/>
  <c r="W76" i="36" s="1"/>
  <c r="W79" i="36" s="1"/>
  <c r="C71" i="36"/>
  <c r="C76" i="36" s="1"/>
  <c r="C79" i="36" s="1"/>
  <c r="C80" i="36" s="1"/>
  <c r="AB71" i="20"/>
  <c r="G71" i="36"/>
  <c r="G76" i="36" s="1"/>
  <c r="G79" i="36" s="1"/>
  <c r="M71" i="36"/>
  <c r="M76" i="36" s="1"/>
  <c r="M79" i="36" s="1"/>
  <c r="AB71" i="36"/>
  <c r="N71" i="36"/>
  <c r="N76" i="36" s="1"/>
  <c r="N79" i="36" s="1"/>
  <c r="D71" i="36"/>
  <c r="D76" i="36" s="1"/>
  <c r="D79" i="36" s="1"/>
  <c r="G180" i="1"/>
  <c r="K79" i="16"/>
  <c r="M79" i="16" s="1"/>
  <c r="E79" i="16"/>
  <c r="N79" i="16" s="1"/>
  <c r="O79" i="16" s="1"/>
  <c r="Q79" i="16" s="1"/>
  <c r="G112" i="1"/>
  <c r="CC44" i="20"/>
  <c r="AA14" i="36"/>
  <c r="CO14" i="20"/>
  <c r="G118" i="1"/>
  <c r="K78" i="16"/>
  <c r="E78" i="16"/>
  <c r="G188" i="1"/>
  <c r="G103" i="1"/>
  <c r="G121" i="1"/>
  <c r="G79" i="1"/>
  <c r="K44" i="16"/>
  <c r="M44" i="16" s="1"/>
  <c r="E44" i="16"/>
  <c r="N44" i="16" s="1"/>
  <c r="O44" i="16" s="1"/>
  <c r="Q44" i="16" s="1"/>
  <c r="E7" i="16"/>
  <c r="K7" i="16"/>
  <c r="BO71" i="20"/>
  <c r="S71" i="36"/>
  <c r="S76" i="36" s="1"/>
  <c r="S79" i="36" s="1"/>
  <c r="C42" i="36"/>
  <c r="C47" i="36" s="1"/>
  <c r="C50" i="36" s="1"/>
  <c r="C51" i="36" s="1"/>
  <c r="C47" i="20"/>
  <c r="C50" i="20" s="1"/>
  <c r="Y71" i="36"/>
  <c r="Y76" i="36" s="1"/>
  <c r="Y79" i="36" s="1"/>
  <c r="I71" i="36"/>
  <c r="I76" i="36" s="1"/>
  <c r="I79" i="36" s="1"/>
  <c r="Z71" i="36"/>
  <c r="Z76" i="36" s="1"/>
  <c r="Z79" i="36" s="1"/>
  <c r="J71" i="36"/>
  <c r="J76" i="36" s="1"/>
  <c r="J79" i="36" s="1"/>
  <c r="F42" i="36"/>
  <c r="F47" i="36" s="1"/>
  <c r="F50" i="36" s="1"/>
  <c r="L47" i="20"/>
  <c r="L50" i="20" s="1"/>
  <c r="G95" i="1"/>
  <c r="E43" i="16"/>
  <c r="K43" i="16"/>
  <c r="H42" i="9"/>
  <c r="H18" i="9"/>
  <c r="H110" i="13"/>
  <c r="AB14" i="36"/>
  <c r="G97" i="1"/>
  <c r="G131" i="1"/>
  <c r="G206" i="1"/>
  <c r="G132" i="1"/>
  <c r="J82" i="20"/>
  <c r="X76" i="36" l="1"/>
  <c r="X79" i="36" s="1"/>
  <c r="J74" i="1"/>
  <c r="I74" i="1" s="1"/>
  <c r="Q34" i="16"/>
  <c r="Q12" i="16"/>
  <c r="J52" i="1"/>
  <c r="I52" i="1" s="1"/>
  <c r="J56" i="1"/>
  <c r="I56" i="1" s="1"/>
  <c r="Q16" i="16"/>
  <c r="E113" i="15"/>
  <c r="D114" i="15"/>
  <c r="J51" i="1"/>
  <c r="I51" i="1" s="1"/>
  <c r="Q11" i="16"/>
  <c r="J68" i="1"/>
  <c r="I68" i="1" s="1"/>
  <c r="Q28" i="16"/>
  <c r="E158" i="15"/>
  <c r="D159" i="15"/>
  <c r="D177" i="15"/>
  <c r="E176" i="15"/>
  <c r="E140" i="15"/>
  <c r="D141" i="15"/>
  <c r="E179" i="15"/>
  <c r="D180" i="15"/>
  <c r="Q14" i="16"/>
  <c r="J54" i="1"/>
  <c r="I54" i="1" s="1"/>
  <c r="D117" i="15"/>
  <c r="E116" i="15"/>
  <c r="D186" i="15"/>
  <c r="E185" i="15"/>
  <c r="D120" i="15"/>
  <c r="E119" i="15"/>
  <c r="J75" i="1"/>
  <c r="I75" i="1" s="1"/>
  <c r="Q35" i="16"/>
  <c r="J49" i="1"/>
  <c r="I49" i="1" s="1"/>
  <c r="Q9" i="16"/>
  <c r="D168" i="15"/>
  <c r="E167" i="15"/>
  <c r="J60" i="1"/>
  <c r="I60" i="1" s="1"/>
  <c r="Q20" i="16"/>
  <c r="D156" i="15"/>
  <c r="E155" i="15"/>
  <c r="D135" i="15"/>
  <c r="E134" i="15"/>
  <c r="J61" i="1"/>
  <c r="I61" i="1" s="1"/>
  <c r="Q21" i="16"/>
  <c r="J50" i="1"/>
  <c r="I50" i="1" s="1"/>
  <c r="Q10" i="16"/>
  <c r="Q22" i="16"/>
  <c r="J62" i="1"/>
  <c r="I62" i="1" s="1"/>
  <c r="J69" i="1"/>
  <c r="I69" i="1" s="1"/>
  <c r="Q29" i="16"/>
  <c r="Q13" i="16"/>
  <c r="J53" i="1"/>
  <c r="I53" i="1" s="1"/>
  <c r="Q26" i="16"/>
  <c r="J66" i="1"/>
  <c r="I66" i="1" s="1"/>
  <c r="Q19" i="16"/>
  <c r="J59" i="1"/>
  <c r="I59" i="1" s="1"/>
  <c r="J57" i="1"/>
  <c r="I57" i="1" s="1"/>
  <c r="Q17" i="16"/>
  <c r="D165" i="15"/>
  <c r="E164" i="15"/>
  <c r="D144" i="15"/>
  <c r="E143" i="15"/>
  <c r="J71" i="1"/>
  <c r="I71" i="1" s="1"/>
  <c r="Q31" i="16"/>
  <c r="Q23" i="16"/>
  <c r="J63" i="1"/>
  <c r="I63" i="1" s="1"/>
  <c r="E149" i="15"/>
  <c r="D150" i="15"/>
  <c r="D171" i="15"/>
  <c r="E170" i="15"/>
  <c r="D183" i="15"/>
  <c r="E182" i="15"/>
  <c r="D126" i="15"/>
  <c r="E125" i="15"/>
  <c r="D162" i="15"/>
  <c r="E161" i="15"/>
  <c r="E173" i="15"/>
  <c r="D174" i="15"/>
  <c r="D153" i="15"/>
  <c r="E152" i="15"/>
  <c r="Q33" i="16"/>
  <c r="J73" i="1"/>
  <c r="I73" i="1" s="1"/>
  <c r="J65" i="1"/>
  <c r="I65" i="1" s="1"/>
  <c r="Q25" i="16"/>
  <c r="E137" i="15"/>
  <c r="D138" i="15"/>
  <c r="E128" i="15"/>
  <c r="D129" i="15"/>
  <c r="J55" i="1"/>
  <c r="I55" i="1" s="1"/>
  <c r="Q15" i="16"/>
  <c r="J67" i="1"/>
  <c r="I67" i="1" s="1"/>
  <c r="Q27" i="16"/>
  <c r="J72" i="1"/>
  <c r="I72" i="1" s="1"/>
  <c r="Q32" i="16"/>
  <c r="D132" i="15"/>
  <c r="E131" i="15"/>
  <c r="Q18" i="16"/>
  <c r="J58" i="1"/>
  <c r="I58" i="1" s="1"/>
  <c r="Q24" i="16"/>
  <c r="J64" i="1"/>
  <c r="I64" i="1" s="1"/>
  <c r="D189" i="15"/>
  <c r="E188" i="15"/>
  <c r="E146" i="15"/>
  <c r="D147" i="15"/>
  <c r="J70" i="1"/>
  <c r="I70" i="1" s="1"/>
  <c r="Q30" i="16"/>
  <c r="E110" i="15"/>
  <c r="D111" i="15"/>
  <c r="D123" i="15"/>
  <c r="E122" i="15"/>
  <c r="AC73" i="36"/>
  <c r="AA73" i="36"/>
  <c r="AC76" i="36"/>
  <c r="AC79" i="36" s="1"/>
  <c r="G169" i="9"/>
  <c r="C190" i="15"/>
  <c r="B31" i="13" s="1"/>
  <c r="AA76" i="36"/>
  <c r="AA79" i="36" s="1"/>
  <c r="AB73" i="36"/>
  <c r="AB76" i="36" s="1"/>
  <c r="AB79" i="36" s="1"/>
  <c r="G210" i="1"/>
  <c r="CO73" i="20"/>
  <c r="AD73" i="36"/>
  <c r="AD76" i="36" s="1"/>
  <c r="AD79" i="36" s="1"/>
  <c r="C53" i="36"/>
  <c r="C54" i="36" s="1"/>
  <c r="C56" i="36" s="1"/>
  <c r="C58" i="36" s="1"/>
  <c r="C60" i="36" s="1"/>
  <c r="D36" i="36" s="1"/>
  <c r="D40" i="36" s="1"/>
  <c r="D51" i="36" s="1"/>
  <c r="C82" i="36"/>
  <c r="C83" i="36" s="1"/>
  <c r="C85" i="36" s="1"/>
  <c r="C87" i="36" s="1"/>
  <c r="C89" i="36" s="1"/>
  <c r="D65" i="36" s="1"/>
  <c r="D69" i="36" s="1"/>
  <c r="D80" i="36" s="1"/>
  <c r="D82" i="36" s="1"/>
  <c r="D83" i="36" s="1"/>
  <c r="D85" i="36" s="1"/>
  <c r="D87" i="36" s="1"/>
  <c r="D89" i="36" s="1"/>
  <c r="E65" i="36" s="1"/>
  <c r="E69" i="36" s="1"/>
  <c r="E80" i="36" s="1"/>
  <c r="E72" i="16"/>
  <c r="N43" i="16"/>
  <c r="M43" i="16"/>
  <c r="M72" i="16" s="1"/>
  <c r="K72" i="16"/>
  <c r="M78" i="16"/>
  <c r="M107" i="16" s="1"/>
  <c r="K107" i="16"/>
  <c r="AA44" i="36"/>
  <c r="CO44" i="20"/>
  <c r="D105" i="15"/>
  <c r="E104" i="15"/>
  <c r="I110" i="13"/>
  <c r="I42" i="9"/>
  <c r="I18" i="9"/>
  <c r="H118" i="9"/>
  <c r="H94" i="9"/>
  <c r="H201" i="13"/>
  <c r="K36" i="16"/>
  <c r="M7" i="16"/>
  <c r="M36" i="16" s="1"/>
  <c r="E36" i="16"/>
  <c r="N7" i="16"/>
  <c r="D108" i="15"/>
  <c r="E107" i="15"/>
  <c r="E107" i="16"/>
  <c r="N78" i="16"/>
  <c r="B51" i="20"/>
  <c r="O50" i="20"/>
  <c r="Q8" i="16"/>
  <c r="J48" i="1"/>
  <c r="I48" i="1" s="1"/>
  <c r="J83" i="20"/>
  <c r="J85" i="20" s="1"/>
  <c r="J87" i="20" s="1"/>
  <c r="J89" i="20" s="1"/>
  <c r="K65" i="20" s="1"/>
  <c r="K69" i="20" s="1"/>
  <c r="K80" i="20" s="1"/>
  <c r="F122" i="15" l="1"/>
  <c r="E123" i="15"/>
  <c r="F188" i="15"/>
  <c r="E189" i="15"/>
  <c r="F125" i="15"/>
  <c r="E126" i="15"/>
  <c r="F170" i="15"/>
  <c r="E171" i="15"/>
  <c r="E144" i="15"/>
  <c r="F143" i="15"/>
  <c r="F134" i="15"/>
  <c r="E135" i="15"/>
  <c r="E120" i="15"/>
  <c r="F119" i="15"/>
  <c r="F116" i="15"/>
  <c r="E117" i="15"/>
  <c r="E177" i="15"/>
  <c r="F176" i="15"/>
  <c r="F137" i="15"/>
  <c r="E138" i="15"/>
  <c r="F173" i="15"/>
  <c r="E174" i="15"/>
  <c r="F179" i="15"/>
  <c r="E180" i="15"/>
  <c r="E114" i="15"/>
  <c r="F113" i="15"/>
  <c r="E132" i="15"/>
  <c r="F131" i="15"/>
  <c r="E153" i="15"/>
  <c r="F152" i="15"/>
  <c r="E162" i="15"/>
  <c r="F161" i="15"/>
  <c r="E183" i="15"/>
  <c r="F182" i="15"/>
  <c r="F164" i="15"/>
  <c r="E165" i="15"/>
  <c r="F155" i="15"/>
  <c r="E156" i="15"/>
  <c r="F167" i="15"/>
  <c r="E168" i="15"/>
  <c r="F185" i="15"/>
  <c r="E186" i="15"/>
  <c r="F110" i="15"/>
  <c r="E111" i="15"/>
  <c r="E147" i="15"/>
  <c r="F146" i="15"/>
  <c r="E129" i="15"/>
  <c r="F128" i="15"/>
  <c r="F149" i="15"/>
  <c r="E150" i="15"/>
  <c r="E141" i="15"/>
  <c r="F140" i="15"/>
  <c r="E159" i="15"/>
  <c r="F158" i="15"/>
  <c r="B12" i="36"/>
  <c r="B17" i="36" s="1"/>
  <c r="B20" i="36" s="1"/>
  <c r="B21" i="36" s="1"/>
  <c r="B23" i="36" s="1"/>
  <c r="B24" i="36" s="1"/>
  <c r="B26" i="36" s="1"/>
  <c r="B28" i="36" s="1"/>
  <c r="B30" i="36" s="1"/>
  <c r="C6" i="36" s="1"/>
  <c r="C10" i="36" s="1"/>
  <c r="B12" i="20"/>
  <c r="B17" i="20" s="1"/>
  <c r="B20" i="20" s="1"/>
  <c r="B21" i="20" s="1"/>
  <c r="B23" i="20" s="1"/>
  <c r="B24" i="20" s="1"/>
  <c r="B26" i="20" s="1"/>
  <c r="B28" i="20" s="1"/>
  <c r="B30" i="20" s="1"/>
  <c r="C6" i="20" s="1"/>
  <c r="C10" i="20" s="1"/>
  <c r="B133" i="13"/>
  <c r="B153" i="13" s="1"/>
  <c r="D190" i="15"/>
  <c r="C12" i="20" s="1"/>
  <c r="C17" i="20" s="1"/>
  <c r="C20" i="20" s="1"/>
  <c r="E82" i="36"/>
  <c r="E83" i="36" s="1"/>
  <c r="E85" i="36" s="1"/>
  <c r="E87" i="36" s="1"/>
  <c r="E89" i="36" s="1"/>
  <c r="F65" i="36" s="1"/>
  <c r="F69" i="36" s="1"/>
  <c r="F80" i="36" s="1"/>
  <c r="F82" i="36" s="1"/>
  <c r="F83" i="36" s="1"/>
  <c r="F85" i="36" s="1"/>
  <c r="F87" i="36" s="1"/>
  <c r="F89" i="36" s="1"/>
  <c r="G65" i="36" s="1"/>
  <c r="G69" i="36" s="1"/>
  <c r="G80" i="36" s="1"/>
  <c r="O78" i="16"/>
  <c r="N107" i="16"/>
  <c r="D50" i="26" s="1"/>
  <c r="E108" i="15"/>
  <c r="F107" i="15"/>
  <c r="I201" i="13"/>
  <c r="I94" i="9"/>
  <c r="I118" i="9"/>
  <c r="B53" i="20"/>
  <c r="B54" i="20" s="1"/>
  <c r="B56" i="20" s="1"/>
  <c r="B58" i="20" s="1"/>
  <c r="B60" i="20" s="1"/>
  <c r="C36" i="20" s="1"/>
  <c r="C40" i="20" s="1"/>
  <c r="C51" i="20" s="1"/>
  <c r="B42" i="13"/>
  <c r="E105" i="15"/>
  <c r="F104" i="15"/>
  <c r="O43" i="16"/>
  <c r="N72" i="16"/>
  <c r="C50" i="26" s="1"/>
  <c r="C37" i="26" s="1"/>
  <c r="D53" i="36"/>
  <c r="D54" i="36" s="1"/>
  <c r="D56" i="36" s="1"/>
  <c r="D58" i="36" s="1"/>
  <c r="D60" i="36" s="1"/>
  <c r="E36" i="36" s="1"/>
  <c r="E40" i="36" s="1"/>
  <c r="E51" i="36" s="1"/>
  <c r="E53" i="36" s="1"/>
  <c r="E54" i="36" s="1"/>
  <c r="E56" i="36" s="1"/>
  <c r="E58" i="36" s="1"/>
  <c r="E60" i="36" s="1"/>
  <c r="F36" i="36" s="1"/>
  <c r="F40" i="36" s="1"/>
  <c r="F51" i="36" s="1"/>
  <c r="F53" i="36" s="1"/>
  <c r="F54" i="36" s="1"/>
  <c r="F56" i="36" s="1"/>
  <c r="F58" i="36" s="1"/>
  <c r="F60" i="36" s="1"/>
  <c r="G36" i="36" s="1"/>
  <c r="G40" i="36" s="1"/>
  <c r="O7" i="16"/>
  <c r="N36" i="16"/>
  <c r="B50" i="26" s="1"/>
  <c r="B37" i="26" s="1"/>
  <c r="H169" i="9"/>
  <c r="H193" i="9"/>
  <c r="B59" i="13"/>
  <c r="C8" i="13"/>
  <c r="K82" i="20"/>
  <c r="K83" i="20" s="1"/>
  <c r="K85" i="20" s="1"/>
  <c r="K87" i="20" s="1"/>
  <c r="K89" i="20" s="1"/>
  <c r="L65" i="20" s="1"/>
  <c r="L69" i="20" s="1"/>
  <c r="L80" i="20" s="1"/>
  <c r="B137" i="13" l="1"/>
  <c r="B138" i="13" s="1"/>
  <c r="F141" i="15"/>
  <c r="G140" i="15"/>
  <c r="F129" i="15"/>
  <c r="G128" i="15"/>
  <c r="F162" i="15"/>
  <c r="G161" i="15"/>
  <c r="F132" i="15"/>
  <c r="G131" i="15"/>
  <c r="F111" i="15"/>
  <c r="G110" i="15"/>
  <c r="F168" i="15"/>
  <c r="G167" i="15"/>
  <c r="F165" i="15"/>
  <c r="G164" i="15"/>
  <c r="F180" i="15"/>
  <c r="G179" i="15"/>
  <c r="F138" i="15"/>
  <c r="G137" i="15"/>
  <c r="F117" i="15"/>
  <c r="G116" i="15"/>
  <c r="F135" i="15"/>
  <c r="G134" i="15"/>
  <c r="F171" i="15"/>
  <c r="G170" i="15"/>
  <c r="F189" i="15"/>
  <c r="G188" i="15"/>
  <c r="F159" i="15"/>
  <c r="G158" i="15"/>
  <c r="F147" i="15"/>
  <c r="G146" i="15"/>
  <c r="F183" i="15"/>
  <c r="G182" i="15"/>
  <c r="G152" i="15"/>
  <c r="F153" i="15"/>
  <c r="F114" i="15"/>
  <c r="G113" i="15"/>
  <c r="F177" i="15"/>
  <c r="G176" i="15"/>
  <c r="F120" i="15"/>
  <c r="G119" i="15"/>
  <c r="F144" i="15"/>
  <c r="G143" i="15"/>
  <c r="F150" i="15"/>
  <c r="G149" i="15"/>
  <c r="F186" i="15"/>
  <c r="G185" i="15"/>
  <c r="F156" i="15"/>
  <c r="G155" i="15"/>
  <c r="F174" i="15"/>
  <c r="G173" i="15"/>
  <c r="F126" i="15"/>
  <c r="G125" i="15"/>
  <c r="F123" i="15"/>
  <c r="G122" i="15"/>
  <c r="C21" i="20"/>
  <c r="C23" i="20" s="1"/>
  <c r="C24" i="20" s="1"/>
  <c r="C26" i="20" s="1"/>
  <c r="C28" i="20" s="1"/>
  <c r="C30" i="20" s="1"/>
  <c r="D6" i="20" s="1"/>
  <c r="D10" i="20" s="1"/>
  <c r="D37" i="26"/>
  <c r="E190" i="15"/>
  <c r="D12" i="20" s="1"/>
  <c r="D17" i="20" s="1"/>
  <c r="D20" i="20" s="1"/>
  <c r="C53" i="20"/>
  <c r="C54" i="20" s="1"/>
  <c r="C56" i="20" s="1"/>
  <c r="C58" i="20" s="1"/>
  <c r="C60" i="20" s="1"/>
  <c r="D36" i="20" s="1"/>
  <c r="D40" i="20" s="1"/>
  <c r="D51" i="20" s="1"/>
  <c r="D53" i="20" s="1"/>
  <c r="D54" i="20" s="1"/>
  <c r="D56" i="20" s="1"/>
  <c r="D58" i="20" s="1"/>
  <c r="D60" i="20" s="1"/>
  <c r="E36" i="20" s="1"/>
  <c r="E40" i="20" s="1"/>
  <c r="E51" i="20" s="1"/>
  <c r="E53" i="20" s="1"/>
  <c r="E54" i="20" s="1"/>
  <c r="E56" i="20" s="1"/>
  <c r="E58" i="20" s="1"/>
  <c r="E60" i="20" s="1"/>
  <c r="F36" i="20" s="1"/>
  <c r="F40" i="20" s="1"/>
  <c r="F51" i="20" s="1"/>
  <c r="I193" i="9"/>
  <c r="I169" i="9"/>
  <c r="Q78" i="16"/>
  <c r="Q108" i="16"/>
  <c r="Q107" i="16"/>
  <c r="F108" i="15"/>
  <c r="G107" i="15"/>
  <c r="B101" i="13"/>
  <c r="C8" i="9"/>
  <c r="Q36" i="16"/>
  <c r="J47" i="1"/>
  <c r="I47" i="1" s="1"/>
  <c r="Q7" i="16"/>
  <c r="Q37" i="16"/>
  <c r="Q43" i="16"/>
  <c r="Q72" i="16"/>
  <c r="Q73" i="16"/>
  <c r="F105" i="15"/>
  <c r="G104" i="15"/>
  <c r="B62" i="13"/>
  <c r="B46" i="13"/>
  <c r="B47" i="13" s="1"/>
  <c r="G82" i="36"/>
  <c r="G83" i="36" s="1"/>
  <c r="G85" i="36" s="1"/>
  <c r="G87" i="36" s="1"/>
  <c r="G89" i="36" s="1"/>
  <c r="H65" i="36" s="1"/>
  <c r="H69" i="36" s="1"/>
  <c r="H80" i="36" s="1"/>
  <c r="L82" i="20"/>
  <c r="L83" i="20" s="1"/>
  <c r="L85" i="20" s="1"/>
  <c r="L87" i="20" s="1"/>
  <c r="L89" i="20" s="1"/>
  <c r="M65" i="20" s="1"/>
  <c r="M69" i="20" s="1"/>
  <c r="M80" i="20" s="1"/>
  <c r="B65" i="13" l="1"/>
  <c r="B79" i="13" s="1"/>
  <c r="B170" i="13" s="1"/>
  <c r="B172" i="13" s="1"/>
  <c r="G126" i="15"/>
  <c r="H125" i="15"/>
  <c r="G156" i="15"/>
  <c r="H155" i="15"/>
  <c r="G150" i="15"/>
  <c r="H149" i="15"/>
  <c r="G120" i="15"/>
  <c r="H119" i="15"/>
  <c r="G114" i="15"/>
  <c r="H113" i="15"/>
  <c r="G183" i="15"/>
  <c r="H182" i="15"/>
  <c r="G159" i="15"/>
  <c r="H158" i="15"/>
  <c r="G171" i="15"/>
  <c r="H170" i="15"/>
  <c r="G117" i="15"/>
  <c r="H116" i="15"/>
  <c r="G180" i="15"/>
  <c r="H179" i="15"/>
  <c r="G168" i="15"/>
  <c r="H167" i="15"/>
  <c r="G132" i="15"/>
  <c r="H131" i="15"/>
  <c r="G129" i="15"/>
  <c r="H128" i="15"/>
  <c r="G123" i="15"/>
  <c r="H122" i="15"/>
  <c r="G174" i="15"/>
  <c r="H173" i="15"/>
  <c r="G186" i="15"/>
  <c r="H185" i="15"/>
  <c r="G144" i="15"/>
  <c r="H143" i="15"/>
  <c r="G177" i="15"/>
  <c r="H176" i="15"/>
  <c r="G147" i="15"/>
  <c r="H146" i="15"/>
  <c r="G189" i="15"/>
  <c r="H188" i="15"/>
  <c r="G135" i="15"/>
  <c r="H134" i="15"/>
  <c r="G138" i="15"/>
  <c r="H137" i="15"/>
  <c r="G165" i="15"/>
  <c r="H164" i="15"/>
  <c r="G111" i="15"/>
  <c r="H110" i="15"/>
  <c r="G162" i="15"/>
  <c r="H161" i="15"/>
  <c r="G141" i="15"/>
  <c r="H140" i="15"/>
  <c r="G153" i="15"/>
  <c r="H152" i="15"/>
  <c r="D21" i="20"/>
  <c r="D23" i="20" s="1"/>
  <c r="D24" i="20" s="1"/>
  <c r="D26" i="20" s="1"/>
  <c r="D28" i="20" s="1"/>
  <c r="D30" i="20" s="1"/>
  <c r="E6" i="20" s="1"/>
  <c r="E10" i="20" s="1"/>
  <c r="F190" i="15"/>
  <c r="E12" i="20" s="1"/>
  <c r="E17" i="20" s="1"/>
  <c r="E20" i="20" s="1"/>
  <c r="B192" i="13"/>
  <c r="B102" i="13"/>
  <c r="G108" i="15"/>
  <c r="H107" i="15"/>
  <c r="H104" i="15"/>
  <c r="G105" i="15"/>
  <c r="M82" i="20"/>
  <c r="M83" i="20" s="1"/>
  <c r="M85" i="20" s="1"/>
  <c r="M87" i="20" s="1"/>
  <c r="M89" i="20" s="1"/>
  <c r="N65" i="20" s="1"/>
  <c r="N69" i="20" s="1"/>
  <c r="N80" i="20" s="1"/>
  <c r="F53" i="20"/>
  <c r="F54" i="20" s="1"/>
  <c r="F56" i="20" s="1"/>
  <c r="F58" i="20" s="1"/>
  <c r="F60" i="20" s="1"/>
  <c r="G36" i="20" s="1"/>
  <c r="G40" i="20" s="1"/>
  <c r="G51" i="20" s="1"/>
  <c r="H82" i="36"/>
  <c r="H83" i="36" s="1"/>
  <c r="H85" i="36" s="1"/>
  <c r="H87" i="36" s="1"/>
  <c r="H89" i="36" s="1"/>
  <c r="I65" i="36" s="1"/>
  <c r="I69" i="36" s="1"/>
  <c r="I80" i="36" s="1"/>
  <c r="B81" i="13" l="1"/>
  <c r="E21" i="20"/>
  <c r="E23" i="20" s="1"/>
  <c r="E24" i="20" s="1"/>
  <c r="E26" i="20" s="1"/>
  <c r="E28" i="20" s="1"/>
  <c r="E30" i="20" s="1"/>
  <c r="F6" i="20" s="1"/>
  <c r="F10" i="20" s="1"/>
  <c r="D87" i="13"/>
  <c r="E87" i="13" s="1"/>
  <c r="F87" i="13" s="1"/>
  <c r="B83" i="13" s="1"/>
  <c r="B82" i="13"/>
  <c r="I140" i="15"/>
  <c r="H141" i="15"/>
  <c r="I110" i="15"/>
  <c r="H111" i="15"/>
  <c r="H138" i="15"/>
  <c r="I137" i="15"/>
  <c r="I188" i="15"/>
  <c r="H189" i="15"/>
  <c r="H177" i="15"/>
  <c r="I176" i="15"/>
  <c r="H186" i="15"/>
  <c r="I185" i="15"/>
  <c r="I122" i="15"/>
  <c r="H123" i="15"/>
  <c r="H132" i="15"/>
  <c r="I131" i="15"/>
  <c r="H180" i="15"/>
  <c r="I179" i="15"/>
  <c r="H171" i="15"/>
  <c r="I170" i="15"/>
  <c r="I182" i="15"/>
  <c r="H183" i="15"/>
  <c r="H120" i="15"/>
  <c r="I119" i="15"/>
  <c r="H156" i="15"/>
  <c r="I155" i="15"/>
  <c r="H153" i="15"/>
  <c r="I152" i="15"/>
  <c r="H162" i="15"/>
  <c r="I161" i="15"/>
  <c r="H165" i="15"/>
  <c r="I164" i="15"/>
  <c r="I134" i="15"/>
  <c r="H135" i="15"/>
  <c r="H147" i="15"/>
  <c r="I146" i="15"/>
  <c r="I143" i="15"/>
  <c r="H144" i="15"/>
  <c r="I173" i="15"/>
  <c r="H174" i="15"/>
  <c r="I128" i="15"/>
  <c r="H129" i="15"/>
  <c r="I167" i="15"/>
  <c r="H168" i="15"/>
  <c r="I116" i="15"/>
  <c r="H117" i="15"/>
  <c r="I158" i="15"/>
  <c r="H159" i="15"/>
  <c r="H114" i="15"/>
  <c r="I113" i="15"/>
  <c r="I149" i="15"/>
  <c r="H150" i="15"/>
  <c r="H126" i="15"/>
  <c r="I125" i="15"/>
  <c r="G190" i="15"/>
  <c r="F12" i="20" s="1"/>
  <c r="F17" i="20" s="1"/>
  <c r="F20" i="20" s="1"/>
  <c r="F21" i="20" s="1"/>
  <c r="C12" i="36"/>
  <c r="C17" i="36" s="1"/>
  <c r="C20" i="36" s="1"/>
  <c r="C21" i="36" s="1"/>
  <c r="C23" i="36" s="1"/>
  <c r="C24" i="36" s="1"/>
  <c r="C26" i="36" s="1"/>
  <c r="C28" i="36" s="1"/>
  <c r="C30" i="36" s="1"/>
  <c r="D6" i="36" s="1"/>
  <c r="D10" i="36" s="1"/>
  <c r="H105" i="15"/>
  <c r="I104" i="15"/>
  <c r="B103" i="13"/>
  <c r="B104" i="13" s="1"/>
  <c r="B112" i="13" s="1"/>
  <c r="B115" i="13" s="1"/>
  <c r="B117" i="13" s="1"/>
  <c r="B119" i="13" s="1"/>
  <c r="C100" i="13"/>
  <c r="C84" i="9" s="1"/>
  <c r="B124" i="13"/>
  <c r="B150" i="13" s="1"/>
  <c r="H108" i="15"/>
  <c r="I107" i="15"/>
  <c r="C193" i="13"/>
  <c r="B224" i="13"/>
  <c r="B193" i="13"/>
  <c r="B194" i="13" s="1"/>
  <c r="B195" i="13" s="1"/>
  <c r="B203" i="13" s="1"/>
  <c r="B206" i="13" s="1"/>
  <c r="B208" i="13" s="1"/>
  <c r="B210" i="13" s="1"/>
  <c r="I82" i="36"/>
  <c r="I83" i="36" s="1"/>
  <c r="I85" i="36" s="1"/>
  <c r="I87" i="36" s="1"/>
  <c r="I89" i="36" s="1"/>
  <c r="J65" i="36" s="1"/>
  <c r="J69" i="36" s="1"/>
  <c r="J80" i="36" s="1"/>
  <c r="N82" i="20"/>
  <c r="G53" i="20"/>
  <c r="G54" i="20" s="1"/>
  <c r="G56" i="20" s="1"/>
  <c r="G58" i="20" s="1"/>
  <c r="G60" i="20" s="1"/>
  <c r="H36" i="20" s="1"/>
  <c r="H40" i="20" s="1"/>
  <c r="H51" i="20" s="1"/>
  <c r="J146" i="15" l="1"/>
  <c r="I147" i="15"/>
  <c r="I165" i="15"/>
  <c r="J164" i="15"/>
  <c r="J152" i="15"/>
  <c r="I153" i="15"/>
  <c r="J119" i="15"/>
  <c r="I120" i="15"/>
  <c r="I171" i="15"/>
  <c r="J170" i="15"/>
  <c r="J131" i="15"/>
  <c r="I132" i="15"/>
  <c r="J185" i="15"/>
  <c r="I186" i="15"/>
  <c r="I150" i="15"/>
  <c r="J149" i="15"/>
  <c r="J158" i="15"/>
  <c r="I159" i="15"/>
  <c r="I168" i="15"/>
  <c r="J167" i="15"/>
  <c r="J173" i="15"/>
  <c r="I174" i="15"/>
  <c r="I189" i="15"/>
  <c r="J188" i="15"/>
  <c r="I111" i="15"/>
  <c r="J110" i="15"/>
  <c r="J125" i="15"/>
  <c r="I126" i="15"/>
  <c r="J113" i="15"/>
  <c r="I114" i="15"/>
  <c r="I162" i="15"/>
  <c r="J161" i="15"/>
  <c r="J155" i="15"/>
  <c r="I156" i="15"/>
  <c r="I180" i="15"/>
  <c r="J179" i="15"/>
  <c r="I177" i="15"/>
  <c r="J176" i="15"/>
  <c r="I138" i="15"/>
  <c r="J137" i="15"/>
  <c r="J116" i="15"/>
  <c r="I117" i="15"/>
  <c r="J128" i="15"/>
  <c r="I129" i="15"/>
  <c r="J143" i="15"/>
  <c r="I144" i="15"/>
  <c r="J134" i="15"/>
  <c r="I135" i="15"/>
  <c r="I183" i="15"/>
  <c r="J182" i="15"/>
  <c r="I123" i="15"/>
  <c r="J122" i="15"/>
  <c r="I141" i="15"/>
  <c r="J140" i="15"/>
  <c r="F23" i="20"/>
  <c r="F24" i="20" s="1"/>
  <c r="F26" i="20" s="1"/>
  <c r="F28" i="20" s="1"/>
  <c r="F30" i="20" s="1"/>
  <c r="G6" i="20" s="1"/>
  <c r="G10" i="20" s="1"/>
  <c r="H190" i="15"/>
  <c r="G12" i="20" s="1"/>
  <c r="G17" i="20" s="1"/>
  <c r="G20" i="20" s="1"/>
  <c r="B238" i="13"/>
  <c r="B232" i="13"/>
  <c r="B178" i="9"/>
  <c r="D193" i="13"/>
  <c r="C215" i="13"/>
  <c r="D191" i="13"/>
  <c r="C161" i="9"/>
  <c r="I108" i="15"/>
  <c r="J107" i="15"/>
  <c r="B215" i="13"/>
  <c r="C191" i="13"/>
  <c r="C159" i="9" s="1"/>
  <c r="B103" i="9"/>
  <c r="B147" i="13"/>
  <c r="B157" i="13" s="1"/>
  <c r="B173" i="13" s="1"/>
  <c r="B141" i="13"/>
  <c r="B228" i="13"/>
  <c r="B229" i="13" s="1"/>
  <c r="B244" i="13"/>
  <c r="I105" i="15"/>
  <c r="J104" i="15"/>
  <c r="BO82" i="20"/>
  <c r="CO82" i="20"/>
  <c r="BB82" i="20"/>
  <c r="O82" i="20"/>
  <c r="J82" i="36"/>
  <c r="J83" i="36" s="1"/>
  <c r="J85" i="36" s="1"/>
  <c r="J87" i="36" s="1"/>
  <c r="J89" i="36" s="1"/>
  <c r="K65" i="36" s="1"/>
  <c r="K69" i="36" s="1"/>
  <c r="K80" i="36" s="1"/>
  <c r="H53" i="20"/>
  <c r="H54" i="20" s="1"/>
  <c r="H56" i="20" s="1"/>
  <c r="H58" i="20" s="1"/>
  <c r="H60" i="20" s="1"/>
  <c r="I36" i="20" s="1"/>
  <c r="I40" i="20" s="1"/>
  <c r="I51" i="20" s="1"/>
  <c r="N83" i="20"/>
  <c r="N85" i="20" s="1"/>
  <c r="N87" i="20" s="1"/>
  <c r="N89" i="20" s="1"/>
  <c r="P65" i="20" s="1"/>
  <c r="P69" i="20" s="1"/>
  <c r="P80" i="20" s="1"/>
  <c r="K122" i="15" l="1"/>
  <c r="J123" i="15"/>
  <c r="K137" i="15"/>
  <c r="J138" i="15"/>
  <c r="J180" i="15"/>
  <c r="K179" i="15"/>
  <c r="K161" i="15"/>
  <c r="J162" i="15"/>
  <c r="K188" i="15"/>
  <c r="J189" i="15"/>
  <c r="J168" i="15"/>
  <c r="K167" i="15"/>
  <c r="J150" i="15"/>
  <c r="K149" i="15"/>
  <c r="J165" i="15"/>
  <c r="K164" i="15"/>
  <c r="J135" i="15"/>
  <c r="K134" i="15"/>
  <c r="J129" i="15"/>
  <c r="K128" i="15"/>
  <c r="J126" i="15"/>
  <c r="K125" i="15"/>
  <c r="J132" i="15"/>
  <c r="K131" i="15"/>
  <c r="K119" i="15"/>
  <c r="J120" i="15"/>
  <c r="J141" i="15"/>
  <c r="K140" i="15"/>
  <c r="K182" i="15"/>
  <c r="J183" i="15"/>
  <c r="K176" i="15"/>
  <c r="J177" i="15"/>
  <c r="K110" i="15"/>
  <c r="J111" i="15"/>
  <c r="J171" i="15"/>
  <c r="K170" i="15"/>
  <c r="K143" i="15"/>
  <c r="J144" i="15"/>
  <c r="J117" i="15"/>
  <c r="K116" i="15"/>
  <c r="K155" i="15"/>
  <c r="J156" i="15"/>
  <c r="J114" i="15"/>
  <c r="K113" i="15"/>
  <c r="J174" i="15"/>
  <c r="K173" i="15"/>
  <c r="K158" i="15"/>
  <c r="J159" i="15"/>
  <c r="J186" i="15"/>
  <c r="K185" i="15"/>
  <c r="K152" i="15"/>
  <c r="J153" i="15"/>
  <c r="K146" i="15"/>
  <c r="J147" i="15"/>
  <c r="G21" i="20"/>
  <c r="G23" i="20" s="1"/>
  <c r="G24" i="20" s="1"/>
  <c r="G26" i="20" s="1"/>
  <c r="G28" i="20" s="1"/>
  <c r="G30" i="20" s="1"/>
  <c r="H6" i="20" s="1"/>
  <c r="H10" i="20" s="1"/>
  <c r="I190" i="15"/>
  <c r="H12" i="20" s="1"/>
  <c r="H17" i="20" s="1"/>
  <c r="H20" i="20" s="1"/>
  <c r="D178" i="13"/>
  <c r="E178" i="13" s="1"/>
  <c r="F178" i="13" s="1"/>
  <c r="K104" i="15"/>
  <c r="J105" i="15"/>
  <c r="B241" i="13"/>
  <c r="B248" i="13" s="1"/>
  <c r="B261" i="13" s="1"/>
  <c r="B263" i="13" s="1"/>
  <c r="B264" i="13" s="1"/>
  <c r="C241" i="13"/>
  <c r="D183" i="9"/>
  <c r="D159" i="9"/>
  <c r="K107" i="15"/>
  <c r="J108" i="15"/>
  <c r="E193" i="13"/>
  <c r="E191" i="13"/>
  <c r="D215" i="13"/>
  <c r="D241" i="13" s="1"/>
  <c r="D161" i="9"/>
  <c r="D185" i="9"/>
  <c r="I53" i="20"/>
  <c r="I54" i="20" s="1"/>
  <c r="I56" i="20" s="1"/>
  <c r="I58" i="20" s="1"/>
  <c r="I60" i="20" s="1"/>
  <c r="J36" i="20" s="1"/>
  <c r="J40" i="20" s="1"/>
  <c r="J51" i="20" s="1"/>
  <c r="K82" i="36"/>
  <c r="K83" i="36" s="1"/>
  <c r="K85" i="36" s="1"/>
  <c r="K87" i="36" s="1"/>
  <c r="K89" i="36" s="1"/>
  <c r="L65" i="36" s="1"/>
  <c r="L69" i="36" s="1"/>
  <c r="L80" i="36" s="1"/>
  <c r="P82" i="20"/>
  <c r="B231" i="13"/>
  <c r="D41" i="26"/>
  <c r="J6" i="26" s="1"/>
  <c r="K5" i="38" s="1"/>
  <c r="K114" i="15" l="1"/>
  <c r="L113" i="15"/>
  <c r="K117" i="15"/>
  <c r="L116" i="15"/>
  <c r="K171" i="15"/>
  <c r="L170" i="15"/>
  <c r="K141" i="15"/>
  <c r="L140" i="15"/>
  <c r="K132" i="15"/>
  <c r="L131" i="15"/>
  <c r="K129" i="15"/>
  <c r="L128" i="15"/>
  <c r="K165" i="15"/>
  <c r="L164" i="15"/>
  <c r="K168" i="15"/>
  <c r="L167" i="15"/>
  <c r="K153" i="15"/>
  <c r="L152" i="15"/>
  <c r="K159" i="15"/>
  <c r="L158" i="15"/>
  <c r="K177" i="15"/>
  <c r="L176" i="15"/>
  <c r="K162" i="15"/>
  <c r="L161" i="15"/>
  <c r="L137" i="15"/>
  <c r="K138" i="15"/>
  <c r="K186" i="15"/>
  <c r="L185" i="15"/>
  <c r="L173" i="15"/>
  <c r="K174" i="15"/>
  <c r="K126" i="15"/>
  <c r="L125" i="15"/>
  <c r="K135" i="15"/>
  <c r="L134" i="15"/>
  <c r="K150" i="15"/>
  <c r="L149" i="15"/>
  <c r="K180" i="15"/>
  <c r="L179" i="15"/>
  <c r="K147" i="15"/>
  <c r="L146" i="15"/>
  <c r="K156" i="15"/>
  <c r="L155" i="15"/>
  <c r="K144" i="15"/>
  <c r="L143" i="15"/>
  <c r="K111" i="15"/>
  <c r="L110" i="15"/>
  <c r="K183" i="15"/>
  <c r="L182" i="15"/>
  <c r="K120" i="15"/>
  <c r="L119" i="15"/>
  <c r="K189" i="15"/>
  <c r="L188" i="15"/>
  <c r="K123" i="15"/>
  <c r="L122" i="15"/>
  <c r="H21" i="20"/>
  <c r="H23" i="20" s="1"/>
  <c r="H24" i="20" s="1"/>
  <c r="H26" i="20" s="1"/>
  <c r="H28" i="20" s="1"/>
  <c r="H30" i="20" s="1"/>
  <c r="I6" i="20" s="1"/>
  <c r="I10" i="20" s="1"/>
  <c r="D269" i="13"/>
  <c r="E269" i="13" s="1"/>
  <c r="F269" i="13" s="1"/>
  <c r="D12" i="36"/>
  <c r="D17" i="36" s="1"/>
  <c r="D20" i="36" s="1"/>
  <c r="D21" i="36" s="1"/>
  <c r="D23" i="36" s="1"/>
  <c r="D24" i="36" s="1"/>
  <c r="D26" i="36" s="1"/>
  <c r="D28" i="36" s="1"/>
  <c r="D30" i="36" s="1"/>
  <c r="E6" i="36" s="1"/>
  <c r="E10" i="36" s="1"/>
  <c r="J190" i="15"/>
  <c r="I12" i="20" s="1"/>
  <c r="I17" i="20" s="1"/>
  <c r="I20" i="20" s="1"/>
  <c r="L107" i="15"/>
  <c r="K108" i="15"/>
  <c r="E159" i="9"/>
  <c r="E183" i="9"/>
  <c r="E215" i="13"/>
  <c r="E161" i="9"/>
  <c r="F191" i="13"/>
  <c r="F193" i="13"/>
  <c r="E185" i="9"/>
  <c r="K105" i="15"/>
  <c r="L104" i="15"/>
  <c r="L82" i="36"/>
  <c r="L83" i="36" s="1"/>
  <c r="L85" i="36" s="1"/>
  <c r="L87" i="36" s="1"/>
  <c r="L89" i="36" s="1"/>
  <c r="M65" i="36" s="1"/>
  <c r="M69" i="36" s="1"/>
  <c r="M80" i="36" s="1"/>
  <c r="J53" i="20"/>
  <c r="J54" i="20" s="1"/>
  <c r="J56" i="20" s="1"/>
  <c r="J58" i="20" s="1"/>
  <c r="J60" i="20" s="1"/>
  <c r="K36" i="20" s="1"/>
  <c r="K40" i="20" s="1"/>
  <c r="K51" i="20" s="1"/>
  <c r="P83" i="20"/>
  <c r="P85" i="20" s="1"/>
  <c r="P87" i="20" s="1"/>
  <c r="P89" i="20" s="1"/>
  <c r="Q65" i="20" s="1"/>
  <c r="Q69" i="20" s="1"/>
  <c r="Q80" i="20" s="1"/>
  <c r="M6" i="26"/>
  <c r="K6" i="26"/>
  <c r="K4" i="38" s="1"/>
  <c r="L6" i="26"/>
  <c r="D48" i="26"/>
  <c r="B252" i="13"/>
  <c r="B253" i="13" s="1"/>
  <c r="B256" i="13" s="1"/>
  <c r="B257" i="13" s="1"/>
  <c r="C231" i="13"/>
  <c r="B233" i="13"/>
  <c r="I21" i="20" l="1"/>
  <c r="I23" i="20" s="1"/>
  <c r="I24" i="20" s="1"/>
  <c r="I26" i="20" s="1"/>
  <c r="I28" i="20" s="1"/>
  <c r="I30" i="20" s="1"/>
  <c r="J6" i="20" s="1"/>
  <c r="J10" i="20" s="1"/>
  <c r="L189" i="15"/>
  <c r="M188" i="15"/>
  <c r="L183" i="15"/>
  <c r="M182" i="15"/>
  <c r="L144" i="15"/>
  <c r="M143" i="15"/>
  <c r="L147" i="15"/>
  <c r="M146" i="15"/>
  <c r="L150" i="15"/>
  <c r="M149" i="15"/>
  <c r="L126" i="15"/>
  <c r="M125" i="15"/>
  <c r="L186" i="15"/>
  <c r="M185" i="15"/>
  <c r="L162" i="15"/>
  <c r="M161" i="15"/>
  <c r="L159" i="15"/>
  <c r="M158" i="15"/>
  <c r="L168" i="15"/>
  <c r="M167" i="15"/>
  <c r="L129" i="15"/>
  <c r="M128" i="15"/>
  <c r="L141" i="15"/>
  <c r="M140" i="15"/>
  <c r="L117" i="15"/>
  <c r="M116" i="15"/>
  <c r="L123" i="15"/>
  <c r="M122" i="15"/>
  <c r="L120" i="15"/>
  <c r="M119" i="15"/>
  <c r="L111" i="15"/>
  <c r="M110" i="15"/>
  <c r="M155" i="15"/>
  <c r="L156" i="15"/>
  <c r="L180" i="15"/>
  <c r="M179" i="15"/>
  <c r="L135" i="15"/>
  <c r="M134" i="15"/>
  <c r="M176" i="15"/>
  <c r="L177" i="15"/>
  <c r="L153" i="15"/>
  <c r="M152" i="15"/>
  <c r="L165" i="15"/>
  <c r="M164" i="15"/>
  <c r="L132" i="15"/>
  <c r="M131" i="15"/>
  <c r="M170" i="15"/>
  <c r="L171" i="15"/>
  <c r="L114" i="15"/>
  <c r="M113" i="15"/>
  <c r="L174" i="15"/>
  <c r="M173" i="15"/>
  <c r="L138" i="15"/>
  <c r="M137" i="15"/>
  <c r="K190" i="15"/>
  <c r="J12" i="20" s="1"/>
  <c r="J17" i="20" s="1"/>
  <c r="J20" i="20" s="1"/>
  <c r="J21" i="20" s="1"/>
  <c r="J23" i="20" s="1"/>
  <c r="J24" i="20" s="1"/>
  <c r="J26" i="20" s="1"/>
  <c r="J28" i="20" s="1"/>
  <c r="J30" i="20" s="1"/>
  <c r="K6" i="20" s="1"/>
  <c r="K10" i="20" s="1"/>
  <c r="K6" i="38"/>
  <c r="K7" i="38" s="1"/>
  <c r="K12" i="38" s="1"/>
  <c r="K13" i="38" s="1"/>
  <c r="K19" i="38" s="1"/>
  <c r="I6" i="26" s="1"/>
  <c r="F161" i="9"/>
  <c r="F185" i="9"/>
  <c r="G191" i="13"/>
  <c r="G193" i="13"/>
  <c r="F215" i="13"/>
  <c r="F241" i="13" s="1"/>
  <c r="L105" i="15"/>
  <c r="M104" i="15"/>
  <c r="F159" i="9"/>
  <c r="F183" i="9"/>
  <c r="E241" i="13"/>
  <c r="L108" i="15"/>
  <c r="M107" i="15"/>
  <c r="K53" i="20"/>
  <c r="K54" i="20" s="1"/>
  <c r="K56" i="20" s="1"/>
  <c r="K58" i="20" s="1"/>
  <c r="K60" i="20" s="1"/>
  <c r="L36" i="20" s="1"/>
  <c r="L40" i="20" s="1"/>
  <c r="L51" i="20" s="1"/>
  <c r="C252" i="13"/>
  <c r="D231" i="13"/>
  <c r="E231" i="13" s="1"/>
  <c r="F231" i="13" s="1"/>
  <c r="G231" i="13" s="1"/>
  <c r="H231" i="13" s="1"/>
  <c r="I231" i="13" s="1"/>
  <c r="C255" i="13"/>
  <c r="B214" i="13"/>
  <c r="B218" i="13" s="1"/>
  <c r="B222" i="13" s="1"/>
  <c r="B234" i="13" s="1"/>
  <c r="Q82" i="20"/>
  <c r="M82" i="36"/>
  <c r="M83" i="36" s="1"/>
  <c r="M85" i="36" s="1"/>
  <c r="M87" i="36" s="1"/>
  <c r="M89" i="36" s="1"/>
  <c r="N65" i="36" s="1"/>
  <c r="N69" i="36" s="1"/>
  <c r="N80" i="36" s="1"/>
  <c r="M174" i="15" l="1"/>
  <c r="N173" i="15"/>
  <c r="M165" i="15"/>
  <c r="N164" i="15"/>
  <c r="M180" i="15"/>
  <c r="N179" i="15"/>
  <c r="M111" i="15"/>
  <c r="N110" i="15"/>
  <c r="M123" i="15"/>
  <c r="N122" i="15"/>
  <c r="M141" i="15"/>
  <c r="N140" i="15"/>
  <c r="M168" i="15"/>
  <c r="N167" i="15"/>
  <c r="M162" i="15"/>
  <c r="N161" i="15"/>
  <c r="M126" i="15"/>
  <c r="N125" i="15"/>
  <c r="M147" i="15"/>
  <c r="N146" i="15"/>
  <c r="M183" i="15"/>
  <c r="N182" i="15"/>
  <c r="M171" i="15"/>
  <c r="N170" i="15"/>
  <c r="M177" i="15"/>
  <c r="N176" i="15"/>
  <c r="M138" i="15"/>
  <c r="N137" i="15"/>
  <c r="M114" i="15"/>
  <c r="N113" i="15"/>
  <c r="M132" i="15"/>
  <c r="N131" i="15"/>
  <c r="M153" i="15"/>
  <c r="N152" i="15"/>
  <c r="M135" i="15"/>
  <c r="N134" i="15"/>
  <c r="M120" i="15"/>
  <c r="N119" i="15"/>
  <c r="N116" i="15"/>
  <c r="M117" i="15"/>
  <c r="M129" i="15"/>
  <c r="N128" i="15"/>
  <c r="M159" i="15"/>
  <c r="N158" i="15"/>
  <c r="M186" i="15"/>
  <c r="N185" i="15"/>
  <c r="M150" i="15"/>
  <c r="N149" i="15"/>
  <c r="M144" i="15"/>
  <c r="N143" i="15"/>
  <c r="N188" i="15"/>
  <c r="N189" i="15" s="1"/>
  <c r="M189" i="15"/>
  <c r="M156" i="15"/>
  <c r="N155" i="15"/>
  <c r="L190" i="15"/>
  <c r="K12" i="20" s="1"/>
  <c r="K17" i="20" s="1"/>
  <c r="K20" i="20" s="1"/>
  <c r="K21" i="20" s="1"/>
  <c r="K23" i="20" s="1"/>
  <c r="K24" i="20" s="1"/>
  <c r="K26" i="20" s="1"/>
  <c r="K28" i="20" s="1"/>
  <c r="K30" i="20" s="1"/>
  <c r="L6" i="20" s="1"/>
  <c r="L10" i="20" s="1"/>
  <c r="H191" i="13"/>
  <c r="G215" i="13"/>
  <c r="G241" i="13" s="1"/>
  <c r="H193" i="13"/>
  <c r="G185" i="9"/>
  <c r="G161" i="9"/>
  <c r="N104" i="15"/>
  <c r="M105" i="15"/>
  <c r="G159" i="9"/>
  <c r="G183" i="9"/>
  <c r="M108" i="15"/>
  <c r="N107" i="15"/>
  <c r="N82" i="36"/>
  <c r="N83" i="36" s="1"/>
  <c r="N85" i="36" s="1"/>
  <c r="N87" i="36" s="1"/>
  <c r="N89" i="36" s="1"/>
  <c r="O65" i="36" s="1"/>
  <c r="O69" i="36" s="1"/>
  <c r="O80" i="36" s="1"/>
  <c r="Q83" i="20"/>
  <c r="Q85" i="20" s="1"/>
  <c r="Q87" i="20" s="1"/>
  <c r="Q89" i="20" s="1"/>
  <c r="R65" i="20" s="1"/>
  <c r="R69" i="20" s="1"/>
  <c r="R80" i="20" s="1"/>
  <c r="C253" i="13"/>
  <c r="D252" i="13"/>
  <c r="L53" i="20"/>
  <c r="L54" i="20" s="1"/>
  <c r="L56" i="20" s="1"/>
  <c r="L58" i="20" s="1"/>
  <c r="L60" i="20" s="1"/>
  <c r="M36" i="20" s="1"/>
  <c r="M40" i="20" s="1"/>
  <c r="M51" i="20" s="1"/>
  <c r="N150" i="15" l="1"/>
  <c r="O149" i="15"/>
  <c r="N159" i="15"/>
  <c r="O158" i="15"/>
  <c r="N135" i="15"/>
  <c r="O134" i="15"/>
  <c r="N132" i="15"/>
  <c r="O131" i="15"/>
  <c r="N138" i="15"/>
  <c r="O137" i="15"/>
  <c r="O170" i="15"/>
  <c r="N171" i="15"/>
  <c r="N147" i="15"/>
  <c r="O146" i="15"/>
  <c r="O161" i="15"/>
  <c r="N162" i="15"/>
  <c r="N141" i="15"/>
  <c r="O140" i="15"/>
  <c r="O110" i="15"/>
  <c r="N111" i="15"/>
  <c r="N165" i="15"/>
  <c r="O164" i="15"/>
  <c r="N117" i="15"/>
  <c r="O116" i="15"/>
  <c r="N156" i="15"/>
  <c r="O155" i="15"/>
  <c r="N144" i="15"/>
  <c r="O143" i="15"/>
  <c r="N186" i="15"/>
  <c r="O185" i="15"/>
  <c r="N129" i="15"/>
  <c r="O128" i="15"/>
  <c r="N120" i="15"/>
  <c r="O119" i="15"/>
  <c r="O152" i="15"/>
  <c r="N153" i="15"/>
  <c r="N114" i="15"/>
  <c r="O113" i="15"/>
  <c r="N177" i="15"/>
  <c r="O176" i="15"/>
  <c r="N183" i="15"/>
  <c r="O182" i="15"/>
  <c r="N126" i="15"/>
  <c r="O125" i="15"/>
  <c r="N168" i="15"/>
  <c r="O167" i="15"/>
  <c r="N123" i="15"/>
  <c r="O122" i="15"/>
  <c r="O179" i="15"/>
  <c r="N180" i="15"/>
  <c r="N174" i="15"/>
  <c r="O173" i="15"/>
  <c r="E12" i="36"/>
  <c r="E17" i="36" s="1"/>
  <c r="E20" i="36" s="1"/>
  <c r="E21" i="36" s="1"/>
  <c r="E23" i="36" s="1"/>
  <c r="E24" i="36" s="1"/>
  <c r="E26" i="36" s="1"/>
  <c r="E28" i="36" s="1"/>
  <c r="E30" i="36" s="1"/>
  <c r="F6" i="36" s="1"/>
  <c r="F10" i="36" s="1"/>
  <c r="M190" i="15"/>
  <c r="L12" i="20" s="1"/>
  <c r="L17" i="20" s="1"/>
  <c r="L20" i="20" s="1"/>
  <c r="L21" i="20" s="1"/>
  <c r="L23" i="20" s="1"/>
  <c r="L24" i="20" s="1"/>
  <c r="L26" i="20" s="1"/>
  <c r="L28" i="20" s="1"/>
  <c r="L30" i="20" s="1"/>
  <c r="M6" i="20" s="1"/>
  <c r="M10" i="20" s="1"/>
  <c r="O107" i="15"/>
  <c r="N108" i="15"/>
  <c r="O104" i="15"/>
  <c r="N105" i="15"/>
  <c r="I191" i="13"/>
  <c r="H215" i="13"/>
  <c r="I193" i="13"/>
  <c r="H185" i="9"/>
  <c r="H161" i="9"/>
  <c r="H159" i="9"/>
  <c r="H183" i="9"/>
  <c r="O82" i="36"/>
  <c r="O83" i="36" s="1"/>
  <c r="O85" i="36" s="1"/>
  <c r="O87" i="36" s="1"/>
  <c r="O89" i="36" s="1"/>
  <c r="P65" i="36" s="1"/>
  <c r="P69" i="36" s="1"/>
  <c r="P80" i="36" s="1"/>
  <c r="M53" i="20"/>
  <c r="M54" i="20" s="1"/>
  <c r="M56" i="20" s="1"/>
  <c r="M58" i="20" s="1"/>
  <c r="M60" i="20" s="1"/>
  <c r="N36" i="20" s="1"/>
  <c r="N40" i="20" s="1"/>
  <c r="N51" i="20" s="1"/>
  <c r="D253" i="13"/>
  <c r="E252" i="13"/>
  <c r="R82" i="20"/>
  <c r="P173" i="15" l="1"/>
  <c r="Q173" i="15" s="1"/>
  <c r="O174" i="15"/>
  <c r="P174" i="15" s="1"/>
  <c r="O123" i="15"/>
  <c r="P123" i="15" s="1"/>
  <c r="P122" i="15"/>
  <c r="Q122" i="15" s="1"/>
  <c r="P125" i="15"/>
  <c r="Q125" i="15" s="1"/>
  <c r="O126" i="15"/>
  <c r="P126" i="15" s="1"/>
  <c r="O177" i="15"/>
  <c r="P177" i="15" s="1"/>
  <c r="P176" i="15"/>
  <c r="Q176" i="15" s="1"/>
  <c r="P128" i="15"/>
  <c r="Q128" i="15" s="1"/>
  <c r="O129" i="15"/>
  <c r="P129" i="15" s="1"/>
  <c r="P143" i="15"/>
  <c r="Q143" i="15" s="1"/>
  <c r="O144" i="15"/>
  <c r="P144" i="15" s="1"/>
  <c r="P116" i="15"/>
  <c r="Q116" i="15" s="1"/>
  <c r="O117" i="15"/>
  <c r="P117" i="15" s="1"/>
  <c r="P131" i="15"/>
  <c r="Q131" i="15" s="1"/>
  <c r="O132" i="15"/>
  <c r="P132" i="15" s="1"/>
  <c r="O159" i="15"/>
  <c r="P159" i="15" s="1"/>
  <c r="P158" i="15"/>
  <c r="Q158" i="15" s="1"/>
  <c r="O153" i="15"/>
  <c r="P153" i="15" s="1"/>
  <c r="P152" i="15"/>
  <c r="Q152" i="15" s="1"/>
  <c r="P110" i="15"/>
  <c r="Q110" i="15" s="1"/>
  <c r="O111" i="15"/>
  <c r="P111" i="15" s="1"/>
  <c r="O162" i="15"/>
  <c r="P162" i="15" s="1"/>
  <c r="P161" i="15"/>
  <c r="Q161" i="15" s="1"/>
  <c r="P170" i="15"/>
  <c r="Q170" i="15" s="1"/>
  <c r="O171" i="15"/>
  <c r="P171" i="15" s="1"/>
  <c r="P167" i="15"/>
  <c r="Q167" i="15" s="1"/>
  <c r="O168" i="15"/>
  <c r="P168" i="15" s="1"/>
  <c r="O183" i="15"/>
  <c r="P183" i="15" s="1"/>
  <c r="P182" i="15"/>
  <c r="Q182" i="15" s="1"/>
  <c r="O114" i="15"/>
  <c r="P114" i="15" s="1"/>
  <c r="P113" i="15"/>
  <c r="Q113" i="15" s="1"/>
  <c r="O120" i="15"/>
  <c r="P120" i="15" s="1"/>
  <c r="P119" i="15"/>
  <c r="Q119" i="15" s="1"/>
  <c r="P185" i="15"/>
  <c r="Q185" i="15" s="1"/>
  <c r="O186" i="15"/>
  <c r="P186" i="15" s="1"/>
  <c r="P155" i="15"/>
  <c r="Q155" i="15" s="1"/>
  <c r="O156" i="15"/>
  <c r="P156" i="15" s="1"/>
  <c r="P164" i="15"/>
  <c r="Q164" i="15" s="1"/>
  <c r="O165" i="15"/>
  <c r="P165" i="15" s="1"/>
  <c r="P140" i="15"/>
  <c r="Q140" i="15" s="1"/>
  <c r="O141" i="15"/>
  <c r="P141" i="15" s="1"/>
  <c r="O147" i="15"/>
  <c r="P147" i="15" s="1"/>
  <c r="P146" i="15"/>
  <c r="Q146" i="15" s="1"/>
  <c r="O138" i="15"/>
  <c r="P138" i="15" s="1"/>
  <c r="P137" i="15"/>
  <c r="Q137" i="15" s="1"/>
  <c r="P134" i="15"/>
  <c r="Q134" i="15" s="1"/>
  <c r="O135" i="15"/>
  <c r="P135" i="15" s="1"/>
  <c r="O150" i="15"/>
  <c r="P150" i="15" s="1"/>
  <c r="P149" i="15"/>
  <c r="Q149" i="15" s="1"/>
  <c r="O180" i="15"/>
  <c r="P180" i="15" s="1"/>
  <c r="P179" i="15"/>
  <c r="Q179" i="15" s="1"/>
  <c r="N190" i="15"/>
  <c r="M12" i="20" s="1"/>
  <c r="I161" i="9"/>
  <c r="I185" i="9"/>
  <c r="I215" i="13"/>
  <c r="I241" i="13" s="1"/>
  <c r="P104" i="15"/>
  <c r="Q104" i="15" s="1"/>
  <c r="O105" i="15"/>
  <c r="H241" i="13"/>
  <c r="I183" i="9"/>
  <c r="I159" i="9"/>
  <c r="O108" i="15"/>
  <c r="P108" i="15" s="1"/>
  <c r="P107" i="15"/>
  <c r="Q107" i="15" s="1"/>
  <c r="N53" i="20"/>
  <c r="O53" i="20" s="1"/>
  <c r="R83" i="20"/>
  <c r="R85" i="20" s="1"/>
  <c r="R87" i="20" s="1"/>
  <c r="R89" i="20" s="1"/>
  <c r="S65" i="20" s="1"/>
  <c r="S69" i="20" s="1"/>
  <c r="S80" i="20" s="1"/>
  <c r="F252" i="13"/>
  <c r="E253" i="13"/>
  <c r="P82" i="36"/>
  <c r="P83" i="36" s="1"/>
  <c r="P85" i="36" s="1"/>
  <c r="P87" i="36" s="1"/>
  <c r="P89" i="36" s="1"/>
  <c r="Q65" i="36" s="1"/>
  <c r="Q69" i="36" s="1"/>
  <c r="Q80" i="36" s="1"/>
  <c r="Q180" i="15" l="1"/>
  <c r="R179" i="15"/>
  <c r="R146" i="15"/>
  <c r="Q147" i="15"/>
  <c r="Q114" i="15"/>
  <c r="R113" i="15"/>
  <c r="R161" i="15"/>
  <c r="Q162" i="15"/>
  <c r="Q153" i="15"/>
  <c r="R152" i="15"/>
  <c r="Q177" i="15"/>
  <c r="R176" i="15"/>
  <c r="R122" i="15"/>
  <c r="Q123" i="15"/>
  <c r="Q135" i="15"/>
  <c r="R134" i="15"/>
  <c r="R164" i="15"/>
  <c r="Q165" i="15"/>
  <c r="Q186" i="15"/>
  <c r="R185" i="15"/>
  <c r="Q168" i="15"/>
  <c r="R167" i="15"/>
  <c r="Q132" i="15"/>
  <c r="R131" i="15"/>
  <c r="R143" i="15"/>
  <c r="Q144" i="15"/>
  <c r="R149" i="15"/>
  <c r="Q150" i="15"/>
  <c r="R137" i="15"/>
  <c r="Q138" i="15"/>
  <c r="R119" i="15"/>
  <c r="Q120" i="15"/>
  <c r="Q183" i="15"/>
  <c r="R182" i="15"/>
  <c r="R158" i="15"/>
  <c r="Q159" i="15"/>
  <c r="R140" i="15"/>
  <c r="Q141" i="15"/>
  <c r="R155" i="15"/>
  <c r="Q156" i="15"/>
  <c r="Q171" i="15"/>
  <c r="R170" i="15"/>
  <c r="R110" i="15"/>
  <c r="Q111" i="15"/>
  <c r="R116" i="15"/>
  <c r="Q117" i="15"/>
  <c r="R128" i="15"/>
  <c r="Q129" i="15"/>
  <c r="R125" i="15"/>
  <c r="Q126" i="15"/>
  <c r="Q174" i="15"/>
  <c r="R173" i="15"/>
  <c r="N54" i="20"/>
  <c r="N56" i="20" s="1"/>
  <c r="N58" i="20" s="1"/>
  <c r="N60" i="20" s="1"/>
  <c r="P36" i="20" s="1"/>
  <c r="P40" i="20" s="1"/>
  <c r="O190" i="15"/>
  <c r="R107" i="15"/>
  <c r="Q108" i="15"/>
  <c r="R104" i="15"/>
  <c r="Q105" i="15"/>
  <c r="P105" i="15"/>
  <c r="P190" i="15" s="1"/>
  <c r="M17" i="20"/>
  <c r="M20" i="20" s="1"/>
  <c r="M21" i="20" s="1"/>
  <c r="M23" i="20" s="1"/>
  <c r="M24" i="20" s="1"/>
  <c r="M26" i="20" s="1"/>
  <c r="M28" i="20" s="1"/>
  <c r="M30" i="20" s="1"/>
  <c r="N6" i="20" s="1"/>
  <c r="N10" i="20" s="1"/>
  <c r="Q82" i="36"/>
  <c r="Q83" i="36" s="1"/>
  <c r="Q85" i="36" s="1"/>
  <c r="Q87" i="36" s="1"/>
  <c r="Q89" i="36" s="1"/>
  <c r="R65" i="36" s="1"/>
  <c r="R69" i="36" s="1"/>
  <c r="R80" i="36" s="1"/>
  <c r="F253" i="13"/>
  <c r="G252" i="13"/>
  <c r="S82" i="20"/>
  <c r="S83" i="20" s="1"/>
  <c r="S85" i="20" s="1"/>
  <c r="S87" i="20" s="1"/>
  <c r="S89" i="20" s="1"/>
  <c r="T65" i="20" s="1"/>
  <c r="T69" i="20" s="1"/>
  <c r="T80" i="20" s="1"/>
  <c r="B140" i="13"/>
  <c r="C41" i="26"/>
  <c r="J5" i="26" s="1"/>
  <c r="R174" i="15" l="1"/>
  <c r="S173" i="15"/>
  <c r="R132" i="15"/>
  <c r="S131" i="15"/>
  <c r="R186" i="15"/>
  <c r="S185" i="15"/>
  <c r="R135" i="15"/>
  <c r="S134" i="15"/>
  <c r="R177" i="15"/>
  <c r="S176" i="15"/>
  <c r="R129" i="15"/>
  <c r="S128" i="15"/>
  <c r="R111" i="15"/>
  <c r="S110" i="15"/>
  <c r="R156" i="15"/>
  <c r="S155" i="15"/>
  <c r="S158" i="15"/>
  <c r="R159" i="15"/>
  <c r="R120" i="15"/>
  <c r="S119" i="15"/>
  <c r="R150" i="15"/>
  <c r="S149" i="15"/>
  <c r="R162" i="15"/>
  <c r="S161" i="15"/>
  <c r="R147" i="15"/>
  <c r="S146" i="15"/>
  <c r="R171" i="15"/>
  <c r="S170" i="15"/>
  <c r="R183" i="15"/>
  <c r="S182" i="15"/>
  <c r="R168" i="15"/>
  <c r="S167" i="15"/>
  <c r="R153" i="15"/>
  <c r="S152" i="15"/>
  <c r="R114" i="15"/>
  <c r="S113" i="15"/>
  <c r="R180" i="15"/>
  <c r="S179" i="15"/>
  <c r="R126" i="15"/>
  <c r="S125" i="15"/>
  <c r="R117" i="15"/>
  <c r="S116" i="15"/>
  <c r="R141" i="15"/>
  <c r="S140" i="15"/>
  <c r="R138" i="15"/>
  <c r="S137" i="15"/>
  <c r="R144" i="15"/>
  <c r="S143" i="15"/>
  <c r="R165" i="15"/>
  <c r="S164" i="15"/>
  <c r="R123" i="15"/>
  <c r="S122" i="15"/>
  <c r="Q190" i="15"/>
  <c r="P12" i="20" s="1"/>
  <c r="P17" i="20" s="1"/>
  <c r="P20" i="20" s="1"/>
  <c r="C9" i="13"/>
  <c r="S107" i="15"/>
  <c r="R108" i="15"/>
  <c r="N12" i="20"/>
  <c r="C42" i="13" s="1"/>
  <c r="C10" i="13"/>
  <c r="S104" i="15"/>
  <c r="R105" i="15"/>
  <c r="H252" i="13"/>
  <c r="G253" i="13"/>
  <c r="K5" i="26"/>
  <c r="G4" i="38" s="1"/>
  <c r="G7" i="38" s="1"/>
  <c r="G12" i="38" s="1"/>
  <c r="L5" i="26"/>
  <c r="M5" i="26"/>
  <c r="C48" i="26"/>
  <c r="T82" i="20"/>
  <c r="T83" i="20" s="1"/>
  <c r="T85" i="20" s="1"/>
  <c r="T87" i="20" s="1"/>
  <c r="T89" i="20" s="1"/>
  <c r="U65" i="20" s="1"/>
  <c r="U69" i="20" s="1"/>
  <c r="U80" i="20" s="1"/>
  <c r="R82" i="36"/>
  <c r="R83" i="36" s="1"/>
  <c r="R85" i="36" s="1"/>
  <c r="R87" i="36" s="1"/>
  <c r="R89" i="36" s="1"/>
  <c r="S65" i="36" s="1"/>
  <c r="S69" i="36" s="1"/>
  <c r="S80" i="36" s="1"/>
  <c r="B161" i="13"/>
  <c r="B162" i="13" s="1"/>
  <c r="B165" i="13" s="1"/>
  <c r="B166" i="13" s="1"/>
  <c r="C140" i="13"/>
  <c r="B142" i="13"/>
  <c r="S123" i="15" l="1"/>
  <c r="T122" i="15"/>
  <c r="S144" i="15"/>
  <c r="T143" i="15"/>
  <c r="S141" i="15"/>
  <c r="T140" i="15"/>
  <c r="S126" i="15"/>
  <c r="T125" i="15"/>
  <c r="S114" i="15"/>
  <c r="T113" i="15"/>
  <c r="T167" i="15"/>
  <c r="S168" i="15"/>
  <c r="S171" i="15"/>
  <c r="T170" i="15"/>
  <c r="S162" i="15"/>
  <c r="T161" i="15"/>
  <c r="S120" i="15"/>
  <c r="T119" i="15"/>
  <c r="S156" i="15"/>
  <c r="T155" i="15"/>
  <c r="S129" i="15"/>
  <c r="T128" i="15"/>
  <c r="S135" i="15"/>
  <c r="T134" i="15"/>
  <c r="S132" i="15"/>
  <c r="T131" i="15"/>
  <c r="S165" i="15"/>
  <c r="T164" i="15"/>
  <c r="S138" i="15"/>
  <c r="T137" i="15"/>
  <c r="S117" i="15"/>
  <c r="T116" i="15"/>
  <c r="S180" i="15"/>
  <c r="T179" i="15"/>
  <c r="S153" i="15"/>
  <c r="T152" i="15"/>
  <c r="T182" i="15"/>
  <c r="S183" i="15"/>
  <c r="S147" i="15"/>
  <c r="T146" i="15"/>
  <c r="S150" i="15"/>
  <c r="T149" i="15"/>
  <c r="S111" i="15"/>
  <c r="T110" i="15"/>
  <c r="S177" i="15"/>
  <c r="T176" i="15"/>
  <c r="S186" i="15"/>
  <c r="T185" i="15"/>
  <c r="S174" i="15"/>
  <c r="T173" i="15"/>
  <c r="S159" i="15"/>
  <c r="T158" i="15"/>
  <c r="P42" i="20"/>
  <c r="P47" i="20" s="1"/>
  <c r="P50" i="20" s="1"/>
  <c r="P51" i="20" s="1"/>
  <c r="P53" i="20" s="1"/>
  <c r="P54" i="20" s="1"/>
  <c r="P56" i="20" s="1"/>
  <c r="P58" i="20" s="1"/>
  <c r="P60" i="20" s="1"/>
  <c r="Q36" i="20" s="1"/>
  <c r="Q40" i="20" s="1"/>
  <c r="R190" i="15"/>
  <c r="Q12" i="20" s="1"/>
  <c r="Q42" i="20" s="1"/>
  <c r="C66" i="9"/>
  <c r="C69" i="9" s="1"/>
  <c r="C46" i="13"/>
  <c r="C47" i="13" s="1"/>
  <c r="C62" i="13"/>
  <c r="T107" i="15"/>
  <c r="S108" i="15"/>
  <c r="C10" i="9"/>
  <c r="D10" i="13"/>
  <c r="D8" i="13"/>
  <c r="C31" i="13"/>
  <c r="C59" i="13" s="1"/>
  <c r="C102" i="13"/>
  <c r="T104" i="15"/>
  <c r="S105" i="15"/>
  <c r="N17" i="20"/>
  <c r="N20" i="20" s="1"/>
  <c r="O12" i="20"/>
  <c r="O17" i="20" s="1"/>
  <c r="F12" i="36"/>
  <c r="F17" i="36" s="1"/>
  <c r="F20" i="36" s="1"/>
  <c r="F21" i="36" s="1"/>
  <c r="F23" i="36" s="1"/>
  <c r="F24" i="36" s="1"/>
  <c r="F26" i="36" s="1"/>
  <c r="F28" i="36" s="1"/>
  <c r="F30" i="36" s="1"/>
  <c r="G6" i="36" s="1"/>
  <c r="G10" i="36" s="1"/>
  <c r="C11" i="13"/>
  <c r="D9" i="13"/>
  <c r="D42" i="13" s="1"/>
  <c r="C101" i="13"/>
  <c r="U82" i="20"/>
  <c r="U83" i="20" s="1"/>
  <c r="U85" i="20" s="1"/>
  <c r="U87" i="20" s="1"/>
  <c r="U89" i="20" s="1"/>
  <c r="V65" i="20" s="1"/>
  <c r="V69" i="20" s="1"/>
  <c r="V80" i="20" s="1"/>
  <c r="C164" i="13"/>
  <c r="B123" i="13"/>
  <c r="B127" i="13" s="1"/>
  <c r="B131" i="13" s="1"/>
  <c r="B143" i="13" s="1"/>
  <c r="S82" i="36"/>
  <c r="S83" i="36" s="1"/>
  <c r="S85" i="36" s="1"/>
  <c r="S87" i="36" s="1"/>
  <c r="S89" i="36" s="1"/>
  <c r="T65" i="36" s="1"/>
  <c r="T69" i="36" s="1"/>
  <c r="T80" i="36" s="1"/>
  <c r="H253" i="13"/>
  <c r="I252" i="13"/>
  <c r="I253" i="13" s="1"/>
  <c r="C161" i="13"/>
  <c r="D140" i="13"/>
  <c r="E140" i="13" s="1"/>
  <c r="F140" i="13" s="1"/>
  <c r="G140" i="13" s="1"/>
  <c r="H140" i="13" s="1"/>
  <c r="I140" i="13" s="1"/>
  <c r="S190" i="15" l="1"/>
  <c r="R12" i="20" s="1"/>
  <c r="R42" i="20" s="1"/>
  <c r="R47" i="20" s="1"/>
  <c r="R50" i="20" s="1"/>
  <c r="T159" i="15"/>
  <c r="U158" i="15"/>
  <c r="T186" i="15"/>
  <c r="U185" i="15"/>
  <c r="T111" i="15"/>
  <c r="U110" i="15"/>
  <c r="T147" i="15"/>
  <c r="U146" i="15"/>
  <c r="T153" i="15"/>
  <c r="U152" i="15"/>
  <c r="T117" i="15"/>
  <c r="U116" i="15"/>
  <c r="T165" i="15"/>
  <c r="U164" i="15"/>
  <c r="T135" i="15"/>
  <c r="U134" i="15"/>
  <c r="T156" i="15"/>
  <c r="U155" i="15"/>
  <c r="T162" i="15"/>
  <c r="U161" i="15"/>
  <c r="T126" i="15"/>
  <c r="U125" i="15"/>
  <c r="T144" i="15"/>
  <c r="U143" i="15"/>
  <c r="T168" i="15"/>
  <c r="U167" i="15"/>
  <c r="U173" i="15"/>
  <c r="T174" i="15"/>
  <c r="T177" i="15"/>
  <c r="U176" i="15"/>
  <c r="T150" i="15"/>
  <c r="U149" i="15"/>
  <c r="T180" i="15"/>
  <c r="U179" i="15"/>
  <c r="T138" i="15"/>
  <c r="U137" i="15"/>
  <c r="T132" i="15"/>
  <c r="U131" i="15"/>
  <c r="T129" i="15"/>
  <c r="U128" i="15"/>
  <c r="T120" i="15"/>
  <c r="U119" i="15"/>
  <c r="T171" i="15"/>
  <c r="U170" i="15"/>
  <c r="T114" i="15"/>
  <c r="U113" i="15"/>
  <c r="T141" i="15"/>
  <c r="U140" i="15"/>
  <c r="T123" i="15"/>
  <c r="U122" i="15"/>
  <c r="T183" i="15"/>
  <c r="U182" i="15"/>
  <c r="Q17" i="20"/>
  <c r="Q20" i="20" s="1"/>
  <c r="D46" i="13"/>
  <c r="D47" i="13" s="1"/>
  <c r="D62" i="13"/>
  <c r="C12" i="13"/>
  <c r="C11" i="9"/>
  <c r="C67" i="9"/>
  <c r="C70" i="9" s="1"/>
  <c r="C71" i="9" s="1"/>
  <c r="T105" i="15"/>
  <c r="U104" i="15"/>
  <c r="D31" i="13"/>
  <c r="D59" i="13" s="1"/>
  <c r="D34" i="9"/>
  <c r="E10" i="13"/>
  <c r="E8" i="13"/>
  <c r="D10" i="9"/>
  <c r="C85" i="9"/>
  <c r="C103" i="13"/>
  <c r="C192" i="13"/>
  <c r="C133" i="13"/>
  <c r="C142" i="9" s="1"/>
  <c r="C145" i="9" s="1"/>
  <c r="C86" i="9"/>
  <c r="D102" i="13"/>
  <c r="D100" i="13"/>
  <c r="C124" i="13"/>
  <c r="C150" i="13" s="1"/>
  <c r="U107" i="15"/>
  <c r="T108" i="15"/>
  <c r="D33" i="9"/>
  <c r="D66" i="9"/>
  <c r="D69" i="9" s="1"/>
  <c r="D101" i="13"/>
  <c r="E9" i="13"/>
  <c r="O20" i="20"/>
  <c r="N21" i="20"/>
  <c r="Q47" i="20"/>
  <c r="Q50" i="20" s="1"/>
  <c r="Q51" i="20" s="1"/>
  <c r="Q53" i="20" s="1"/>
  <c r="Q54" i="20" s="1"/>
  <c r="Q56" i="20" s="1"/>
  <c r="Q58" i="20" s="1"/>
  <c r="Q60" i="20" s="1"/>
  <c r="R36" i="20" s="1"/>
  <c r="R40" i="20" s="1"/>
  <c r="D32" i="9"/>
  <c r="D11" i="13"/>
  <c r="D8" i="9"/>
  <c r="V82" i="20"/>
  <c r="V83" i="20" s="1"/>
  <c r="V85" i="20" s="1"/>
  <c r="V87" i="20" s="1"/>
  <c r="V89" i="20" s="1"/>
  <c r="W65" i="20" s="1"/>
  <c r="W69" i="20" s="1"/>
  <c r="W80" i="20" s="1"/>
  <c r="T82" i="36"/>
  <c r="T83" i="36" s="1"/>
  <c r="T85" i="36" s="1"/>
  <c r="T87" i="36" s="1"/>
  <c r="T89" i="36" s="1"/>
  <c r="U65" i="36" s="1"/>
  <c r="U69" i="36" s="1"/>
  <c r="U80" i="36" s="1"/>
  <c r="C162" i="13"/>
  <c r="D161" i="13"/>
  <c r="G12" i="36" l="1"/>
  <c r="G17" i="36" s="1"/>
  <c r="G20" i="36" s="1"/>
  <c r="G21" i="36" s="1"/>
  <c r="G23" i="36" s="1"/>
  <c r="G24" i="36" s="1"/>
  <c r="G26" i="36" s="1"/>
  <c r="G28" i="36" s="1"/>
  <c r="G30" i="36" s="1"/>
  <c r="H6" i="36" s="1"/>
  <c r="H10" i="36" s="1"/>
  <c r="R17" i="20"/>
  <c r="R20" i="20" s="1"/>
  <c r="U183" i="15"/>
  <c r="V182" i="15"/>
  <c r="U141" i="15"/>
  <c r="V140" i="15"/>
  <c r="U171" i="15"/>
  <c r="V170" i="15"/>
  <c r="U129" i="15"/>
  <c r="V128" i="15"/>
  <c r="U138" i="15"/>
  <c r="V137" i="15"/>
  <c r="U150" i="15"/>
  <c r="V149" i="15"/>
  <c r="U144" i="15"/>
  <c r="V143" i="15"/>
  <c r="U162" i="15"/>
  <c r="V161" i="15"/>
  <c r="U135" i="15"/>
  <c r="V134" i="15"/>
  <c r="U117" i="15"/>
  <c r="V116" i="15"/>
  <c r="U147" i="15"/>
  <c r="V146" i="15"/>
  <c r="U186" i="15"/>
  <c r="V185" i="15"/>
  <c r="U174" i="15"/>
  <c r="V173" i="15"/>
  <c r="U123" i="15"/>
  <c r="V122" i="15"/>
  <c r="U114" i="15"/>
  <c r="V113" i="15"/>
  <c r="U120" i="15"/>
  <c r="V119" i="15"/>
  <c r="U132" i="15"/>
  <c r="V131" i="15"/>
  <c r="U180" i="15"/>
  <c r="V179" i="15"/>
  <c r="U177" i="15"/>
  <c r="V176" i="15"/>
  <c r="U168" i="15"/>
  <c r="V167" i="15"/>
  <c r="U126" i="15"/>
  <c r="V125" i="15"/>
  <c r="U156" i="15"/>
  <c r="V155" i="15"/>
  <c r="U165" i="15"/>
  <c r="V164" i="15"/>
  <c r="U153" i="15"/>
  <c r="V152" i="15"/>
  <c r="U111" i="15"/>
  <c r="V110" i="15"/>
  <c r="U159" i="15"/>
  <c r="V158" i="15"/>
  <c r="T190" i="15"/>
  <c r="S12" i="20" s="1"/>
  <c r="R51" i="20"/>
  <c r="R53" i="20" s="1"/>
  <c r="R54" i="20" s="1"/>
  <c r="R56" i="20" s="1"/>
  <c r="R58" i="20" s="1"/>
  <c r="R60" i="20" s="1"/>
  <c r="S36" i="20" s="1"/>
  <c r="S40" i="20" s="1"/>
  <c r="N23" i="20"/>
  <c r="O23" i="20" s="1"/>
  <c r="B50" i="13" s="1"/>
  <c r="D11" i="9"/>
  <c r="D12" i="13"/>
  <c r="D35" i="9"/>
  <c r="D67" i="9"/>
  <c r="D70" i="9" s="1"/>
  <c r="D71" i="9" s="1"/>
  <c r="G42" i="36"/>
  <c r="G47" i="36" s="1"/>
  <c r="G50" i="36" s="1"/>
  <c r="G51" i="36" s="1"/>
  <c r="G53" i="36" s="1"/>
  <c r="G54" i="36" s="1"/>
  <c r="G56" i="36" s="1"/>
  <c r="G58" i="36" s="1"/>
  <c r="G60" i="36" s="1"/>
  <c r="H36" i="36" s="1"/>
  <c r="H40" i="36" s="1"/>
  <c r="E101" i="13"/>
  <c r="E33" i="9"/>
  <c r="F9" i="13"/>
  <c r="D86" i="9"/>
  <c r="E100" i="13"/>
  <c r="D110" i="9"/>
  <c r="D124" i="13"/>
  <c r="E102" i="13"/>
  <c r="C194" i="13"/>
  <c r="C224" i="13"/>
  <c r="C217" i="9" s="1"/>
  <c r="C220" i="9" s="1"/>
  <c r="C160" i="9"/>
  <c r="E11" i="13"/>
  <c r="E8" i="9"/>
  <c r="E32" i="9"/>
  <c r="U105" i="15"/>
  <c r="V104" i="15"/>
  <c r="C12" i="9"/>
  <c r="C20" i="13"/>
  <c r="C56" i="9"/>
  <c r="D103" i="13"/>
  <c r="D109" i="9"/>
  <c r="D85" i="9"/>
  <c r="D192" i="13"/>
  <c r="V107" i="15"/>
  <c r="U108" i="15"/>
  <c r="C143" i="9"/>
  <c r="C146" i="9" s="1"/>
  <c r="C147" i="9" s="1"/>
  <c r="C87" i="9"/>
  <c r="C104" i="13"/>
  <c r="E31" i="13"/>
  <c r="E59" i="13" s="1"/>
  <c r="F8" i="13"/>
  <c r="E10" i="9"/>
  <c r="F10" i="13"/>
  <c r="E34" i="9"/>
  <c r="E42" i="13"/>
  <c r="E66" i="9" s="1"/>
  <c r="E69" i="9" s="1"/>
  <c r="D108" i="9"/>
  <c r="D84" i="9"/>
  <c r="C153" i="13"/>
  <c r="C137" i="13"/>
  <c r="C138" i="13" s="1"/>
  <c r="C137" i="9" s="1"/>
  <c r="W82" i="20"/>
  <c r="W83" i="20" s="1"/>
  <c r="W85" i="20" s="1"/>
  <c r="W87" i="20" s="1"/>
  <c r="W89" i="20" s="1"/>
  <c r="X65" i="20" s="1"/>
  <c r="X69" i="20" s="1"/>
  <c r="X80" i="20" s="1"/>
  <c r="E161" i="13"/>
  <c r="D162" i="13"/>
  <c r="U82" i="36"/>
  <c r="U83" i="36" s="1"/>
  <c r="U85" i="36" s="1"/>
  <c r="U87" i="36" s="1"/>
  <c r="U89" i="36" s="1"/>
  <c r="V65" i="36" s="1"/>
  <c r="V69" i="36" s="1"/>
  <c r="V80" i="36" s="1"/>
  <c r="V159" i="15" l="1"/>
  <c r="W158" i="15"/>
  <c r="V153" i="15"/>
  <c r="W152" i="15"/>
  <c r="V156" i="15"/>
  <c r="W155" i="15"/>
  <c r="V168" i="15"/>
  <c r="W167" i="15"/>
  <c r="V180" i="15"/>
  <c r="W179" i="15"/>
  <c r="V120" i="15"/>
  <c r="W119" i="15"/>
  <c r="V123" i="15"/>
  <c r="W122" i="15"/>
  <c r="V186" i="15"/>
  <c r="W185" i="15"/>
  <c r="V117" i="15"/>
  <c r="W116" i="15"/>
  <c r="V162" i="15"/>
  <c r="W161" i="15"/>
  <c r="W149" i="15"/>
  <c r="V150" i="15"/>
  <c r="V129" i="15"/>
  <c r="W128" i="15"/>
  <c r="V141" i="15"/>
  <c r="W140" i="15"/>
  <c r="W110" i="15"/>
  <c r="V111" i="15"/>
  <c r="V165" i="15"/>
  <c r="W164" i="15"/>
  <c r="V126" i="15"/>
  <c r="W125" i="15"/>
  <c r="V177" i="15"/>
  <c r="W176" i="15"/>
  <c r="V132" i="15"/>
  <c r="W131" i="15"/>
  <c r="V114" i="15"/>
  <c r="W113" i="15"/>
  <c r="V174" i="15"/>
  <c r="W173" i="15"/>
  <c r="V147" i="15"/>
  <c r="W146" i="15"/>
  <c r="V135" i="15"/>
  <c r="W134" i="15"/>
  <c r="V144" i="15"/>
  <c r="W143" i="15"/>
  <c r="V138" i="15"/>
  <c r="W137" i="15"/>
  <c r="V171" i="15"/>
  <c r="W170" i="15"/>
  <c r="V183" i="15"/>
  <c r="W182" i="15"/>
  <c r="N24" i="20"/>
  <c r="N26" i="20" s="1"/>
  <c r="N28" i="20" s="1"/>
  <c r="N30" i="20" s="1"/>
  <c r="P6" i="20" s="1"/>
  <c r="P10" i="20" s="1"/>
  <c r="P21" i="20" s="1"/>
  <c r="P23" i="20" s="1"/>
  <c r="P24" i="20" s="1"/>
  <c r="P26" i="20" s="1"/>
  <c r="P28" i="20" s="1"/>
  <c r="P30" i="20" s="1"/>
  <c r="Q6" i="20" s="1"/>
  <c r="Q10" i="20" s="1"/>
  <c r="Q21" i="20" s="1"/>
  <c r="S17" i="20"/>
  <c r="S20" i="20" s="1"/>
  <c r="S42" i="20"/>
  <c r="S47" i="20" s="1"/>
  <c r="S50" i="20" s="1"/>
  <c r="S51" i="20" s="1"/>
  <c r="S53" i="20" s="1"/>
  <c r="S54" i="20" s="1"/>
  <c r="S56" i="20" s="1"/>
  <c r="S58" i="20" s="1"/>
  <c r="S60" i="20" s="1"/>
  <c r="T36" i="20" s="1"/>
  <c r="T40" i="20" s="1"/>
  <c r="U190" i="15"/>
  <c r="T12" i="20" s="1"/>
  <c r="E110" i="9"/>
  <c r="E124" i="13"/>
  <c r="E150" i="13" s="1"/>
  <c r="F102" i="13"/>
  <c r="E86" i="9"/>
  <c r="F100" i="13"/>
  <c r="E109" i="9"/>
  <c r="E85" i="9"/>
  <c r="E192" i="13"/>
  <c r="E103" i="13"/>
  <c r="D56" i="9"/>
  <c r="D20" i="13"/>
  <c r="D36" i="9"/>
  <c r="D12" i="9"/>
  <c r="F10" i="9"/>
  <c r="F31" i="13"/>
  <c r="F59" i="13" s="1"/>
  <c r="G8" i="13"/>
  <c r="G10" i="13"/>
  <c r="F34" i="9"/>
  <c r="C112" i="13"/>
  <c r="C88" i="9"/>
  <c r="W107" i="15"/>
  <c r="V108" i="15"/>
  <c r="D111" i="9"/>
  <c r="D87" i="9"/>
  <c r="D143" i="9"/>
  <c r="D146" i="9" s="1"/>
  <c r="D104" i="13"/>
  <c r="C23" i="13"/>
  <c r="C20" i="9"/>
  <c r="D150" i="13"/>
  <c r="D184" i="9"/>
  <c r="D194" i="13"/>
  <c r="D160" i="9"/>
  <c r="C244" i="13"/>
  <c r="C228" i="13"/>
  <c r="C229" i="13" s="1"/>
  <c r="D224" i="13"/>
  <c r="D217" i="9" s="1"/>
  <c r="D220" i="9" s="1"/>
  <c r="G9" i="13"/>
  <c r="F101" i="13"/>
  <c r="F33" i="9"/>
  <c r="E62" i="13"/>
  <c r="E46" i="13"/>
  <c r="E47" i="13" s="1"/>
  <c r="F42" i="13"/>
  <c r="F8" i="9"/>
  <c r="F11" i="13"/>
  <c r="F32" i="9"/>
  <c r="W104" i="15"/>
  <c r="V105" i="15"/>
  <c r="E35" i="9"/>
  <c r="E11" i="9"/>
  <c r="E67" i="9"/>
  <c r="E70" i="9" s="1"/>
  <c r="E71" i="9" s="1"/>
  <c r="E12" i="13"/>
  <c r="C218" i="9"/>
  <c r="C221" i="9" s="1"/>
  <c r="C222" i="9" s="1"/>
  <c r="C195" i="13"/>
  <c r="C162" i="9"/>
  <c r="E108" i="9"/>
  <c r="E84" i="9"/>
  <c r="J9" i="1"/>
  <c r="C50" i="13"/>
  <c r="B52" i="13"/>
  <c r="J30" i="1"/>
  <c r="B70" i="13"/>
  <c r="B71" i="13" s="1"/>
  <c r="V82" i="36"/>
  <c r="V83" i="36" s="1"/>
  <c r="V85" i="36" s="1"/>
  <c r="V87" i="36" s="1"/>
  <c r="V89" i="36" s="1"/>
  <c r="W65" i="36" s="1"/>
  <c r="W69" i="36" s="1"/>
  <c r="W80" i="36" s="1"/>
  <c r="X82" i="20"/>
  <c r="X83" i="20" s="1"/>
  <c r="X85" i="20" s="1"/>
  <c r="X87" i="20" s="1"/>
  <c r="X89" i="20" s="1"/>
  <c r="Y65" i="20" s="1"/>
  <c r="Y69" i="20" s="1"/>
  <c r="Y80" i="20" s="1"/>
  <c r="E162" i="13"/>
  <c r="F161" i="13"/>
  <c r="B74" i="13" l="1"/>
  <c r="B75" i="13" s="1"/>
  <c r="V190" i="15"/>
  <c r="U12" i="20" s="1"/>
  <c r="U42" i="20" s="1"/>
  <c r="U47" i="20" s="1"/>
  <c r="U50" i="20" s="1"/>
  <c r="W183" i="15"/>
  <c r="X182" i="15"/>
  <c r="W138" i="15"/>
  <c r="X137" i="15"/>
  <c r="W135" i="15"/>
  <c r="X134" i="15"/>
  <c r="W174" i="15"/>
  <c r="X173" i="15"/>
  <c r="W132" i="15"/>
  <c r="X131" i="15"/>
  <c r="W126" i="15"/>
  <c r="X125" i="15"/>
  <c r="W129" i="15"/>
  <c r="X128" i="15"/>
  <c r="W162" i="15"/>
  <c r="X161" i="15"/>
  <c r="W186" i="15"/>
  <c r="X185" i="15"/>
  <c r="W120" i="15"/>
  <c r="X119" i="15"/>
  <c r="W168" i="15"/>
  <c r="X167" i="15"/>
  <c r="W153" i="15"/>
  <c r="X152" i="15"/>
  <c r="W111" i="15"/>
  <c r="X110" i="15"/>
  <c r="X170" i="15"/>
  <c r="W171" i="15"/>
  <c r="W144" i="15"/>
  <c r="X143" i="15"/>
  <c r="W147" i="15"/>
  <c r="X146" i="15"/>
  <c r="W114" i="15"/>
  <c r="X113" i="15"/>
  <c r="W177" i="15"/>
  <c r="X176" i="15"/>
  <c r="W165" i="15"/>
  <c r="X164" i="15"/>
  <c r="W141" i="15"/>
  <c r="X140" i="15"/>
  <c r="W117" i="15"/>
  <c r="X116" i="15"/>
  <c r="W123" i="15"/>
  <c r="X122" i="15"/>
  <c r="W180" i="15"/>
  <c r="X179" i="15"/>
  <c r="W156" i="15"/>
  <c r="X155" i="15"/>
  <c r="X158" i="15"/>
  <c r="W159" i="15"/>
  <c r="W150" i="15"/>
  <c r="X149" i="15"/>
  <c r="Q23" i="20"/>
  <c r="Q24" i="20" s="1"/>
  <c r="Q26" i="20" s="1"/>
  <c r="Q28" i="20" s="1"/>
  <c r="Q30" i="20" s="1"/>
  <c r="R6" i="20" s="1"/>
  <c r="R10" i="20" s="1"/>
  <c r="R21" i="20" s="1"/>
  <c r="R23" i="20" s="1"/>
  <c r="R24" i="20" s="1"/>
  <c r="R26" i="20" s="1"/>
  <c r="R28" i="20" s="1"/>
  <c r="R30" i="20" s="1"/>
  <c r="S6" i="20" s="1"/>
  <c r="S10" i="20" s="1"/>
  <c r="S21" i="20" s="1"/>
  <c r="G32" i="9"/>
  <c r="G11" i="13"/>
  <c r="G8" i="9"/>
  <c r="C70" i="13"/>
  <c r="C71" i="13" s="1"/>
  <c r="D50" i="13"/>
  <c r="X104" i="15"/>
  <c r="W105" i="15"/>
  <c r="G42" i="13"/>
  <c r="F62" i="13"/>
  <c r="F46" i="13"/>
  <c r="F47" i="13" s="1"/>
  <c r="H9" i="13"/>
  <c r="G101" i="13"/>
  <c r="G33" i="9"/>
  <c r="C25" i="13"/>
  <c r="C23" i="9"/>
  <c r="C96" i="9"/>
  <c r="C115" i="13"/>
  <c r="D23" i="13"/>
  <c r="D44" i="9"/>
  <c r="D20" i="9"/>
  <c r="G102" i="13"/>
  <c r="F110" i="9"/>
  <c r="F86" i="9"/>
  <c r="G100" i="13"/>
  <c r="F124" i="13"/>
  <c r="F150" i="13" s="1"/>
  <c r="F109" i="9"/>
  <c r="F85" i="9"/>
  <c r="F192" i="13"/>
  <c r="F103" i="13"/>
  <c r="E184" i="9"/>
  <c r="E160" i="9"/>
  <c r="E194" i="13"/>
  <c r="J23" i="1"/>
  <c r="B41" i="26"/>
  <c r="C28" i="26" s="1"/>
  <c r="C163" i="9"/>
  <c r="C203" i="13"/>
  <c r="F66" i="9"/>
  <c r="F69" i="9" s="1"/>
  <c r="D228" i="13"/>
  <c r="D229" i="13" s="1"/>
  <c r="D244" i="13"/>
  <c r="E224" i="13"/>
  <c r="E217" i="9" s="1"/>
  <c r="E220" i="9" s="1"/>
  <c r="D162" i="9"/>
  <c r="D218" i="9"/>
  <c r="D221" i="9" s="1"/>
  <c r="D222" i="9" s="1"/>
  <c r="D195" i="13"/>
  <c r="D186" i="9"/>
  <c r="D112" i="13"/>
  <c r="D88" i="9"/>
  <c r="D112" i="9"/>
  <c r="I38" i="1"/>
  <c r="L4" i="26" s="1"/>
  <c r="I31" i="1"/>
  <c r="K4" i="26" s="1"/>
  <c r="C4" i="38" s="1"/>
  <c r="I30" i="1"/>
  <c r="J4" i="26" s="1"/>
  <c r="C5" i="38" s="1"/>
  <c r="I39" i="1"/>
  <c r="M4" i="26" s="1"/>
  <c r="F67" i="9"/>
  <c r="F70" i="9" s="1"/>
  <c r="F35" i="9"/>
  <c r="F12" i="13"/>
  <c r="F11" i="9"/>
  <c r="W108" i="15"/>
  <c r="X107" i="15"/>
  <c r="G31" i="13"/>
  <c r="G59" i="13" s="1"/>
  <c r="G10" i="9"/>
  <c r="H8" i="13"/>
  <c r="G34" i="9"/>
  <c r="H10" i="13"/>
  <c r="E104" i="13"/>
  <c r="E143" i="9"/>
  <c r="E146" i="9" s="1"/>
  <c r="E111" i="9"/>
  <c r="E87" i="9"/>
  <c r="F108" i="9"/>
  <c r="F84" i="9"/>
  <c r="E36" i="9"/>
  <c r="E12" i="9"/>
  <c r="E56" i="9"/>
  <c r="E20" i="13"/>
  <c r="T17" i="20"/>
  <c r="T20" i="20" s="1"/>
  <c r="T42" i="20"/>
  <c r="T47" i="20" s="1"/>
  <c r="T50" i="20" s="1"/>
  <c r="T51" i="20" s="1"/>
  <c r="T53" i="20" s="1"/>
  <c r="T54" i="20" s="1"/>
  <c r="T56" i="20" s="1"/>
  <c r="T58" i="20" s="1"/>
  <c r="T60" i="20" s="1"/>
  <c r="U36" i="20" s="1"/>
  <c r="U40" i="20" s="1"/>
  <c r="Y82" i="20"/>
  <c r="Y83" i="20" s="1"/>
  <c r="Y85" i="20" s="1"/>
  <c r="Y87" i="20" s="1"/>
  <c r="Y89" i="20" s="1"/>
  <c r="Z65" i="20" s="1"/>
  <c r="Z69" i="20" s="1"/>
  <c r="Z80" i="20" s="1"/>
  <c r="W82" i="36"/>
  <c r="W83" i="36" s="1"/>
  <c r="W85" i="36" s="1"/>
  <c r="W87" i="36" s="1"/>
  <c r="W89" i="36" s="1"/>
  <c r="X65" i="36" s="1"/>
  <c r="X69" i="36" s="1"/>
  <c r="X80" i="36" s="1"/>
  <c r="G161" i="13"/>
  <c r="F162" i="13"/>
  <c r="C73" i="13" l="1"/>
  <c r="B30" i="13"/>
  <c r="B34" i="13" s="1"/>
  <c r="B40" i="13" s="1"/>
  <c r="B53" i="13" s="1"/>
  <c r="X150" i="15"/>
  <c r="Y149" i="15"/>
  <c r="X156" i="15"/>
  <c r="Y155" i="15"/>
  <c r="X123" i="15"/>
  <c r="Y122" i="15"/>
  <c r="X141" i="15"/>
  <c r="Y140" i="15"/>
  <c r="X177" i="15"/>
  <c r="Y176" i="15"/>
  <c r="X147" i="15"/>
  <c r="Y146" i="15"/>
  <c r="X153" i="15"/>
  <c r="Y152" i="15"/>
  <c r="X120" i="15"/>
  <c r="Y119" i="15"/>
  <c r="X162" i="15"/>
  <c r="Y161" i="15"/>
  <c r="X126" i="15"/>
  <c r="Y125" i="15"/>
  <c r="Y173" i="15"/>
  <c r="X174" i="15"/>
  <c r="X138" i="15"/>
  <c r="Y137" i="15"/>
  <c r="X171" i="15"/>
  <c r="Y170" i="15"/>
  <c r="X180" i="15"/>
  <c r="Y179" i="15"/>
  <c r="X117" i="15"/>
  <c r="Y116" i="15"/>
  <c r="X165" i="15"/>
  <c r="Y164" i="15"/>
  <c r="X114" i="15"/>
  <c r="Y113" i="15"/>
  <c r="X144" i="15"/>
  <c r="Y143" i="15"/>
  <c r="X111" i="15"/>
  <c r="Y110" i="15"/>
  <c r="X168" i="15"/>
  <c r="Y167" i="15"/>
  <c r="X186" i="15"/>
  <c r="Y185" i="15"/>
  <c r="X129" i="15"/>
  <c r="Y128" i="15"/>
  <c r="Y131" i="15"/>
  <c r="X132" i="15"/>
  <c r="X135" i="15"/>
  <c r="Y134" i="15"/>
  <c r="X183" i="15"/>
  <c r="Y182" i="15"/>
  <c r="X159" i="15"/>
  <c r="Y158" i="15"/>
  <c r="F71" i="9"/>
  <c r="U17" i="20"/>
  <c r="U20" i="20" s="1"/>
  <c r="H12" i="36"/>
  <c r="H17" i="36" s="1"/>
  <c r="H20" i="36" s="1"/>
  <c r="H21" i="36" s="1"/>
  <c r="H23" i="36" s="1"/>
  <c r="H24" i="36" s="1"/>
  <c r="H26" i="36" s="1"/>
  <c r="H28" i="36" s="1"/>
  <c r="H30" i="36" s="1"/>
  <c r="I6" i="36" s="1"/>
  <c r="I10" i="36" s="1"/>
  <c r="H42" i="36"/>
  <c r="H47" i="36" s="1"/>
  <c r="H50" i="36" s="1"/>
  <c r="H51" i="36" s="1"/>
  <c r="H53" i="36" s="1"/>
  <c r="H54" i="36" s="1"/>
  <c r="H56" i="36" s="1"/>
  <c r="H58" i="36" s="1"/>
  <c r="H60" i="36" s="1"/>
  <c r="I36" i="36" s="1"/>
  <c r="I40" i="36" s="1"/>
  <c r="U51" i="20"/>
  <c r="U53" i="20" s="1"/>
  <c r="U54" i="20" s="1"/>
  <c r="U56" i="20" s="1"/>
  <c r="U58" i="20" s="1"/>
  <c r="U60" i="20" s="1"/>
  <c r="V36" i="20" s="1"/>
  <c r="V40" i="20" s="1"/>
  <c r="I8" i="13"/>
  <c r="H31" i="13"/>
  <c r="H59" i="13" s="1"/>
  <c r="H34" i="9"/>
  <c r="H10" i="9"/>
  <c r="I10" i="13"/>
  <c r="F56" i="9"/>
  <c r="F36" i="9"/>
  <c r="F12" i="9"/>
  <c r="F20" i="13"/>
  <c r="D203" i="13"/>
  <c r="D163" i="9"/>
  <c r="D187" i="9"/>
  <c r="D25" i="13"/>
  <c r="D47" i="9"/>
  <c r="D23" i="9"/>
  <c r="C25" i="9"/>
  <c r="C27" i="13"/>
  <c r="G109" i="9"/>
  <c r="G192" i="13"/>
  <c r="G103" i="13"/>
  <c r="G85" i="9"/>
  <c r="D70" i="13"/>
  <c r="D71" i="13" s="1"/>
  <c r="E50" i="13"/>
  <c r="Y107" i="15"/>
  <c r="X108" i="15"/>
  <c r="B28" i="26"/>
  <c r="D28" i="26" s="1"/>
  <c r="B48" i="26"/>
  <c r="F111" i="9"/>
  <c r="F143" i="9"/>
  <c r="F146" i="9" s="1"/>
  <c r="F104" i="13"/>
  <c r="F87" i="9"/>
  <c r="H102" i="13"/>
  <c r="H100" i="13"/>
  <c r="G110" i="9"/>
  <c r="G124" i="13"/>
  <c r="G86" i="9"/>
  <c r="C117" i="13"/>
  <c r="C99" i="9"/>
  <c r="H33" i="9"/>
  <c r="I9" i="13"/>
  <c r="I42" i="13" s="1"/>
  <c r="H101" i="13"/>
  <c r="G46" i="13"/>
  <c r="G47" i="13" s="1"/>
  <c r="G62" i="13"/>
  <c r="S23" i="20"/>
  <c r="S24" i="20" s="1"/>
  <c r="S26" i="20" s="1"/>
  <c r="S28" i="20" s="1"/>
  <c r="S30" i="20" s="1"/>
  <c r="T6" i="20" s="1"/>
  <c r="T10" i="20" s="1"/>
  <c r="T21" i="20" s="1"/>
  <c r="T23" i="20" s="1"/>
  <c r="T24" i="20" s="1"/>
  <c r="T26" i="20" s="1"/>
  <c r="T28" i="20" s="1"/>
  <c r="T30" i="20" s="1"/>
  <c r="U6" i="20" s="1"/>
  <c r="U10" i="20" s="1"/>
  <c r="E23" i="13"/>
  <c r="E44" i="9"/>
  <c r="E20" i="9"/>
  <c r="H8" i="9"/>
  <c r="H11" i="13"/>
  <c r="H32" i="9"/>
  <c r="C6" i="38"/>
  <c r="D120" i="9"/>
  <c r="D115" i="13"/>
  <c r="D96" i="9"/>
  <c r="E218" i="9"/>
  <c r="E221" i="9" s="1"/>
  <c r="E222" i="9" s="1"/>
  <c r="E162" i="9"/>
  <c r="E186" i="9"/>
  <c r="E195" i="13"/>
  <c r="F184" i="9"/>
  <c r="F160" i="9"/>
  <c r="F194" i="13"/>
  <c r="G84" i="9"/>
  <c r="G108" i="9"/>
  <c r="G66" i="9"/>
  <c r="G69" i="9" s="1"/>
  <c r="W190" i="15"/>
  <c r="V12" i="20" s="1"/>
  <c r="E112" i="9"/>
  <c r="E88" i="9"/>
  <c r="E112" i="13"/>
  <c r="F224" i="13"/>
  <c r="F217" i="9" s="1"/>
  <c r="F220" i="9" s="1"/>
  <c r="E244" i="13"/>
  <c r="E228" i="13"/>
  <c r="E229" i="13" s="1"/>
  <c r="C171" i="9"/>
  <c r="C206" i="13"/>
  <c r="H42" i="13"/>
  <c r="X105" i="15"/>
  <c r="Y104" i="15"/>
  <c r="G67" i="9"/>
  <c r="G70" i="9" s="1"/>
  <c r="G12" i="13"/>
  <c r="G11" i="9"/>
  <c r="G35" i="9"/>
  <c r="Z82" i="20"/>
  <c r="Z83" i="20" s="1"/>
  <c r="Z85" i="20" s="1"/>
  <c r="Z87" i="20" s="1"/>
  <c r="Z89" i="20" s="1"/>
  <c r="AA65" i="20" s="1"/>
  <c r="AA69" i="20" s="1"/>
  <c r="AA80" i="20" s="1"/>
  <c r="G162" i="13"/>
  <c r="H161" i="13"/>
  <c r="X82" i="36"/>
  <c r="X83" i="36" s="1"/>
  <c r="X85" i="36" s="1"/>
  <c r="X87" i="36" s="1"/>
  <c r="X89" i="36" s="1"/>
  <c r="Y65" i="36" s="1"/>
  <c r="Y69" i="36" s="1"/>
  <c r="Y80" i="36" s="1"/>
  <c r="B35" i="26" l="1"/>
  <c r="C35" i="26"/>
  <c r="C7" i="38"/>
  <c r="C12" i="38" s="1"/>
  <c r="C13" i="38" s="1"/>
  <c r="G13" i="38" s="1"/>
  <c r="Y159" i="15"/>
  <c r="Z158" i="15"/>
  <c r="Y135" i="15"/>
  <c r="Z134" i="15"/>
  <c r="Y129" i="15"/>
  <c r="Z128" i="15"/>
  <c r="Y168" i="15"/>
  <c r="Z167" i="15"/>
  <c r="Y144" i="15"/>
  <c r="Z143" i="15"/>
  <c r="Y165" i="15"/>
  <c r="Z164" i="15"/>
  <c r="Z179" i="15"/>
  <c r="Y180" i="15"/>
  <c r="Y138" i="15"/>
  <c r="Z137" i="15"/>
  <c r="Y126" i="15"/>
  <c r="Z125" i="15"/>
  <c r="Y120" i="15"/>
  <c r="Z119" i="15"/>
  <c r="Y147" i="15"/>
  <c r="Z146" i="15"/>
  <c r="Y141" i="15"/>
  <c r="Z140" i="15"/>
  <c r="Y156" i="15"/>
  <c r="Z155" i="15"/>
  <c r="Y183" i="15"/>
  <c r="Z182" i="15"/>
  <c r="Y186" i="15"/>
  <c r="Z185" i="15"/>
  <c r="Z110" i="15"/>
  <c r="Y111" i="15"/>
  <c r="Y114" i="15"/>
  <c r="Z113" i="15"/>
  <c r="Y117" i="15"/>
  <c r="Z116" i="15"/>
  <c r="Y171" i="15"/>
  <c r="Z170" i="15"/>
  <c r="Y162" i="15"/>
  <c r="Z161" i="15"/>
  <c r="Y153" i="15"/>
  <c r="Z152" i="15"/>
  <c r="Y177" i="15"/>
  <c r="Z176" i="15"/>
  <c r="Y123" i="15"/>
  <c r="Z122" i="15"/>
  <c r="Y150" i="15"/>
  <c r="Z149" i="15"/>
  <c r="Y132" i="15"/>
  <c r="Z131" i="15"/>
  <c r="Y174" i="15"/>
  <c r="Z173" i="15"/>
  <c r="U21" i="20"/>
  <c r="U23" i="20" s="1"/>
  <c r="U24" i="20" s="1"/>
  <c r="U26" i="20" s="1"/>
  <c r="U28" i="20" s="1"/>
  <c r="U30" i="20" s="1"/>
  <c r="V6" i="20" s="1"/>
  <c r="V10" i="20" s="1"/>
  <c r="G71" i="9"/>
  <c r="X190" i="15"/>
  <c r="W12" i="20" s="1"/>
  <c r="V17" i="20"/>
  <c r="V20" i="20" s="1"/>
  <c r="V42" i="20"/>
  <c r="V47" i="20" s="1"/>
  <c r="V50" i="20" s="1"/>
  <c r="V51" i="20" s="1"/>
  <c r="E187" i="9"/>
  <c r="E203" i="13"/>
  <c r="E163" i="9"/>
  <c r="H192" i="13"/>
  <c r="H103" i="13"/>
  <c r="H85" i="9"/>
  <c r="H109" i="9"/>
  <c r="C101" i="9"/>
  <c r="C119" i="13"/>
  <c r="H108" i="9"/>
  <c r="H84" i="9"/>
  <c r="F112" i="9"/>
  <c r="F88" i="9"/>
  <c r="F112" i="13"/>
  <c r="F50" i="13"/>
  <c r="E70" i="13"/>
  <c r="E71" i="13" s="1"/>
  <c r="G194" i="13"/>
  <c r="G184" i="9"/>
  <c r="G160" i="9"/>
  <c r="C208" i="13"/>
  <c r="C174" i="9"/>
  <c r="F228" i="13"/>
  <c r="F229" i="13" s="1"/>
  <c r="G224" i="13"/>
  <c r="F244" i="13"/>
  <c r="Z104" i="15"/>
  <c r="Y105" i="15"/>
  <c r="E96" i="9"/>
  <c r="E120" i="9"/>
  <c r="E115" i="13"/>
  <c r="F162" i="9"/>
  <c r="F186" i="9"/>
  <c r="F218" i="9"/>
  <c r="F221" i="9" s="1"/>
  <c r="F222" i="9" s="1"/>
  <c r="F195" i="13"/>
  <c r="D117" i="13"/>
  <c r="D123" i="9"/>
  <c r="D99" i="9"/>
  <c r="H67" i="9"/>
  <c r="H70" i="9" s="1"/>
  <c r="H12" i="13"/>
  <c r="H11" i="9"/>
  <c r="H35" i="9"/>
  <c r="E25" i="13"/>
  <c r="E47" i="9"/>
  <c r="E23" i="9"/>
  <c r="I66" i="9"/>
  <c r="I69" i="9" s="1"/>
  <c r="I33" i="9"/>
  <c r="I101" i="13"/>
  <c r="H110" i="9"/>
  <c r="I100" i="13"/>
  <c r="H124" i="13"/>
  <c r="H150" i="13" s="1"/>
  <c r="I102" i="13"/>
  <c r="H86" i="9"/>
  <c r="D206" i="13"/>
  <c r="D171" i="9"/>
  <c r="D195" i="9"/>
  <c r="I46" i="13"/>
  <c r="I47" i="13" s="1"/>
  <c r="I62" i="13"/>
  <c r="G150" i="13"/>
  <c r="C56" i="13"/>
  <c r="C65" i="13" s="1"/>
  <c r="C51" i="13"/>
  <c r="B58" i="26"/>
  <c r="C27" i="9"/>
  <c r="C57" i="9"/>
  <c r="C74" i="9" s="1"/>
  <c r="D27" i="13"/>
  <c r="D25" i="9"/>
  <c r="D49" i="9"/>
  <c r="F23" i="13"/>
  <c r="F44" i="9"/>
  <c r="F20" i="9"/>
  <c r="I10" i="9"/>
  <c r="I31" i="13"/>
  <c r="I59" i="13" s="1"/>
  <c r="I34" i="9"/>
  <c r="I32" i="9"/>
  <c r="I11" i="13"/>
  <c r="I8" i="9"/>
  <c r="G36" i="9"/>
  <c r="G12" i="9"/>
  <c r="G20" i="13"/>
  <c r="G56" i="9"/>
  <c r="H46" i="13"/>
  <c r="H47" i="13" s="1"/>
  <c r="H62" i="13"/>
  <c r="H66" i="9"/>
  <c r="H69" i="9" s="1"/>
  <c r="Z107" i="15"/>
  <c r="Y108" i="15"/>
  <c r="G111" i="9"/>
  <c r="G104" i="13"/>
  <c r="G143" i="9"/>
  <c r="G146" i="9" s="1"/>
  <c r="G87" i="9"/>
  <c r="AA82" i="20"/>
  <c r="AB82" i="20" s="1"/>
  <c r="AB83" i="20" s="1"/>
  <c r="AB84" i="20" s="1"/>
  <c r="AB85" i="20" s="1"/>
  <c r="AB86" i="20" s="1"/>
  <c r="AB87" i="20" s="1"/>
  <c r="AB88" i="20" s="1"/>
  <c r="AB89" i="20" s="1"/>
  <c r="I161" i="13"/>
  <c r="I162" i="13" s="1"/>
  <c r="H162" i="13"/>
  <c r="Y82" i="36"/>
  <c r="Y83" i="36" s="1"/>
  <c r="Y85" i="36" s="1"/>
  <c r="Y87" i="36" s="1"/>
  <c r="Y89" i="36" s="1"/>
  <c r="Z65" i="36" s="1"/>
  <c r="Z69" i="36" s="1"/>
  <c r="Z80" i="36" s="1"/>
  <c r="C19" i="38" l="1"/>
  <c r="B13" i="1" s="1"/>
  <c r="I4" i="26" s="1"/>
  <c r="G19" i="38"/>
  <c r="I5" i="26" s="1"/>
  <c r="D35" i="26"/>
  <c r="Z174" i="15"/>
  <c r="AA173" i="15"/>
  <c r="Z150" i="15"/>
  <c r="AA149" i="15"/>
  <c r="Z177" i="15"/>
  <c r="AA176" i="15"/>
  <c r="Z162" i="15"/>
  <c r="AA161" i="15"/>
  <c r="Z117" i="15"/>
  <c r="AA116" i="15"/>
  <c r="Z183" i="15"/>
  <c r="AA182" i="15"/>
  <c r="Z141" i="15"/>
  <c r="AA140" i="15"/>
  <c r="Z120" i="15"/>
  <c r="AA119" i="15"/>
  <c r="Z138" i="15"/>
  <c r="AA137" i="15"/>
  <c r="Z165" i="15"/>
  <c r="AA164" i="15"/>
  <c r="AA167" i="15"/>
  <c r="Z168" i="15"/>
  <c r="Z135" i="15"/>
  <c r="AA134" i="15"/>
  <c r="Z111" i="15"/>
  <c r="AA110" i="15"/>
  <c r="Z132" i="15"/>
  <c r="AA131" i="15"/>
  <c r="Z123" i="15"/>
  <c r="AA122" i="15"/>
  <c r="Z153" i="15"/>
  <c r="AA152" i="15"/>
  <c r="Z171" i="15"/>
  <c r="AA170" i="15"/>
  <c r="Z114" i="15"/>
  <c r="AA113" i="15"/>
  <c r="Z186" i="15"/>
  <c r="AA185" i="15"/>
  <c r="Z156" i="15"/>
  <c r="AA155" i="15"/>
  <c r="Z147" i="15"/>
  <c r="AA146" i="15"/>
  <c r="Z126" i="15"/>
  <c r="AA125" i="15"/>
  <c r="Z144" i="15"/>
  <c r="AA143" i="15"/>
  <c r="Z129" i="15"/>
  <c r="AA128" i="15"/>
  <c r="Z159" i="15"/>
  <c r="AA158" i="15"/>
  <c r="Z180" i="15"/>
  <c r="AA179" i="15"/>
  <c r="V21" i="20"/>
  <c r="V23" i="20" s="1"/>
  <c r="V24" i="20" s="1"/>
  <c r="V26" i="20" s="1"/>
  <c r="V28" i="20" s="1"/>
  <c r="V30" i="20" s="1"/>
  <c r="W6" i="20" s="1"/>
  <c r="W10" i="20" s="1"/>
  <c r="W42" i="20"/>
  <c r="W47" i="20" s="1"/>
  <c r="W50" i="20" s="1"/>
  <c r="W17" i="20"/>
  <c r="W20" i="20" s="1"/>
  <c r="V53" i="20"/>
  <c r="V54" i="20" s="1"/>
  <c r="V56" i="20" s="1"/>
  <c r="V58" i="20" s="1"/>
  <c r="V60" i="20" s="1"/>
  <c r="W36" i="20" s="1"/>
  <c r="W40" i="20" s="1"/>
  <c r="G112" i="9"/>
  <c r="G112" i="13"/>
  <c r="G88" i="9"/>
  <c r="F23" i="9"/>
  <c r="F47" i="9"/>
  <c r="F25" i="13"/>
  <c r="C74" i="13"/>
  <c r="C75" i="13" s="1"/>
  <c r="C79" i="13"/>
  <c r="E49" i="9"/>
  <c r="E27" i="13"/>
  <c r="E25" i="9"/>
  <c r="H71" i="9"/>
  <c r="F187" i="9"/>
  <c r="F203" i="13"/>
  <c r="F163" i="9"/>
  <c r="E117" i="13"/>
  <c r="E123" i="9"/>
  <c r="E99" i="9"/>
  <c r="Z105" i="15"/>
  <c r="AA104" i="15"/>
  <c r="G162" i="9"/>
  <c r="G186" i="9"/>
  <c r="G218" i="9"/>
  <c r="G221" i="9" s="1"/>
  <c r="G195" i="13"/>
  <c r="C147" i="13"/>
  <c r="C157" i="13" s="1"/>
  <c r="C103" i="9"/>
  <c r="C133" i="9"/>
  <c r="C150" i="9"/>
  <c r="C141" i="13"/>
  <c r="B59" i="26"/>
  <c r="H87" i="9"/>
  <c r="H111" i="9"/>
  <c r="H104" i="13"/>
  <c r="H143" i="9"/>
  <c r="H146" i="9" s="1"/>
  <c r="G20" i="9"/>
  <c r="G23" i="13"/>
  <c r="G44" i="9"/>
  <c r="I35" i="9"/>
  <c r="I67" i="9"/>
  <c r="I70" i="9" s="1"/>
  <c r="I71" i="9" s="1"/>
  <c r="I11" i="9"/>
  <c r="I12" i="13"/>
  <c r="D174" i="9"/>
  <c r="D208" i="13"/>
  <c r="D198" i="9"/>
  <c r="I84" i="9"/>
  <c r="I108" i="9"/>
  <c r="C176" i="9"/>
  <c r="C210" i="13"/>
  <c r="H194" i="13"/>
  <c r="H160" i="9"/>
  <c r="H184" i="9"/>
  <c r="G217" i="9"/>
  <c r="G220" i="9" s="1"/>
  <c r="G244" i="13"/>
  <c r="H224" i="13"/>
  <c r="H217" i="9" s="1"/>
  <c r="H220" i="9" s="1"/>
  <c r="G228" i="13"/>
  <c r="G229" i="13" s="1"/>
  <c r="F70" i="13"/>
  <c r="F71" i="13" s="1"/>
  <c r="G50" i="13"/>
  <c r="AA107" i="15"/>
  <c r="Z108" i="15"/>
  <c r="C58" i="26"/>
  <c r="D51" i="9"/>
  <c r="D57" i="9"/>
  <c r="D74" i="9" s="1"/>
  <c r="D27" i="9"/>
  <c r="D56" i="13"/>
  <c r="D65" i="13" s="1"/>
  <c r="D51" i="13"/>
  <c r="C52" i="13"/>
  <c r="C9" i="9"/>
  <c r="I110" i="9"/>
  <c r="I124" i="13"/>
  <c r="I150" i="13" s="1"/>
  <c r="I86" i="9"/>
  <c r="I85" i="9"/>
  <c r="I103" i="13"/>
  <c r="I109" i="9"/>
  <c r="I192" i="13"/>
  <c r="H12" i="9"/>
  <c r="H36" i="9"/>
  <c r="H20" i="13"/>
  <c r="H56" i="9"/>
  <c r="D101" i="9"/>
  <c r="D119" i="13"/>
  <c r="D125" i="9"/>
  <c r="Y190" i="15"/>
  <c r="X12" i="20" s="1"/>
  <c r="F96" i="9"/>
  <c r="F120" i="9"/>
  <c r="F115" i="13"/>
  <c r="E195" i="9"/>
  <c r="E206" i="13"/>
  <c r="E171" i="9"/>
  <c r="Z82" i="36"/>
  <c r="Z83" i="36" s="1"/>
  <c r="Z85" i="36" s="1"/>
  <c r="Z87" i="36" s="1"/>
  <c r="Z89" i="36" s="1"/>
  <c r="AA65" i="36" s="1"/>
  <c r="AA69" i="36" s="1"/>
  <c r="AA80" i="36" s="1"/>
  <c r="AA83" i="20"/>
  <c r="AA85" i="20" s="1"/>
  <c r="AA87" i="20" s="1"/>
  <c r="AA89" i="20" s="1"/>
  <c r="AC65" i="20" s="1"/>
  <c r="AC69" i="20" s="1"/>
  <c r="AC80" i="20" s="1"/>
  <c r="C81" i="13" l="1"/>
  <c r="C170" i="13"/>
  <c r="C172" i="13" s="1"/>
  <c r="AA180" i="15"/>
  <c r="AB179" i="15"/>
  <c r="AA129" i="15"/>
  <c r="AB128" i="15"/>
  <c r="AA126" i="15"/>
  <c r="AB125" i="15"/>
  <c r="AA156" i="15"/>
  <c r="AB155" i="15"/>
  <c r="AA114" i="15"/>
  <c r="AB113" i="15"/>
  <c r="AA153" i="15"/>
  <c r="AB152" i="15"/>
  <c r="AA132" i="15"/>
  <c r="AB131" i="15"/>
  <c r="AA135" i="15"/>
  <c r="AB134" i="15"/>
  <c r="AA165" i="15"/>
  <c r="AB164" i="15"/>
  <c r="AA120" i="15"/>
  <c r="AB119" i="15"/>
  <c r="AA183" i="15"/>
  <c r="AB182" i="15"/>
  <c r="AA162" i="15"/>
  <c r="AB161" i="15"/>
  <c r="AA150" i="15"/>
  <c r="AB149" i="15"/>
  <c r="AA159" i="15"/>
  <c r="AB158" i="15"/>
  <c r="AA144" i="15"/>
  <c r="AB143" i="15"/>
  <c r="AB146" i="15"/>
  <c r="AA147" i="15"/>
  <c r="AA186" i="15"/>
  <c r="AB185" i="15"/>
  <c r="AA171" i="15"/>
  <c r="AB170" i="15"/>
  <c r="AA123" i="15"/>
  <c r="AB122" i="15"/>
  <c r="AA111" i="15"/>
  <c r="AB110" i="15"/>
  <c r="AA138" i="15"/>
  <c r="AB137" i="15"/>
  <c r="AA141" i="15"/>
  <c r="AB140" i="15"/>
  <c r="AA117" i="15"/>
  <c r="AB116" i="15"/>
  <c r="AA177" i="15"/>
  <c r="AB176" i="15"/>
  <c r="AA174" i="15"/>
  <c r="AB173" i="15"/>
  <c r="AA168" i="15"/>
  <c r="AB167" i="15"/>
  <c r="W21" i="20"/>
  <c r="W23" i="20" s="1"/>
  <c r="W24" i="20" s="1"/>
  <c r="W26" i="20" s="1"/>
  <c r="W28" i="20" s="1"/>
  <c r="W30" i="20" s="1"/>
  <c r="X6" i="20" s="1"/>
  <c r="X10" i="20" s="1"/>
  <c r="W51" i="20"/>
  <c r="W53" i="20" s="1"/>
  <c r="W54" i="20" s="1"/>
  <c r="W56" i="20" s="1"/>
  <c r="W58" i="20" s="1"/>
  <c r="W60" i="20" s="1"/>
  <c r="X36" i="20" s="1"/>
  <c r="X40" i="20" s="1"/>
  <c r="I12" i="36"/>
  <c r="I17" i="36" s="1"/>
  <c r="I20" i="36" s="1"/>
  <c r="I21" i="36" s="1"/>
  <c r="I23" i="36" s="1"/>
  <c r="I24" i="36" s="1"/>
  <c r="I26" i="36" s="1"/>
  <c r="I28" i="36" s="1"/>
  <c r="I30" i="36" s="1"/>
  <c r="J6" i="36" s="1"/>
  <c r="J10" i="36" s="1"/>
  <c r="X42" i="20"/>
  <c r="X17" i="20"/>
  <c r="X20" i="20" s="1"/>
  <c r="I160" i="9"/>
  <c r="I194" i="13"/>
  <c r="I184" i="9"/>
  <c r="AB107" i="15"/>
  <c r="AA108" i="15"/>
  <c r="I224" i="13"/>
  <c r="I217" i="9" s="1"/>
  <c r="I220" i="9" s="1"/>
  <c r="H244" i="13"/>
  <c r="H228" i="13"/>
  <c r="H229" i="13" s="1"/>
  <c r="D210" i="13"/>
  <c r="D176" i="9"/>
  <c r="D200" i="9"/>
  <c r="H112" i="9"/>
  <c r="H88" i="9"/>
  <c r="H112" i="13"/>
  <c r="D141" i="13"/>
  <c r="C142" i="13"/>
  <c r="F206" i="13"/>
  <c r="F171" i="9"/>
  <c r="F195" i="9"/>
  <c r="E51" i="9"/>
  <c r="E56" i="13"/>
  <c r="E65" i="13" s="1"/>
  <c r="D58" i="26"/>
  <c r="E27" i="9"/>
  <c r="E57" i="9"/>
  <c r="E74" i="9" s="1"/>
  <c r="F25" i="9"/>
  <c r="F27" i="13"/>
  <c r="F49" i="9"/>
  <c r="G120" i="9"/>
  <c r="G96" i="9"/>
  <c r="G115" i="13"/>
  <c r="F123" i="9"/>
  <c r="F99" i="9"/>
  <c r="F117" i="13"/>
  <c r="H44" i="9"/>
  <c r="H20" i="9"/>
  <c r="H23" i="13"/>
  <c r="D52" i="13"/>
  <c r="E51" i="13"/>
  <c r="D9" i="9"/>
  <c r="H50" i="13"/>
  <c r="G70" i="13"/>
  <c r="G71" i="13" s="1"/>
  <c r="C165" i="13"/>
  <c r="C166" i="13" s="1"/>
  <c r="D150" i="9"/>
  <c r="D133" i="9"/>
  <c r="D127" i="9"/>
  <c r="D147" i="13"/>
  <c r="C59" i="26"/>
  <c r="D103" i="9"/>
  <c r="I87" i="9"/>
  <c r="I104" i="13"/>
  <c r="I143" i="9"/>
  <c r="I146" i="9" s="1"/>
  <c r="I111" i="9"/>
  <c r="D74" i="13"/>
  <c r="D79" i="13"/>
  <c r="H218" i="9"/>
  <c r="H221" i="9" s="1"/>
  <c r="H222" i="9" s="1"/>
  <c r="H186" i="9"/>
  <c r="H162" i="9"/>
  <c r="H195" i="13"/>
  <c r="I12" i="9"/>
  <c r="I36" i="9"/>
  <c r="I20" i="13"/>
  <c r="I56" i="9"/>
  <c r="G187" i="9"/>
  <c r="G203" i="13"/>
  <c r="G163" i="9"/>
  <c r="AA105" i="15"/>
  <c r="AB104" i="15"/>
  <c r="E101" i="9"/>
  <c r="E119" i="13"/>
  <c r="E125" i="9"/>
  <c r="D88" i="13"/>
  <c r="E88" i="13" s="1"/>
  <c r="C82" i="13"/>
  <c r="E208" i="13"/>
  <c r="E198" i="9"/>
  <c r="E174" i="9"/>
  <c r="B60" i="26"/>
  <c r="C232" i="13"/>
  <c r="C238" i="13"/>
  <c r="C248" i="13" s="1"/>
  <c r="C178" i="9"/>
  <c r="C208" i="9"/>
  <c r="C225" i="9"/>
  <c r="G47" i="9"/>
  <c r="G23" i="9"/>
  <c r="G25" i="13"/>
  <c r="G222" i="9"/>
  <c r="Z190" i="15"/>
  <c r="Y12" i="20" s="1"/>
  <c r="C30" i="13"/>
  <c r="D73" i="13"/>
  <c r="AC82" i="20"/>
  <c r="AC83" i="20" s="1"/>
  <c r="AC85" i="20" s="1"/>
  <c r="AC87" i="20" s="1"/>
  <c r="AC89" i="20" s="1"/>
  <c r="AD65" i="20" s="1"/>
  <c r="AD69" i="20" s="1"/>
  <c r="AD80" i="20" s="1"/>
  <c r="AA82" i="36"/>
  <c r="AA83" i="36" s="1"/>
  <c r="AA85" i="36" s="1"/>
  <c r="AA87" i="36" s="1"/>
  <c r="AA89" i="36" s="1"/>
  <c r="AB65" i="36" s="1"/>
  <c r="AB69" i="36" s="1"/>
  <c r="AB80" i="36" s="1"/>
  <c r="D81" i="13" l="1"/>
  <c r="D170" i="13"/>
  <c r="D172" i="13" s="1"/>
  <c r="AA190" i="15"/>
  <c r="Z12" i="20" s="1"/>
  <c r="D75" i="13"/>
  <c r="D30" i="13" s="1"/>
  <c r="AB168" i="15"/>
  <c r="AC168" i="15" s="1"/>
  <c r="AC167" i="15"/>
  <c r="AD167" i="15" s="1"/>
  <c r="AB177" i="15"/>
  <c r="AC177" i="15" s="1"/>
  <c r="AC176" i="15"/>
  <c r="AD176" i="15" s="1"/>
  <c r="AB141" i="15"/>
  <c r="AC141" i="15" s="1"/>
  <c r="AC140" i="15"/>
  <c r="AD140" i="15" s="1"/>
  <c r="AB111" i="15"/>
  <c r="AC111" i="15" s="1"/>
  <c r="AC110" i="15"/>
  <c r="AD110" i="15" s="1"/>
  <c r="AC170" i="15"/>
  <c r="AD170" i="15" s="1"/>
  <c r="AB171" i="15"/>
  <c r="AC171" i="15" s="1"/>
  <c r="AB159" i="15"/>
  <c r="AC159" i="15" s="1"/>
  <c r="AC158" i="15"/>
  <c r="AD158" i="15" s="1"/>
  <c r="AB162" i="15"/>
  <c r="AC162" i="15" s="1"/>
  <c r="AC161" i="15"/>
  <c r="AD161" i="15" s="1"/>
  <c r="AB120" i="15"/>
  <c r="AC120" i="15" s="1"/>
  <c r="AC119" i="15"/>
  <c r="AD119" i="15" s="1"/>
  <c r="AB135" i="15"/>
  <c r="AC135" i="15" s="1"/>
  <c r="AC134" i="15"/>
  <c r="AD134" i="15" s="1"/>
  <c r="AB153" i="15"/>
  <c r="AC153" i="15" s="1"/>
  <c r="AC152" i="15"/>
  <c r="AD152" i="15" s="1"/>
  <c r="AB156" i="15"/>
  <c r="AC156" i="15" s="1"/>
  <c r="AC155" i="15"/>
  <c r="AD155" i="15" s="1"/>
  <c r="AB129" i="15"/>
  <c r="AC129" i="15" s="1"/>
  <c r="AC128" i="15"/>
  <c r="AD128" i="15" s="1"/>
  <c r="AB147" i="15"/>
  <c r="AC147" i="15" s="1"/>
  <c r="AC146" i="15"/>
  <c r="AD146" i="15" s="1"/>
  <c r="AB174" i="15"/>
  <c r="AC174" i="15" s="1"/>
  <c r="AC173" i="15"/>
  <c r="AD173" i="15" s="1"/>
  <c r="AC116" i="15"/>
  <c r="AD116" i="15" s="1"/>
  <c r="AB117" i="15"/>
  <c r="AC117" i="15" s="1"/>
  <c r="AB138" i="15"/>
  <c r="AC138" i="15" s="1"/>
  <c r="AC137" i="15"/>
  <c r="AD137" i="15" s="1"/>
  <c r="AB123" i="15"/>
  <c r="AC123" i="15" s="1"/>
  <c r="AC122" i="15"/>
  <c r="AD122" i="15" s="1"/>
  <c r="AB186" i="15"/>
  <c r="AC186" i="15" s="1"/>
  <c r="AC185" i="15"/>
  <c r="AD185" i="15" s="1"/>
  <c r="AC143" i="15"/>
  <c r="AD143" i="15" s="1"/>
  <c r="AB144" i="15"/>
  <c r="AC144" i="15" s="1"/>
  <c r="AB150" i="15"/>
  <c r="AC150" i="15" s="1"/>
  <c r="AC149" i="15"/>
  <c r="AD149" i="15" s="1"/>
  <c r="AB183" i="15"/>
  <c r="AC183" i="15" s="1"/>
  <c r="AC182" i="15"/>
  <c r="AD182" i="15" s="1"/>
  <c r="AB165" i="15"/>
  <c r="AC165" i="15" s="1"/>
  <c r="AC164" i="15"/>
  <c r="AD164" i="15" s="1"/>
  <c r="AB132" i="15"/>
  <c r="AC132" i="15" s="1"/>
  <c r="AC131" i="15"/>
  <c r="AD131" i="15" s="1"/>
  <c r="AB114" i="15"/>
  <c r="AC114" i="15" s="1"/>
  <c r="AC113" i="15"/>
  <c r="AD113" i="15" s="1"/>
  <c r="AB126" i="15"/>
  <c r="AC126" i="15" s="1"/>
  <c r="AC125" i="15"/>
  <c r="AD125" i="15" s="1"/>
  <c r="AB180" i="15"/>
  <c r="AC180" i="15" s="1"/>
  <c r="AC179" i="15"/>
  <c r="AD179" i="15" s="1"/>
  <c r="X21" i="20"/>
  <c r="X23" i="20" s="1"/>
  <c r="X24" i="20" s="1"/>
  <c r="X26" i="20" s="1"/>
  <c r="X28" i="20" s="1"/>
  <c r="X30" i="20" s="1"/>
  <c r="Y6" i="20" s="1"/>
  <c r="Y10" i="20" s="1"/>
  <c r="D82" i="13"/>
  <c r="C233" i="13"/>
  <c r="D232" i="13"/>
  <c r="E210" i="13"/>
  <c r="E176" i="9"/>
  <c r="E200" i="9"/>
  <c r="H163" i="9"/>
  <c r="H203" i="13"/>
  <c r="H187" i="9"/>
  <c r="I112" i="13"/>
  <c r="I112" i="9"/>
  <c r="I88" i="9"/>
  <c r="C173" i="13"/>
  <c r="D179" i="13"/>
  <c r="E179" i="13" s="1"/>
  <c r="D142" i="13"/>
  <c r="E141" i="13"/>
  <c r="C34" i="13"/>
  <c r="O21" i="20"/>
  <c r="C60" i="9"/>
  <c r="G25" i="9"/>
  <c r="G49" i="9"/>
  <c r="G27" i="13"/>
  <c r="E150" i="9"/>
  <c r="E133" i="9"/>
  <c r="E147" i="13"/>
  <c r="D59" i="26"/>
  <c r="E103" i="9"/>
  <c r="E127" i="9"/>
  <c r="I20" i="9"/>
  <c r="I23" i="13"/>
  <c r="I44" i="9"/>
  <c r="C123" i="13"/>
  <c r="D164" i="13"/>
  <c r="E9" i="9"/>
  <c r="E52" i="13"/>
  <c r="F51" i="13"/>
  <c r="G99" i="9"/>
  <c r="G117" i="13"/>
  <c r="G123" i="9"/>
  <c r="E58" i="26"/>
  <c r="F51" i="9"/>
  <c r="F56" i="13"/>
  <c r="F65" i="13" s="1"/>
  <c r="F57" i="9"/>
  <c r="F74" i="9" s="1"/>
  <c r="F27" i="9"/>
  <c r="H120" i="9"/>
  <c r="H115" i="13"/>
  <c r="H96" i="9"/>
  <c r="I244" i="13"/>
  <c r="I228" i="13"/>
  <c r="I229" i="13" s="1"/>
  <c r="X47" i="20"/>
  <c r="X50" i="20" s="1"/>
  <c r="X51" i="20" s="1"/>
  <c r="X53" i="20" s="1"/>
  <c r="X54" i="20" s="1"/>
  <c r="X56" i="20" s="1"/>
  <c r="X58" i="20" s="1"/>
  <c r="X60" i="20" s="1"/>
  <c r="Y36" i="20" s="1"/>
  <c r="Y40" i="20" s="1"/>
  <c r="I42" i="36"/>
  <c r="I47" i="36" s="1"/>
  <c r="I50" i="36" s="1"/>
  <c r="I51" i="36" s="1"/>
  <c r="I53" i="36" s="1"/>
  <c r="I54" i="36" s="1"/>
  <c r="I56" i="36" s="1"/>
  <c r="I58" i="36" s="1"/>
  <c r="I60" i="36" s="1"/>
  <c r="J36" i="36" s="1"/>
  <c r="J40" i="36" s="1"/>
  <c r="Y42" i="20"/>
  <c r="Y47" i="20" s="1"/>
  <c r="Y50" i="20" s="1"/>
  <c r="Y17" i="20"/>
  <c r="Y20" i="20" s="1"/>
  <c r="G195" i="9"/>
  <c r="G171" i="9"/>
  <c r="G206" i="13"/>
  <c r="F101" i="9"/>
  <c r="F119" i="13"/>
  <c r="F125" i="9"/>
  <c r="E79" i="13"/>
  <c r="E74" i="13"/>
  <c r="F198" i="9"/>
  <c r="F174" i="9"/>
  <c r="F208" i="13"/>
  <c r="D238" i="13"/>
  <c r="D248" i="13" s="1"/>
  <c r="D202" i="9"/>
  <c r="D178" i="9"/>
  <c r="C60" i="26"/>
  <c r="D225" i="9"/>
  <c r="D208" i="9"/>
  <c r="I218" i="9"/>
  <c r="I221" i="9" s="1"/>
  <c r="I222" i="9" s="1"/>
  <c r="I195" i="13"/>
  <c r="I162" i="9"/>
  <c r="I186" i="9"/>
  <c r="C261" i="13"/>
  <c r="C263" i="13" s="1"/>
  <c r="C256" i="13"/>
  <c r="C257" i="13" s="1"/>
  <c r="F88" i="13"/>
  <c r="C83" i="13" s="1"/>
  <c r="AC104" i="15"/>
  <c r="AD104" i="15" s="1"/>
  <c r="AB105" i="15"/>
  <c r="I50" i="13"/>
  <c r="I70" i="13" s="1"/>
  <c r="I71" i="13" s="1"/>
  <c r="H70" i="13"/>
  <c r="H71" i="13" s="1"/>
  <c r="H23" i="9"/>
  <c r="H47" i="9"/>
  <c r="H25" i="13"/>
  <c r="AC107" i="15"/>
  <c r="AD107" i="15" s="1"/>
  <c r="AB108" i="15"/>
  <c r="AC108" i="15" s="1"/>
  <c r="AB82" i="36"/>
  <c r="AB83" i="36" s="1"/>
  <c r="AB85" i="36" s="1"/>
  <c r="AB87" i="36" s="1"/>
  <c r="AB89" i="36" s="1"/>
  <c r="AC65" i="36" s="1"/>
  <c r="AC69" i="36" s="1"/>
  <c r="AC80" i="36" s="1"/>
  <c r="AD82" i="20"/>
  <c r="AD83" i="20" s="1"/>
  <c r="AD85" i="20" s="1"/>
  <c r="AD87" i="20" s="1"/>
  <c r="AD89" i="20" s="1"/>
  <c r="AE65" i="20" s="1"/>
  <c r="AE69" i="20" s="1"/>
  <c r="AE80" i="20" s="1"/>
  <c r="E81" i="13" l="1"/>
  <c r="E170" i="13"/>
  <c r="E172" i="13" s="1"/>
  <c r="D89" i="13"/>
  <c r="E89" i="13" s="1"/>
  <c r="F89" i="13" s="1"/>
  <c r="D83" i="13" s="1"/>
  <c r="E73" i="13"/>
  <c r="E75" i="13" s="1"/>
  <c r="AD180" i="15"/>
  <c r="AE179" i="15"/>
  <c r="AD114" i="15"/>
  <c r="AE113" i="15"/>
  <c r="AD165" i="15"/>
  <c r="AE164" i="15"/>
  <c r="AD150" i="15"/>
  <c r="AE149" i="15"/>
  <c r="AD186" i="15"/>
  <c r="AE185" i="15"/>
  <c r="AD138" i="15"/>
  <c r="AE137" i="15"/>
  <c r="AD174" i="15"/>
  <c r="AE173" i="15"/>
  <c r="AD129" i="15"/>
  <c r="AE128" i="15"/>
  <c r="AD153" i="15"/>
  <c r="AE152" i="15"/>
  <c r="AD120" i="15"/>
  <c r="AE119" i="15"/>
  <c r="AD159" i="15"/>
  <c r="AE158" i="15"/>
  <c r="AD111" i="15"/>
  <c r="AE110" i="15"/>
  <c r="AD177" i="15"/>
  <c r="AE176" i="15"/>
  <c r="AD126" i="15"/>
  <c r="AE125" i="15"/>
  <c r="AD132" i="15"/>
  <c r="AE131" i="15"/>
  <c r="AD183" i="15"/>
  <c r="AE182" i="15"/>
  <c r="AD123" i="15"/>
  <c r="AE122" i="15"/>
  <c r="AE146" i="15"/>
  <c r="AD147" i="15"/>
  <c r="AD156" i="15"/>
  <c r="AE155" i="15"/>
  <c r="AD135" i="15"/>
  <c r="AE134" i="15"/>
  <c r="AD162" i="15"/>
  <c r="AE161" i="15"/>
  <c r="AD141" i="15"/>
  <c r="AE140" i="15"/>
  <c r="AD168" i="15"/>
  <c r="AE167" i="15"/>
  <c r="AD144" i="15"/>
  <c r="AE143" i="15"/>
  <c r="AD117" i="15"/>
  <c r="AE116" i="15"/>
  <c r="AD171" i="15"/>
  <c r="AE170" i="15"/>
  <c r="E82" i="13"/>
  <c r="Y21" i="20"/>
  <c r="Y23" i="20" s="1"/>
  <c r="Y24" i="20" s="1"/>
  <c r="Y26" i="20" s="1"/>
  <c r="Y28" i="20" s="1"/>
  <c r="Y30" i="20" s="1"/>
  <c r="Z6" i="20" s="1"/>
  <c r="Z10" i="20" s="1"/>
  <c r="AE104" i="15"/>
  <c r="AD105" i="15"/>
  <c r="C264" i="13"/>
  <c r="D270" i="13"/>
  <c r="E270" i="13" s="1"/>
  <c r="F200" i="9"/>
  <c r="F176" i="9"/>
  <c r="F210" i="13"/>
  <c r="G174" i="9"/>
  <c r="G198" i="9"/>
  <c r="G208" i="13"/>
  <c r="C62" i="9"/>
  <c r="C40" i="13"/>
  <c r="C61" i="9"/>
  <c r="E225" i="9"/>
  <c r="E208" i="9"/>
  <c r="E238" i="13"/>
  <c r="E248" i="13" s="1"/>
  <c r="E178" i="9"/>
  <c r="D60" i="26"/>
  <c r="E202" i="9"/>
  <c r="AD108" i="15"/>
  <c r="AE107" i="15"/>
  <c r="F52" i="13"/>
  <c r="F9" i="9"/>
  <c r="G51" i="13"/>
  <c r="O51" i="20"/>
  <c r="C127" i="13"/>
  <c r="C131" i="13" s="1"/>
  <c r="C151" i="9" s="1"/>
  <c r="C136" i="9"/>
  <c r="I115" i="13"/>
  <c r="I96" i="9"/>
  <c r="I120" i="9"/>
  <c r="Z17" i="20"/>
  <c r="Z20" i="20" s="1"/>
  <c r="Z42" i="20"/>
  <c r="Z47" i="20" s="1"/>
  <c r="Z50" i="20" s="1"/>
  <c r="E232" i="13"/>
  <c r="D233" i="13"/>
  <c r="H27" i="13"/>
  <c r="H25" i="9"/>
  <c r="H49" i="9"/>
  <c r="D256" i="13"/>
  <c r="D261" i="13"/>
  <c r="D263" i="13" s="1"/>
  <c r="D271" i="13" s="1"/>
  <c r="F133" i="9"/>
  <c r="F147" i="13"/>
  <c r="F150" i="9"/>
  <c r="F127" i="9"/>
  <c r="F103" i="9"/>
  <c r="E59" i="26"/>
  <c r="D34" i="13"/>
  <c r="D60" i="9"/>
  <c r="F179" i="13"/>
  <c r="C174" i="13" s="1"/>
  <c r="AC105" i="15"/>
  <c r="AC190" i="15" s="1"/>
  <c r="AB190" i="15"/>
  <c r="AA12" i="20" s="1"/>
  <c r="C214" i="13"/>
  <c r="D255" i="13"/>
  <c r="I163" i="9"/>
  <c r="I187" i="9"/>
  <c r="I203" i="13"/>
  <c r="Y51" i="20"/>
  <c r="Y53" i="20" s="1"/>
  <c r="Y54" i="20" s="1"/>
  <c r="Y56" i="20" s="1"/>
  <c r="Y58" i="20" s="1"/>
  <c r="Y60" i="20" s="1"/>
  <c r="Z36" i="20" s="1"/>
  <c r="Z40" i="20" s="1"/>
  <c r="H123" i="9"/>
  <c r="H117" i="13"/>
  <c r="H99" i="9"/>
  <c r="F74" i="13"/>
  <c r="F79" i="13"/>
  <c r="G119" i="13"/>
  <c r="G125" i="9"/>
  <c r="G101" i="9"/>
  <c r="I25" i="13"/>
  <c r="I23" i="9"/>
  <c r="I47" i="9"/>
  <c r="G56" i="13"/>
  <c r="G65" i="13" s="1"/>
  <c r="G27" i="9"/>
  <c r="F58" i="26"/>
  <c r="G57" i="9"/>
  <c r="G74" i="9" s="1"/>
  <c r="G51" i="9"/>
  <c r="E142" i="13"/>
  <c r="F141" i="13"/>
  <c r="H206" i="13"/>
  <c r="H195" i="9"/>
  <c r="H171" i="9"/>
  <c r="AE82" i="20"/>
  <c r="AC82" i="36"/>
  <c r="AC83" i="36" s="1"/>
  <c r="AC85" i="36" s="1"/>
  <c r="AC87" i="36" s="1"/>
  <c r="AC89" i="36" s="1"/>
  <c r="AD65" i="36" s="1"/>
  <c r="AD69" i="36" s="1"/>
  <c r="AD80" i="36" s="1"/>
  <c r="F81" i="13" l="1"/>
  <c r="F170" i="13"/>
  <c r="F172" i="13" s="1"/>
  <c r="D90" i="13"/>
  <c r="E90" i="13" s="1"/>
  <c r="F90" i="13" s="1"/>
  <c r="E83" i="13" s="1"/>
  <c r="AE171" i="15"/>
  <c r="AF170" i="15"/>
  <c r="AE144" i="15"/>
  <c r="AF143" i="15"/>
  <c r="AE141" i="15"/>
  <c r="AF140" i="15"/>
  <c r="AE135" i="15"/>
  <c r="AF134" i="15"/>
  <c r="AE183" i="15"/>
  <c r="AF182" i="15"/>
  <c r="AF125" i="15"/>
  <c r="AE126" i="15"/>
  <c r="AE111" i="15"/>
  <c r="AF110" i="15"/>
  <c r="AE120" i="15"/>
  <c r="AF119" i="15"/>
  <c r="AE129" i="15"/>
  <c r="AF128" i="15"/>
  <c r="AE138" i="15"/>
  <c r="AF137" i="15"/>
  <c r="AE150" i="15"/>
  <c r="AF149" i="15"/>
  <c r="AE114" i="15"/>
  <c r="AF113" i="15"/>
  <c r="AE147" i="15"/>
  <c r="AF146" i="15"/>
  <c r="AE117" i="15"/>
  <c r="AF116" i="15"/>
  <c r="AE168" i="15"/>
  <c r="AF167" i="15"/>
  <c r="AE162" i="15"/>
  <c r="AF161" i="15"/>
  <c r="AE156" i="15"/>
  <c r="AF155" i="15"/>
  <c r="AE123" i="15"/>
  <c r="AF122" i="15"/>
  <c r="AE132" i="15"/>
  <c r="AF131" i="15"/>
  <c r="AE177" i="15"/>
  <c r="AF176" i="15"/>
  <c r="AE159" i="15"/>
  <c r="AF158" i="15"/>
  <c r="AF152" i="15"/>
  <c r="AE153" i="15"/>
  <c r="AE174" i="15"/>
  <c r="AF173" i="15"/>
  <c r="AE186" i="15"/>
  <c r="AF185" i="15"/>
  <c r="AF164" i="15"/>
  <c r="AE165" i="15"/>
  <c r="AE180" i="15"/>
  <c r="AF179" i="15"/>
  <c r="Z51" i="20"/>
  <c r="Z53" i="20" s="1"/>
  <c r="F82" i="13"/>
  <c r="Z21" i="20"/>
  <c r="Z23" i="20" s="1"/>
  <c r="Z24" i="20" s="1"/>
  <c r="Z26" i="20" s="1"/>
  <c r="Z28" i="20" s="1"/>
  <c r="Z30" i="20" s="1"/>
  <c r="AA6" i="20" s="1"/>
  <c r="AA10" i="20" s="1"/>
  <c r="G74" i="13"/>
  <c r="G79" i="13"/>
  <c r="I206" i="13"/>
  <c r="I195" i="9"/>
  <c r="I171" i="9"/>
  <c r="C211" i="9"/>
  <c r="C218" i="13"/>
  <c r="O80" i="20"/>
  <c r="I99" i="9"/>
  <c r="I117" i="13"/>
  <c r="I123" i="9"/>
  <c r="AE108" i="15"/>
  <c r="AF107" i="15"/>
  <c r="G200" i="9"/>
  <c r="G210" i="13"/>
  <c r="G176" i="9"/>
  <c r="AD190" i="15"/>
  <c r="AC12" i="20" s="1"/>
  <c r="J12" i="36"/>
  <c r="J17" i="36" s="1"/>
  <c r="J20" i="36" s="1"/>
  <c r="J21" i="36" s="1"/>
  <c r="J23" i="36" s="1"/>
  <c r="J24" i="36" s="1"/>
  <c r="J26" i="36" s="1"/>
  <c r="J28" i="36" s="1"/>
  <c r="J30" i="36" s="1"/>
  <c r="K6" i="36" s="1"/>
  <c r="K10" i="36" s="1"/>
  <c r="AA42" i="20"/>
  <c r="AA47" i="20" s="1"/>
  <c r="AA50" i="20" s="1"/>
  <c r="AB50" i="20" s="1"/>
  <c r="AB12" i="20"/>
  <c r="AB17" i="20" s="1"/>
  <c r="AA17" i="20"/>
  <c r="AA20" i="20" s="1"/>
  <c r="AB20" i="20" s="1"/>
  <c r="H57" i="9"/>
  <c r="H74" i="9" s="1"/>
  <c r="H51" i="9"/>
  <c r="G58" i="26"/>
  <c r="H56" i="13"/>
  <c r="H65" i="13" s="1"/>
  <c r="H27" i="9"/>
  <c r="F73" i="13"/>
  <c r="F75" i="13" s="1"/>
  <c r="E30" i="13"/>
  <c r="G9" i="9"/>
  <c r="H51" i="13"/>
  <c r="G52" i="13"/>
  <c r="E261" i="13"/>
  <c r="E263" i="13" s="1"/>
  <c r="D272" i="13" s="1"/>
  <c r="E256" i="13"/>
  <c r="F178" i="9"/>
  <c r="F238" i="13"/>
  <c r="F248" i="13" s="1"/>
  <c r="F225" i="9"/>
  <c r="E60" i="26"/>
  <c r="F208" i="9"/>
  <c r="F202" i="9"/>
  <c r="F270" i="13"/>
  <c r="C265" i="13" s="1"/>
  <c r="E271" i="13"/>
  <c r="AF104" i="15"/>
  <c r="AE105" i="15"/>
  <c r="G127" i="9"/>
  <c r="G147" i="13"/>
  <c r="G103" i="9"/>
  <c r="G150" i="9"/>
  <c r="G133" i="9"/>
  <c r="F59" i="26"/>
  <c r="H119" i="13"/>
  <c r="H125" i="9"/>
  <c r="H101" i="9"/>
  <c r="D40" i="13"/>
  <c r="D61" i="9"/>
  <c r="D62" i="9"/>
  <c r="C75" i="9"/>
  <c r="C76" i="9"/>
  <c r="C53" i="13"/>
  <c r="C152" i="9"/>
  <c r="C153" i="9" s="1"/>
  <c r="D264" i="13"/>
  <c r="F142" i="13"/>
  <c r="G141" i="13"/>
  <c r="H208" i="13"/>
  <c r="H174" i="9"/>
  <c r="H198" i="9"/>
  <c r="I49" i="9"/>
  <c r="I25" i="9"/>
  <c r="I27" i="13"/>
  <c r="J17" i="1" s="1"/>
  <c r="D257" i="13"/>
  <c r="F232" i="13"/>
  <c r="E233" i="13"/>
  <c r="AE83" i="20"/>
  <c r="AE85" i="20" s="1"/>
  <c r="AE87" i="20" s="1"/>
  <c r="AE89" i="20" s="1"/>
  <c r="AF65" i="20" s="1"/>
  <c r="AF69" i="20" s="1"/>
  <c r="AF80" i="20" s="1"/>
  <c r="AD82" i="36"/>
  <c r="AD83" i="36" s="1"/>
  <c r="AD85" i="36" s="1"/>
  <c r="AD87" i="36" s="1"/>
  <c r="AD89" i="36" s="1"/>
  <c r="G81" i="13" l="1"/>
  <c r="G170" i="13"/>
  <c r="G172" i="13" s="1"/>
  <c r="D91" i="13"/>
  <c r="E91" i="13" s="1"/>
  <c r="F91" i="13" s="1"/>
  <c r="F83" i="13" s="1"/>
  <c r="AE190" i="15"/>
  <c r="AD12" i="20" s="1"/>
  <c r="AF180" i="15"/>
  <c r="AG179" i="15"/>
  <c r="AF186" i="15"/>
  <c r="AG185" i="15"/>
  <c r="AF177" i="15"/>
  <c r="AG176" i="15"/>
  <c r="AF123" i="15"/>
  <c r="AG122" i="15"/>
  <c r="AF162" i="15"/>
  <c r="AG161" i="15"/>
  <c r="AF117" i="15"/>
  <c r="AG116" i="15"/>
  <c r="AF114" i="15"/>
  <c r="AG113" i="15"/>
  <c r="AF138" i="15"/>
  <c r="AG137" i="15"/>
  <c r="AF120" i="15"/>
  <c r="AG119" i="15"/>
  <c r="AF135" i="15"/>
  <c r="AG134" i="15"/>
  <c r="AF144" i="15"/>
  <c r="AG143" i="15"/>
  <c r="AF153" i="15"/>
  <c r="AG152" i="15"/>
  <c r="AF126" i="15"/>
  <c r="AG125" i="15"/>
  <c r="AG173" i="15"/>
  <c r="AF174" i="15"/>
  <c r="AF159" i="15"/>
  <c r="AG158" i="15"/>
  <c r="AF132" i="15"/>
  <c r="AG131" i="15"/>
  <c r="AF156" i="15"/>
  <c r="AG155" i="15"/>
  <c r="AF168" i="15"/>
  <c r="AG167" i="15"/>
  <c r="AF147" i="15"/>
  <c r="AG146" i="15"/>
  <c r="AF150" i="15"/>
  <c r="AG149" i="15"/>
  <c r="AF129" i="15"/>
  <c r="AG128" i="15"/>
  <c r="AF111" i="15"/>
  <c r="AG110" i="15"/>
  <c r="AF183" i="15"/>
  <c r="AG182" i="15"/>
  <c r="AF141" i="15"/>
  <c r="AG140" i="15"/>
  <c r="AF171" i="15"/>
  <c r="AG170" i="15"/>
  <c r="AF165" i="15"/>
  <c r="AG164" i="15"/>
  <c r="Z54" i="20"/>
  <c r="Z56" i="20" s="1"/>
  <c r="Z58" i="20" s="1"/>
  <c r="Z60" i="20" s="1"/>
  <c r="AA36" i="20" s="1"/>
  <c r="AA40" i="20" s="1"/>
  <c r="AA51" i="20" s="1"/>
  <c r="AA53" i="20" s="1"/>
  <c r="AA54" i="20" s="1"/>
  <c r="AA56" i="20" s="1"/>
  <c r="AA58" i="20" s="1"/>
  <c r="AA60" i="20" s="1"/>
  <c r="G82" i="13"/>
  <c r="J42" i="36"/>
  <c r="J47" i="36" s="1"/>
  <c r="J50" i="36" s="1"/>
  <c r="J51" i="36" s="1"/>
  <c r="J53" i="36" s="1"/>
  <c r="J54" i="36" s="1"/>
  <c r="J56" i="36" s="1"/>
  <c r="J58" i="36" s="1"/>
  <c r="J60" i="36" s="1"/>
  <c r="K36" i="36" s="1"/>
  <c r="K40" i="36" s="1"/>
  <c r="AB42" i="20"/>
  <c r="E264" i="13"/>
  <c r="AA21" i="20"/>
  <c r="AA23" i="20" s="1"/>
  <c r="AB23" i="20" s="1"/>
  <c r="F271" i="13"/>
  <c r="D265" i="13" s="1"/>
  <c r="E272" i="13"/>
  <c r="H79" i="13"/>
  <c r="H74" i="13"/>
  <c r="I51" i="9"/>
  <c r="I57" i="9"/>
  <c r="I74" i="9" s="1"/>
  <c r="I27" i="9"/>
  <c r="H58" i="26"/>
  <c r="I56" i="13"/>
  <c r="I65" i="13" s="1"/>
  <c r="H141" i="13"/>
  <c r="G142" i="13"/>
  <c r="H147" i="13"/>
  <c r="H127" i="9"/>
  <c r="H133" i="9"/>
  <c r="G59" i="26"/>
  <c r="H103" i="9"/>
  <c r="H150" i="9"/>
  <c r="E34" i="13"/>
  <c r="E60" i="9"/>
  <c r="I119" i="13"/>
  <c r="C45" i="26" s="1"/>
  <c r="I101" i="9"/>
  <c r="I125" i="9"/>
  <c r="E255" i="13"/>
  <c r="E257" i="13" s="1"/>
  <c r="D214" i="13"/>
  <c r="F261" i="13"/>
  <c r="F263" i="13" s="1"/>
  <c r="D273" i="13" s="1"/>
  <c r="F256" i="13"/>
  <c r="G73" i="13"/>
  <c r="G75" i="13" s="1"/>
  <c r="F30" i="13"/>
  <c r="AG107" i="15"/>
  <c r="AF108" i="15"/>
  <c r="J21" i="1"/>
  <c r="B47" i="26" s="1"/>
  <c r="B45" i="26"/>
  <c r="B32" i="26" s="1"/>
  <c r="J19" i="1"/>
  <c r="B46" i="26" s="1"/>
  <c r="D76" i="9"/>
  <c r="D53" i="13"/>
  <c r="D75" i="9"/>
  <c r="D152" i="9"/>
  <c r="G232" i="13"/>
  <c r="F233" i="13"/>
  <c r="H200" i="9"/>
  <c r="H176" i="9"/>
  <c r="H210" i="13"/>
  <c r="C77" i="9"/>
  <c r="AF105" i="15"/>
  <c r="AG104" i="15"/>
  <c r="I51" i="13"/>
  <c r="H52" i="13"/>
  <c r="H9" i="9"/>
  <c r="G202" i="9"/>
  <c r="G208" i="9"/>
  <c r="G225" i="9"/>
  <c r="F60" i="26"/>
  <c r="G178" i="9"/>
  <c r="G238" i="13"/>
  <c r="G248" i="13" s="1"/>
  <c r="AC42" i="20"/>
  <c r="AC47" i="20" s="1"/>
  <c r="AC50" i="20" s="1"/>
  <c r="AC17" i="20"/>
  <c r="AC20" i="20" s="1"/>
  <c r="C212" i="9"/>
  <c r="C213" i="9"/>
  <c r="C222" i="13"/>
  <c r="I208" i="13"/>
  <c r="I174" i="9"/>
  <c r="I198" i="9"/>
  <c r="AF82" i="20"/>
  <c r="AF83" i="20" s="1"/>
  <c r="AF85" i="20" s="1"/>
  <c r="AF87" i="20" s="1"/>
  <c r="AF89" i="20" s="1"/>
  <c r="AG65" i="20" s="1"/>
  <c r="AG69" i="20" s="1"/>
  <c r="AG80" i="20" s="1"/>
  <c r="H81" i="13" l="1"/>
  <c r="H170" i="13"/>
  <c r="H172" i="13" s="1"/>
  <c r="D92" i="13"/>
  <c r="E92" i="13" s="1"/>
  <c r="F92" i="13" s="1"/>
  <c r="G83" i="13" s="1"/>
  <c r="C47" i="26"/>
  <c r="C34" i="26" s="1"/>
  <c r="C46" i="26"/>
  <c r="C33" i="26" s="1"/>
  <c r="C32" i="26"/>
  <c r="D32" i="26" s="1"/>
  <c r="AG165" i="15"/>
  <c r="AH164" i="15"/>
  <c r="AG141" i="15"/>
  <c r="AH140" i="15"/>
  <c r="AG111" i="15"/>
  <c r="AH110" i="15"/>
  <c r="AG150" i="15"/>
  <c r="AH149" i="15"/>
  <c r="AG168" i="15"/>
  <c r="AH167" i="15"/>
  <c r="AG132" i="15"/>
  <c r="AH131" i="15"/>
  <c r="AG153" i="15"/>
  <c r="AH152" i="15"/>
  <c r="AG135" i="15"/>
  <c r="AH134" i="15"/>
  <c r="AG138" i="15"/>
  <c r="AH137" i="15"/>
  <c r="AG117" i="15"/>
  <c r="AH116" i="15"/>
  <c r="AG123" i="15"/>
  <c r="AH122" i="15"/>
  <c r="AG186" i="15"/>
  <c r="AH185" i="15"/>
  <c r="AG174" i="15"/>
  <c r="AH173" i="15"/>
  <c r="AG171" i="15"/>
  <c r="AH170" i="15"/>
  <c r="AG183" i="15"/>
  <c r="AH182" i="15"/>
  <c r="AG129" i="15"/>
  <c r="AH128" i="15"/>
  <c r="AG147" i="15"/>
  <c r="AH146" i="15"/>
  <c r="AG156" i="15"/>
  <c r="AH155" i="15"/>
  <c r="AG159" i="15"/>
  <c r="AH158" i="15"/>
  <c r="AG126" i="15"/>
  <c r="AH125" i="15"/>
  <c r="AH143" i="15"/>
  <c r="AG144" i="15"/>
  <c r="AG120" i="15"/>
  <c r="AH119" i="15"/>
  <c r="AG114" i="15"/>
  <c r="AH113" i="15"/>
  <c r="AG162" i="15"/>
  <c r="AH161" i="15"/>
  <c r="AG177" i="15"/>
  <c r="AH176" i="15"/>
  <c r="AG180" i="15"/>
  <c r="AH179" i="15"/>
  <c r="H82" i="13"/>
  <c r="AF190" i="15"/>
  <c r="AE12" i="20" s="1"/>
  <c r="AE17" i="20" s="1"/>
  <c r="AE20" i="20" s="1"/>
  <c r="AB47" i="20"/>
  <c r="D133" i="13"/>
  <c r="F264" i="13"/>
  <c r="F60" i="9"/>
  <c r="F34" i="13"/>
  <c r="AD17" i="20"/>
  <c r="AD20" i="20" s="1"/>
  <c r="AD42" i="20"/>
  <c r="AD47" i="20" s="1"/>
  <c r="AD50" i="20" s="1"/>
  <c r="E62" i="9"/>
  <c r="E40" i="13"/>
  <c r="E61" i="9"/>
  <c r="I200" i="9"/>
  <c r="I210" i="13"/>
  <c r="D45" i="26" s="1"/>
  <c r="I176" i="9"/>
  <c r="G261" i="13"/>
  <c r="G263" i="13" s="1"/>
  <c r="D274" i="13" s="1"/>
  <c r="G256" i="13"/>
  <c r="I9" i="9"/>
  <c r="I52" i="13"/>
  <c r="H73" i="13"/>
  <c r="H75" i="13" s="1"/>
  <c r="G30" i="13"/>
  <c r="AB80" i="20"/>
  <c r="D211" i="9"/>
  <c r="D218" i="13"/>
  <c r="I103" i="9"/>
  <c r="H59" i="26"/>
  <c r="I150" i="9"/>
  <c r="I127" i="9"/>
  <c r="I147" i="13"/>
  <c r="I133" i="9"/>
  <c r="I141" i="13"/>
  <c r="I142" i="13" s="1"/>
  <c r="H142" i="13"/>
  <c r="C226" i="9"/>
  <c r="C234" i="13"/>
  <c r="C227" i="9"/>
  <c r="AH104" i="15"/>
  <c r="AG105" i="15"/>
  <c r="H178" i="9"/>
  <c r="H225" i="9"/>
  <c r="H208" i="9"/>
  <c r="G60" i="26"/>
  <c r="H202" i="9"/>
  <c r="H238" i="13"/>
  <c r="H248" i="13" s="1"/>
  <c r="G233" i="13"/>
  <c r="H232" i="13"/>
  <c r="D77" i="9"/>
  <c r="E214" i="13"/>
  <c r="F255" i="13"/>
  <c r="F257" i="13" s="1"/>
  <c r="I74" i="13"/>
  <c r="I79" i="13"/>
  <c r="D93" i="13"/>
  <c r="AA24" i="20"/>
  <c r="AA26" i="20" s="1"/>
  <c r="AA28" i="20" s="1"/>
  <c r="AA30" i="20" s="1"/>
  <c r="AH107" i="15"/>
  <c r="AG108" i="15"/>
  <c r="F272" i="13"/>
  <c r="E265" i="13" s="1"/>
  <c r="E273" i="13"/>
  <c r="AG82" i="20"/>
  <c r="AG83" i="20" s="1"/>
  <c r="AG85" i="20" s="1"/>
  <c r="AG87" i="20" s="1"/>
  <c r="AG89" i="20" s="1"/>
  <c r="AH65" i="20" s="1"/>
  <c r="AH69" i="20" s="1"/>
  <c r="AH80" i="20" s="1"/>
  <c r="AC36" i="20"/>
  <c r="AC40" i="20" s="1"/>
  <c r="AC51" i="20" s="1"/>
  <c r="E93" i="13" l="1"/>
  <c r="F93" i="13" s="1"/>
  <c r="H83" i="13" s="1"/>
  <c r="I81" i="13"/>
  <c r="I170" i="13"/>
  <c r="I172" i="13" s="1"/>
  <c r="B33" i="26"/>
  <c r="D33" i="26" s="1"/>
  <c r="B34" i="26"/>
  <c r="D34" i="26" s="1"/>
  <c r="D47" i="26"/>
  <c r="D46" i="26"/>
  <c r="AH180" i="15"/>
  <c r="AI179" i="15"/>
  <c r="AH162" i="15"/>
  <c r="AI161" i="15"/>
  <c r="AH120" i="15"/>
  <c r="AI119" i="15"/>
  <c r="AH126" i="15"/>
  <c r="AI125" i="15"/>
  <c r="AH156" i="15"/>
  <c r="AI155" i="15"/>
  <c r="AH129" i="15"/>
  <c r="AI128" i="15"/>
  <c r="AH171" i="15"/>
  <c r="AI170" i="15"/>
  <c r="AI185" i="15"/>
  <c r="AH186" i="15"/>
  <c r="AH117" i="15"/>
  <c r="AI116" i="15"/>
  <c r="AH135" i="15"/>
  <c r="AI134" i="15"/>
  <c r="AH132" i="15"/>
  <c r="AI131" i="15"/>
  <c r="AH150" i="15"/>
  <c r="AI149" i="15"/>
  <c r="AH141" i="15"/>
  <c r="AI140" i="15"/>
  <c r="AI176" i="15"/>
  <c r="AH177" i="15"/>
  <c r="AH114" i="15"/>
  <c r="AI113" i="15"/>
  <c r="AH159" i="15"/>
  <c r="AI158" i="15"/>
  <c r="AH147" i="15"/>
  <c r="AI146" i="15"/>
  <c r="AH183" i="15"/>
  <c r="AI182" i="15"/>
  <c r="AH174" i="15"/>
  <c r="AI173" i="15"/>
  <c r="AH123" i="15"/>
  <c r="AI122" i="15"/>
  <c r="AH138" i="15"/>
  <c r="AI137" i="15"/>
  <c r="AH153" i="15"/>
  <c r="AI152" i="15"/>
  <c r="AH168" i="15"/>
  <c r="AI167" i="15"/>
  <c r="AH111" i="15"/>
  <c r="AI110" i="15"/>
  <c r="AH165" i="15"/>
  <c r="AI164" i="15"/>
  <c r="AH144" i="15"/>
  <c r="AI143" i="15"/>
  <c r="AE42" i="20"/>
  <c r="AE47" i="20" s="1"/>
  <c r="AE50" i="20" s="1"/>
  <c r="K12" i="36"/>
  <c r="K17" i="36" s="1"/>
  <c r="K20" i="36" s="1"/>
  <c r="K21" i="36" s="1"/>
  <c r="K23" i="36" s="1"/>
  <c r="K24" i="36" s="1"/>
  <c r="K26" i="36" s="1"/>
  <c r="K28" i="36" s="1"/>
  <c r="K30" i="36" s="1"/>
  <c r="L6" i="36" s="1"/>
  <c r="L10" i="36" s="1"/>
  <c r="G264" i="13"/>
  <c r="D153" i="13"/>
  <c r="D157" i="13" s="1"/>
  <c r="D137" i="13"/>
  <c r="D142" i="9"/>
  <c r="D145" i="9" s="1"/>
  <c r="D147" i="9" s="1"/>
  <c r="E133" i="13"/>
  <c r="J11" i="1"/>
  <c r="B42" i="26" s="1"/>
  <c r="AI104" i="15"/>
  <c r="AH105" i="15"/>
  <c r="G60" i="9"/>
  <c r="G34" i="13"/>
  <c r="AI107" i="15"/>
  <c r="AH108" i="15"/>
  <c r="J13" i="1"/>
  <c r="B43" i="26" s="1"/>
  <c r="H261" i="13"/>
  <c r="H263" i="13" s="1"/>
  <c r="D275" i="13" s="1"/>
  <c r="H256" i="13"/>
  <c r="D213" i="9"/>
  <c r="D212" i="9"/>
  <c r="D222" i="13"/>
  <c r="H30" i="13"/>
  <c r="I73" i="13"/>
  <c r="I75" i="13" s="1"/>
  <c r="I30" i="13" s="1"/>
  <c r="I178" i="9"/>
  <c r="I208" i="9"/>
  <c r="H60" i="26"/>
  <c r="I225" i="9"/>
  <c r="I238" i="13"/>
  <c r="I248" i="13" s="1"/>
  <c r="I202" i="9"/>
  <c r="F214" i="13"/>
  <c r="G255" i="13"/>
  <c r="G257" i="13" s="1"/>
  <c r="I82" i="13"/>
  <c r="E53" i="13"/>
  <c r="E76" i="9"/>
  <c r="E75" i="9"/>
  <c r="E152" i="9"/>
  <c r="F61" i="9"/>
  <c r="F40" i="13"/>
  <c r="F62" i="9"/>
  <c r="F273" i="13"/>
  <c r="F265" i="13" s="1"/>
  <c r="E274" i="13"/>
  <c r="AC6" i="20"/>
  <c r="AC10" i="20" s="1"/>
  <c r="AC21" i="20" s="1"/>
  <c r="AC23" i="20" s="1"/>
  <c r="AC24" i="20" s="1"/>
  <c r="AC26" i="20" s="1"/>
  <c r="AC28" i="20" s="1"/>
  <c r="AC30" i="20" s="1"/>
  <c r="AD6" i="20" s="1"/>
  <c r="AD10" i="20" s="1"/>
  <c r="AD21" i="20" s="1"/>
  <c r="AD23" i="20" s="1"/>
  <c r="AD24" i="20" s="1"/>
  <c r="AD26" i="20" s="1"/>
  <c r="AD28" i="20" s="1"/>
  <c r="AD30" i="20" s="1"/>
  <c r="AE6" i="20" s="1"/>
  <c r="AE10" i="20" s="1"/>
  <c r="AE21" i="20" s="1"/>
  <c r="AB21" i="20"/>
  <c r="E211" i="9"/>
  <c r="E218" i="13"/>
  <c r="H233" i="13"/>
  <c r="I232" i="13"/>
  <c r="I233" i="13" s="1"/>
  <c r="AG190" i="15"/>
  <c r="AF12" i="20" s="1"/>
  <c r="C228" i="9"/>
  <c r="AC53" i="20"/>
  <c r="AC54" i="20" s="1"/>
  <c r="AC56" i="20" s="1"/>
  <c r="AC58" i="20" s="1"/>
  <c r="AC60" i="20" s="1"/>
  <c r="AD36" i="20" s="1"/>
  <c r="AD40" i="20" s="1"/>
  <c r="AD51" i="20" s="1"/>
  <c r="AH82" i="20"/>
  <c r="AH83" i="20" s="1"/>
  <c r="AH85" i="20" s="1"/>
  <c r="AH87" i="20" s="1"/>
  <c r="AH89" i="20" s="1"/>
  <c r="AI65" i="20" s="1"/>
  <c r="AI69" i="20" s="1"/>
  <c r="AI80" i="20" s="1"/>
  <c r="D94" i="13" l="1"/>
  <c r="E94" i="13" s="1"/>
  <c r="F94" i="13" s="1"/>
  <c r="I83" i="13" s="1"/>
  <c r="D165" i="13"/>
  <c r="D166" i="13" s="1"/>
  <c r="AI144" i="15"/>
  <c r="AJ143" i="15"/>
  <c r="AI111" i="15"/>
  <c r="AJ110" i="15"/>
  <c r="AI153" i="15"/>
  <c r="AJ152" i="15"/>
  <c r="AI123" i="15"/>
  <c r="AJ122" i="15"/>
  <c r="AI183" i="15"/>
  <c r="AJ182" i="15"/>
  <c r="AI159" i="15"/>
  <c r="AJ158" i="15"/>
  <c r="AI150" i="15"/>
  <c r="AJ149" i="15"/>
  <c r="AI135" i="15"/>
  <c r="AJ134" i="15"/>
  <c r="AI129" i="15"/>
  <c r="AJ128" i="15"/>
  <c r="AI126" i="15"/>
  <c r="AJ125" i="15"/>
  <c r="AI162" i="15"/>
  <c r="AJ161" i="15"/>
  <c r="AI177" i="15"/>
  <c r="AJ176" i="15"/>
  <c r="AI186" i="15"/>
  <c r="AJ185" i="15"/>
  <c r="AI165" i="15"/>
  <c r="AJ164" i="15"/>
  <c r="AI168" i="15"/>
  <c r="AJ167" i="15"/>
  <c r="AI138" i="15"/>
  <c r="AJ137" i="15"/>
  <c r="AI174" i="15"/>
  <c r="AJ173" i="15"/>
  <c r="AI147" i="15"/>
  <c r="AJ146" i="15"/>
  <c r="AI114" i="15"/>
  <c r="AJ113" i="15"/>
  <c r="AI141" i="15"/>
  <c r="AJ140" i="15"/>
  <c r="AI132" i="15"/>
  <c r="AJ131" i="15"/>
  <c r="AI117" i="15"/>
  <c r="AJ116" i="15"/>
  <c r="AI171" i="15"/>
  <c r="AJ170" i="15"/>
  <c r="AI156" i="15"/>
  <c r="AJ155" i="15"/>
  <c r="AI120" i="15"/>
  <c r="AJ119" i="15"/>
  <c r="AI180" i="15"/>
  <c r="AJ179" i="15"/>
  <c r="K42" i="36"/>
  <c r="K47" i="36" s="1"/>
  <c r="K50" i="36" s="1"/>
  <c r="K51" i="36" s="1"/>
  <c r="K53" i="36" s="1"/>
  <c r="K54" i="36" s="1"/>
  <c r="K56" i="36" s="1"/>
  <c r="K58" i="36" s="1"/>
  <c r="K60" i="36" s="1"/>
  <c r="L36" i="36" s="1"/>
  <c r="L40" i="36" s="1"/>
  <c r="E95" i="13"/>
  <c r="J83" i="13" s="1"/>
  <c r="J15" i="1" s="1"/>
  <c r="B44" i="26" s="1"/>
  <c r="E142" i="9"/>
  <c r="E145" i="9" s="1"/>
  <c r="E147" i="9" s="1"/>
  <c r="F133" i="13"/>
  <c r="E137" i="13"/>
  <c r="E153" i="13"/>
  <c r="E157" i="13" s="1"/>
  <c r="D138" i="13"/>
  <c r="D137" i="9" s="1"/>
  <c r="H264" i="13"/>
  <c r="E213" i="9"/>
  <c r="E212" i="9"/>
  <c r="E222" i="13"/>
  <c r="E275" i="13"/>
  <c r="F274" i="13"/>
  <c r="G265" i="13" s="1"/>
  <c r="F218" i="13"/>
  <c r="F211" i="9"/>
  <c r="I256" i="13"/>
  <c r="I261" i="13"/>
  <c r="I263" i="13" s="1"/>
  <c r="D276" i="13" s="1"/>
  <c r="AF42" i="20"/>
  <c r="AF47" i="20" s="1"/>
  <c r="AF50" i="20" s="1"/>
  <c r="AF17" i="20"/>
  <c r="AF20" i="20" s="1"/>
  <c r="I60" i="9"/>
  <c r="I34" i="13"/>
  <c r="AJ107" i="15"/>
  <c r="AI108" i="15"/>
  <c r="E77" i="9"/>
  <c r="H34" i="13"/>
  <c r="H60" i="9"/>
  <c r="G62" i="9"/>
  <c r="G61" i="9"/>
  <c r="G40" i="13"/>
  <c r="AH190" i="15"/>
  <c r="AG12" i="20" s="1"/>
  <c r="AE23" i="20"/>
  <c r="AE24" i="20" s="1"/>
  <c r="AE26" i="20" s="1"/>
  <c r="AE28" i="20" s="1"/>
  <c r="AE30" i="20" s="1"/>
  <c r="AF6" i="20" s="1"/>
  <c r="AF10" i="20" s="1"/>
  <c r="F75" i="9"/>
  <c r="F152" i="9"/>
  <c r="F53" i="13"/>
  <c r="F76" i="9"/>
  <c r="G214" i="13"/>
  <c r="H255" i="13"/>
  <c r="H257" i="13" s="1"/>
  <c r="D227" i="9"/>
  <c r="D226" i="9"/>
  <c r="D234" i="13"/>
  <c r="AJ104" i="15"/>
  <c r="AI105" i="15"/>
  <c r="AI82" i="20"/>
  <c r="AI83" i="20" s="1"/>
  <c r="AI85" i="20" s="1"/>
  <c r="AI87" i="20" s="1"/>
  <c r="AI89" i="20" s="1"/>
  <c r="AJ65" i="20" s="1"/>
  <c r="AJ69" i="20" s="1"/>
  <c r="AJ80" i="20" s="1"/>
  <c r="AD53" i="20"/>
  <c r="AD54" i="20" s="1"/>
  <c r="AD56" i="20" s="1"/>
  <c r="AD58" i="20" s="1"/>
  <c r="AD60" i="20" s="1"/>
  <c r="AE36" i="20" s="1"/>
  <c r="AE40" i="20" s="1"/>
  <c r="AE51" i="20" s="1"/>
  <c r="AI190" i="15" l="1"/>
  <c r="AH12" i="20" s="1"/>
  <c r="AH42" i="20" s="1"/>
  <c r="AH47" i="20" s="1"/>
  <c r="AH50" i="20" s="1"/>
  <c r="D42" i="26"/>
  <c r="D43" i="26"/>
  <c r="E165" i="13"/>
  <c r="D181" i="13"/>
  <c r="D180" i="13"/>
  <c r="E180" i="13" s="1"/>
  <c r="D173" i="13"/>
  <c r="D123" i="13"/>
  <c r="E164" i="13"/>
  <c r="AJ180" i="15"/>
  <c r="AK179" i="15"/>
  <c r="AJ156" i="15"/>
  <c r="AK155" i="15"/>
  <c r="AJ117" i="15"/>
  <c r="AK116" i="15"/>
  <c r="AJ141" i="15"/>
  <c r="AK140" i="15"/>
  <c r="AJ147" i="15"/>
  <c r="AK146" i="15"/>
  <c r="AJ138" i="15"/>
  <c r="AK137" i="15"/>
  <c r="AJ165" i="15"/>
  <c r="AK164" i="15"/>
  <c r="AJ177" i="15"/>
  <c r="AK176" i="15"/>
  <c r="AJ126" i="15"/>
  <c r="AK125" i="15"/>
  <c r="AJ135" i="15"/>
  <c r="AK134" i="15"/>
  <c r="AJ159" i="15"/>
  <c r="AK158" i="15"/>
  <c r="AJ123" i="15"/>
  <c r="AK122" i="15"/>
  <c r="AJ111" i="15"/>
  <c r="AK110" i="15"/>
  <c r="AJ120" i="15"/>
  <c r="AK119" i="15"/>
  <c r="AJ171" i="15"/>
  <c r="AK170" i="15"/>
  <c r="AK131" i="15"/>
  <c r="AJ132" i="15"/>
  <c r="AJ114" i="15"/>
  <c r="AK113" i="15"/>
  <c r="AK173" i="15"/>
  <c r="AJ174" i="15"/>
  <c r="AJ168" i="15"/>
  <c r="AK167" i="15"/>
  <c r="AJ186" i="15"/>
  <c r="AK185" i="15"/>
  <c r="AJ162" i="15"/>
  <c r="AK161" i="15"/>
  <c r="AJ129" i="15"/>
  <c r="AK128" i="15"/>
  <c r="AK149" i="15"/>
  <c r="AJ150" i="15"/>
  <c r="AJ183" i="15"/>
  <c r="AK182" i="15"/>
  <c r="AJ153" i="15"/>
  <c r="AK152" i="15"/>
  <c r="AJ144" i="15"/>
  <c r="AK143" i="15"/>
  <c r="E138" i="13"/>
  <c r="E137" i="9" s="1"/>
  <c r="F153" i="13"/>
  <c r="F157" i="13" s="1"/>
  <c r="F137" i="13"/>
  <c r="G133" i="13"/>
  <c r="F142" i="9"/>
  <c r="F145" i="9" s="1"/>
  <c r="F147" i="9" s="1"/>
  <c r="AF21" i="20"/>
  <c r="AF23" i="20" s="1"/>
  <c r="AF24" i="20" s="1"/>
  <c r="AF26" i="20" s="1"/>
  <c r="AF28" i="20" s="1"/>
  <c r="AF30" i="20" s="1"/>
  <c r="AG6" i="20" s="1"/>
  <c r="AG10" i="20" s="1"/>
  <c r="F77" i="9"/>
  <c r="I264" i="13"/>
  <c r="D228" i="9"/>
  <c r="AK107" i="15"/>
  <c r="AJ108" i="15"/>
  <c r="F222" i="13"/>
  <c r="F212" i="9"/>
  <c r="F213" i="9"/>
  <c r="AK104" i="15"/>
  <c r="AJ105" i="15"/>
  <c r="H214" i="13"/>
  <c r="I255" i="13"/>
  <c r="I257" i="13" s="1"/>
  <c r="I214" i="13" s="1"/>
  <c r="I40" i="13"/>
  <c r="I62" i="9"/>
  <c r="I61" i="9"/>
  <c r="AG17" i="20"/>
  <c r="AG20" i="20" s="1"/>
  <c r="AG42" i="20"/>
  <c r="E276" i="13"/>
  <c r="F276" i="13" s="1"/>
  <c r="I265" i="13" s="1"/>
  <c r="F275" i="13"/>
  <c r="H265" i="13" s="1"/>
  <c r="G218" i="13"/>
  <c r="G211" i="9"/>
  <c r="G152" i="9"/>
  <c r="G75" i="9"/>
  <c r="G76" i="9"/>
  <c r="G53" i="13"/>
  <c r="H62" i="9"/>
  <c r="H61" i="9"/>
  <c r="H40" i="13"/>
  <c r="E227" i="9"/>
  <c r="E226" i="9"/>
  <c r="E234" i="13"/>
  <c r="AE53" i="20"/>
  <c r="AE54" i="20" s="1"/>
  <c r="AE56" i="20" s="1"/>
  <c r="AE58" i="20" s="1"/>
  <c r="AE60" i="20" s="1"/>
  <c r="AF36" i="20" s="1"/>
  <c r="AF40" i="20" s="1"/>
  <c r="AF51" i="20" s="1"/>
  <c r="AJ82" i="20"/>
  <c r="AJ83" i="20" s="1"/>
  <c r="AJ85" i="20" s="1"/>
  <c r="AJ87" i="20" s="1"/>
  <c r="AJ89" i="20" s="1"/>
  <c r="AK65" i="20" s="1"/>
  <c r="AK69" i="20" s="1"/>
  <c r="AK80" i="20" s="1"/>
  <c r="E166" i="13" l="1"/>
  <c r="F164" i="13" s="1"/>
  <c r="F165" i="13"/>
  <c r="E173" i="13"/>
  <c r="D127" i="13"/>
  <c r="D131" i="13" s="1"/>
  <c r="D151" i="9" s="1"/>
  <c r="D153" i="9" s="1"/>
  <c r="AB51" i="20"/>
  <c r="D136" i="9"/>
  <c r="E181" i="13"/>
  <c r="F180" i="13"/>
  <c r="D174" i="13" s="1"/>
  <c r="AK144" i="15"/>
  <c r="AL143" i="15"/>
  <c r="AK183" i="15"/>
  <c r="AL182" i="15"/>
  <c r="AL128" i="15"/>
  <c r="AK129" i="15"/>
  <c r="AK186" i="15"/>
  <c r="AL185" i="15"/>
  <c r="AK120" i="15"/>
  <c r="AL119" i="15"/>
  <c r="AK123" i="15"/>
  <c r="AL122" i="15"/>
  <c r="AK135" i="15"/>
  <c r="AL134" i="15"/>
  <c r="AK177" i="15"/>
  <c r="AL176" i="15"/>
  <c r="AK138" i="15"/>
  <c r="AL137" i="15"/>
  <c r="AK141" i="15"/>
  <c r="AL140" i="15"/>
  <c r="AK156" i="15"/>
  <c r="AL155" i="15"/>
  <c r="AL173" i="15"/>
  <c r="AK174" i="15"/>
  <c r="AK132" i="15"/>
  <c r="AL131" i="15"/>
  <c r="AK153" i="15"/>
  <c r="AL152" i="15"/>
  <c r="AK162" i="15"/>
  <c r="AL161" i="15"/>
  <c r="AK168" i="15"/>
  <c r="AL167" i="15"/>
  <c r="AK114" i="15"/>
  <c r="AL113" i="15"/>
  <c r="AK171" i="15"/>
  <c r="AL170" i="15"/>
  <c r="AK111" i="15"/>
  <c r="AL110" i="15"/>
  <c r="AK159" i="15"/>
  <c r="AL158" i="15"/>
  <c r="AK126" i="15"/>
  <c r="AL125" i="15"/>
  <c r="AK165" i="15"/>
  <c r="AL164" i="15"/>
  <c r="AK147" i="15"/>
  <c r="AL146" i="15"/>
  <c r="AK117" i="15"/>
  <c r="AL116" i="15"/>
  <c r="AK180" i="15"/>
  <c r="AL179" i="15"/>
  <c r="AL149" i="15"/>
  <c r="AK150" i="15"/>
  <c r="L12" i="36"/>
  <c r="L17" i="36" s="1"/>
  <c r="L20" i="36" s="1"/>
  <c r="L21" i="36" s="1"/>
  <c r="L23" i="36" s="1"/>
  <c r="L24" i="36" s="1"/>
  <c r="L26" i="36" s="1"/>
  <c r="L28" i="36" s="1"/>
  <c r="L30" i="36" s="1"/>
  <c r="M6" i="36" s="1"/>
  <c r="M10" i="36" s="1"/>
  <c r="AH17" i="20"/>
  <c r="AH20" i="20" s="1"/>
  <c r="AG21" i="20"/>
  <c r="AG23" i="20" s="1"/>
  <c r="AG24" i="20" s="1"/>
  <c r="AG26" i="20" s="1"/>
  <c r="AG28" i="20" s="1"/>
  <c r="AG30" i="20" s="1"/>
  <c r="AH6" i="20" s="1"/>
  <c r="AH10" i="20" s="1"/>
  <c r="AJ190" i="15"/>
  <c r="AI12" i="20" s="1"/>
  <c r="AI17" i="20" s="1"/>
  <c r="AI20" i="20" s="1"/>
  <c r="F138" i="13"/>
  <c r="F137" i="9" s="1"/>
  <c r="H133" i="13"/>
  <c r="G142" i="9"/>
  <c r="G145" i="9" s="1"/>
  <c r="G147" i="9" s="1"/>
  <c r="G137" i="13"/>
  <c r="G153" i="13"/>
  <c r="G157" i="13" s="1"/>
  <c r="E228" i="9"/>
  <c r="E277" i="13"/>
  <c r="J265" i="13" s="1"/>
  <c r="D44" i="26" s="1"/>
  <c r="G213" i="9"/>
  <c r="G212" i="9"/>
  <c r="G222" i="13"/>
  <c r="G77" i="9"/>
  <c r="H211" i="9"/>
  <c r="H218" i="13"/>
  <c r="F226" i="9"/>
  <c r="F234" i="13"/>
  <c r="F227" i="9"/>
  <c r="AG47" i="20"/>
  <c r="AG50" i="20" s="1"/>
  <c r="L42" i="36"/>
  <c r="L47" i="36" s="1"/>
  <c r="L50" i="36" s="1"/>
  <c r="L51" i="36" s="1"/>
  <c r="L53" i="36" s="1"/>
  <c r="L54" i="36" s="1"/>
  <c r="L56" i="36" s="1"/>
  <c r="L58" i="36" s="1"/>
  <c r="L60" i="36" s="1"/>
  <c r="M36" i="36" s="1"/>
  <c r="M40" i="36" s="1"/>
  <c r="AL104" i="15"/>
  <c r="AK105" i="15"/>
  <c r="I76" i="9"/>
  <c r="I75" i="9"/>
  <c r="I53" i="13"/>
  <c r="I152" i="9"/>
  <c r="H152" i="9"/>
  <c r="H75" i="9"/>
  <c r="H76" i="9"/>
  <c r="H53" i="13"/>
  <c r="I211" i="9"/>
  <c r="I218" i="13"/>
  <c r="AL107" i="15"/>
  <c r="AK108" i="15"/>
  <c r="AK82" i="20"/>
  <c r="AK83" i="20" s="1"/>
  <c r="AK85" i="20" s="1"/>
  <c r="AK87" i="20" s="1"/>
  <c r="AK89" i="20" s="1"/>
  <c r="AL65" i="20" s="1"/>
  <c r="AL69" i="20" s="1"/>
  <c r="AL80" i="20" s="1"/>
  <c r="AF53" i="20"/>
  <c r="AF54" i="20" s="1"/>
  <c r="AF56" i="20" s="1"/>
  <c r="AF58" i="20" s="1"/>
  <c r="AF60" i="20" s="1"/>
  <c r="AG36" i="20" s="1"/>
  <c r="AG40" i="20" s="1"/>
  <c r="F173" i="13" l="1"/>
  <c r="D183" i="13"/>
  <c r="G165" i="13"/>
  <c r="F166" i="13"/>
  <c r="F123" i="13" s="1"/>
  <c r="E123" i="13"/>
  <c r="E136" i="9" s="1"/>
  <c r="D182" i="13"/>
  <c r="E182" i="13" s="1"/>
  <c r="F181" i="13"/>
  <c r="E174" i="13" s="1"/>
  <c r="AL117" i="15"/>
  <c r="AM116" i="15"/>
  <c r="AL165" i="15"/>
  <c r="AM164" i="15"/>
  <c r="AL159" i="15"/>
  <c r="AM158" i="15"/>
  <c r="AL171" i="15"/>
  <c r="AM170" i="15"/>
  <c r="AL168" i="15"/>
  <c r="AM167" i="15"/>
  <c r="AL153" i="15"/>
  <c r="AM152" i="15"/>
  <c r="AM140" i="15"/>
  <c r="AL141" i="15"/>
  <c r="AL177" i="15"/>
  <c r="AM176" i="15"/>
  <c r="AL123" i="15"/>
  <c r="AM122" i="15"/>
  <c r="AL186" i="15"/>
  <c r="AM185" i="15"/>
  <c r="AL183" i="15"/>
  <c r="AM182" i="15"/>
  <c r="AL150" i="15"/>
  <c r="AM149" i="15"/>
  <c r="AL174" i="15"/>
  <c r="AM173" i="15"/>
  <c r="AL180" i="15"/>
  <c r="AM179" i="15"/>
  <c r="AL147" i="15"/>
  <c r="AM146" i="15"/>
  <c r="AL126" i="15"/>
  <c r="AM125" i="15"/>
  <c r="AL111" i="15"/>
  <c r="AM110" i="15"/>
  <c r="AL114" i="15"/>
  <c r="AM113" i="15"/>
  <c r="AL162" i="15"/>
  <c r="AM161" i="15"/>
  <c r="AL132" i="15"/>
  <c r="AM131" i="15"/>
  <c r="AL156" i="15"/>
  <c r="AM155" i="15"/>
  <c r="AL138" i="15"/>
  <c r="AM137" i="15"/>
  <c r="AL135" i="15"/>
  <c r="AM134" i="15"/>
  <c r="AL120" i="15"/>
  <c r="AM119" i="15"/>
  <c r="AL144" i="15"/>
  <c r="AM143" i="15"/>
  <c r="AL129" i="15"/>
  <c r="AM128" i="15"/>
  <c r="AH21" i="20"/>
  <c r="AH23" i="20" s="1"/>
  <c r="AH24" i="20" s="1"/>
  <c r="AH26" i="20" s="1"/>
  <c r="AH28" i="20" s="1"/>
  <c r="AH30" i="20" s="1"/>
  <c r="AI6" i="20" s="1"/>
  <c r="AI10" i="20" s="1"/>
  <c r="AI21" i="20" s="1"/>
  <c r="AI23" i="20" s="1"/>
  <c r="AI24" i="20" s="1"/>
  <c r="AI26" i="20" s="1"/>
  <c r="AI28" i="20" s="1"/>
  <c r="AI30" i="20" s="1"/>
  <c r="AJ6" i="20" s="1"/>
  <c r="AJ10" i="20" s="1"/>
  <c r="AG51" i="20"/>
  <c r="AG53" i="20" s="1"/>
  <c r="AG54" i="20" s="1"/>
  <c r="AG56" i="20" s="1"/>
  <c r="AG58" i="20" s="1"/>
  <c r="AG60" i="20" s="1"/>
  <c r="AH36" i="20" s="1"/>
  <c r="AH40" i="20" s="1"/>
  <c r="AH51" i="20" s="1"/>
  <c r="AI42" i="20"/>
  <c r="AI47" i="20" s="1"/>
  <c r="AI50" i="20" s="1"/>
  <c r="I133" i="13"/>
  <c r="H153" i="13"/>
  <c r="H157" i="13" s="1"/>
  <c r="H142" i="9"/>
  <c r="H145" i="9" s="1"/>
  <c r="H147" i="9" s="1"/>
  <c r="H137" i="13"/>
  <c r="G138" i="13"/>
  <c r="G137" i="9" s="1"/>
  <c r="F228" i="9"/>
  <c r="I77" i="9"/>
  <c r="AK190" i="15"/>
  <c r="AJ12" i="20" s="1"/>
  <c r="AJ17" i="20" s="1"/>
  <c r="AJ20" i="20" s="1"/>
  <c r="H77" i="9"/>
  <c r="AL108" i="15"/>
  <c r="AM107" i="15"/>
  <c r="AL105" i="15"/>
  <c r="AM104" i="15"/>
  <c r="H213" i="9"/>
  <c r="H212" i="9"/>
  <c r="H222" i="13"/>
  <c r="G227" i="9"/>
  <c r="G226" i="9"/>
  <c r="G234" i="13"/>
  <c r="I222" i="13"/>
  <c r="I213" i="9"/>
  <c r="I212" i="9"/>
  <c r="AL82" i="20"/>
  <c r="AL83" i="20" s="1"/>
  <c r="AL85" i="20" s="1"/>
  <c r="AL87" i="20" s="1"/>
  <c r="AL89" i="20" s="1"/>
  <c r="AM65" i="20" s="1"/>
  <c r="AM69" i="20" s="1"/>
  <c r="AM80" i="20" s="1"/>
  <c r="AL190" i="15" l="1"/>
  <c r="AK12" i="20" s="1"/>
  <c r="M12" i="36" s="1"/>
  <c r="M17" i="36" s="1"/>
  <c r="M20" i="36" s="1"/>
  <c r="M21" i="36" s="1"/>
  <c r="M23" i="36" s="1"/>
  <c r="M24" i="36" s="1"/>
  <c r="M26" i="36" s="1"/>
  <c r="M28" i="36" s="1"/>
  <c r="M30" i="36" s="1"/>
  <c r="N6" i="36" s="1"/>
  <c r="N10" i="36" s="1"/>
  <c r="E127" i="13"/>
  <c r="E131" i="13" s="1"/>
  <c r="E151" i="9" s="1"/>
  <c r="E153" i="9" s="1"/>
  <c r="H165" i="13"/>
  <c r="G164" i="13"/>
  <c r="G166" i="13" s="1"/>
  <c r="G123" i="13" s="1"/>
  <c r="G173" i="13"/>
  <c r="E183" i="13"/>
  <c r="F182" i="13"/>
  <c r="F174" i="13" s="1"/>
  <c r="F127" i="13"/>
  <c r="F131" i="13" s="1"/>
  <c r="F151" i="9" s="1"/>
  <c r="F153" i="9" s="1"/>
  <c r="F136" i="9"/>
  <c r="AM129" i="15"/>
  <c r="AN128" i="15"/>
  <c r="AM120" i="15"/>
  <c r="AN119" i="15"/>
  <c r="AM138" i="15"/>
  <c r="AN137" i="15"/>
  <c r="AM132" i="15"/>
  <c r="AN131" i="15"/>
  <c r="AM114" i="15"/>
  <c r="AN113" i="15"/>
  <c r="AN125" i="15"/>
  <c r="AM126" i="15"/>
  <c r="AM180" i="15"/>
  <c r="AN179" i="15"/>
  <c r="AM150" i="15"/>
  <c r="AN149" i="15"/>
  <c r="AM186" i="15"/>
  <c r="AN185" i="15"/>
  <c r="AM177" i="15"/>
  <c r="AN176" i="15"/>
  <c r="AM153" i="15"/>
  <c r="AN152" i="15"/>
  <c r="AN170" i="15"/>
  <c r="AM171" i="15"/>
  <c r="AM165" i="15"/>
  <c r="AN164" i="15"/>
  <c r="AM144" i="15"/>
  <c r="AN143" i="15"/>
  <c r="AM135" i="15"/>
  <c r="AN134" i="15"/>
  <c r="AM156" i="15"/>
  <c r="AN155" i="15"/>
  <c r="AN161" i="15"/>
  <c r="AM162" i="15"/>
  <c r="AM111" i="15"/>
  <c r="AN110" i="15"/>
  <c r="AM147" i="15"/>
  <c r="AN146" i="15"/>
  <c r="AM174" i="15"/>
  <c r="AN173" i="15"/>
  <c r="AM183" i="15"/>
  <c r="AN182" i="15"/>
  <c r="AM123" i="15"/>
  <c r="AN122" i="15"/>
  <c r="AM168" i="15"/>
  <c r="AN167" i="15"/>
  <c r="AM159" i="15"/>
  <c r="AN158" i="15"/>
  <c r="AM117" i="15"/>
  <c r="AN116" i="15"/>
  <c r="AM141" i="15"/>
  <c r="AN140" i="15"/>
  <c r="AJ21" i="20"/>
  <c r="AJ23" i="20" s="1"/>
  <c r="AJ24" i="20" s="1"/>
  <c r="AJ26" i="20" s="1"/>
  <c r="AJ28" i="20" s="1"/>
  <c r="AJ30" i="20" s="1"/>
  <c r="AK6" i="20" s="1"/>
  <c r="AK10" i="20" s="1"/>
  <c r="H138" i="13"/>
  <c r="H137" i="9" s="1"/>
  <c r="I153" i="13"/>
  <c r="I157" i="13" s="1"/>
  <c r="I137" i="13"/>
  <c r="I142" i="9"/>
  <c r="I145" i="9" s="1"/>
  <c r="I147" i="9" s="1"/>
  <c r="G228" i="9"/>
  <c r="AJ42" i="20"/>
  <c r="AJ47" i="20" s="1"/>
  <c r="AJ50" i="20" s="1"/>
  <c r="I227" i="9"/>
  <c r="I234" i="13"/>
  <c r="I226" i="9"/>
  <c r="AN107" i="15"/>
  <c r="AM108" i="15"/>
  <c r="H227" i="9"/>
  <c r="H226" i="9"/>
  <c r="H234" i="13"/>
  <c r="AM105" i="15"/>
  <c r="AN104" i="15"/>
  <c r="AM82" i="20"/>
  <c r="AM83" i="20" s="1"/>
  <c r="AM85" i="20" s="1"/>
  <c r="AM87" i="20" s="1"/>
  <c r="AM89" i="20" s="1"/>
  <c r="AN65" i="20" s="1"/>
  <c r="AN69" i="20" s="1"/>
  <c r="AN80" i="20" s="1"/>
  <c r="AH53" i="20"/>
  <c r="AH54" i="20" s="1"/>
  <c r="AH56" i="20" s="1"/>
  <c r="AH58" i="20" s="1"/>
  <c r="AH60" i="20" s="1"/>
  <c r="AI36" i="20" s="1"/>
  <c r="AI40" i="20" s="1"/>
  <c r="AI51" i="20" s="1"/>
  <c r="AI53" i="20" s="1"/>
  <c r="AI54" i="20" s="1"/>
  <c r="AI56" i="20" s="1"/>
  <c r="AI58" i="20" s="1"/>
  <c r="AI60" i="20" s="1"/>
  <c r="AJ36" i="20" s="1"/>
  <c r="AJ40" i="20" s="1"/>
  <c r="I165" i="13" l="1"/>
  <c r="D185" i="13"/>
  <c r="H173" i="13"/>
  <c r="D184" i="13"/>
  <c r="E184" i="13" s="1"/>
  <c r="H164" i="13"/>
  <c r="H166" i="13" s="1"/>
  <c r="I164" i="13" s="1"/>
  <c r="F183" i="13"/>
  <c r="G174" i="13" s="1"/>
  <c r="G127" i="13"/>
  <c r="G131" i="13" s="1"/>
  <c r="G151" i="9" s="1"/>
  <c r="G153" i="9" s="1"/>
  <c r="G136" i="9"/>
  <c r="AN141" i="15"/>
  <c r="AO140" i="15"/>
  <c r="AN159" i="15"/>
  <c r="AO158" i="15"/>
  <c r="AO122" i="15"/>
  <c r="AN123" i="15"/>
  <c r="AN174" i="15"/>
  <c r="AO173" i="15"/>
  <c r="AN111" i="15"/>
  <c r="AO110" i="15"/>
  <c r="AN156" i="15"/>
  <c r="AO155" i="15"/>
  <c r="AN144" i="15"/>
  <c r="AO143" i="15"/>
  <c r="AN177" i="15"/>
  <c r="AO176" i="15"/>
  <c r="AN150" i="15"/>
  <c r="AO149" i="15"/>
  <c r="AN132" i="15"/>
  <c r="AO131" i="15"/>
  <c r="AN120" i="15"/>
  <c r="AO119" i="15"/>
  <c r="AN171" i="15"/>
  <c r="AO170" i="15"/>
  <c r="AN126" i="15"/>
  <c r="AO125" i="15"/>
  <c r="AN117" i="15"/>
  <c r="AO116" i="15"/>
  <c r="AN168" i="15"/>
  <c r="AO167" i="15"/>
  <c r="AN183" i="15"/>
  <c r="AO182" i="15"/>
  <c r="AN147" i="15"/>
  <c r="AO146" i="15"/>
  <c r="AN135" i="15"/>
  <c r="AO134" i="15"/>
  <c r="AN165" i="15"/>
  <c r="AO164" i="15"/>
  <c r="AN153" i="15"/>
  <c r="AO152" i="15"/>
  <c r="AN186" i="15"/>
  <c r="AO185" i="15"/>
  <c r="AN180" i="15"/>
  <c r="AO179" i="15"/>
  <c r="AN114" i="15"/>
  <c r="AO113" i="15"/>
  <c r="AN138" i="15"/>
  <c r="AO137" i="15"/>
  <c r="AN129" i="15"/>
  <c r="AO128" i="15"/>
  <c r="AN162" i="15"/>
  <c r="AO161" i="15"/>
  <c r="AK42" i="20"/>
  <c r="AK47" i="20" s="1"/>
  <c r="AK50" i="20" s="1"/>
  <c r="AK17" i="20"/>
  <c r="AK20" i="20" s="1"/>
  <c r="AK21" i="20" s="1"/>
  <c r="AK23" i="20" s="1"/>
  <c r="AK24" i="20" s="1"/>
  <c r="AK26" i="20" s="1"/>
  <c r="AK28" i="20" s="1"/>
  <c r="AK30" i="20" s="1"/>
  <c r="AL6" i="20" s="1"/>
  <c r="AL10" i="20" s="1"/>
  <c r="I138" i="13"/>
  <c r="I137" i="9" s="1"/>
  <c r="AJ51" i="20"/>
  <c r="AJ53" i="20" s="1"/>
  <c r="AJ54" i="20" s="1"/>
  <c r="AJ56" i="20" s="1"/>
  <c r="AJ58" i="20" s="1"/>
  <c r="AJ60" i="20" s="1"/>
  <c r="AK36" i="20" s="1"/>
  <c r="AK40" i="20" s="1"/>
  <c r="AM190" i="15"/>
  <c r="AL12" i="20" s="1"/>
  <c r="AL42" i="20" s="1"/>
  <c r="AL47" i="20" s="1"/>
  <c r="AL50" i="20" s="1"/>
  <c r="H228" i="9"/>
  <c r="I228" i="9"/>
  <c r="AN105" i="15"/>
  <c r="AO104" i="15"/>
  <c r="AN108" i="15"/>
  <c r="AO107" i="15"/>
  <c r="AN82" i="20"/>
  <c r="AO82" i="20" s="1"/>
  <c r="AO80" i="20"/>
  <c r="C42" i="26" l="1"/>
  <c r="I166" i="13"/>
  <c r="I123" i="13" s="1"/>
  <c r="I127" i="13" s="1"/>
  <c r="I131" i="13" s="1"/>
  <c r="I151" i="9" s="1"/>
  <c r="I153" i="9" s="1"/>
  <c r="I173" i="13"/>
  <c r="C43" i="26"/>
  <c r="H123" i="13"/>
  <c r="H127" i="13" s="1"/>
  <c r="H131" i="13" s="1"/>
  <c r="H151" i="9" s="1"/>
  <c r="H153" i="9" s="1"/>
  <c r="I136" i="9"/>
  <c r="F184" i="13"/>
  <c r="H174" i="13" s="1"/>
  <c r="E185" i="13"/>
  <c r="F185" i="13" s="1"/>
  <c r="I174" i="13" s="1"/>
  <c r="AO162" i="15"/>
  <c r="AP162" i="15" s="1"/>
  <c r="AP161" i="15"/>
  <c r="AQ161" i="15" s="1"/>
  <c r="AO138" i="15"/>
  <c r="AP138" i="15" s="1"/>
  <c r="AP137" i="15"/>
  <c r="AQ137" i="15" s="1"/>
  <c r="AO180" i="15"/>
  <c r="AP180" i="15" s="1"/>
  <c r="AP179" i="15"/>
  <c r="AQ179" i="15" s="1"/>
  <c r="AO153" i="15"/>
  <c r="AP153" i="15" s="1"/>
  <c r="AP152" i="15"/>
  <c r="AQ152" i="15" s="1"/>
  <c r="AO135" i="15"/>
  <c r="AP135" i="15" s="1"/>
  <c r="AP134" i="15"/>
  <c r="AQ134" i="15" s="1"/>
  <c r="AO183" i="15"/>
  <c r="AP183" i="15" s="1"/>
  <c r="AP182" i="15"/>
  <c r="AQ182" i="15" s="1"/>
  <c r="AP116" i="15"/>
  <c r="AQ116" i="15" s="1"/>
  <c r="AO117" i="15"/>
  <c r="AP117" i="15" s="1"/>
  <c r="AO171" i="15"/>
  <c r="AP171" i="15" s="1"/>
  <c r="AP170" i="15"/>
  <c r="AQ170" i="15" s="1"/>
  <c r="AO132" i="15"/>
  <c r="AP132" i="15" s="1"/>
  <c r="AP131" i="15"/>
  <c r="AQ131" i="15" s="1"/>
  <c r="AO177" i="15"/>
  <c r="AP177" i="15" s="1"/>
  <c r="AP176" i="15"/>
  <c r="AQ176" i="15" s="1"/>
  <c r="AP155" i="15"/>
  <c r="AQ155" i="15" s="1"/>
  <c r="AO156" i="15"/>
  <c r="AP156" i="15" s="1"/>
  <c r="AO174" i="15"/>
  <c r="AP174" i="15" s="1"/>
  <c r="AP173" i="15"/>
  <c r="AQ173" i="15" s="1"/>
  <c r="AO159" i="15"/>
  <c r="AP159" i="15" s="1"/>
  <c r="AP158" i="15"/>
  <c r="AQ158" i="15" s="1"/>
  <c r="AP128" i="15"/>
  <c r="AQ128" i="15" s="1"/>
  <c r="AO129" i="15"/>
  <c r="AP129" i="15" s="1"/>
  <c r="AO114" i="15"/>
  <c r="AP114" i="15" s="1"/>
  <c r="AP113" i="15"/>
  <c r="AQ113" i="15" s="1"/>
  <c r="AO186" i="15"/>
  <c r="AP186" i="15" s="1"/>
  <c r="AP185" i="15"/>
  <c r="AQ185" i="15" s="1"/>
  <c r="AO165" i="15"/>
  <c r="AP165" i="15" s="1"/>
  <c r="AP164" i="15"/>
  <c r="AQ164" i="15" s="1"/>
  <c r="AO147" i="15"/>
  <c r="AP147" i="15" s="1"/>
  <c r="AP146" i="15"/>
  <c r="AQ146" i="15" s="1"/>
  <c r="AO168" i="15"/>
  <c r="AP168" i="15" s="1"/>
  <c r="AP167" i="15"/>
  <c r="AQ167" i="15" s="1"/>
  <c r="AO126" i="15"/>
  <c r="AP126" i="15" s="1"/>
  <c r="AP125" i="15"/>
  <c r="AQ125" i="15" s="1"/>
  <c r="AO120" i="15"/>
  <c r="AP120" i="15" s="1"/>
  <c r="AP119" i="15"/>
  <c r="AQ119" i="15" s="1"/>
  <c r="AO150" i="15"/>
  <c r="AP150" i="15" s="1"/>
  <c r="AP149" i="15"/>
  <c r="AQ149" i="15" s="1"/>
  <c r="AO144" i="15"/>
  <c r="AP144" i="15" s="1"/>
  <c r="AP143" i="15"/>
  <c r="AQ143" i="15" s="1"/>
  <c r="AO111" i="15"/>
  <c r="AP111" i="15" s="1"/>
  <c r="AP110" i="15"/>
  <c r="AQ110" i="15" s="1"/>
  <c r="AO141" i="15"/>
  <c r="AP141" i="15" s="1"/>
  <c r="AP140" i="15"/>
  <c r="AQ140" i="15" s="1"/>
  <c r="AO123" i="15"/>
  <c r="AP123" i="15" s="1"/>
  <c r="AP122" i="15"/>
  <c r="AQ122" i="15" s="1"/>
  <c r="AK51" i="20"/>
  <c r="AK53" i="20" s="1"/>
  <c r="AK54" i="20" s="1"/>
  <c r="AK56" i="20" s="1"/>
  <c r="AK58" i="20" s="1"/>
  <c r="AK60" i="20" s="1"/>
  <c r="AL36" i="20" s="1"/>
  <c r="AL40" i="20" s="1"/>
  <c r="AL51" i="20" s="1"/>
  <c r="M42" i="36"/>
  <c r="M47" i="36" s="1"/>
  <c r="M50" i="36" s="1"/>
  <c r="M51" i="36" s="1"/>
  <c r="M53" i="36" s="1"/>
  <c r="M54" i="36" s="1"/>
  <c r="M56" i="36" s="1"/>
  <c r="M58" i="36" s="1"/>
  <c r="M60" i="36" s="1"/>
  <c r="N36" i="36" s="1"/>
  <c r="N40" i="36" s="1"/>
  <c r="AL17" i="20"/>
  <c r="AL20" i="20" s="1"/>
  <c r="AL21" i="20" s="1"/>
  <c r="AL23" i="20" s="1"/>
  <c r="AL24" i="20" s="1"/>
  <c r="AL26" i="20" s="1"/>
  <c r="AL28" i="20" s="1"/>
  <c r="AL30" i="20" s="1"/>
  <c r="AM6" i="20" s="1"/>
  <c r="AM10" i="20" s="1"/>
  <c r="AP104" i="15"/>
  <c r="AQ104" i="15" s="1"/>
  <c r="AO105" i="15"/>
  <c r="AN190" i="15"/>
  <c r="AM12" i="20" s="1"/>
  <c r="AP107" i="15"/>
  <c r="AQ107" i="15" s="1"/>
  <c r="AO108" i="15"/>
  <c r="AP108" i="15" s="1"/>
  <c r="AN83" i="20"/>
  <c r="AN85" i="20" s="1"/>
  <c r="AN87" i="20" s="1"/>
  <c r="AN89" i="20" s="1"/>
  <c r="AP65" i="20" s="1"/>
  <c r="AP69" i="20" s="1"/>
  <c r="AP80" i="20" s="1"/>
  <c r="C30" i="26" l="1"/>
  <c r="B30" i="26"/>
  <c r="C29" i="26"/>
  <c r="B29" i="26"/>
  <c r="H136" i="9"/>
  <c r="E186" i="13"/>
  <c r="J174" i="13" s="1"/>
  <c r="C44" i="26" s="1"/>
  <c r="AQ123" i="15"/>
  <c r="AR122" i="15"/>
  <c r="AQ111" i="15"/>
  <c r="AR110" i="15"/>
  <c r="AQ150" i="15"/>
  <c r="AR149" i="15"/>
  <c r="AQ126" i="15"/>
  <c r="AR125" i="15"/>
  <c r="AQ147" i="15"/>
  <c r="AR146" i="15"/>
  <c r="AQ186" i="15"/>
  <c r="AR185" i="15"/>
  <c r="AQ174" i="15"/>
  <c r="AR173" i="15"/>
  <c r="AQ177" i="15"/>
  <c r="AR176" i="15"/>
  <c r="AQ171" i="15"/>
  <c r="AR170" i="15"/>
  <c r="AQ183" i="15"/>
  <c r="AR182" i="15"/>
  <c r="AQ153" i="15"/>
  <c r="AR152" i="15"/>
  <c r="AQ138" i="15"/>
  <c r="AR137" i="15"/>
  <c r="AQ129" i="15"/>
  <c r="AR128" i="15"/>
  <c r="AQ141" i="15"/>
  <c r="AR140" i="15"/>
  <c r="AQ144" i="15"/>
  <c r="AR143" i="15"/>
  <c r="AQ120" i="15"/>
  <c r="AR119" i="15"/>
  <c r="AQ168" i="15"/>
  <c r="AR167" i="15"/>
  <c r="AQ165" i="15"/>
  <c r="AR164" i="15"/>
  <c r="AQ114" i="15"/>
  <c r="AR113" i="15"/>
  <c r="AQ159" i="15"/>
  <c r="AR158" i="15"/>
  <c r="AQ132" i="15"/>
  <c r="AR131" i="15"/>
  <c r="AQ135" i="15"/>
  <c r="AR134" i="15"/>
  <c r="AQ180" i="15"/>
  <c r="AR179" i="15"/>
  <c r="AQ162" i="15"/>
  <c r="AR161" i="15"/>
  <c r="AQ156" i="15"/>
  <c r="AR155" i="15"/>
  <c r="AQ117" i="15"/>
  <c r="AR116" i="15"/>
  <c r="AO190" i="15"/>
  <c r="AN12" i="20" s="1"/>
  <c r="AN17" i="20" s="1"/>
  <c r="AN20" i="20" s="1"/>
  <c r="AM42" i="20"/>
  <c r="AM17" i="20"/>
  <c r="AM20" i="20" s="1"/>
  <c r="AM21" i="20" s="1"/>
  <c r="AM23" i="20" s="1"/>
  <c r="AM24" i="20" s="1"/>
  <c r="AM26" i="20" s="1"/>
  <c r="AM28" i="20" s="1"/>
  <c r="AM30" i="20" s="1"/>
  <c r="AN6" i="20" s="1"/>
  <c r="AN10" i="20" s="1"/>
  <c r="AQ108" i="15"/>
  <c r="AR107" i="15"/>
  <c r="AQ105" i="15"/>
  <c r="AR104" i="15"/>
  <c r="AP105" i="15"/>
  <c r="AP190" i="15" s="1"/>
  <c r="AL53" i="20"/>
  <c r="AL54" i="20" s="1"/>
  <c r="AL56" i="20" s="1"/>
  <c r="AL58" i="20" s="1"/>
  <c r="AL60" i="20" s="1"/>
  <c r="AM36" i="20" s="1"/>
  <c r="AM40" i="20" s="1"/>
  <c r="AP82" i="20"/>
  <c r="AP83" i="20" s="1"/>
  <c r="AP85" i="20" s="1"/>
  <c r="AP87" i="20" s="1"/>
  <c r="AP89" i="20" s="1"/>
  <c r="AQ65" i="20" s="1"/>
  <c r="AQ69" i="20" s="1"/>
  <c r="AQ80" i="20" s="1"/>
  <c r="D29" i="26" l="1"/>
  <c r="C31" i="26"/>
  <c r="B31" i="26"/>
  <c r="D30" i="26"/>
  <c r="AR117" i="15"/>
  <c r="AS116" i="15"/>
  <c r="AR162" i="15"/>
  <c r="AS161" i="15"/>
  <c r="AR135" i="15"/>
  <c r="AS134" i="15"/>
  <c r="AR159" i="15"/>
  <c r="AS158" i="15"/>
  <c r="AR165" i="15"/>
  <c r="AS164" i="15"/>
  <c r="AR120" i="15"/>
  <c r="AS119" i="15"/>
  <c r="AR141" i="15"/>
  <c r="AS140" i="15"/>
  <c r="AR138" i="15"/>
  <c r="AS137" i="15"/>
  <c r="AR183" i="15"/>
  <c r="AS182" i="15"/>
  <c r="AR177" i="15"/>
  <c r="AS176" i="15"/>
  <c r="AR186" i="15"/>
  <c r="AS185" i="15"/>
  <c r="AR126" i="15"/>
  <c r="AS125" i="15"/>
  <c r="AR111" i="15"/>
  <c r="AS110" i="15"/>
  <c r="AR156" i="15"/>
  <c r="AS155" i="15"/>
  <c r="AR180" i="15"/>
  <c r="AS179" i="15"/>
  <c r="AR132" i="15"/>
  <c r="AS131" i="15"/>
  <c r="AR114" i="15"/>
  <c r="AS113" i="15"/>
  <c r="AR168" i="15"/>
  <c r="AS167" i="15"/>
  <c r="AR144" i="15"/>
  <c r="AS143" i="15"/>
  <c r="AR129" i="15"/>
  <c r="AS128" i="15"/>
  <c r="AR153" i="15"/>
  <c r="AS152" i="15"/>
  <c r="AR171" i="15"/>
  <c r="AS170" i="15"/>
  <c r="AR174" i="15"/>
  <c r="AS173" i="15"/>
  <c r="AR147" i="15"/>
  <c r="AS146" i="15"/>
  <c r="AR150" i="15"/>
  <c r="AS149" i="15"/>
  <c r="AR123" i="15"/>
  <c r="AS122" i="15"/>
  <c r="AO12" i="20"/>
  <c r="AO17" i="20" s="1"/>
  <c r="N12" i="36"/>
  <c r="N17" i="36" s="1"/>
  <c r="N20" i="36" s="1"/>
  <c r="N21" i="36" s="1"/>
  <c r="N23" i="36" s="1"/>
  <c r="N24" i="36" s="1"/>
  <c r="N26" i="36" s="1"/>
  <c r="N28" i="36" s="1"/>
  <c r="N30" i="36" s="1"/>
  <c r="O6" i="36" s="1"/>
  <c r="O10" i="36" s="1"/>
  <c r="AN42" i="20"/>
  <c r="AN47" i="20" s="1"/>
  <c r="AN50" i="20" s="1"/>
  <c r="AQ190" i="15"/>
  <c r="AP12" i="20" s="1"/>
  <c r="AP17" i="20" s="1"/>
  <c r="AP20" i="20" s="1"/>
  <c r="AO20" i="20"/>
  <c r="AR108" i="15"/>
  <c r="AS107" i="15"/>
  <c r="AS104" i="15"/>
  <c r="AR105" i="15"/>
  <c r="AN21" i="20"/>
  <c r="AM47" i="20"/>
  <c r="AM50" i="20" s="1"/>
  <c r="AQ82" i="20"/>
  <c r="AQ83" i="20" s="1"/>
  <c r="AQ85" i="20" s="1"/>
  <c r="AQ87" i="20" s="1"/>
  <c r="AQ89" i="20" s="1"/>
  <c r="AR65" i="20" s="1"/>
  <c r="AR69" i="20" s="1"/>
  <c r="AR80" i="20" s="1"/>
  <c r="D31" i="26" l="1"/>
  <c r="AT122" i="15"/>
  <c r="AS123" i="15"/>
  <c r="AS147" i="15"/>
  <c r="AT146" i="15"/>
  <c r="AS171" i="15"/>
  <c r="AT170" i="15"/>
  <c r="AS129" i="15"/>
  <c r="AT128" i="15"/>
  <c r="AS168" i="15"/>
  <c r="AT167" i="15"/>
  <c r="AS132" i="15"/>
  <c r="AT131" i="15"/>
  <c r="AS156" i="15"/>
  <c r="AT155" i="15"/>
  <c r="AT125" i="15"/>
  <c r="AS126" i="15"/>
  <c r="AS177" i="15"/>
  <c r="AT176" i="15"/>
  <c r="AS138" i="15"/>
  <c r="AT137" i="15"/>
  <c r="AS120" i="15"/>
  <c r="AT119" i="15"/>
  <c r="AS159" i="15"/>
  <c r="AT158" i="15"/>
  <c r="AS162" i="15"/>
  <c r="AT161" i="15"/>
  <c r="AS150" i="15"/>
  <c r="AT149" i="15"/>
  <c r="AS174" i="15"/>
  <c r="AT173" i="15"/>
  <c r="AS153" i="15"/>
  <c r="AT152" i="15"/>
  <c r="AS144" i="15"/>
  <c r="AT143" i="15"/>
  <c r="AS114" i="15"/>
  <c r="AT113" i="15"/>
  <c r="AS180" i="15"/>
  <c r="AT179" i="15"/>
  <c r="AS111" i="15"/>
  <c r="AT110" i="15"/>
  <c r="AS186" i="15"/>
  <c r="AT185" i="15"/>
  <c r="AS183" i="15"/>
  <c r="AT182" i="15"/>
  <c r="AS141" i="15"/>
  <c r="AT140" i="15"/>
  <c r="AS165" i="15"/>
  <c r="AT164" i="15"/>
  <c r="AS135" i="15"/>
  <c r="AT134" i="15"/>
  <c r="AS117" i="15"/>
  <c r="AT116" i="15"/>
  <c r="N42" i="36"/>
  <c r="N47" i="36" s="1"/>
  <c r="N50" i="36" s="1"/>
  <c r="N51" i="36" s="1"/>
  <c r="N53" i="36" s="1"/>
  <c r="N54" i="36" s="1"/>
  <c r="N56" i="36" s="1"/>
  <c r="N58" i="36" s="1"/>
  <c r="N60" i="36" s="1"/>
  <c r="O36" i="36" s="1"/>
  <c r="O40" i="36" s="1"/>
  <c r="AO50" i="20"/>
  <c r="AO42" i="20"/>
  <c r="AO47" i="20" s="1"/>
  <c r="AR190" i="15"/>
  <c r="AQ12" i="20" s="1"/>
  <c r="AP42" i="20"/>
  <c r="AP47" i="20" s="1"/>
  <c r="AP50" i="20" s="1"/>
  <c r="AS105" i="15"/>
  <c r="AT104" i="15"/>
  <c r="AT107" i="15"/>
  <c r="AS108" i="15"/>
  <c r="AN23" i="20"/>
  <c r="AO23" i="20" s="1"/>
  <c r="AO21" i="20"/>
  <c r="AM51" i="20"/>
  <c r="AM53" i="20" s="1"/>
  <c r="AM54" i="20" s="1"/>
  <c r="AM56" i="20" s="1"/>
  <c r="AM58" i="20" s="1"/>
  <c r="AM60" i="20" s="1"/>
  <c r="AN36" i="20" s="1"/>
  <c r="AN40" i="20" s="1"/>
  <c r="AN51" i="20" s="1"/>
  <c r="AN53" i="20" s="1"/>
  <c r="AN54" i="20" s="1"/>
  <c r="AN56" i="20" s="1"/>
  <c r="AN58" i="20" s="1"/>
  <c r="AN60" i="20" s="1"/>
  <c r="AP36" i="20" s="1"/>
  <c r="AP40" i="20" s="1"/>
  <c r="AR82" i="20"/>
  <c r="AR83" i="20" s="1"/>
  <c r="AR85" i="20" s="1"/>
  <c r="AR87" i="20" s="1"/>
  <c r="AR89" i="20" s="1"/>
  <c r="AS65" i="20" s="1"/>
  <c r="AS69" i="20" s="1"/>
  <c r="AS80" i="20" s="1"/>
  <c r="AT117" i="15" l="1"/>
  <c r="AU116" i="15"/>
  <c r="AT165" i="15"/>
  <c r="AU164" i="15"/>
  <c r="AT183" i="15"/>
  <c r="AU182" i="15"/>
  <c r="AT111" i="15"/>
  <c r="AU110" i="15"/>
  <c r="AT114" i="15"/>
  <c r="AU113" i="15"/>
  <c r="AT153" i="15"/>
  <c r="AU152" i="15"/>
  <c r="AT150" i="15"/>
  <c r="AU149" i="15"/>
  <c r="AT159" i="15"/>
  <c r="AU158" i="15"/>
  <c r="AT138" i="15"/>
  <c r="AU137" i="15"/>
  <c r="AT132" i="15"/>
  <c r="AU131" i="15"/>
  <c r="AT129" i="15"/>
  <c r="AU128" i="15"/>
  <c r="AT147" i="15"/>
  <c r="AU146" i="15"/>
  <c r="AT126" i="15"/>
  <c r="AU125" i="15"/>
  <c r="AT135" i="15"/>
  <c r="AU134" i="15"/>
  <c r="AT141" i="15"/>
  <c r="AU140" i="15"/>
  <c r="AT186" i="15"/>
  <c r="AU185" i="15"/>
  <c r="AT180" i="15"/>
  <c r="AU179" i="15"/>
  <c r="AT144" i="15"/>
  <c r="AU143" i="15"/>
  <c r="AT174" i="15"/>
  <c r="AU173" i="15"/>
  <c r="AT162" i="15"/>
  <c r="AU161" i="15"/>
  <c r="AT120" i="15"/>
  <c r="AU119" i="15"/>
  <c r="AT177" i="15"/>
  <c r="AU176" i="15"/>
  <c r="AU155" i="15"/>
  <c r="AT156" i="15"/>
  <c r="AT168" i="15"/>
  <c r="AU167" i="15"/>
  <c r="AT171" i="15"/>
  <c r="AU170" i="15"/>
  <c r="AT123" i="15"/>
  <c r="AU122" i="15"/>
  <c r="AP51" i="20"/>
  <c r="AP53" i="20" s="1"/>
  <c r="AP54" i="20" s="1"/>
  <c r="AP56" i="20" s="1"/>
  <c r="AP58" i="20" s="1"/>
  <c r="AP60" i="20" s="1"/>
  <c r="AQ36" i="20" s="1"/>
  <c r="AQ40" i="20" s="1"/>
  <c r="AS190" i="15"/>
  <c r="AR12" i="20" s="1"/>
  <c r="O12" i="36" s="1"/>
  <c r="O17" i="36" s="1"/>
  <c r="O20" i="36" s="1"/>
  <c r="O21" i="36" s="1"/>
  <c r="AQ17" i="20"/>
  <c r="AQ20" i="20" s="1"/>
  <c r="AQ42" i="20"/>
  <c r="AQ47" i="20" s="1"/>
  <c r="AQ50" i="20" s="1"/>
  <c r="AO51" i="20"/>
  <c r="AN24" i="20"/>
  <c r="AN26" i="20" s="1"/>
  <c r="AN28" i="20" s="1"/>
  <c r="AN30" i="20" s="1"/>
  <c r="AP6" i="20" s="1"/>
  <c r="AP10" i="20" s="1"/>
  <c r="AP21" i="20" s="1"/>
  <c r="AT108" i="15"/>
  <c r="AU107" i="15"/>
  <c r="AU104" i="15"/>
  <c r="AT105" i="15"/>
  <c r="AS82" i="20"/>
  <c r="AS83" i="20" s="1"/>
  <c r="AS85" i="20" s="1"/>
  <c r="AS87" i="20" s="1"/>
  <c r="AS89" i="20" s="1"/>
  <c r="AT65" i="20" s="1"/>
  <c r="AT69" i="20" s="1"/>
  <c r="AT80" i="20" s="1"/>
  <c r="BB53" i="20"/>
  <c r="CO53" i="20"/>
  <c r="CB53" i="20"/>
  <c r="AO53" i="20"/>
  <c r="AU123" i="15" l="1"/>
  <c r="AV122" i="15"/>
  <c r="AU168" i="15"/>
  <c r="AV167" i="15"/>
  <c r="AU177" i="15"/>
  <c r="AV176" i="15"/>
  <c r="AU162" i="15"/>
  <c r="AV161" i="15"/>
  <c r="AU144" i="15"/>
  <c r="AV143" i="15"/>
  <c r="AU186" i="15"/>
  <c r="AV185" i="15"/>
  <c r="AU135" i="15"/>
  <c r="AV134" i="15"/>
  <c r="AU147" i="15"/>
  <c r="AV146" i="15"/>
  <c r="AU132" i="15"/>
  <c r="AV131" i="15"/>
  <c r="AU159" i="15"/>
  <c r="AV158" i="15"/>
  <c r="AV152" i="15"/>
  <c r="AU153" i="15"/>
  <c r="AU111" i="15"/>
  <c r="AV110" i="15"/>
  <c r="AU165" i="15"/>
  <c r="AV164" i="15"/>
  <c r="AU171" i="15"/>
  <c r="AV170" i="15"/>
  <c r="AU120" i="15"/>
  <c r="AV119" i="15"/>
  <c r="AU174" i="15"/>
  <c r="AV173" i="15"/>
  <c r="AU180" i="15"/>
  <c r="AV179" i="15"/>
  <c r="AU141" i="15"/>
  <c r="AV140" i="15"/>
  <c r="AU126" i="15"/>
  <c r="AV125" i="15"/>
  <c r="AV128" i="15"/>
  <c r="AU129" i="15"/>
  <c r="AU138" i="15"/>
  <c r="AV137" i="15"/>
  <c r="AV149" i="15"/>
  <c r="AU150" i="15"/>
  <c r="AU114" i="15"/>
  <c r="AV113" i="15"/>
  <c r="AU183" i="15"/>
  <c r="AV182" i="15"/>
  <c r="AU117" i="15"/>
  <c r="AV116" i="15"/>
  <c r="AU156" i="15"/>
  <c r="AV155" i="15"/>
  <c r="AQ51" i="20"/>
  <c r="AQ53" i="20" s="1"/>
  <c r="AQ54" i="20" s="1"/>
  <c r="AQ56" i="20" s="1"/>
  <c r="AQ58" i="20" s="1"/>
  <c r="AQ60" i="20" s="1"/>
  <c r="AR36" i="20" s="1"/>
  <c r="AR40" i="20" s="1"/>
  <c r="AT190" i="15"/>
  <c r="AS12" i="20" s="1"/>
  <c r="AS42" i="20" s="1"/>
  <c r="AS47" i="20" s="1"/>
  <c r="AS50" i="20" s="1"/>
  <c r="AR42" i="20"/>
  <c r="AR47" i="20" s="1"/>
  <c r="AR50" i="20" s="1"/>
  <c r="AR17" i="20"/>
  <c r="AR20" i="20" s="1"/>
  <c r="AP23" i="20"/>
  <c r="AP24" i="20" s="1"/>
  <c r="AP26" i="20" s="1"/>
  <c r="AP28" i="20" s="1"/>
  <c r="AP30" i="20" s="1"/>
  <c r="AQ6" i="20" s="1"/>
  <c r="AQ10" i="20" s="1"/>
  <c r="AQ21" i="20" s="1"/>
  <c r="O23" i="36"/>
  <c r="O24" i="36" s="1"/>
  <c r="O26" i="36" s="1"/>
  <c r="O28" i="36" s="1"/>
  <c r="O30" i="36" s="1"/>
  <c r="P6" i="36" s="1"/>
  <c r="P10" i="36" s="1"/>
  <c r="AV104" i="15"/>
  <c r="AU105" i="15"/>
  <c r="AV107" i="15"/>
  <c r="AU108" i="15"/>
  <c r="AT82" i="20"/>
  <c r="AT83" i="20" s="1"/>
  <c r="AT85" i="20" s="1"/>
  <c r="AT87" i="20" s="1"/>
  <c r="AT89" i="20" s="1"/>
  <c r="AU65" i="20" s="1"/>
  <c r="AU69" i="20" s="1"/>
  <c r="AU80" i="20" s="1"/>
  <c r="AV156" i="15" l="1"/>
  <c r="AW155" i="15"/>
  <c r="AV183" i="15"/>
  <c r="AW182" i="15"/>
  <c r="AV141" i="15"/>
  <c r="AW140" i="15"/>
  <c r="AV174" i="15"/>
  <c r="AW173" i="15"/>
  <c r="AV171" i="15"/>
  <c r="AW170" i="15"/>
  <c r="AV111" i="15"/>
  <c r="AW110" i="15"/>
  <c r="AV159" i="15"/>
  <c r="AW158" i="15"/>
  <c r="AW146" i="15"/>
  <c r="AV147" i="15"/>
  <c r="AV186" i="15"/>
  <c r="AW185" i="15"/>
  <c r="AW161" i="15"/>
  <c r="AV162" i="15"/>
  <c r="AW167" i="15"/>
  <c r="AV168" i="15"/>
  <c r="AV150" i="15"/>
  <c r="AW149" i="15"/>
  <c r="AW128" i="15"/>
  <c r="AV129" i="15"/>
  <c r="AV117" i="15"/>
  <c r="AW116" i="15"/>
  <c r="AV114" i="15"/>
  <c r="AW113" i="15"/>
  <c r="AV138" i="15"/>
  <c r="AW137" i="15"/>
  <c r="AV126" i="15"/>
  <c r="AW125" i="15"/>
  <c r="AV180" i="15"/>
  <c r="AW179" i="15"/>
  <c r="AV120" i="15"/>
  <c r="AW119" i="15"/>
  <c r="AV165" i="15"/>
  <c r="AW164" i="15"/>
  <c r="AV132" i="15"/>
  <c r="AW131" i="15"/>
  <c r="AV135" i="15"/>
  <c r="AW134" i="15"/>
  <c r="AV144" i="15"/>
  <c r="AW143" i="15"/>
  <c r="AV177" i="15"/>
  <c r="AW176" i="15"/>
  <c r="AV123" i="15"/>
  <c r="AW122" i="15"/>
  <c r="AW152" i="15"/>
  <c r="AV153" i="15"/>
  <c r="AR51" i="20"/>
  <c r="AR53" i="20" s="1"/>
  <c r="AR54" i="20" s="1"/>
  <c r="AR56" i="20" s="1"/>
  <c r="AR58" i="20" s="1"/>
  <c r="AR60" i="20" s="1"/>
  <c r="AS36" i="20" s="1"/>
  <c r="AS40" i="20" s="1"/>
  <c r="AS51" i="20" s="1"/>
  <c r="AS53" i="20" s="1"/>
  <c r="AS54" i="20" s="1"/>
  <c r="AS56" i="20" s="1"/>
  <c r="AS58" i="20" s="1"/>
  <c r="AS60" i="20" s="1"/>
  <c r="AT36" i="20" s="1"/>
  <c r="AT40" i="20" s="1"/>
  <c r="O42" i="36"/>
  <c r="O47" i="36" s="1"/>
  <c r="O50" i="36" s="1"/>
  <c r="O51" i="36" s="1"/>
  <c r="O53" i="36" s="1"/>
  <c r="O54" i="36" s="1"/>
  <c r="O56" i="36" s="1"/>
  <c r="O58" i="36" s="1"/>
  <c r="O60" i="36" s="1"/>
  <c r="P36" i="36" s="1"/>
  <c r="P40" i="36" s="1"/>
  <c r="AS17" i="20"/>
  <c r="AS20" i="20" s="1"/>
  <c r="AU190" i="15"/>
  <c r="AT12" i="20" s="1"/>
  <c r="AT17" i="20" s="1"/>
  <c r="AT20" i="20" s="1"/>
  <c r="AQ23" i="20"/>
  <c r="AQ24" i="20" s="1"/>
  <c r="AQ26" i="20" s="1"/>
  <c r="AQ28" i="20" s="1"/>
  <c r="AQ30" i="20" s="1"/>
  <c r="AR6" i="20" s="1"/>
  <c r="AR10" i="20" s="1"/>
  <c r="AR21" i="20" s="1"/>
  <c r="AW104" i="15"/>
  <c r="AV105" i="15"/>
  <c r="AW107" i="15"/>
  <c r="AV108" i="15"/>
  <c r="AU82" i="20"/>
  <c r="AU83" i="20" s="1"/>
  <c r="AU85" i="20" s="1"/>
  <c r="AU87" i="20" s="1"/>
  <c r="AU89" i="20" s="1"/>
  <c r="AV65" i="20" s="1"/>
  <c r="AV69" i="20" s="1"/>
  <c r="AV80" i="20" s="1"/>
  <c r="AW177" i="15" l="1"/>
  <c r="AX176" i="15"/>
  <c r="AX134" i="15"/>
  <c r="AW135" i="15"/>
  <c r="AW165" i="15"/>
  <c r="AX164" i="15"/>
  <c r="AW180" i="15"/>
  <c r="AX179" i="15"/>
  <c r="AW138" i="15"/>
  <c r="AX137" i="15"/>
  <c r="AW117" i="15"/>
  <c r="AX116" i="15"/>
  <c r="AX149" i="15"/>
  <c r="AW150" i="15"/>
  <c r="AW111" i="15"/>
  <c r="AX110" i="15"/>
  <c r="AW174" i="15"/>
  <c r="AX173" i="15"/>
  <c r="AW183" i="15"/>
  <c r="AX182" i="15"/>
  <c r="AW153" i="15"/>
  <c r="AX152" i="15"/>
  <c r="AW162" i="15"/>
  <c r="AX161" i="15"/>
  <c r="AW147" i="15"/>
  <c r="AX146" i="15"/>
  <c r="AW123" i="15"/>
  <c r="AX122" i="15"/>
  <c r="AW144" i="15"/>
  <c r="AX143" i="15"/>
  <c r="AW132" i="15"/>
  <c r="AX131" i="15"/>
  <c r="AW120" i="15"/>
  <c r="AX119" i="15"/>
  <c r="AW126" i="15"/>
  <c r="AX125" i="15"/>
  <c r="AW114" i="15"/>
  <c r="AX113" i="15"/>
  <c r="AW186" i="15"/>
  <c r="AX185" i="15"/>
  <c r="AW159" i="15"/>
  <c r="AX158" i="15"/>
  <c r="AX170" i="15"/>
  <c r="AW171" i="15"/>
  <c r="AW141" i="15"/>
  <c r="AX140" i="15"/>
  <c r="AW156" i="15"/>
  <c r="AX155" i="15"/>
  <c r="AW129" i="15"/>
  <c r="AX128" i="15"/>
  <c r="AW168" i="15"/>
  <c r="AX167" i="15"/>
  <c r="AV190" i="15"/>
  <c r="AU12" i="20" s="1"/>
  <c r="AT42" i="20"/>
  <c r="AT47" i="20" s="1"/>
  <c r="AT50" i="20" s="1"/>
  <c r="AT51" i="20" s="1"/>
  <c r="AT53" i="20" s="1"/>
  <c r="AT54" i="20" s="1"/>
  <c r="AT56" i="20" s="1"/>
  <c r="AT58" i="20" s="1"/>
  <c r="AT60" i="20" s="1"/>
  <c r="AU36" i="20" s="1"/>
  <c r="AU40" i="20" s="1"/>
  <c r="AR23" i="20"/>
  <c r="AR24" i="20" s="1"/>
  <c r="AR26" i="20" s="1"/>
  <c r="AR28" i="20" s="1"/>
  <c r="AR30" i="20" s="1"/>
  <c r="AS6" i="20" s="1"/>
  <c r="AS10" i="20" s="1"/>
  <c r="AS21" i="20" s="1"/>
  <c r="AX104" i="15"/>
  <c r="AW105" i="15"/>
  <c r="AW108" i="15"/>
  <c r="AX107" i="15"/>
  <c r="AV82" i="20"/>
  <c r="AV83" i="20" s="1"/>
  <c r="AV85" i="20" s="1"/>
  <c r="AV87" i="20" s="1"/>
  <c r="AV89" i="20" s="1"/>
  <c r="AW65" i="20" s="1"/>
  <c r="AW69" i="20" s="1"/>
  <c r="AW80" i="20" s="1"/>
  <c r="AX168" i="15" l="1"/>
  <c r="AY167" i="15"/>
  <c r="AX156" i="15"/>
  <c r="AY155" i="15"/>
  <c r="AX186" i="15"/>
  <c r="AY185" i="15"/>
  <c r="AX126" i="15"/>
  <c r="AY125" i="15"/>
  <c r="AX132" i="15"/>
  <c r="AY131" i="15"/>
  <c r="AX123" i="15"/>
  <c r="AY122" i="15"/>
  <c r="AX162" i="15"/>
  <c r="AY161" i="15"/>
  <c r="AX183" i="15"/>
  <c r="AY182" i="15"/>
  <c r="AX111" i="15"/>
  <c r="AY110" i="15"/>
  <c r="AX117" i="15"/>
  <c r="AY116" i="15"/>
  <c r="AX180" i="15"/>
  <c r="AY179" i="15"/>
  <c r="AX171" i="15"/>
  <c r="AY170" i="15"/>
  <c r="AX135" i="15"/>
  <c r="AY134" i="15"/>
  <c r="AY128" i="15"/>
  <c r="AX129" i="15"/>
  <c r="AX141" i="15"/>
  <c r="AY140" i="15"/>
  <c r="AX159" i="15"/>
  <c r="AY158" i="15"/>
  <c r="AX114" i="15"/>
  <c r="AY113" i="15"/>
  <c r="AX120" i="15"/>
  <c r="AY119" i="15"/>
  <c r="AX144" i="15"/>
  <c r="AY143" i="15"/>
  <c r="AX147" i="15"/>
  <c r="AY146" i="15"/>
  <c r="AX153" i="15"/>
  <c r="AY152" i="15"/>
  <c r="AX174" i="15"/>
  <c r="AY173" i="15"/>
  <c r="AX138" i="15"/>
  <c r="AY137" i="15"/>
  <c r="AX165" i="15"/>
  <c r="AY164" i="15"/>
  <c r="AX177" i="15"/>
  <c r="AY176" i="15"/>
  <c r="AX150" i="15"/>
  <c r="AY149" i="15"/>
  <c r="AU42" i="20"/>
  <c r="AU47" i="20" s="1"/>
  <c r="AU50" i="20" s="1"/>
  <c r="AU51" i="20" s="1"/>
  <c r="P12" i="36"/>
  <c r="P17" i="36" s="1"/>
  <c r="P20" i="36" s="1"/>
  <c r="P21" i="36" s="1"/>
  <c r="P23" i="36" s="1"/>
  <c r="P24" i="36" s="1"/>
  <c r="P26" i="36" s="1"/>
  <c r="P28" i="36" s="1"/>
  <c r="P30" i="36" s="1"/>
  <c r="Q6" i="36" s="1"/>
  <c r="Q10" i="36" s="1"/>
  <c r="AU17" i="20"/>
  <c r="AU20" i="20" s="1"/>
  <c r="AS23" i="20"/>
  <c r="AS24" i="20" s="1"/>
  <c r="AS26" i="20" s="1"/>
  <c r="AS28" i="20" s="1"/>
  <c r="AS30" i="20" s="1"/>
  <c r="AT6" i="20" s="1"/>
  <c r="AT10" i="20" s="1"/>
  <c r="AT21" i="20" s="1"/>
  <c r="AT23" i="20" s="1"/>
  <c r="AT24" i="20" s="1"/>
  <c r="AT26" i="20" s="1"/>
  <c r="AT28" i="20" s="1"/>
  <c r="AT30" i="20" s="1"/>
  <c r="AU6" i="20" s="1"/>
  <c r="AU10" i="20" s="1"/>
  <c r="AY104" i="15"/>
  <c r="AX105" i="15"/>
  <c r="AY107" i="15"/>
  <c r="AX108" i="15"/>
  <c r="AW190" i="15"/>
  <c r="AV12" i="20" s="1"/>
  <c r="AW82" i="20"/>
  <c r="AW83" i="20" s="1"/>
  <c r="AW85" i="20" s="1"/>
  <c r="AW87" i="20" s="1"/>
  <c r="AW89" i="20" s="1"/>
  <c r="AX65" i="20" s="1"/>
  <c r="AX69" i="20" s="1"/>
  <c r="AX80" i="20" s="1"/>
  <c r="AY150" i="15" l="1"/>
  <c r="AZ149" i="15"/>
  <c r="AZ164" i="15"/>
  <c r="AY165" i="15"/>
  <c r="AY174" i="15"/>
  <c r="AZ173" i="15"/>
  <c r="AY147" i="15"/>
  <c r="AZ146" i="15"/>
  <c r="AY120" i="15"/>
  <c r="AZ119" i="15"/>
  <c r="AY159" i="15"/>
  <c r="AZ158" i="15"/>
  <c r="AY171" i="15"/>
  <c r="AZ170" i="15"/>
  <c r="AY117" i="15"/>
  <c r="AZ116" i="15"/>
  <c r="AY183" i="15"/>
  <c r="AZ182" i="15"/>
  <c r="AY123" i="15"/>
  <c r="AZ122" i="15"/>
  <c r="AY126" i="15"/>
  <c r="AZ125" i="15"/>
  <c r="AY156" i="15"/>
  <c r="AZ155" i="15"/>
  <c r="AY129" i="15"/>
  <c r="AZ128" i="15"/>
  <c r="AZ176" i="15"/>
  <c r="AY177" i="15"/>
  <c r="AY138" i="15"/>
  <c r="AZ137" i="15"/>
  <c r="AY153" i="15"/>
  <c r="AZ152" i="15"/>
  <c r="AZ143" i="15"/>
  <c r="AY144" i="15"/>
  <c r="AY114" i="15"/>
  <c r="AZ113" i="15"/>
  <c r="AY141" i="15"/>
  <c r="AZ140" i="15"/>
  <c r="AZ134" i="15"/>
  <c r="AY135" i="15"/>
  <c r="AY180" i="15"/>
  <c r="AZ179" i="15"/>
  <c r="AY111" i="15"/>
  <c r="AZ110" i="15"/>
  <c r="AY162" i="15"/>
  <c r="AZ161" i="15"/>
  <c r="AY132" i="15"/>
  <c r="AZ131" i="15"/>
  <c r="AY186" i="15"/>
  <c r="AZ185" i="15"/>
  <c r="AY168" i="15"/>
  <c r="AZ167" i="15"/>
  <c r="AU21" i="20"/>
  <c r="AU23" i="20" s="1"/>
  <c r="AU24" i="20" s="1"/>
  <c r="AU26" i="20" s="1"/>
  <c r="AU28" i="20" s="1"/>
  <c r="AU30" i="20" s="1"/>
  <c r="AV6" i="20" s="1"/>
  <c r="AV10" i="20" s="1"/>
  <c r="AX190" i="15"/>
  <c r="AW12" i="20" s="1"/>
  <c r="P42" i="36"/>
  <c r="P47" i="36" s="1"/>
  <c r="P50" i="36" s="1"/>
  <c r="P51" i="36" s="1"/>
  <c r="P53" i="36" s="1"/>
  <c r="P54" i="36" s="1"/>
  <c r="P56" i="36" s="1"/>
  <c r="P58" i="36" s="1"/>
  <c r="P60" i="36" s="1"/>
  <c r="Q36" i="36" s="1"/>
  <c r="Q40" i="36" s="1"/>
  <c r="AV17" i="20"/>
  <c r="AV20" i="20" s="1"/>
  <c r="AV42" i="20"/>
  <c r="AY105" i="15"/>
  <c r="AZ104" i="15"/>
  <c r="AU53" i="20"/>
  <c r="AU54" i="20" s="1"/>
  <c r="AU56" i="20" s="1"/>
  <c r="AU58" i="20" s="1"/>
  <c r="AU60" i="20" s="1"/>
  <c r="AV36" i="20" s="1"/>
  <c r="AV40" i="20" s="1"/>
  <c r="AY108" i="15"/>
  <c r="AZ107" i="15"/>
  <c r="AX82" i="20"/>
  <c r="AX83" i="20" s="1"/>
  <c r="AX85" i="20" s="1"/>
  <c r="AX87" i="20" s="1"/>
  <c r="AX89" i="20" s="1"/>
  <c r="AY65" i="20" s="1"/>
  <c r="AY69" i="20" s="1"/>
  <c r="AY80" i="20" s="1"/>
  <c r="AZ168" i="15" l="1"/>
  <c r="BA167" i="15"/>
  <c r="AZ132" i="15"/>
  <c r="BA131" i="15"/>
  <c r="AZ111" i="15"/>
  <c r="BA110" i="15"/>
  <c r="AZ114" i="15"/>
  <c r="BA113" i="15"/>
  <c r="AZ153" i="15"/>
  <c r="BA152" i="15"/>
  <c r="AZ156" i="15"/>
  <c r="BA155" i="15"/>
  <c r="AZ123" i="15"/>
  <c r="BA122" i="15"/>
  <c r="AZ117" i="15"/>
  <c r="BA116" i="15"/>
  <c r="AZ159" i="15"/>
  <c r="BA158" i="15"/>
  <c r="AZ147" i="15"/>
  <c r="BA146" i="15"/>
  <c r="AZ135" i="15"/>
  <c r="BA134" i="15"/>
  <c r="AZ177" i="15"/>
  <c r="BA176" i="15"/>
  <c r="AZ165" i="15"/>
  <c r="BA164" i="15"/>
  <c r="AZ186" i="15"/>
  <c r="BA185" i="15"/>
  <c r="AZ162" i="15"/>
  <c r="BA161" i="15"/>
  <c r="AZ180" i="15"/>
  <c r="BA179" i="15"/>
  <c r="AZ141" i="15"/>
  <c r="BA140" i="15"/>
  <c r="AZ138" i="15"/>
  <c r="BA137" i="15"/>
  <c r="AZ129" i="15"/>
  <c r="BA128" i="15"/>
  <c r="AZ126" i="15"/>
  <c r="BA125" i="15"/>
  <c r="AZ183" i="15"/>
  <c r="BA182" i="15"/>
  <c r="AZ171" i="15"/>
  <c r="BA170" i="15"/>
  <c r="AZ120" i="15"/>
  <c r="BA119" i="15"/>
  <c r="AZ174" i="15"/>
  <c r="BA173" i="15"/>
  <c r="AZ150" i="15"/>
  <c r="BA149" i="15"/>
  <c r="BA143" i="15"/>
  <c r="AZ144" i="15"/>
  <c r="AV21" i="20"/>
  <c r="AV23" i="20" s="1"/>
  <c r="AV24" i="20" s="1"/>
  <c r="AV26" i="20" s="1"/>
  <c r="AV28" i="20" s="1"/>
  <c r="AV30" i="20" s="1"/>
  <c r="AW6" i="20" s="1"/>
  <c r="AW10" i="20" s="1"/>
  <c r="AW42" i="20"/>
  <c r="AW47" i="20" s="1"/>
  <c r="AW50" i="20" s="1"/>
  <c r="AW17" i="20"/>
  <c r="AW20" i="20" s="1"/>
  <c r="AY190" i="15"/>
  <c r="AX12" i="20" s="1"/>
  <c r="AV47" i="20"/>
  <c r="AV50" i="20" s="1"/>
  <c r="AV51" i="20" s="1"/>
  <c r="AV53" i="20" s="1"/>
  <c r="AV54" i="20" s="1"/>
  <c r="AV56" i="20" s="1"/>
  <c r="AV58" i="20" s="1"/>
  <c r="AV60" i="20" s="1"/>
  <c r="AW36" i="20" s="1"/>
  <c r="AW40" i="20" s="1"/>
  <c r="BA107" i="15"/>
  <c r="AZ108" i="15"/>
  <c r="BA104" i="15"/>
  <c r="AZ105" i="15"/>
  <c r="AY82" i="20"/>
  <c r="AY83" i="20" s="1"/>
  <c r="AY85" i="20" s="1"/>
  <c r="AY87" i="20" s="1"/>
  <c r="AY89" i="20" s="1"/>
  <c r="AZ65" i="20" s="1"/>
  <c r="AZ69" i="20" s="1"/>
  <c r="AZ80" i="20" s="1"/>
  <c r="BA174" i="15" l="1"/>
  <c r="BB173" i="15"/>
  <c r="BA171" i="15"/>
  <c r="BB170" i="15"/>
  <c r="BA126" i="15"/>
  <c r="BB125" i="15"/>
  <c r="BA138" i="15"/>
  <c r="BB137" i="15"/>
  <c r="BA180" i="15"/>
  <c r="BB179" i="15"/>
  <c r="BA186" i="15"/>
  <c r="BB185" i="15"/>
  <c r="BA177" i="15"/>
  <c r="BB176" i="15"/>
  <c r="BA147" i="15"/>
  <c r="BB146" i="15"/>
  <c r="BB116" i="15"/>
  <c r="BA117" i="15"/>
  <c r="BB155" i="15"/>
  <c r="BA156" i="15"/>
  <c r="BA114" i="15"/>
  <c r="BB113" i="15"/>
  <c r="BB131" i="15"/>
  <c r="BA132" i="15"/>
  <c r="BA144" i="15"/>
  <c r="BB143" i="15"/>
  <c r="BA150" i="15"/>
  <c r="BB149" i="15"/>
  <c r="BA120" i="15"/>
  <c r="BB119" i="15"/>
  <c r="BA183" i="15"/>
  <c r="BB182" i="15"/>
  <c r="BA129" i="15"/>
  <c r="BB128" i="15"/>
  <c r="BA141" i="15"/>
  <c r="BB140" i="15"/>
  <c r="BA162" i="15"/>
  <c r="BB161" i="15"/>
  <c r="BA165" i="15"/>
  <c r="BB164" i="15"/>
  <c r="BA135" i="15"/>
  <c r="BB134" i="15"/>
  <c r="BA159" i="15"/>
  <c r="BB158" i="15"/>
  <c r="BA123" i="15"/>
  <c r="BB122" i="15"/>
  <c r="BB152" i="15"/>
  <c r="BA153" i="15"/>
  <c r="BA111" i="15"/>
  <c r="BB110" i="15"/>
  <c r="BA168" i="15"/>
  <c r="BB167" i="15"/>
  <c r="AW51" i="20"/>
  <c r="AW53" i="20" s="1"/>
  <c r="AW54" i="20" s="1"/>
  <c r="AW56" i="20" s="1"/>
  <c r="AW58" i="20" s="1"/>
  <c r="AW60" i="20" s="1"/>
  <c r="AX36" i="20" s="1"/>
  <c r="AX40" i="20" s="1"/>
  <c r="AW21" i="20"/>
  <c r="AW23" i="20" s="1"/>
  <c r="AW24" i="20" s="1"/>
  <c r="AW26" i="20" s="1"/>
  <c r="AW28" i="20" s="1"/>
  <c r="AW30" i="20" s="1"/>
  <c r="AX6" i="20" s="1"/>
  <c r="AX10" i="20" s="1"/>
  <c r="AX17" i="20"/>
  <c r="AX20" i="20" s="1"/>
  <c r="AX42" i="20"/>
  <c r="Q12" i="36"/>
  <c r="Q17" i="36" s="1"/>
  <c r="Q20" i="36" s="1"/>
  <c r="Q21" i="36" s="1"/>
  <c r="Q23" i="36" s="1"/>
  <c r="Q24" i="36" s="1"/>
  <c r="Q26" i="36" s="1"/>
  <c r="Q28" i="36" s="1"/>
  <c r="Q30" i="36" s="1"/>
  <c r="R6" i="36" s="1"/>
  <c r="R10" i="36" s="1"/>
  <c r="BA108" i="15"/>
  <c r="BB107" i="15"/>
  <c r="AZ190" i="15"/>
  <c r="AY12" i="20" s="1"/>
  <c r="BA105" i="15"/>
  <c r="BB104" i="15"/>
  <c r="AZ82" i="20"/>
  <c r="AZ83" i="20" s="1"/>
  <c r="AZ85" i="20" s="1"/>
  <c r="AZ87" i="20" s="1"/>
  <c r="AZ89" i="20" s="1"/>
  <c r="BA65" i="20" s="1"/>
  <c r="BA69" i="20" s="1"/>
  <c r="BA80" i="20" s="1"/>
  <c r="BB168" i="15" l="1"/>
  <c r="BC168" i="15" s="1"/>
  <c r="BC167" i="15"/>
  <c r="BD167" i="15" s="1"/>
  <c r="BB159" i="15"/>
  <c r="BC159" i="15" s="1"/>
  <c r="BC158" i="15"/>
  <c r="BD158" i="15" s="1"/>
  <c r="BB165" i="15"/>
  <c r="BC165" i="15" s="1"/>
  <c r="BC164" i="15"/>
  <c r="BD164" i="15" s="1"/>
  <c r="BB141" i="15"/>
  <c r="BC141" i="15" s="1"/>
  <c r="BC140" i="15"/>
  <c r="BD140" i="15" s="1"/>
  <c r="BB183" i="15"/>
  <c r="BC183" i="15" s="1"/>
  <c r="BC182" i="15"/>
  <c r="BD182" i="15" s="1"/>
  <c r="BB150" i="15"/>
  <c r="BC150" i="15" s="1"/>
  <c r="BC149" i="15"/>
  <c r="BD149" i="15" s="1"/>
  <c r="BB147" i="15"/>
  <c r="BC147" i="15" s="1"/>
  <c r="BC146" i="15"/>
  <c r="BD146" i="15" s="1"/>
  <c r="BB186" i="15"/>
  <c r="BC186" i="15" s="1"/>
  <c r="BC185" i="15"/>
  <c r="BD185" i="15" s="1"/>
  <c r="BB138" i="15"/>
  <c r="BC138" i="15" s="1"/>
  <c r="BC137" i="15"/>
  <c r="BD137" i="15" s="1"/>
  <c r="BB171" i="15"/>
  <c r="BC171" i="15" s="1"/>
  <c r="BC170" i="15"/>
  <c r="BD170" i="15" s="1"/>
  <c r="BB153" i="15"/>
  <c r="BC153" i="15" s="1"/>
  <c r="BC152" i="15"/>
  <c r="BD152" i="15" s="1"/>
  <c r="BB132" i="15"/>
  <c r="BC132" i="15" s="1"/>
  <c r="BC131" i="15"/>
  <c r="BD131" i="15" s="1"/>
  <c r="BB156" i="15"/>
  <c r="BC156" i="15" s="1"/>
  <c r="BC155" i="15"/>
  <c r="BD155" i="15" s="1"/>
  <c r="BB111" i="15"/>
  <c r="BC111" i="15" s="1"/>
  <c r="BC110" i="15"/>
  <c r="BD110" i="15" s="1"/>
  <c r="BB123" i="15"/>
  <c r="BC123" i="15" s="1"/>
  <c r="BC122" i="15"/>
  <c r="BD122" i="15" s="1"/>
  <c r="BB135" i="15"/>
  <c r="BC135" i="15" s="1"/>
  <c r="BC134" i="15"/>
  <c r="BD134" i="15" s="1"/>
  <c r="BB162" i="15"/>
  <c r="BC162" i="15" s="1"/>
  <c r="BC161" i="15"/>
  <c r="BD161" i="15" s="1"/>
  <c r="BB129" i="15"/>
  <c r="BC129" i="15" s="1"/>
  <c r="BC128" i="15"/>
  <c r="BD128" i="15" s="1"/>
  <c r="BB120" i="15"/>
  <c r="BC120" i="15" s="1"/>
  <c r="BC119" i="15"/>
  <c r="BD119" i="15" s="1"/>
  <c r="BB144" i="15"/>
  <c r="BC144" i="15" s="1"/>
  <c r="BC143" i="15"/>
  <c r="BD143" i="15" s="1"/>
  <c r="BB114" i="15"/>
  <c r="BC114" i="15" s="1"/>
  <c r="BC113" i="15"/>
  <c r="BD113" i="15" s="1"/>
  <c r="BB177" i="15"/>
  <c r="BC177" i="15" s="1"/>
  <c r="BC176" i="15"/>
  <c r="BD176" i="15" s="1"/>
  <c r="BB180" i="15"/>
  <c r="BC180" i="15" s="1"/>
  <c r="BC179" i="15"/>
  <c r="BD179" i="15" s="1"/>
  <c r="BB126" i="15"/>
  <c r="BC126" i="15" s="1"/>
  <c r="BC125" i="15"/>
  <c r="BD125" i="15" s="1"/>
  <c r="BB174" i="15"/>
  <c r="BC174" i="15" s="1"/>
  <c r="BC173" i="15"/>
  <c r="BD173" i="15" s="1"/>
  <c r="BC116" i="15"/>
  <c r="BD116" i="15" s="1"/>
  <c r="BB117" i="15"/>
  <c r="BC117" i="15" s="1"/>
  <c r="AX21" i="20"/>
  <c r="AX23" i="20" s="1"/>
  <c r="AX24" i="20" s="1"/>
  <c r="AX26" i="20" s="1"/>
  <c r="AX28" i="20" s="1"/>
  <c r="AX30" i="20" s="1"/>
  <c r="AY6" i="20" s="1"/>
  <c r="AY10" i="20" s="1"/>
  <c r="BA190" i="15"/>
  <c r="AZ12" i="20" s="1"/>
  <c r="BC107" i="15"/>
  <c r="BD107" i="15" s="1"/>
  <c r="BB108" i="15"/>
  <c r="BC108" i="15" s="1"/>
  <c r="AY42" i="20"/>
  <c r="AY47" i="20" s="1"/>
  <c r="AY50" i="20" s="1"/>
  <c r="AY17" i="20"/>
  <c r="AY20" i="20" s="1"/>
  <c r="BB105" i="15"/>
  <c r="BC104" i="15"/>
  <c r="BD104" i="15" s="1"/>
  <c r="AX47" i="20"/>
  <c r="AX50" i="20" s="1"/>
  <c r="AX51" i="20" s="1"/>
  <c r="AX53" i="20" s="1"/>
  <c r="AX54" i="20" s="1"/>
  <c r="AX56" i="20" s="1"/>
  <c r="AX58" i="20" s="1"/>
  <c r="AX60" i="20" s="1"/>
  <c r="AY36" i="20" s="1"/>
  <c r="AY40" i="20" s="1"/>
  <c r="Q42" i="36"/>
  <c r="Q47" i="36" s="1"/>
  <c r="Q50" i="36" s="1"/>
  <c r="Q51" i="36" s="1"/>
  <c r="Q53" i="36" s="1"/>
  <c r="Q54" i="36" s="1"/>
  <c r="Q56" i="36" s="1"/>
  <c r="Q58" i="36" s="1"/>
  <c r="Q60" i="36" s="1"/>
  <c r="R36" i="36" s="1"/>
  <c r="R40" i="36" s="1"/>
  <c r="BA82" i="20"/>
  <c r="BA83" i="20" s="1"/>
  <c r="BA85" i="20" s="1"/>
  <c r="BA87" i="20" s="1"/>
  <c r="BA89" i="20" s="1"/>
  <c r="BC65" i="20" s="1"/>
  <c r="BC69" i="20" s="1"/>
  <c r="BC80" i="20" s="1"/>
  <c r="BB80" i="20"/>
  <c r="BD126" i="15" l="1"/>
  <c r="BE125" i="15"/>
  <c r="BE176" i="15"/>
  <c r="BD177" i="15"/>
  <c r="BD144" i="15"/>
  <c r="BE143" i="15"/>
  <c r="BD129" i="15"/>
  <c r="BE128" i="15"/>
  <c r="BD135" i="15"/>
  <c r="BE134" i="15"/>
  <c r="BD111" i="15"/>
  <c r="BE110" i="15"/>
  <c r="BD132" i="15"/>
  <c r="BE131" i="15"/>
  <c r="BD171" i="15"/>
  <c r="BE170" i="15"/>
  <c r="BD186" i="15"/>
  <c r="BE185" i="15"/>
  <c r="BD150" i="15"/>
  <c r="BE149" i="15"/>
  <c r="BD141" i="15"/>
  <c r="BE140" i="15"/>
  <c r="BD159" i="15"/>
  <c r="BE158" i="15"/>
  <c r="BD117" i="15"/>
  <c r="BE116" i="15"/>
  <c r="BD174" i="15"/>
  <c r="BE173" i="15"/>
  <c r="BD180" i="15"/>
  <c r="BE179" i="15"/>
  <c r="BD114" i="15"/>
  <c r="BE113" i="15"/>
  <c r="BD120" i="15"/>
  <c r="BE119" i="15"/>
  <c r="BD162" i="15"/>
  <c r="BE161" i="15"/>
  <c r="BD123" i="15"/>
  <c r="BE122" i="15"/>
  <c r="BD156" i="15"/>
  <c r="BE155" i="15"/>
  <c r="BD153" i="15"/>
  <c r="BE152" i="15"/>
  <c r="BE137" i="15"/>
  <c r="BD138" i="15"/>
  <c r="BD147" i="15"/>
  <c r="BE146" i="15"/>
  <c r="BD183" i="15"/>
  <c r="BE182" i="15"/>
  <c r="BD165" i="15"/>
  <c r="BE164" i="15"/>
  <c r="BD168" i="15"/>
  <c r="BE167" i="15"/>
  <c r="AY21" i="20"/>
  <c r="AY23" i="20" s="1"/>
  <c r="AY24" i="20" s="1"/>
  <c r="AY26" i="20" s="1"/>
  <c r="AY28" i="20" s="1"/>
  <c r="AY30" i="20" s="1"/>
  <c r="AZ6" i="20" s="1"/>
  <c r="AZ10" i="20" s="1"/>
  <c r="AY51" i="20"/>
  <c r="AY53" i="20" s="1"/>
  <c r="AY54" i="20" s="1"/>
  <c r="AY56" i="20" s="1"/>
  <c r="AY58" i="20" s="1"/>
  <c r="AY60" i="20" s="1"/>
  <c r="AZ36" i="20" s="1"/>
  <c r="AZ40" i="20" s="1"/>
  <c r="BB190" i="15"/>
  <c r="BA12" i="20" s="1"/>
  <c r="BA42" i="20" s="1"/>
  <c r="BA47" i="20" s="1"/>
  <c r="BA50" i="20" s="1"/>
  <c r="AZ17" i="20"/>
  <c r="AZ20" i="20" s="1"/>
  <c r="AZ42" i="20"/>
  <c r="AZ47" i="20" s="1"/>
  <c r="AZ50" i="20" s="1"/>
  <c r="BD105" i="15"/>
  <c r="BE104" i="15"/>
  <c r="BC105" i="15"/>
  <c r="BC190" i="15" s="1"/>
  <c r="BD108" i="15"/>
  <c r="BE107" i="15"/>
  <c r="BC82" i="20"/>
  <c r="BC83" i="20" s="1"/>
  <c r="BC85" i="20" s="1"/>
  <c r="BC87" i="20" s="1"/>
  <c r="BC89" i="20" s="1"/>
  <c r="BD65" i="20" s="1"/>
  <c r="BD69" i="20" s="1"/>
  <c r="BD80" i="20" s="1"/>
  <c r="BB50" i="20" l="1"/>
  <c r="BE168" i="15"/>
  <c r="BF167" i="15"/>
  <c r="BE183" i="15"/>
  <c r="BF182" i="15"/>
  <c r="BE156" i="15"/>
  <c r="BF155" i="15"/>
  <c r="BE162" i="15"/>
  <c r="BF161" i="15"/>
  <c r="BE114" i="15"/>
  <c r="BF113" i="15"/>
  <c r="BE174" i="15"/>
  <c r="BF173" i="15"/>
  <c r="BE159" i="15"/>
  <c r="BF158" i="15"/>
  <c r="BE150" i="15"/>
  <c r="BF149" i="15"/>
  <c r="BE171" i="15"/>
  <c r="BF170" i="15"/>
  <c r="BE111" i="15"/>
  <c r="BF110" i="15"/>
  <c r="BF128" i="15"/>
  <c r="BE129" i="15"/>
  <c r="BE138" i="15"/>
  <c r="BF137" i="15"/>
  <c r="BE177" i="15"/>
  <c r="BF176" i="15"/>
  <c r="BE165" i="15"/>
  <c r="BF164" i="15"/>
  <c r="BF146" i="15"/>
  <c r="BE147" i="15"/>
  <c r="BE153" i="15"/>
  <c r="BF152" i="15"/>
  <c r="BE123" i="15"/>
  <c r="BF122" i="15"/>
  <c r="BE120" i="15"/>
  <c r="BF119" i="15"/>
  <c r="BF179" i="15"/>
  <c r="BE180" i="15"/>
  <c r="BE117" i="15"/>
  <c r="BF116" i="15"/>
  <c r="BE141" i="15"/>
  <c r="BF140" i="15"/>
  <c r="BE186" i="15"/>
  <c r="BF185" i="15"/>
  <c r="BE132" i="15"/>
  <c r="BF131" i="15"/>
  <c r="BE135" i="15"/>
  <c r="BF134" i="15"/>
  <c r="BE144" i="15"/>
  <c r="BF143" i="15"/>
  <c r="BE126" i="15"/>
  <c r="BF125" i="15"/>
  <c r="BB12" i="20"/>
  <c r="BB17" i="20" s="1"/>
  <c r="R12" i="36"/>
  <c r="R17" i="36" s="1"/>
  <c r="R20" i="36" s="1"/>
  <c r="R21" i="36" s="1"/>
  <c r="R23" i="36" s="1"/>
  <c r="R24" i="36" s="1"/>
  <c r="R26" i="36" s="1"/>
  <c r="R28" i="36" s="1"/>
  <c r="R30" i="36" s="1"/>
  <c r="S6" i="36" s="1"/>
  <c r="S10" i="36" s="1"/>
  <c r="BA17" i="20"/>
  <c r="BA20" i="20" s="1"/>
  <c r="BB20" i="20" s="1"/>
  <c r="R42" i="36"/>
  <c r="R47" i="36" s="1"/>
  <c r="R50" i="36" s="1"/>
  <c r="R51" i="36" s="1"/>
  <c r="R53" i="36" s="1"/>
  <c r="R54" i="36" s="1"/>
  <c r="R56" i="36" s="1"/>
  <c r="R58" i="36" s="1"/>
  <c r="R60" i="36" s="1"/>
  <c r="S36" i="36" s="1"/>
  <c r="S40" i="36" s="1"/>
  <c r="AZ51" i="20"/>
  <c r="AZ53" i="20" s="1"/>
  <c r="AZ54" i="20" s="1"/>
  <c r="AZ56" i="20" s="1"/>
  <c r="AZ58" i="20" s="1"/>
  <c r="AZ60" i="20" s="1"/>
  <c r="BA36" i="20" s="1"/>
  <c r="BA40" i="20" s="1"/>
  <c r="BA51" i="20" s="1"/>
  <c r="BB42" i="20"/>
  <c r="BB47" i="20" s="1"/>
  <c r="AZ21" i="20"/>
  <c r="AZ23" i="20" s="1"/>
  <c r="AZ24" i="20" s="1"/>
  <c r="AZ26" i="20" s="1"/>
  <c r="AZ28" i="20" s="1"/>
  <c r="AZ30" i="20" s="1"/>
  <c r="BA6" i="20" s="1"/>
  <c r="BA10" i="20" s="1"/>
  <c r="BD190" i="15"/>
  <c r="BC12" i="20" s="1"/>
  <c r="BC42" i="20" s="1"/>
  <c r="BC47" i="20" s="1"/>
  <c r="BC50" i="20" s="1"/>
  <c r="BF107" i="15"/>
  <c r="BE108" i="15"/>
  <c r="BE105" i="15"/>
  <c r="BF104" i="15"/>
  <c r="BD82" i="20"/>
  <c r="BD83" i="20" s="1"/>
  <c r="BD85" i="20" s="1"/>
  <c r="BD87" i="20" s="1"/>
  <c r="BD89" i="20" s="1"/>
  <c r="BE65" i="20" s="1"/>
  <c r="BE69" i="20" s="1"/>
  <c r="BE80" i="20" s="1"/>
  <c r="BF126" i="15" l="1"/>
  <c r="BG125" i="15"/>
  <c r="BF135" i="15"/>
  <c r="BG134" i="15"/>
  <c r="BF186" i="15"/>
  <c r="BG185" i="15"/>
  <c r="BF117" i="15"/>
  <c r="BG116" i="15"/>
  <c r="BF120" i="15"/>
  <c r="BG119" i="15"/>
  <c r="BF153" i="15"/>
  <c r="BG152" i="15"/>
  <c r="BF165" i="15"/>
  <c r="BG164" i="15"/>
  <c r="BF138" i="15"/>
  <c r="BG137" i="15"/>
  <c r="BF111" i="15"/>
  <c r="BG110" i="15"/>
  <c r="BF150" i="15"/>
  <c r="BG149" i="15"/>
  <c r="BF174" i="15"/>
  <c r="BG173" i="15"/>
  <c r="BF162" i="15"/>
  <c r="BG161" i="15"/>
  <c r="BF183" i="15"/>
  <c r="BG182" i="15"/>
  <c r="BG143" i="15"/>
  <c r="BF144" i="15"/>
  <c r="BF132" i="15"/>
  <c r="BG131" i="15"/>
  <c r="BF141" i="15"/>
  <c r="BG140" i="15"/>
  <c r="BF123" i="15"/>
  <c r="BG122" i="15"/>
  <c r="BF177" i="15"/>
  <c r="BG176" i="15"/>
  <c r="BF171" i="15"/>
  <c r="BG170" i="15"/>
  <c r="BF159" i="15"/>
  <c r="BG158" i="15"/>
  <c r="BF114" i="15"/>
  <c r="BG113" i="15"/>
  <c r="BF156" i="15"/>
  <c r="BG155" i="15"/>
  <c r="BF168" i="15"/>
  <c r="BG167" i="15"/>
  <c r="BF180" i="15"/>
  <c r="BG179" i="15"/>
  <c r="BF147" i="15"/>
  <c r="BG146" i="15"/>
  <c r="BF129" i="15"/>
  <c r="BG128" i="15"/>
  <c r="BA21" i="20"/>
  <c r="BA23" i="20" s="1"/>
  <c r="BB23" i="20" s="1"/>
  <c r="BC17" i="20"/>
  <c r="BC20" i="20" s="1"/>
  <c r="BE190" i="15"/>
  <c r="BD12" i="20" s="1"/>
  <c r="BD42" i="20" s="1"/>
  <c r="BD47" i="20" s="1"/>
  <c r="BD50" i="20" s="1"/>
  <c r="BG104" i="15"/>
  <c r="BF105" i="15"/>
  <c r="BG107" i="15"/>
  <c r="BF108" i="15"/>
  <c r="BE82" i="20"/>
  <c r="BE83" i="20" s="1"/>
  <c r="BE85" i="20" s="1"/>
  <c r="BE87" i="20" s="1"/>
  <c r="BE89" i="20" s="1"/>
  <c r="BF65" i="20" s="1"/>
  <c r="BF69" i="20" s="1"/>
  <c r="BF80" i="20" s="1"/>
  <c r="BA53" i="20"/>
  <c r="BA54" i="20" s="1"/>
  <c r="BA56" i="20" s="1"/>
  <c r="BA58" i="20" s="1"/>
  <c r="BA60" i="20" s="1"/>
  <c r="BC36" i="20" s="1"/>
  <c r="BC40" i="20" s="1"/>
  <c r="BC51" i="20" s="1"/>
  <c r="BC53" i="20" s="1"/>
  <c r="BC54" i="20" s="1"/>
  <c r="BC56" i="20" s="1"/>
  <c r="BC58" i="20" s="1"/>
  <c r="BC60" i="20" s="1"/>
  <c r="BD36" i="20" s="1"/>
  <c r="BD40" i="20" s="1"/>
  <c r="BB51" i="20"/>
  <c r="BG129" i="15" l="1"/>
  <c r="BH128" i="15"/>
  <c r="BG180" i="15"/>
  <c r="BH179" i="15"/>
  <c r="BG156" i="15"/>
  <c r="BH155" i="15"/>
  <c r="BG159" i="15"/>
  <c r="BH158" i="15"/>
  <c r="BG177" i="15"/>
  <c r="BH176" i="15"/>
  <c r="BG141" i="15"/>
  <c r="BH140" i="15"/>
  <c r="BG162" i="15"/>
  <c r="BH161" i="15"/>
  <c r="BG150" i="15"/>
  <c r="BH149" i="15"/>
  <c r="BG138" i="15"/>
  <c r="BH137" i="15"/>
  <c r="BG153" i="15"/>
  <c r="BH152" i="15"/>
  <c r="BG117" i="15"/>
  <c r="BH116" i="15"/>
  <c r="BG135" i="15"/>
  <c r="BH134" i="15"/>
  <c r="BG144" i="15"/>
  <c r="BH143" i="15"/>
  <c r="BG147" i="15"/>
  <c r="BH146" i="15"/>
  <c r="BG168" i="15"/>
  <c r="BH167" i="15"/>
  <c r="BH113" i="15"/>
  <c r="BG114" i="15"/>
  <c r="BG171" i="15"/>
  <c r="BH170" i="15"/>
  <c r="BG123" i="15"/>
  <c r="BH122" i="15"/>
  <c r="BG132" i="15"/>
  <c r="BH131" i="15"/>
  <c r="BG183" i="15"/>
  <c r="BH182" i="15"/>
  <c r="BH173" i="15"/>
  <c r="BG174" i="15"/>
  <c r="BG111" i="15"/>
  <c r="BH110" i="15"/>
  <c r="BG165" i="15"/>
  <c r="BH164" i="15"/>
  <c r="BG120" i="15"/>
  <c r="BH119" i="15"/>
  <c r="BG186" i="15"/>
  <c r="BH185" i="15"/>
  <c r="BG126" i="15"/>
  <c r="BH125" i="15"/>
  <c r="BB21" i="20"/>
  <c r="BA24" i="20"/>
  <c r="BA26" i="20" s="1"/>
  <c r="BA28" i="20" s="1"/>
  <c r="BA30" i="20" s="1"/>
  <c r="BC6" i="20" s="1"/>
  <c r="BC10" i="20" s="1"/>
  <c r="BC21" i="20" s="1"/>
  <c r="BC23" i="20" s="1"/>
  <c r="BC24" i="20" s="1"/>
  <c r="BC26" i="20" s="1"/>
  <c r="BC28" i="20" s="1"/>
  <c r="BC30" i="20" s="1"/>
  <c r="BD6" i="20" s="1"/>
  <c r="BD10" i="20" s="1"/>
  <c r="BF190" i="15"/>
  <c r="BE12" i="20" s="1"/>
  <c r="S12" i="36" s="1"/>
  <c r="S17" i="36" s="1"/>
  <c r="S20" i="36" s="1"/>
  <c r="S21" i="36" s="1"/>
  <c r="S23" i="36" s="1"/>
  <c r="S24" i="36" s="1"/>
  <c r="S26" i="36" s="1"/>
  <c r="S28" i="36" s="1"/>
  <c r="S30" i="36" s="1"/>
  <c r="T6" i="36" s="1"/>
  <c r="T10" i="36" s="1"/>
  <c r="BD17" i="20"/>
  <c r="BD20" i="20" s="1"/>
  <c r="BD51" i="20"/>
  <c r="BD53" i="20" s="1"/>
  <c r="BD54" i="20" s="1"/>
  <c r="BD56" i="20" s="1"/>
  <c r="BD58" i="20" s="1"/>
  <c r="BD60" i="20" s="1"/>
  <c r="BE36" i="20" s="1"/>
  <c r="BE40" i="20" s="1"/>
  <c r="BH104" i="15"/>
  <c r="BG105" i="15"/>
  <c r="BH107" i="15"/>
  <c r="BG108" i="15"/>
  <c r="BF82" i="20"/>
  <c r="BF83" i="20" s="1"/>
  <c r="BF85" i="20" s="1"/>
  <c r="BF87" i="20" s="1"/>
  <c r="BF89" i="20" s="1"/>
  <c r="BG65" i="20" s="1"/>
  <c r="BG69" i="20" s="1"/>
  <c r="BG80" i="20" s="1"/>
  <c r="BH126" i="15" l="1"/>
  <c r="BI125" i="15"/>
  <c r="BH120" i="15"/>
  <c r="BI119" i="15"/>
  <c r="BH111" i="15"/>
  <c r="BI110" i="15"/>
  <c r="BH183" i="15"/>
  <c r="BI182" i="15"/>
  <c r="BH123" i="15"/>
  <c r="BI122" i="15"/>
  <c r="BH147" i="15"/>
  <c r="BI146" i="15"/>
  <c r="BI134" i="15"/>
  <c r="BH135" i="15"/>
  <c r="BI152" i="15"/>
  <c r="BH153" i="15"/>
  <c r="BH150" i="15"/>
  <c r="BI149" i="15"/>
  <c r="BH141" i="15"/>
  <c r="BI140" i="15"/>
  <c r="BH159" i="15"/>
  <c r="BI158" i="15"/>
  <c r="BH180" i="15"/>
  <c r="BI179" i="15"/>
  <c r="BH114" i="15"/>
  <c r="BI113" i="15"/>
  <c r="BH186" i="15"/>
  <c r="BI185" i="15"/>
  <c r="BH165" i="15"/>
  <c r="BI164" i="15"/>
  <c r="BH132" i="15"/>
  <c r="BI131" i="15"/>
  <c r="BH171" i="15"/>
  <c r="BI170" i="15"/>
  <c r="BH168" i="15"/>
  <c r="BI167" i="15"/>
  <c r="BH144" i="15"/>
  <c r="BI143" i="15"/>
  <c r="BH117" i="15"/>
  <c r="BI116" i="15"/>
  <c r="BI137" i="15"/>
  <c r="BH138" i="15"/>
  <c r="BH162" i="15"/>
  <c r="BI161" i="15"/>
  <c r="BH177" i="15"/>
  <c r="BI176" i="15"/>
  <c r="BH156" i="15"/>
  <c r="BI155" i="15"/>
  <c r="BI128" i="15"/>
  <c r="BH129" i="15"/>
  <c r="BH174" i="15"/>
  <c r="BI173" i="15"/>
  <c r="BD21" i="20"/>
  <c r="BD23" i="20" s="1"/>
  <c r="BD24" i="20" s="1"/>
  <c r="BD26" i="20" s="1"/>
  <c r="BD28" i="20" s="1"/>
  <c r="BD30" i="20" s="1"/>
  <c r="BE6" i="20" s="1"/>
  <c r="BE10" i="20" s="1"/>
  <c r="BE17" i="20"/>
  <c r="BE20" i="20" s="1"/>
  <c r="BE42" i="20"/>
  <c r="BE47" i="20" s="1"/>
  <c r="BE50" i="20" s="1"/>
  <c r="BE51" i="20" s="1"/>
  <c r="BE53" i="20" s="1"/>
  <c r="BE54" i="20" s="1"/>
  <c r="BE56" i="20" s="1"/>
  <c r="BE58" i="20" s="1"/>
  <c r="BE60" i="20" s="1"/>
  <c r="BF36" i="20" s="1"/>
  <c r="BF40" i="20" s="1"/>
  <c r="BG190" i="15"/>
  <c r="BF12" i="20" s="1"/>
  <c r="BF42" i="20" s="1"/>
  <c r="BF47" i="20" s="1"/>
  <c r="BF50" i="20" s="1"/>
  <c r="BH105" i="15"/>
  <c r="BI104" i="15"/>
  <c r="BI107" i="15"/>
  <c r="BH108" i="15"/>
  <c r="BG82" i="20"/>
  <c r="BG83" i="20" s="1"/>
  <c r="BG85" i="20" s="1"/>
  <c r="BG87" i="20" s="1"/>
  <c r="BG89" i="20" s="1"/>
  <c r="BH65" i="20" s="1"/>
  <c r="BH69" i="20" s="1"/>
  <c r="BH80" i="20" s="1"/>
  <c r="BI174" i="15" l="1"/>
  <c r="BJ173" i="15"/>
  <c r="BI156" i="15"/>
  <c r="BJ155" i="15"/>
  <c r="BI162" i="15"/>
  <c r="BJ161" i="15"/>
  <c r="BJ116" i="15"/>
  <c r="BI117" i="15"/>
  <c r="BI168" i="15"/>
  <c r="BJ167" i="15"/>
  <c r="BI132" i="15"/>
  <c r="BJ131" i="15"/>
  <c r="BI186" i="15"/>
  <c r="BJ185" i="15"/>
  <c r="BI180" i="15"/>
  <c r="BJ179" i="15"/>
  <c r="BI141" i="15"/>
  <c r="BJ140" i="15"/>
  <c r="BI147" i="15"/>
  <c r="BJ146" i="15"/>
  <c r="BI183" i="15"/>
  <c r="BJ182" i="15"/>
  <c r="BI120" i="15"/>
  <c r="BJ119" i="15"/>
  <c r="BI153" i="15"/>
  <c r="BJ152" i="15"/>
  <c r="BI177" i="15"/>
  <c r="BJ176" i="15"/>
  <c r="BI144" i="15"/>
  <c r="BJ143" i="15"/>
  <c r="BI171" i="15"/>
  <c r="BJ170" i="15"/>
  <c r="BI165" i="15"/>
  <c r="BJ164" i="15"/>
  <c r="BI114" i="15"/>
  <c r="BJ113" i="15"/>
  <c r="BI159" i="15"/>
  <c r="BJ158" i="15"/>
  <c r="BI150" i="15"/>
  <c r="BJ149" i="15"/>
  <c r="BI123" i="15"/>
  <c r="BJ122" i="15"/>
  <c r="BI111" i="15"/>
  <c r="BJ110" i="15"/>
  <c r="BI126" i="15"/>
  <c r="BJ125" i="15"/>
  <c r="BI129" i="15"/>
  <c r="BJ128" i="15"/>
  <c r="BI138" i="15"/>
  <c r="BJ137" i="15"/>
  <c r="BI135" i="15"/>
  <c r="BJ134" i="15"/>
  <c r="S42" i="36"/>
  <c r="S47" i="36" s="1"/>
  <c r="S50" i="36" s="1"/>
  <c r="S51" i="36" s="1"/>
  <c r="S53" i="36" s="1"/>
  <c r="S54" i="36" s="1"/>
  <c r="S56" i="36" s="1"/>
  <c r="S58" i="36" s="1"/>
  <c r="S60" i="36" s="1"/>
  <c r="T36" i="36" s="1"/>
  <c r="T40" i="36" s="1"/>
  <c r="BE21" i="20"/>
  <c r="BE23" i="20" s="1"/>
  <c r="BF17" i="20"/>
  <c r="BF20" i="20" s="1"/>
  <c r="BI105" i="15"/>
  <c r="BJ104" i="15"/>
  <c r="BJ107" i="15"/>
  <c r="BI108" i="15"/>
  <c r="BH190" i="15"/>
  <c r="BG12" i="20" s="1"/>
  <c r="BF51" i="20"/>
  <c r="BH82" i="20"/>
  <c r="BH83" i="20" s="1"/>
  <c r="BH85" i="20" s="1"/>
  <c r="BH87" i="20" s="1"/>
  <c r="BH89" i="20" s="1"/>
  <c r="BI65" i="20" s="1"/>
  <c r="BI69" i="20" s="1"/>
  <c r="BI80" i="20" s="1"/>
  <c r="BI190" i="15" l="1"/>
  <c r="BH12" i="20" s="1"/>
  <c r="T12" i="36" s="1"/>
  <c r="T17" i="36" s="1"/>
  <c r="T20" i="36" s="1"/>
  <c r="T21" i="36" s="1"/>
  <c r="T23" i="36" s="1"/>
  <c r="T24" i="36" s="1"/>
  <c r="T26" i="36" s="1"/>
  <c r="T28" i="36" s="1"/>
  <c r="T30" i="36" s="1"/>
  <c r="U6" i="36" s="1"/>
  <c r="U10" i="36" s="1"/>
  <c r="BJ135" i="15"/>
  <c r="BK134" i="15"/>
  <c r="BJ129" i="15"/>
  <c r="BK128" i="15"/>
  <c r="BJ111" i="15"/>
  <c r="BK110" i="15"/>
  <c r="BJ150" i="15"/>
  <c r="BK149" i="15"/>
  <c r="BJ114" i="15"/>
  <c r="BK113" i="15"/>
  <c r="BJ171" i="15"/>
  <c r="BK170" i="15"/>
  <c r="BJ177" i="15"/>
  <c r="BK176" i="15"/>
  <c r="BJ120" i="15"/>
  <c r="BK119" i="15"/>
  <c r="BK146" i="15"/>
  <c r="BJ147" i="15"/>
  <c r="BJ180" i="15"/>
  <c r="BK179" i="15"/>
  <c r="BJ132" i="15"/>
  <c r="BK131" i="15"/>
  <c r="BJ156" i="15"/>
  <c r="BK155" i="15"/>
  <c r="BJ117" i="15"/>
  <c r="BK116" i="15"/>
  <c r="BJ138" i="15"/>
  <c r="BK137" i="15"/>
  <c r="BJ126" i="15"/>
  <c r="BK125" i="15"/>
  <c r="BJ123" i="15"/>
  <c r="BK122" i="15"/>
  <c r="BJ159" i="15"/>
  <c r="BK158" i="15"/>
  <c r="BJ165" i="15"/>
  <c r="BK164" i="15"/>
  <c r="BJ144" i="15"/>
  <c r="BK143" i="15"/>
  <c r="BK152" i="15"/>
  <c r="BJ153" i="15"/>
  <c r="BJ183" i="15"/>
  <c r="BK182" i="15"/>
  <c r="BJ141" i="15"/>
  <c r="BK140" i="15"/>
  <c r="BJ186" i="15"/>
  <c r="BK185" i="15"/>
  <c r="BJ168" i="15"/>
  <c r="BK167" i="15"/>
  <c r="BJ162" i="15"/>
  <c r="BK161" i="15"/>
  <c r="BJ174" i="15"/>
  <c r="BK173" i="15"/>
  <c r="BE24" i="20"/>
  <c r="BE26" i="20" s="1"/>
  <c r="BE28" i="20" s="1"/>
  <c r="BE30" i="20" s="1"/>
  <c r="BF6" i="20" s="1"/>
  <c r="BF10" i="20" s="1"/>
  <c r="BF21" i="20" s="1"/>
  <c r="BF23" i="20" s="1"/>
  <c r="BF24" i="20" s="1"/>
  <c r="BF26" i="20" s="1"/>
  <c r="BF28" i="20" s="1"/>
  <c r="BF30" i="20" s="1"/>
  <c r="BG6" i="20" s="1"/>
  <c r="BG10" i="20" s="1"/>
  <c r="BG17" i="20"/>
  <c r="BG20" i="20" s="1"/>
  <c r="BG42" i="20"/>
  <c r="BJ108" i="15"/>
  <c r="BK107" i="15"/>
  <c r="BF53" i="20"/>
  <c r="BF54" i="20" s="1"/>
  <c r="BF56" i="20" s="1"/>
  <c r="BF58" i="20" s="1"/>
  <c r="BF60" i="20" s="1"/>
  <c r="BG36" i="20" s="1"/>
  <c r="BG40" i="20" s="1"/>
  <c r="BK104" i="15"/>
  <c r="BJ105" i="15"/>
  <c r="BI82" i="20"/>
  <c r="BI83" i="20" s="1"/>
  <c r="BI85" i="20" s="1"/>
  <c r="BI87" i="20" s="1"/>
  <c r="BI89" i="20" s="1"/>
  <c r="BJ65" i="20" s="1"/>
  <c r="BJ69" i="20" s="1"/>
  <c r="BJ80" i="20" s="1"/>
  <c r="BJ190" i="15" l="1"/>
  <c r="BI12" i="20" s="1"/>
  <c r="BI17" i="20" s="1"/>
  <c r="BI20" i="20" s="1"/>
  <c r="BK174" i="15"/>
  <c r="BL173" i="15"/>
  <c r="BK168" i="15"/>
  <c r="BL167" i="15"/>
  <c r="BL140" i="15"/>
  <c r="BK141" i="15"/>
  <c r="BK165" i="15"/>
  <c r="BL164" i="15"/>
  <c r="BK123" i="15"/>
  <c r="BL122" i="15"/>
  <c r="BK138" i="15"/>
  <c r="BL137" i="15"/>
  <c r="BK156" i="15"/>
  <c r="BL155" i="15"/>
  <c r="BK180" i="15"/>
  <c r="BL179" i="15"/>
  <c r="BK120" i="15"/>
  <c r="BL119" i="15"/>
  <c r="BK171" i="15"/>
  <c r="BL170" i="15"/>
  <c r="BK150" i="15"/>
  <c r="BL149" i="15"/>
  <c r="BK129" i="15"/>
  <c r="BL128" i="15"/>
  <c r="BK153" i="15"/>
  <c r="BL152" i="15"/>
  <c r="BK162" i="15"/>
  <c r="BL161" i="15"/>
  <c r="BK186" i="15"/>
  <c r="BL185" i="15"/>
  <c r="BK183" i="15"/>
  <c r="BL182" i="15"/>
  <c r="BL143" i="15"/>
  <c r="BK144" i="15"/>
  <c r="BK159" i="15"/>
  <c r="BL158" i="15"/>
  <c r="BK126" i="15"/>
  <c r="BL125" i="15"/>
  <c r="BK117" i="15"/>
  <c r="BL116" i="15"/>
  <c r="BK132" i="15"/>
  <c r="BL131" i="15"/>
  <c r="BK177" i="15"/>
  <c r="BL176" i="15"/>
  <c r="BK114" i="15"/>
  <c r="BL113" i="15"/>
  <c r="BK111" i="15"/>
  <c r="BL110" i="15"/>
  <c r="BK135" i="15"/>
  <c r="BL134" i="15"/>
  <c r="BK147" i="15"/>
  <c r="BL146" i="15"/>
  <c r="BH42" i="20"/>
  <c r="BH47" i="20" s="1"/>
  <c r="BH50" i="20" s="1"/>
  <c r="BH17" i="20"/>
  <c r="BH20" i="20" s="1"/>
  <c r="BG21" i="20"/>
  <c r="BG23" i="20" s="1"/>
  <c r="BG24" i="20" s="1"/>
  <c r="BG26" i="20" s="1"/>
  <c r="BG28" i="20" s="1"/>
  <c r="BG30" i="20" s="1"/>
  <c r="BH6" i="20" s="1"/>
  <c r="BH10" i="20" s="1"/>
  <c r="BK108" i="15"/>
  <c r="BL107" i="15"/>
  <c r="BL104" i="15"/>
  <c r="BK105" i="15"/>
  <c r="BG47" i="20"/>
  <c r="BG50" i="20" s="1"/>
  <c r="BG51" i="20" s="1"/>
  <c r="BG53" i="20" s="1"/>
  <c r="BG54" i="20" s="1"/>
  <c r="BG56" i="20" s="1"/>
  <c r="BG58" i="20" s="1"/>
  <c r="BG60" i="20" s="1"/>
  <c r="BH36" i="20" s="1"/>
  <c r="BH40" i="20" s="1"/>
  <c r="BJ82" i="20"/>
  <c r="BJ83" i="20" s="1"/>
  <c r="BJ85" i="20" s="1"/>
  <c r="BJ87" i="20" s="1"/>
  <c r="BJ89" i="20" s="1"/>
  <c r="BK65" i="20" s="1"/>
  <c r="BK69" i="20" s="1"/>
  <c r="BK80" i="20" s="1"/>
  <c r="BK190" i="15" l="1"/>
  <c r="BJ12" i="20" s="1"/>
  <c r="BJ42" i="20" s="1"/>
  <c r="BJ47" i="20" s="1"/>
  <c r="BJ50" i="20" s="1"/>
  <c r="BI42" i="20"/>
  <c r="BI47" i="20" s="1"/>
  <c r="BI50" i="20" s="1"/>
  <c r="BH51" i="20"/>
  <c r="BH53" i="20" s="1"/>
  <c r="BH54" i="20" s="1"/>
  <c r="BH56" i="20" s="1"/>
  <c r="BH58" i="20" s="1"/>
  <c r="BH60" i="20" s="1"/>
  <c r="BI36" i="20" s="1"/>
  <c r="BI40" i="20" s="1"/>
  <c r="BL147" i="15"/>
  <c r="BM146" i="15"/>
  <c r="BL111" i="15"/>
  <c r="BM110" i="15"/>
  <c r="BL177" i="15"/>
  <c r="BM176" i="15"/>
  <c r="BL117" i="15"/>
  <c r="BM116" i="15"/>
  <c r="BL159" i="15"/>
  <c r="BM158" i="15"/>
  <c r="BL183" i="15"/>
  <c r="BM182" i="15"/>
  <c r="BM161" i="15"/>
  <c r="BL162" i="15"/>
  <c r="BL129" i="15"/>
  <c r="BM128" i="15"/>
  <c r="BL171" i="15"/>
  <c r="BM170" i="15"/>
  <c r="BL180" i="15"/>
  <c r="BM179" i="15"/>
  <c r="BL138" i="15"/>
  <c r="BM137" i="15"/>
  <c r="BL165" i="15"/>
  <c r="BM164" i="15"/>
  <c r="BL168" i="15"/>
  <c r="BM167" i="15"/>
  <c r="BL135" i="15"/>
  <c r="BM134" i="15"/>
  <c r="BL114" i="15"/>
  <c r="BM113" i="15"/>
  <c r="BL132" i="15"/>
  <c r="BM131" i="15"/>
  <c r="BL126" i="15"/>
  <c r="BM125" i="15"/>
  <c r="BL186" i="15"/>
  <c r="BM185" i="15"/>
  <c r="BM152" i="15"/>
  <c r="BL153" i="15"/>
  <c r="BM149" i="15"/>
  <c r="BL150" i="15"/>
  <c r="BL120" i="15"/>
  <c r="BM119" i="15"/>
  <c r="BL156" i="15"/>
  <c r="BM155" i="15"/>
  <c r="BL123" i="15"/>
  <c r="BM122" i="15"/>
  <c r="BL174" i="15"/>
  <c r="BM173" i="15"/>
  <c r="BL144" i="15"/>
  <c r="BM143" i="15"/>
  <c r="BL141" i="15"/>
  <c r="BM140" i="15"/>
  <c r="BH21" i="20"/>
  <c r="BH23" i="20" s="1"/>
  <c r="BH24" i="20" s="1"/>
  <c r="BH26" i="20" s="1"/>
  <c r="BH28" i="20" s="1"/>
  <c r="BH30" i="20" s="1"/>
  <c r="BI6" i="20" s="1"/>
  <c r="BI10" i="20" s="1"/>
  <c r="BI21" i="20" s="1"/>
  <c r="T42" i="36"/>
  <c r="T47" i="36" s="1"/>
  <c r="T50" i="36" s="1"/>
  <c r="T51" i="36" s="1"/>
  <c r="T53" i="36" s="1"/>
  <c r="T54" i="36" s="1"/>
  <c r="T56" i="36" s="1"/>
  <c r="T58" i="36" s="1"/>
  <c r="T60" i="36" s="1"/>
  <c r="U36" i="36" s="1"/>
  <c r="U40" i="36" s="1"/>
  <c r="BM104" i="15"/>
  <c r="BL105" i="15"/>
  <c r="BM107" i="15"/>
  <c r="BL108" i="15"/>
  <c r="BK82" i="20"/>
  <c r="BK83" i="20" s="1"/>
  <c r="BK85" i="20" s="1"/>
  <c r="BK87" i="20" s="1"/>
  <c r="BK89" i="20" s="1"/>
  <c r="BL65" i="20" s="1"/>
  <c r="BL69" i="20" s="1"/>
  <c r="BL80" i="20" s="1"/>
  <c r="BJ17" i="20" l="1"/>
  <c r="BJ20" i="20" s="1"/>
  <c r="BI51" i="20"/>
  <c r="BI53" i="20" s="1"/>
  <c r="BI54" i="20" s="1"/>
  <c r="BI56" i="20" s="1"/>
  <c r="BI58" i="20" s="1"/>
  <c r="BI60" i="20" s="1"/>
  <c r="BJ36" i="20" s="1"/>
  <c r="BJ40" i="20" s="1"/>
  <c r="BJ51" i="20" s="1"/>
  <c r="BJ53" i="20" s="1"/>
  <c r="BJ54" i="20" s="1"/>
  <c r="BJ56" i="20" s="1"/>
  <c r="BJ58" i="20" s="1"/>
  <c r="BJ60" i="20" s="1"/>
  <c r="BK36" i="20" s="1"/>
  <c r="BK40" i="20" s="1"/>
  <c r="BM141" i="15"/>
  <c r="BN140" i="15"/>
  <c r="BN173" i="15"/>
  <c r="BM174" i="15"/>
  <c r="BM156" i="15"/>
  <c r="BN155" i="15"/>
  <c r="BM186" i="15"/>
  <c r="BN185" i="15"/>
  <c r="BM132" i="15"/>
  <c r="BN131" i="15"/>
  <c r="BM135" i="15"/>
  <c r="BN134" i="15"/>
  <c r="BN164" i="15"/>
  <c r="BM165" i="15"/>
  <c r="BM180" i="15"/>
  <c r="BN179" i="15"/>
  <c r="BM129" i="15"/>
  <c r="BN128" i="15"/>
  <c r="BM183" i="15"/>
  <c r="BN182" i="15"/>
  <c r="BM117" i="15"/>
  <c r="BN116" i="15"/>
  <c r="BN110" i="15"/>
  <c r="BM111" i="15"/>
  <c r="BM150" i="15"/>
  <c r="BN149" i="15"/>
  <c r="BM144" i="15"/>
  <c r="BN143" i="15"/>
  <c r="BM123" i="15"/>
  <c r="BN122" i="15"/>
  <c r="BM120" i="15"/>
  <c r="BN119" i="15"/>
  <c r="BM126" i="15"/>
  <c r="BN125" i="15"/>
  <c r="BM114" i="15"/>
  <c r="BN113" i="15"/>
  <c r="BM168" i="15"/>
  <c r="BN167" i="15"/>
  <c r="BM138" i="15"/>
  <c r="BN137" i="15"/>
  <c r="BM171" i="15"/>
  <c r="BN170" i="15"/>
  <c r="BM159" i="15"/>
  <c r="BN158" i="15"/>
  <c r="BM177" i="15"/>
  <c r="BN176" i="15"/>
  <c r="BN146" i="15"/>
  <c r="BM147" i="15"/>
  <c r="BM153" i="15"/>
  <c r="BN152" i="15"/>
  <c r="BM162" i="15"/>
  <c r="BN161" i="15"/>
  <c r="BL190" i="15"/>
  <c r="BK12" i="20" s="1"/>
  <c r="BN107" i="15"/>
  <c r="BM108" i="15"/>
  <c r="BN104" i="15"/>
  <c r="BM105" i="15"/>
  <c r="BL82" i="20"/>
  <c r="BL83" i="20" s="1"/>
  <c r="BL85" i="20" s="1"/>
  <c r="BL87" i="20" s="1"/>
  <c r="BL89" i="20" s="1"/>
  <c r="BM65" i="20" s="1"/>
  <c r="BM69" i="20" s="1"/>
  <c r="BM80" i="20" s="1"/>
  <c r="BI23" i="20"/>
  <c r="BI24" i="20" s="1"/>
  <c r="BI26" i="20" s="1"/>
  <c r="BI28" i="20" s="1"/>
  <c r="BI30" i="20" s="1"/>
  <c r="BJ6" i="20" s="1"/>
  <c r="BJ10" i="20" s="1"/>
  <c r="BJ21" i="20" s="1"/>
  <c r="BN162" i="15" l="1"/>
  <c r="BO161" i="15"/>
  <c r="BN159" i="15"/>
  <c r="BO158" i="15"/>
  <c r="BN138" i="15"/>
  <c r="BO137" i="15"/>
  <c r="BN114" i="15"/>
  <c r="BO113" i="15"/>
  <c r="BN120" i="15"/>
  <c r="BO119" i="15"/>
  <c r="BN144" i="15"/>
  <c r="BO143" i="15"/>
  <c r="BN183" i="15"/>
  <c r="BO182" i="15"/>
  <c r="BN180" i="15"/>
  <c r="BO179" i="15"/>
  <c r="BN135" i="15"/>
  <c r="BO134" i="15"/>
  <c r="BN186" i="15"/>
  <c r="BO185" i="15"/>
  <c r="BN147" i="15"/>
  <c r="BO146" i="15"/>
  <c r="BN111" i="15"/>
  <c r="BO110" i="15"/>
  <c r="BN174" i="15"/>
  <c r="BO173" i="15"/>
  <c r="BN153" i="15"/>
  <c r="BO152" i="15"/>
  <c r="BN177" i="15"/>
  <c r="BO176" i="15"/>
  <c r="BN171" i="15"/>
  <c r="BO170" i="15"/>
  <c r="BN168" i="15"/>
  <c r="BO167" i="15"/>
  <c r="BN126" i="15"/>
  <c r="BO125" i="15"/>
  <c r="BN123" i="15"/>
  <c r="BO122" i="15"/>
  <c r="BN150" i="15"/>
  <c r="BO149" i="15"/>
  <c r="BN117" i="15"/>
  <c r="BO116" i="15"/>
  <c r="BN129" i="15"/>
  <c r="BO128" i="15"/>
  <c r="BN132" i="15"/>
  <c r="BO131" i="15"/>
  <c r="BN156" i="15"/>
  <c r="BO155" i="15"/>
  <c r="BN141" i="15"/>
  <c r="BO140" i="15"/>
  <c r="BN165" i="15"/>
  <c r="BO164" i="15"/>
  <c r="BM190" i="15"/>
  <c r="BL12" i="20" s="1"/>
  <c r="BK17" i="20"/>
  <c r="BK20" i="20" s="1"/>
  <c r="BK42" i="20"/>
  <c r="U12" i="36"/>
  <c r="U17" i="36" s="1"/>
  <c r="U20" i="36" s="1"/>
  <c r="U21" i="36" s="1"/>
  <c r="U23" i="36" s="1"/>
  <c r="U24" i="36" s="1"/>
  <c r="U26" i="36" s="1"/>
  <c r="U28" i="36" s="1"/>
  <c r="U30" i="36" s="1"/>
  <c r="V6" i="36" s="1"/>
  <c r="V10" i="36" s="1"/>
  <c r="BO104" i="15"/>
  <c r="BN105" i="15"/>
  <c r="BO107" i="15"/>
  <c r="BN108" i="15"/>
  <c r="BM82" i="20"/>
  <c r="BM83" i="20" s="1"/>
  <c r="BM85" i="20" s="1"/>
  <c r="BM87" i="20" s="1"/>
  <c r="BM89" i="20" s="1"/>
  <c r="BN65" i="20" s="1"/>
  <c r="BN69" i="20" s="1"/>
  <c r="BN80" i="20" s="1"/>
  <c r="BJ23" i="20"/>
  <c r="BJ24" i="20" s="1"/>
  <c r="BJ26" i="20" s="1"/>
  <c r="BJ28" i="20" s="1"/>
  <c r="BJ30" i="20" s="1"/>
  <c r="BK6" i="20" s="1"/>
  <c r="BK10" i="20" s="1"/>
  <c r="BO165" i="15" l="1"/>
  <c r="BP165" i="15" s="1"/>
  <c r="BP164" i="15"/>
  <c r="BQ164" i="15" s="1"/>
  <c r="BO156" i="15"/>
  <c r="BP156" i="15" s="1"/>
  <c r="BP155" i="15"/>
  <c r="BQ155" i="15" s="1"/>
  <c r="BO129" i="15"/>
  <c r="BP129" i="15" s="1"/>
  <c r="BP128" i="15"/>
  <c r="BQ128" i="15" s="1"/>
  <c r="BO150" i="15"/>
  <c r="BP150" i="15" s="1"/>
  <c r="BP149" i="15"/>
  <c r="BQ149" i="15" s="1"/>
  <c r="BO126" i="15"/>
  <c r="BP126" i="15" s="1"/>
  <c r="BP125" i="15"/>
  <c r="BQ125" i="15" s="1"/>
  <c r="BO171" i="15"/>
  <c r="BP171" i="15" s="1"/>
  <c r="BP170" i="15"/>
  <c r="BQ170" i="15" s="1"/>
  <c r="BP152" i="15"/>
  <c r="BQ152" i="15" s="1"/>
  <c r="BO153" i="15"/>
  <c r="BP153" i="15" s="1"/>
  <c r="BO111" i="15"/>
  <c r="BP111" i="15" s="1"/>
  <c r="BP110" i="15"/>
  <c r="BQ110" i="15" s="1"/>
  <c r="BO186" i="15"/>
  <c r="BP186" i="15" s="1"/>
  <c r="BP185" i="15"/>
  <c r="BQ185" i="15" s="1"/>
  <c r="BO180" i="15"/>
  <c r="BP180" i="15" s="1"/>
  <c r="BP179" i="15"/>
  <c r="BQ179" i="15" s="1"/>
  <c r="BP143" i="15"/>
  <c r="BQ143" i="15" s="1"/>
  <c r="BO144" i="15"/>
  <c r="BP144" i="15" s="1"/>
  <c r="BO114" i="15"/>
  <c r="BP114" i="15" s="1"/>
  <c r="BP113" i="15"/>
  <c r="BQ113" i="15" s="1"/>
  <c r="BO159" i="15"/>
  <c r="BP159" i="15" s="1"/>
  <c r="BP158" i="15"/>
  <c r="BQ158" i="15" s="1"/>
  <c r="BO141" i="15"/>
  <c r="BP141" i="15" s="1"/>
  <c r="BP140" i="15"/>
  <c r="BQ140" i="15" s="1"/>
  <c r="BO132" i="15"/>
  <c r="BP132" i="15" s="1"/>
  <c r="BP131" i="15"/>
  <c r="BQ131" i="15" s="1"/>
  <c r="BO117" i="15"/>
  <c r="BP117" i="15" s="1"/>
  <c r="BP116" i="15"/>
  <c r="BQ116" i="15" s="1"/>
  <c r="BO123" i="15"/>
  <c r="BP123" i="15" s="1"/>
  <c r="BP122" i="15"/>
  <c r="BQ122" i="15" s="1"/>
  <c r="BO168" i="15"/>
  <c r="BP168" i="15" s="1"/>
  <c r="BP167" i="15"/>
  <c r="BQ167" i="15" s="1"/>
  <c r="BP176" i="15"/>
  <c r="BQ176" i="15" s="1"/>
  <c r="BO177" i="15"/>
  <c r="BP177" i="15" s="1"/>
  <c r="BP173" i="15"/>
  <c r="BQ173" i="15" s="1"/>
  <c r="BO174" i="15"/>
  <c r="BP174" i="15" s="1"/>
  <c r="BO147" i="15"/>
  <c r="BP147" i="15" s="1"/>
  <c r="BP146" i="15"/>
  <c r="BQ146" i="15" s="1"/>
  <c r="BO135" i="15"/>
  <c r="BP135" i="15" s="1"/>
  <c r="BP134" i="15"/>
  <c r="BQ134" i="15" s="1"/>
  <c r="BO183" i="15"/>
  <c r="BP183" i="15" s="1"/>
  <c r="BP182" i="15"/>
  <c r="BQ182" i="15" s="1"/>
  <c r="BO120" i="15"/>
  <c r="BP120" i="15" s="1"/>
  <c r="BP119" i="15"/>
  <c r="BQ119" i="15" s="1"/>
  <c r="BP137" i="15"/>
  <c r="BQ137" i="15" s="1"/>
  <c r="BO138" i="15"/>
  <c r="BP138" i="15" s="1"/>
  <c r="BO162" i="15"/>
  <c r="BP162" i="15" s="1"/>
  <c r="BP161" i="15"/>
  <c r="BQ161" i="15" s="1"/>
  <c r="BL17" i="20"/>
  <c r="BL20" i="20" s="1"/>
  <c r="BL42" i="20"/>
  <c r="BL47" i="20" s="1"/>
  <c r="BL50" i="20" s="1"/>
  <c r="BK21" i="20"/>
  <c r="BK23" i="20" s="1"/>
  <c r="BK24" i="20" s="1"/>
  <c r="BK26" i="20" s="1"/>
  <c r="BK28" i="20" s="1"/>
  <c r="BK30" i="20" s="1"/>
  <c r="BL6" i="20" s="1"/>
  <c r="BL10" i="20" s="1"/>
  <c r="BN190" i="15"/>
  <c r="BM12" i="20" s="1"/>
  <c r="BM17" i="20" s="1"/>
  <c r="BM20" i="20" s="1"/>
  <c r="BO105" i="15"/>
  <c r="BP104" i="15"/>
  <c r="BQ104" i="15" s="1"/>
  <c r="BP107" i="15"/>
  <c r="BQ107" i="15" s="1"/>
  <c r="BO108" i="15"/>
  <c r="BP108" i="15" s="1"/>
  <c r="BK47" i="20"/>
  <c r="BK50" i="20" s="1"/>
  <c r="BK51" i="20" s="1"/>
  <c r="BK53" i="20" s="1"/>
  <c r="BK54" i="20" s="1"/>
  <c r="BK56" i="20" s="1"/>
  <c r="BK58" i="20" s="1"/>
  <c r="BK60" i="20" s="1"/>
  <c r="BL36" i="20" s="1"/>
  <c r="BL40" i="20" s="1"/>
  <c r="U42" i="36"/>
  <c r="U47" i="36" s="1"/>
  <c r="U50" i="36" s="1"/>
  <c r="U51" i="36" s="1"/>
  <c r="U53" i="36" s="1"/>
  <c r="U54" i="36" s="1"/>
  <c r="U56" i="36" s="1"/>
  <c r="U58" i="36" s="1"/>
  <c r="U60" i="36" s="1"/>
  <c r="V36" i="36" s="1"/>
  <c r="V40" i="36" s="1"/>
  <c r="BN82" i="20"/>
  <c r="BN83" i="20" s="1"/>
  <c r="BN85" i="20" s="1"/>
  <c r="BN87" i="20" s="1"/>
  <c r="BN89" i="20" s="1"/>
  <c r="BP65" i="20" s="1"/>
  <c r="BP69" i="20" s="1"/>
  <c r="BP80" i="20" s="1"/>
  <c r="BO80" i="20"/>
  <c r="BR161" i="15" l="1"/>
  <c r="BQ162" i="15"/>
  <c r="BQ120" i="15"/>
  <c r="BR119" i="15"/>
  <c r="BQ135" i="15"/>
  <c r="BR134" i="15"/>
  <c r="BQ168" i="15"/>
  <c r="BR167" i="15"/>
  <c r="BQ117" i="15"/>
  <c r="BR116" i="15"/>
  <c r="BQ141" i="15"/>
  <c r="BR140" i="15"/>
  <c r="BQ114" i="15"/>
  <c r="BR113" i="15"/>
  <c r="BR179" i="15"/>
  <c r="BQ180" i="15"/>
  <c r="BR110" i="15"/>
  <c r="BQ111" i="15"/>
  <c r="BQ171" i="15"/>
  <c r="BR170" i="15"/>
  <c r="BQ150" i="15"/>
  <c r="BR149" i="15"/>
  <c r="BQ156" i="15"/>
  <c r="BR155" i="15"/>
  <c r="BQ174" i="15"/>
  <c r="BR173" i="15"/>
  <c r="BQ183" i="15"/>
  <c r="BR182" i="15"/>
  <c r="BQ147" i="15"/>
  <c r="BR146" i="15"/>
  <c r="BR122" i="15"/>
  <c r="BQ123" i="15"/>
  <c r="BR131" i="15"/>
  <c r="BQ132" i="15"/>
  <c r="BQ159" i="15"/>
  <c r="BR158" i="15"/>
  <c r="BQ186" i="15"/>
  <c r="BR185" i="15"/>
  <c r="BQ126" i="15"/>
  <c r="BR125" i="15"/>
  <c r="BQ129" i="15"/>
  <c r="BR128" i="15"/>
  <c r="BQ165" i="15"/>
  <c r="BR164" i="15"/>
  <c r="BQ138" i="15"/>
  <c r="BR137" i="15"/>
  <c r="BR176" i="15"/>
  <c r="BQ177" i="15"/>
  <c r="BQ144" i="15"/>
  <c r="BR143" i="15"/>
  <c r="BQ153" i="15"/>
  <c r="BR152" i="15"/>
  <c r="BL21" i="20"/>
  <c r="BL23" i="20" s="1"/>
  <c r="BL24" i="20" s="1"/>
  <c r="BL26" i="20" s="1"/>
  <c r="BL28" i="20" s="1"/>
  <c r="BL30" i="20" s="1"/>
  <c r="BM6" i="20" s="1"/>
  <c r="BM10" i="20" s="1"/>
  <c r="BM21" i="20" s="1"/>
  <c r="BL51" i="20"/>
  <c r="BL53" i="20" s="1"/>
  <c r="BL54" i="20" s="1"/>
  <c r="BL56" i="20" s="1"/>
  <c r="BL58" i="20" s="1"/>
  <c r="BL60" i="20" s="1"/>
  <c r="BM36" i="20" s="1"/>
  <c r="BM40" i="20" s="1"/>
  <c r="BM42" i="20"/>
  <c r="BM47" i="20" s="1"/>
  <c r="BM50" i="20" s="1"/>
  <c r="BO190" i="15"/>
  <c r="BN12" i="20" s="1"/>
  <c r="V12" i="36" s="1"/>
  <c r="V17" i="36" s="1"/>
  <c r="V20" i="36" s="1"/>
  <c r="V21" i="36" s="1"/>
  <c r="V23" i="36" s="1"/>
  <c r="V24" i="36" s="1"/>
  <c r="V26" i="36" s="1"/>
  <c r="V28" i="36" s="1"/>
  <c r="V30" i="36" s="1"/>
  <c r="W6" i="36" s="1"/>
  <c r="W10" i="36" s="1"/>
  <c r="BQ108" i="15"/>
  <c r="BR107" i="15"/>
  <c r="BP105" i="15"/>
  <c r="BP190" i="15" s="1"/>
  <c r="BR104" i="15"/>
  <c r="BQ105" i="15"/>
  <c r="BP82" i="20"/>
  <c r="BP83" i="20" s="1"/>
  <c r="BP85" i="20" s="1"/>
  <c r="BP87" i="20" s="1"/>
  <c r="BP89" i="20" s="1"/>
  <c r="BQ65" i="20" s="1"/>
  <c r="BQ69" i="20" s="1"/>
  <c r="BQ80" i="20" s="1"/>
  <c r="BR153" i="15" l="1"/>
  <c r="BS152" i="15"/>
  <c r="BR165" i="15"/>
  <c r="BS164" i="15"/>
  <c r="BR126" i="15"/>
  <c r="BS125" i="15"/>
  <c r="BR159" i="15"/>
  <c r="BS158" i="15"/>
  <c r="BS182" i="15"/>
  <c r="BR183" i="15"/>
  <c r="BR156" i="15"/>
  <c r="BS155" i="15"/>
  <c r="BR171" i="15"/>
  <c r="BS170" i="15"/>
  <c r="BR141" i="15"/>
  <c r="BS140" i="15"/>
  <c r="BS167" i="15"/>
  <c r="BR168" i="15"/>
  <c r="BR120" i="15"/>
  <c r="BS119" i="15"/>
  <c r="BR177" i="15"/>
  <c r="BS176" i="15"/>
  <c r="BR123" i="15"/>
  <c r="BS122" i="15"/>
  <c r="BR180" i="15"/>
  <c r="BS179" i="15"/>
  <c r="BR144" i="15"/>
  <c r="BS143" i="15"/>
  <c r="BR138" i="15"/>
  <c r="BS137" i="15"/>
  <c r="BR129" i="15"/>
  <c r="BS128" i="15"/>
  <c r="BR186" i="15"/>
  <c r="BS185" i="15"/>
  <c r="BR147" i="15"/>
  <c r="BS146" i="15"/>
  <c r="BR174" i="15"/>
  <c r="BS173" i="15"/>
  <c r="BR150" i="15"/>
  <c r="BS149" i="15"/>
  <c r="BR114" i="15"/>
  <c r="BS113" i="15"/>
  <c r="BR117" i="15"/>
  <c r="BS116" i="15"/>
  <c r="BR135" i="15"/>
  <c r="BS134" i="15"/>
  <c r="BR132" i="15"/>
  <c r="BS131" i="15"/>
  <c r="BS110" i="15"/>
  <c r="BR111" i="15"/>
  <c r="BR162" i="15"/>
  <c r="BS161" i="15"/>
  <c r="BM51" i="20"/>
  <c r="BM53" i="20" s="1"/>
  <c r="BM54" i="20" s="1"/>
  <c r="BM56" i="20" s="1"/>
  <c r="BM58" i="20" s="1"/>
  <c r="BM60" i="20" s="1"/>
  <c r="BN36" i="20" s="1"/>
  <c r="BN40" i="20" s="1"/>
  <c r="BQ190" i="15"/>
  <c r="BP12" i="20" s="1"/>
  <c r="BN42" i="20"/>
  <c r="BN17" i="20"/>
  <c r="BN20" i="20" s="1"/>
  <c r="BO20" i="20" s="1"/>
  <c r="BO12" i="20"/>
  <c r="BO17" i="20" s="1"/>
  <c r="BR105" i="15"/>
  <c r="BS104" i="15"/>
  <c r="BR108" i="15"/>
  <c r="BS107" i="15"/>
  <c r="BQ82" i="20"/>
  <c r="BQ83" i="20" s="1"/>
  <c r="BQ85" i="20" s="1"/>
  <c r="BQ87" i="20" s="1"/>
  <c r="BQ89" i="20" s="1"/>
  <c r="BR65" i="20" s="1"/>
  <c r="BR69" i="20" s="1"/>
  <c r="BR80" i="20" s="1"/>
  <c r="BM23" i="20"/>
  <c r="BM24" i="20" s="1"/>
  <c r="BM26" i="20" s="1"/>
  <c r="BM28" i="20" s="1"/>
  <c r="BM30" i="20" s="1"/>
  <c r="BN6" i="20" s="1"/>
  <c r="BN10" i="20" s="1"/>
  <c r="BS162" i="15" l="1"/>
  <c r="BT161" i="15"/>
  <c r="BS132" i="15"/>
  <c r="BT131" i="15"/>
  <c r="BS117" i="15"/>
  <c r="BT116" i="15"/>
  <c r="BT149" i="15"/>
  <c r="BS150" i="15"/>
  <c r="BS147" i="15"/>
  <c r="BT146" i="15"/>
  <c r="BS129" i="15"/>
  <c r="BT128" i="15"/>
  <c r="BS144" i="15"/>
  <c r="BT143" i="15"/>
  <c r="BS123" i="15"/>
  <c r="BT122" i="15"/>
  <c r="BT119" i="15"/>
  <c r="BS120" i="15"/>
  <c r="BS141" i="15"/>
  <c r="BT140" i="15"/>
  <c r="BT155" i="15"/>
  <c r="BS156" i="15"/>
  <c r="BS159" i="15"/>
  <c r="BT158" i="15"/>
  <c r="BS165" i="15"/>
  <c r="BT164" i="15"/>
  <c r="BS135" i="15"/>
  <c r="BT134" i="15"/>
  <c r="BS114" i="15"/>
  <c r="BT113" i="15"/>
  <c r="BT173" i="15"/>
  <c r="BS174" i="15"/>
  <c r="BS186" i="15"/>
  <c r="BT185" i="15"/>
  <c r="BS138" i="15"/>
  <c r="BT137" i="15"/>
  <c r="BS180" i="15"/>
  <c r="BT179" i="15"/>
  <c r="BS177" i="15"/>
  <c r="BT176" i="15"/>
  <c r="BT170" i="15"/>
  <c r="BS171" i="15"/>
  <c r="BS126" i="15"/>
  <c r="BT125" i="15"/>
  <c r="BS153" i="15"/>
  <c r="BT152" i="15"/>
  <c r="BT110" i="15"/>
  <c r="BS111" i="15"/>
  <c r="BT167" i="15"/>
  <c r="BS168" i="15"/>
  <c r="BS183" i="15"/>
  <c r="BT182" i="15"/>
  <c r="BP17" i="20"/>
  <c r="BP20" i="20" s="1"/>
  <c r="BP42" i="20"/>
  <c r="BP47" i="20" s="1"/>
  <c r="BP50" i="20" s="1"/>
  <c r="BN21" i="20"/>
  <c r="BN23" i="20" s="1"/>
  <c r="BO23" i="20" s="1"/>
  <c r="BN47" i="20"/>
  <c r="BN50" i="20" s="1"/>
  <c r="V42" i="36"/>
  <c r="V47" i="36" s="1"/>
  <c r="V50" i="36" s="1"/>
  <c r="V51" i="36" s="1"/>
  <c r="V53" i="36" s="1"/>
  <c r="V54" i="36" s="1"/>
  <c r="V56" i="36" s="1"/>
  <c r="V58" i="36" s="1"/>
  <c r="V60" i="36" s="1"/>
  <c r="W36" i="36" s="1"/>
  <c r="W40" i="36" s="1"/>
  <c r="BO42" i="20"/>
  <c r="BO47" i="20" s="1"/>
  <c r="BR190" i="15"/>
  <c r="BQ12" i="20" s="1"/>
  <c r="BT104" i="15"/>
  <c r="BS105" i="15"/>
  <c r="BS108" i="15"/>
  <c r="BT107" i="15"/>
  <c r="BR82" i="20"/>
  <c r="BR83" i="20" s="1"/>
  <c r="BR85" i="20" s="1"/>
  <c r="BR87" i="20" s="1"/>
  <c r="BR89" i="20" s="1"/>
  <c r="BS65" i="20" s="1"/>
  <c r="BS69" i="20" s="1"/>
  <c r="BS80" i="20" s="1"/>
  <c r="BT183" i="15" l="1"/>
  <c r="BU182" i="15"/>
  <c r="BU125" i="15"/>
  <c r="BT126" i="15"/>
  <c r="BT177" i="15"/>
  <c r="BU176" i="15"/>
  <c r="BT138" i="15"/>
  <c r="BU137" i="15"/>
  <c r="BT135" i="15"/>
  <c r="BU134" i="15"/>
  <c r="BT159" i="15"/>
  <c r="BU158" i="15"/>
  <c r="BT141" i="15"/>
  <c r="BU140" i="15"/>
  <c r="BT123" i="15"/>
  <c r="BU122" i="15"/>
  <c r="BT129" i="15"/>
  <c r="BU128" i="15"/>
  <c r="BT132" i="15"/>
  <c r="BU131" i="15"/>
  <c r="BT111" i="15"/>
  <c r="BU110" i="15"/>
  <c r="BT174" i="15"/>
  <c r="BU173" i="15"/>
  <c r="BT150" i="15"/>
  <c r="BU149" i="15"/>
  <c r="BT153" i="15"/>
  <c r="BU152" i="15"/>
  <c r="BT180" i="15"/>
  <c r="BU179" i="15"/>
  <c r="BT186" i="15"/>
  <c r="BU185" i="15"/>
  <c r="BT114" i="15"/>
  <c r="BU113" i="15"/>
  <c r="BT165" i="15"/>
  <c r="BU164" i="15"/>
  <c r="BT144" i="15"/>
  <c r="BU143" i="15"/>
  <c r="BT147" i="15"/>
  <c r="BU146" i="15"/>
  <c r="BT117" i="15"/>
  <c r="BU116" i="15"/>
  <c r="BT162" i="15"/>
  <c r="BU161" i="15"/>
  <c r="BT168" i="15"/>
  <c r="BU167" i="15"/>
  <c r="BU170" i="15"/>
  <c r="BT171" i="15"/>
  <c r="BT156" i="15"/>
  <c r="BU155" i="15"/>
  <c r="BU119" i="15"/>
  <c r="BT120" i="15"/>
  <c r="BO21" i="20"/>
  <c r="BO50" i="20"/>
  <c r="BN51" i="20"/>
  <c r="BS190" i="15"/>
  <c r="BR12" i="20" s="1"/>
  <c r="W12" i="36" s="1"/>
  <c r="W17" i="36" s="1"/>
  <c r="W20" i="36" s="1"/>
  <c r="W21" i="36" s="1"/>
  <c r="W23" i="36" s="1"/>
  <c r="W24" i="36" s="1"/>
  <c r="W26" i="36" s="1"/>
  <c r="W28" i="36" s="1"/>
  <c r="W30" i="36" s="1"/>
  <c r="X6" i="36" s="1"/>
  <c r="X10" i="36" s="1"/>
  <c r="BT108" i="15"/>
  <c r="BU107" i="15"/>
  <c r="BT105" i="15"/>
  <c r="BU104" i="15"/>
  <c r="BQ42" i="20"/>
  <c r="BQ17" i="20"/>
  <c r="BQ20" i="20" s="1"/>
  <c r="BS82" i="20"/>
  <c r="BS83" i="20"/>
  <c r="BS85" i="20" s="1"/>
  <c r="BS87" i="20" s="1"/>
  <c r="BS89" i="20" s="1"/>
  <c r="BT65" i="20" s="1"/>
  <c r="BT69" i="20" s="1"/>
  <c r="BT80" i="20" s="1"/>
  <c r="BN24" i="20"/>
  <c r="BN26" i="20" s="1"/>
  <c r="BN28" i="20" s="1"/>
  <c r="BN30" i="20" s="1"/>
  <c r="BP6" i="20" s="1"/>
  <c r="BP10" i="20" s="1"/>
  <c r="BP21" i="20" s="1"/>
  <c r="BU162" i="15" l="1"/>
  <c r="BV161" i="15"/>
  <c r="BU147" i="15"/>
  <c r="BV146" i="15"/>
  <c r="BU165" i="15"/>
  <c r="BV164" i="15"/>
  <c r="BU186" i="15"/>
  <c r="BV185" i="15"/>
  <c r="BU153" i="15"/>
  <c r="BV152" i="15"/>
  <c r="BU174" i="15"/>
  <c r="BV173" i="15"/>
  <c r="BU132" i="15"/>
  <c r="BV131" i="15"/>
  <c r="BU123" i="15"/>
  <c r="BV122" i="15"/>
  <c r="BU159" i="15"/>
  <c r="BV158" i="15"/>
  <c r="BU138" i="15"/>
  <c r="BV137" i="15"/>
  <c r="BU171" i="15"/>
  <c r="BV170" i="15"/>
  <c r="BV125" i="15"/>
  <c r="BU126" i="15"/>
  <c r="BU120" i="15"/>
  <c r="BV119" i="15"/>
  <c r="BU156" i="15"/>
  <c r="BV155" i="15"/>
  <c r="BU168" i="15"/>
  <c r="BV167" i="15"/>
  <c r="BU117" i="15"/>
  <c r="BV116" i="15"/>
  <c r="BU144" i="15"/>
  <c r="BV143" i="15"/>
  <c r="BU114" i="15"/>
  <c r="BV113" i="15"/>
  <c r="BU180" i="15"/>
  <c r="BV179" i="15"/>
  <c r="BU150" i="15"/>
  <c r="BV149" i="15"/>
  <c r="BU111" i="15"/>
  <c r="BV110" i="15"/>
  <c r="BU129" i="15"/>
  <c r="BV128" i="15"/>
  <c r="BU141" i="15"/>
  <c r="BV140" i="15"/>
  <c r="BV134" i="15"/>
  <c r="BU135" i="15"/>
  <c r="BU177" i="15"/>
  <c r="BV176" i="15"/>
  <c r="BU183" i="15"/>
  <c r="BV182" i="15"/>
  <c r="BT190" i="15"/>
  <c r="BS12" i="20" s="1"/>
  <c r="BN53" i="20"/>
  <c r="BN54" i="20" s="1"/>
  <c r="BN56" i="20" s="1"/>
  <c r="BN58" i="20" s="1"/>
  <c r="BN60" i="20" s="1"/>
  <c r="BP36" i="20" s="1"/>
  <c r="BP40" i="20" s="1"/>
  <c r="BP51" i="20" s="1"/>
  <c r="BP53" i="20" s="1"/>
  <c r="BP54" i="20" s="1"/>
  <c r="BP56" i="20" s="1"/>
  <c r="BP58" i="20" s="1"/>
  <c r="BP60" i="20" s="1"/>
  <c r="BQ36" i="20" s="1"/>
  <c r="BQ40" i="20" s="1"/>
  <c r="BO51" i="20"/>
  <c r="BV104" i="15"/>
  <c r="BU105" i="15"/>
  <c r="BV107" i="15"/>
  <c r="BU108" i="15"/>
  <c r="BQ47" i="20"/>
  <c r="BQ50" i="20" s="1"/>
  <c r="BR42" i="20"/>
  <c r="BR47" i="20" s="1"/>
  <c r="BR50" i="20" s="1"/>
  <c r="BR17" i="20"/>
  <c r="BR20" i="20" s="1"/>
  <c r="BT82" i="20"/>
  <c r="BP23" i="20"/>
  <c r="BP24" i="20" s="1"/>
  <c r="BP26" i="20" s="1"/>
  <c r="BP28" i="20" s="1"/>
  <c r="BP30" i="20" s="1"/>
  <c r="BQ6" i="20" s="1"/>
  <c r="BQ10" i="20" s="1"/>
  <c r="BQ21" i="20" s="1"/>
  <c r="BU190" i="15" l="1"/>
  <c r="BT12" i="20" s="1"/>
  <c r="BT42" i="20" s="1"/>
  <c r="BT47" i="20" s="1"/>
  <c r="BT50" i="20" s="1"/>
  <c r="BV183" i="15"/>
  <c r="BW182" i="15"/>
  <c r="BV129" i="15"/>
  <c r="BW128" i="15"/>
  <c r="BV150" i="15"/>
  <c r="BW149" i="15"/>
  <c r="BW113" i="15"/>
  <c r="BV114" i="15"/>
  <c r="BV117" i="15"/>
  <c r="BW116" i="15"/>
  <c r="BV156" i="15"/>
  <c r="BW155" i="15"/>
  <c r="BW137" i="15"/>
  <c r="BV138" i="15"/>
  <c r="BV123" i="15"/>
  <c r="BW122" i="15"/>
  <c r="BV174" i="15"/>
  <c r="BW173" i="15"/>
  <c r="BV186" i="15"/>
  <c r="BW185" i="15"/>
  <c r="BV147" i="15"/>
  <c r="BW146" i="15"/>
  <c r="BV135" i="15"/>
  <c r="BW134" i="15"/>
  <c r="BV126" i="15"/>
  <c r="BW125" i="15"/>
  <c r="BV177" i="15"/>
  <c r="BW176" i="15"/>
  <c r="BW140" i="15"/>
  <c r="BV141" i="15"/>
  <c r="BV111" i="15"/>
  <c r="BW110" i="15"/>
  <c r="BV180" i="15"/>
  <c r="BW179" i="15"/>
  <c r="BV144" i="15"/>
  <c r="BW143" i="15"/>
  <c r="BV168" i="15"/>
  <c r="BW167" i="15"/>
  <c r="BV120" i="15"/>
  <c r="BW119" i="15"/>
  <c r="BV171" i="15"/>
  <c r="BW170" i="15"/>
  <c r="BV159" i="15"/>
  <c r="BW158" i="15"/>
  <c r="BW131" i="15"/>
  <c r="BV132" i="15"/>
  <c r="BV153" i="15"/>
  <c r="BW152" i="15"/>
  <c r="BV165" i="15"/>
  <c r="BW164" i="15"/>
  <c r="BV162" i="15"/>
  <c r="BW161" i="15"/>
  <c r="BS42" i="20"/>
  <c r="BS47" i="20" s="1"/>
  <c r="BS50" i="20" s="1"/>
  <c r="BS17" i="20"/>
  <c r="BS20" i="20" s="1"/>
  <c r="BQ51" i="20"/>
  <c r="BQ53" i="20" s="1"/>
  <c r="BQ54" i="20" s="1"/>
  <c r="BQ56" i="20" s="1"/>
  <c r="BQ58" i="20" s="1"/>
  <c r="BQ60" i="20" s="1"/>
  <c r="BR36" i="20" s="1"/>
  <c r="BR40" i="20" s="1"/>
  <c r="BR51" i="20" s="1"/>
  <c r="BR53" i="20" s="1"/>
  <c r="BR54" i="20" s="1"/>
  <c r="BR56" i="20" s="1"/>
  <c r="BR58" i="20" s="1"/>
  <c r="BR60" i="20" s="1"/>
  <c r="BS36" i="20" s="1"/>
  <c r="BS40" i="20" s="1"/>
  <c r="W42" i="36"/>
  <c r="W47" i="36" s="1"/>
  <c r="W50" i="36" s="1"/>
  <c r="W51" i="36" s="1"/>
  <c r="W53" i="36" s="1"/>
  <c r="W54" i="36" s="1"/>
  <c r="W56" i="36" s="1"/>
  <c r="W58" i="36" s="1"/>
  <c r="W60" i="36" s="1"/>
  <c r="X36" i="36" s="1"/>
  <c r="X40" i="36" s="1"/>
  <c r="BW104" i="15"/>
  <c r="BV105" i="15"/>
  <c r="BV108" i="15"/>
  <c r="BW107" i="15"/>
  <c r="BT83" i="20"/>
  <c r="BT85" i="20" s="1"/>
  <c r="BT87" i="20" s="1"/>
  <c r="BT89" i="20" s="1"/>
  <c r="BU65" i="20" s="1"/>
  <c r="BU69" i="20" s="1"/>
  <c r="BU80" i="20" s="1"/>
  <c r="BQ23" i="20"/>
  <c r="BQ24" i="20" s="1"/>
  <c r="BQ26" i="20" s="1"/>
  <c r="BQ28" i="20" s="1"/>
  <c r="BQ30" i="20" s="1"/>
  <c r="BR6" i="20" s="1"/>
  <c r="BR10" i="20" s="1"/>
  <c r="BR21" i="20" s="1"/>
  <c r="BT17" i="20" l="1"/>
  <c r="BT20" i="20" s="1"/>
  <c r="BW162" i="15"/>
  <c r="BX161" i="15"/>
  <c r="BW153" i="15"/>
  <c r="BX152" i="15"/>
  <c r="BW159" i="15"/>
  <c r="BX158" i="15"/>
  <c r="BW120" i="15"/>
  <c r="BX119" i="15"/>
  <c r="BW144" i="15"/>
  <c r="BX143" i="15"/>
  <c r="BW111" i="15"/>
  <c r="BX110" i="15"/>
  <c r="BW177" i="15"/>
  <c r="BX176" i="15"/>
  <c r="BW135" i="15"/>
  <c r="BX134" i="15"/>
  <c r="BX185" i="15"/>
  <c r="BW186" i="15"/>
  <c r="BW123" i="15"/>
  <c r="BX122" i="15"/>
  <c r="BW156" i="15"/>
  <c r="BX155" i="15"/>
  <c r="BW129" i="15"/>
  <c r="BX128" i="15"/>
  <c r="BW114" i="15"/>
  <c r="BX113" i="15"/>
  <c r="BW165" i="15"/>
  <c r="BX164" i="15"/>
  <c r="BX170" i="15"/>
  <c r="BW171" i="15"/>
  <c r="BW168" i="15"/>
  <c r="BX167" i="15"/>
  <c r="BW180" i="15"/>
  <c r="BX179" i="15"/>
  <c r="BW126" i="15"/>
  <c r="BX125" i="15"/>
  <c r="BW147" i="15"/>
  <c r="BX146" i="15"/>
  <c r="BW174" i="15"/>
  <c r="BX173" i="15"/>
  <c r="BX116" i="15"/>
  <c r="BW117" i="15"/>
  <c r="BW150" i="15"/>
  <c r="BX149" i="15"/>
  <c r="BW183" i="15"/>
  <c r="BX182" i="15"/>
  <c r="BW132" i="15"/>
  <c r="BX131" i="15"/>
  <c r="BW141" i="15"/>
  <c r="BX140" i="15"/>
  <c r="BW138" i="15"/>
  <c r="BX137" i="15"/>
  <c r="BV190" i="15"/>
  <c r="BU12" i="20" s="1"/>
  <c r="BU42" i="20" s="1"/>
  <c r="BS51" i="20"/>
  <c r="BS53" i="20" s="1"/>
  <c r="BX107" i="15"/>
  <c r="BW108" i="15"/>
  <c r="BX104" i="15"/>
  <c r="BW105" i="15"/>
  <c r="BU82" i="20"/>
  <c r="BU83" i="20" s="1"/>
  <c r="BU85" i="20" s="1"/>
  <c r="BU87" i="20" s="1"/>
  <c r="BU89" i="20" s="1"/>
  <c r="BV65" i="20" s="1"/>
  <c r="BV69" i="20" s="1"/>
  <c r="BV80" i="20" s="1"/>
  <c r="BR23" i="20"/>
  <c r="BR24" i="20" s="1"/>
  <c r="BR26" i="20" s="1"/>
  <c r="BR28" i="20" s="1"/>
  <c r="BR30" i="20" s="1"/>
  <c r="BS6" i="20" s="1"/>
  <c r="BS10" i="20" s="1"/>
  <c r="BS21" i="20" s="1"/>
  <c r="BX138" i="15" l="1"/>
  <c r="BY137" i="15"/>
  <c r="BY131" i="15"/>
  <c r="BX132" i="15"/>
  <c r="BX150" i="15"/>
  <c r="BY149" i="15"/>
  <c r="BX174" i="15"/>
  <c r="BY173" i="15"/>
  <c r="BX126" i="15"/>
  <c r="BY125" i="15"/>
  <c r="BX168" i="15"/>
  <c r="BY167" i="15"/>
  <c r="BX165" i="15"/>
  <c r="BY164" i="15"/>
  <c r="BX129" i="15"/>
  <c r="BY128" i="15"/>
  <c r="BX123" i="15"/>
  <c r="BY122" i="15"/>
  <c r="BY134" i="15"/>
  <c r="BX135" i="15"/>
  <c r="BX111" i="15"/>
  <c r="BY110" i="15"/>
  <c r="BY119" i="15"/>
  <c r="BX120" i="15"/>
  <c r="BX153" i="15"/>
  <c r="BY152" i="15"/>
  <c r="BX141" i="15"/>
  <c r="BY140" i="15"/>
  <c r="BX183" i="15"/>
  <c r="BY182" i="15"/>
  <c r="BX147" i="15"/>
  <c r="BY146" i="15"/>
  <c r="BX180" i="15"/>
  <c r="BY179" i="15"/>
  <c r="BX114" i="15"/>
  <c r="BY113" i="15"/>
  <c r="BX156" i="15"/>
  <c r="BY155" i="15"/>
  <c r="BX177" i="15"/>
  <c r="BY176" i="15"/>
  <c r="BX144" i="15"/>
  <c r="BY143" i="15"/>
  <c r="BX159" i="15"/>
  <c r="BY158" i="15"/>
  <c r="BX162" i="15"/>
  <c r="BY161" i="15"/>
  <c r="BY116" i="15"/>
  <c r="BX117" i="15"/>
  <c r="BX171" i="15"/>
  <c r="BY170" i="15"/>
  <c r="BX186" i="15"/>
  <c r="BY185" i="15"/>
  <c r="BW190" i="15"/>
  <c r="BV12" i="20" s="1"/>
  <c r="BV42" i="20" s="1"/>
  <c r="BV47" i="20" s="1"/>
  <c r="BV50" i="20" s="1"/>
  <c r="BU17" i="20"/>
  <c r="BU20" i="20" s="1"/>
  <c r="X12" i="36"/>
  <c r="X17" i="36" s="1"/>
  <c r="X20" i="36" s="1"/>
  <c r="X21" i="36" s="1"/>
  <c r="X23" i="36" s="1"/>
  <c r="X24" i="36" s="1"/>
  <c r="X26" i="36" s="1"/>
  <c r="X28" i="36" s="1"/>
  <c r="X30" i="36" s="1"/>
  <c r="Y6" i="36" s="1"/>
  <c r="Y10" i="36" s="1"/>
  <c r="BS54" i="20"/>
  <c r="BS56" i="20" s="1"/>
  <c r="BS58" i="20" s="1"/>
  <c r="BS60" i="20" s="1"/>
  <c r="BT36" i="20" s="1"/>
  <c r="BT40" i="20" s="1"/>
  <c r="BT51" i="20" s="1"/>
  <c r="BT53" i="20" s="1"/>
  <c r="BT54" i="20" s="1"/>
  <c r="BT56" i="20" s="1"/>
  <c r="BT58" i="20" s="1"/>
  <c r="BT60" i="20" s="1"/>
  <c r="BU36" i="20" s="1"/>
  <c r="BU40" i="20" s="1"/>
  <c r="BY107" i="15"/>
  <c r="BX108" i="15"/>
  <c r="BY104" i="15"/>
  <c r="BX105" i="15"/>
  <c r="BU47" i="20"/>
  <c r="BU50" i="20" s="1"/>
  <c r="X42" i="36"/>
  <c r="X47" i="36" s="1"/>
  <c r="X50" i="36" s="1"/>
  <c r="X51" i="36" s="1"/>
  <c r="X53" i="36" s="1"/>
  <c r="X54" i="36" s="1"/>
  <c r="X56" i="36" s="1"/>
  <c r="X58" i="36" s="1"/>
  <c r="X60" i="36" s="1"/>
  <c r="Y36" i="36" s="1"/>
  <c r="Y40" i="36" s="1"/>
  <c r="BV82" i="20"/>
  <c r="BV83" i="20" s="1"/>
  <c r="BV85" i="20" s="1"/>
  <c r="BV87" i="20" s="1"/>
  <c r="BV89" i="20" s="1"/>
  <c r="BW65" i="20" s="1"/>
  <c r="BW69" i="20" s="1"/>
  <c r="BW80" i="20" s="1"/>
  <c r="BS23" i="20"/>
  <c r="BS24" i="20" s="1"/>
  <c r="BS26" i="20" s="1"/>
  <c r="BS28" i="20" s="1"/>
  <c r="BS30" i="20" s="1"/>
  <c r="BT6" i="20" s="1"/>
  <c r="BT10" i="20" s="1"/>
  <c r="BT21" i="20" s="1"/>
  <c r="BY186" i="15" l="1"/>
  <c r="BZ185" i="15"/>
  <c r="BY159" i="15"/>
  <c r="BZ158" i="15"/>
  <c r="BZ176" i="15"/>
  <c r="BY177" i="15"/>
  <c r="BY114" i="15"/>
  <c r="BZ113" i="15"/>
  <c r="BY147" i="15"/>
  <c r="BZ146" i="15"/>
  <c r="BY141" i="15"/>
  <c r="BZ140" i="15"/>
  <c r="BY129" i="15"/>
  <c r="BZ128" i="15"/>
  <c r="BY168" i="15"/>
  <c r="BZ167" i="15"/>
  <c r="BY174" i="15"/>
  <c r="BZ173" i="15"/>
  <c r="BZ116" i="15"/>
  <c r="BY117" i="15"/>
  <c r="BY120" i="15"/>
  <c r="BZ119" i="15"/>
  <c r="BY135" i="15"/>
  <c r="BZ134" i="15"/>
  <c r="BY132" i="15"/>
  <c r="BZ131" i="15"/>
  <c r="BY171" i="15"/>
  <c r="BZ170" i="15"/>
  <c r="BZ161" i="15"/>
  <c r="BY162" i="15"/>
  <c r="BY144" i="15"/>
  <c r="BZ143" i="15"/>
  <c r="BY156" i="15"/>
  <c r="BZ155" i="15"/>
  <c r="BY180" i="15"/>
  <c r="BZ179" i="15"/>
  <c r="BZ182" i="15"/>
  <c r="BY183" i="15"/>
  <c r="BY153" i="15"/>
  <c r="BZ152" i="15"/>
  <c r="BY111" i="15"/>
  <c r="BZ110" i="15"/>
  <c r="BY123" i="15"/>
  <c r="BZ122" i="15"/>
  <c r="BY165" i="15"/>
  <c r="BZ164" i="15"/>
  <c r="BY126" i="15"/>
  <c r="BZ125" i="15"/>
  <c r="BZ149" i="15"/>
  <c r="BY150" i="15"/>
  <c r="BY138" i="15"/>
  <c r="BZ137" i="15"/>
  <c r="BV17" i="20"/>
  <c r="BV20" i="20" s="1"/>
  <c r="BX190" i="15"/>
  <c r="BW12" i="20" s="1"/>
  <c r="BW42" i="20" s="1"/>
  <c r="BW47" i="20" s="1"/>
  <c r="BW50" i="20" s="1"/>
  <c r="BY108" i="15"/>
  <c r="BZ107" i="15"/>
  <c r="BZ104" i="15"/>
  <c r="BY105" i="15"/>
  <c r="BU51" i="20"/>
  <c r="BU53" i="20" s="1"/>
  <c r="BU54" i="20" s="1"/>
  <c r="BU56" i="20" s="1"/>
  <c r="BU58" i="20" s="1"/>
  <c r="BU60" i="20" s="1"/>
  <c r="BV36" i="20" s="1"/>
  <c r="BV40" i="20" s="1"/>
  <c r="BV51" i="20" s="1"/>
  <c r="BV53" i="20" s="1"/>
  <c r="BV54" i="20" s="1"/>
  <c r="BV56" i="20" s="1"/>
  <c r="BV58" i="20" s="1"/>
  <c r="BV60" i="20" s="1"/>
  <c r="BW36" i="20" s="1"/>
  <c r="BW40" i="20" s="1"/>
  <c r="BW82" i="20"/>
  <c r="BW83" i="20" s="1"/>
  <c r="BW85" i="20" s="1"/>
  <c r="BW87" i="20" s="1"/>
  <c r="BW89" i="20" s="1"/>
  <c r="BX65" i="20" s="1"/>
  <c r="BX69" i="20" s="1"/>
  <c r="BX80" i="20" s="1"/>
  <c r="BT23" i="20"/>
  <c r="BY190" i="15" l="1"/>
  <c r="BX12" i="20" s="1"/>
  <c r="BX17" i="20" s="1"/>
  <c r="BX20" i="20" s="1"/>
  <c r="BZ138" i="15"/>
  <c r="CA137" i="15"/>
  <c r="BZ126" i="15"/>
  <c r="CA125" i="15"/>
  <c r="BZ123" i="15"/>
  <c r="CA122" i="15"/>
  <c r="BZ153" i="15"/>
  <c r="CA152" i="15"/>
  <c r="BZ180" i="15"/>
  <c r="CA179" i="15"/>
  <c r="BZ144" i="15"/>
  <c r="CA143" i="15"/>
  <c r="BZ171" i="15"/>
  <c r="CA170" i="15"/>
  <c r="BZ135" i="15"/>
  <c r="CA134" i="15"/>
  <c r="BZ168" i="15"/>
  <c r="CA167" i="15"/>
  <c r="CA140" i="15"/>
  <c r="BZ141" i="15"/>
  <c r="CA113" i="15"/>
  <c r="BZ114" i="15"/>
  <c r="BZ159" i="15"/>
  <c r="CA158" i="15"/>
  <c r="CA116" i="15"/>
  <c r="BZ117" i="15"/>
  <c r="BZ165" i="15"/>
  <c r="CA164" i="15"/>
  <c r="BZ111" i="15"/>
  <c r="CA110" i="15"/>
  <c r="BZ156" i="15"/>
  <c r="CA155" i="15"/>
  <c r="BZ132" i="15"/>
  <c r="CA131" i="15"/>
  <c r="BZ120" i="15"/>
  <c r="CA119" i="15"/>
  <c r="BZ174" i="15"/>
  <c r="CA173" i="15"/>
  <c r="BZ129" i="15"/>
  <c r="CA128" i="15"/>
  <c r="BZ147" i="15"/>
  <c r="CA146" i="15"/>
  <c r="BZ186" i="15"/>
  <c r="CA185" i="15"/>
  <c r="BZ150" i="15"/>
  <c r="CA149" i="15"/>
  <c r="BZ183" i="15"/>
  <c r="CA182" i="15"/>
  <c r="BZ162" i="15"/>
  <c r="CA161" i="15"/>
  <c r="BZ177" i="15"/>
  <c r="CA176" i="15"/>
  <c r="BW17" i="20"/>
  <c r="BW20" i="20" s="1"/>
  <c r="BW51" i="20"/>
  <c r="BW53" i="20" s="1"/>
  <c r="BW54" i="20" s="1"/>
  <c r="BW56" i="20" s="1"/>
  <c r="BW58" i="20" s="1"/>
  <c r="BW60" i="20" s="1"/>
  <c r="BX36" i="20" s="1"/>
  <c r="BX40" i="20" s="1"/>
  <c r="BZ108" i="15"/>
  <c r="CA107" i="15"/>
  <c r="BZ105" i="15"/>
  <c r="CA104" i="15"/>
  <c r="BX82" i="20"/>
  <c r="BX83" i="20" s="1"/>
  <c r="BX85" i="20" s="1"/>
  <c r="BX87" i="20" s="1"/>
  <c r="BX89" i="20" s="1"/>
  <c r="BY65" i="20" s="1"/>
  <c r="BY69" i="20" s="1"/>
  <c r="BY80" i="20" s="1"/>
  <c r="BT24" i="20"/>
  <c r="BT26" i="20" s="1"/>
  <c r="BT28" i="20" s="1"/>
  <c r="BT30" i="20" s="1"/>
  <c r="BU6" i="20" s="1"/>
  <c r="BU10" i="20" s="1"/>
  <c r="BU21" i="20" s="1"/>
  <c r="BZ190" i="15" l="1"/>
  <c r="BY12" i="20" s="1"/>
  <c r="BY42" i="20" s="1"/>
  <c r="BY47" i="20" s="1"/>
  <c r="BY50" i="20" s="1"/>
  <c r="CA177" i="15"/>
  <c r="CB176" i="15"/>
  <c r="CA183" i="15"/>
  <c r="CB182" i="15"/>
  <c r="CB185" i="15"/>
  <c r="CA186" i="15"/>
  <c r="CA129" i="15"/>
  <c r="CB128" i="15"/>
  <c r="CB119" i="15"/>
  <c r="CA120" i="15"/>
  <c r="CA156" i="15"/>
  <c r="CB155" i="15"/>
  <c r="CA165" i="15"/>
  <c r="CB164" i="15"/>
  <c r="CA159" i="15"/>
  <c r="CB158" i="15"/>
  <c r="CA135" i="15"/>
  <c r="CB134" i="15"/>
  <c r="CA144" i="15"/>
  <c r="CB143" i="15"/>
  <c r="CA153" i="15"/>
  <c r="CB152" i="15"/>
  <c r="CA126" i="15"/>
  <c r="CB125" i="15"/>
  <c r="CA141" i="15"/>
  <c r="CB140" i="15"/>
  <c r="CA162" i="15"/>
  <c r="CB161" i="15"/>
  <c r="CA150" i="15"/>
  <c r="CB149" i="15"/>
  <c r="CA147" i="15"/>
  <c r="CB146" i="15"/>
  <c r="CB173" i="15"/>
  <c r="CA174" i="15"/>
  <c r="CA132" i="15"/>
  <c r="CB131" i="15"/>
  <c r="CA111" i="15"/>
  <c r="CB110" i="15"/>
  <c r="CA168" i="15"/>
  <c r="CB167" i="15"/>
  <c r="CA171" i="15"/>
  <c r="CB170" i="15"/>
  <c r="CA180" i="15"/>
  <c r="CB179" i="15"/>
  <c r="CA123" i="15"/>
  <c r="CB122" i="15"/>
  <c r="CA138" i="15"/>
  <c r="CB137" i="15"/>
  <c r="CA117" i="15"/>
  <c r="CB116" i="15"/>
  <c r="CA114" i="15"/>
  <c r="CB113" i="15"/>
  <c r="BX42" i="20"/>
  <c r="BX47" i="20" s="1"/>
  <c r="BX50" i="20" s="1"/>
  <c r="BX51" i="20" s="1"/>
  <c r="BX53" i="20" s="1"/>
  <c r="BX54" i="20" s="1"/>
  <c r="BX56" i="20" s="1"/>
  <c r="BX58" i="20" s="1"/>
  <c r="BX60" i="20" s="1"/>
  <c r="BY36" i="20" s="1"/>
  <c r="BY40" i="20" s="1"/>
  <c r="Y12" i="36"/>
  <c r="Y17" i="36" s="1"/>
  <c r="Y20" i="36" s="1"/>
  <c r="Y21" i="36" s="1"/>
  <c r="Y23" i="36" s="1"/>
  <c r="Y24" i="36" s="1"/>
  <c r="Y26" i="36" s="1"/>
  <c r="Y28" i="36" s="1"/>
  <c r="Y30" i="36" s="1"/>
  <c r="Z6" i="36" s="1"/>
  <c r="Z10" i="36" s="1"/>
  <c r="CA105" i="15"/>
  <c r="CB104" i="15"/>
  <c r="CB107" i="15"/>
  <c r="CA108" i="15"/>
  <c r="BY82" i="20"/>
  <c r="BY83" i="20" s="1"/>
  <c r="BY85" i="20" s="1"/>
  <c r="BY87" i="20" s="1"/>
  <c r="BY89" i="20" s="1"/>
  <c r="BZ65" i="20" s="1"/>
  <c r="BZ69" i="20" s="1"/>
  <c r="BZ80" i="20" s="1"/>
  <c r="BU23" i="20"/>
  <c r="BU24" i="20" s="1"/>
  <c r="BU26" i="20" s="1"/>
  <c r="BU28" i="20" s="1"/>
  <c r="BU30" i="20" s="1"/>
  <c r="BV6" i="20" s="1"/>
  <c r="BV10" i="20" s="1"/>
  <c r="BV21" i="20" s="1"/>
  <c r="BY17" i="20" l="1"/>
  <c r="BY20" i="20" s="1"/>
  <c r="CB114" i="15"/>
  <c r="CC114" i="15" s="1"/>
  <c r="CC113" i="15"/>
  <c r="CD113" i="15" s="1"/>
  <c r="CB138" i="15"/>
  <c r="CC138" i="15" s="1"/>
  <c r="CC137" i="15"/>
  <c r="CD137" i="15" s="1"/>
  <c r="CB180" i="15"/>
  <c r="CC180" i="15" s="1"/>
  <c r="CC179" i="15"/>
  <c r="CD179" i="15" s="1"/>
  <c r="CB168" i="15"/>
  <c r="CC168" i="15" s="1"/>
  <c r="CC167" i="15"/>
  <c r="CD167" i="15" s="1"/>
  <c r="CC131" i="15"/>
  <c r="CD131" i="15" s="1"/>
  <c r="CB132" i="15"/>
  <c r="CC132" i="15" s="1"/>
  <c r="CB147" i="15"/>
  <c r="CC147" i="15" s="1"/>
  <c r="CC146" i="15"/>
  <c r="CD146" i="15" s="1"/>
  <c r="CB162" i="15"/>
  <c r="CC162" i="15" s="1"/>
  <c r="CC161" i="15"/>
  <c r="CD161" i="15" s="1"/>
  <c r="CB126" i="15"/>
  <c r="CC126" i="15" s="1"/>
  <c r="CC125" i="15"/>
  <c r="CD125" i="15" s="1"/>
  <c r="CB144" i="15"/>
  <c r="CC144" i="15" s="1"/>
  <c r="CC143" i="15"/>
  <c r="CD143" i="15" s="1"/>
  <c r="CB159" i="15"/>
  <c r="CC159" i="15" s="1"/>
  <c r="CC158" i="15"/>
  <c r="CD158" i="15" s="1"/>
  <c r="CB156" i="15"/>
  <c r="CC156" i="15" s="1"/>
  <c r="CC155" i="15"/>
  <c r="CD155" i="15" s="1"/>
  <c r="CB129" i="15"/>
  <c r="CC129" i="15" s="1"/>
  <c r="CC128" i="15"/>
  <c r="CD128" i="15" s="1"/>
  <c r="CB183" i="15"/>
  <c r="CC183" i="15" s="1"/>
  <c r="CC182" i="15"/>
  <c r="CD182" i="15" s="1"/>
  <c r="CB117" i="15"/>
  <c r="CC117" i="15" s="1"/>
  <c r="CC116" i="15"/>
  <c r="CD116" i="15" s="1"/>
  <c r="CB123" i="15"/>
  <c r="CC123" i="15" s="1"/>
  <c r="CC122" i="15"/>
  <c r="CD122" i="15" s="1"/>
  <c r="CB171" i="15"/>
  <c r="CC171" i="15" s="1"/>
  <c r="CC170" i="15"/>
  <c r="CD170" i="15" s="1"/>
  <c r="CC110" i="15"/>
  <c r="CD110" i="15" s="1"/>
  <c r="CB111" i="15"/>
  <c r="CC111" i="15" s="1"/>
  <c r="CB150" i="15"/>
  <c r="CC150" i="15" s="1"/>
  <c r="CC149" i="15"/>
  <c r="CD149" i="15" s="1"/>
  <c r="CC140" i="15"/>
  <c r="CD140" i="15" s="1"/>
  <c r="CB141" i="15"/>
  <c r="CC141" i="15" s="1"/>
  <c r="CC152" i="15"/>
  <c r="CD152" i="15" s="1"/>
  <c r="CB153" i="15"/>
  <c r="CC153" i="15" s="1"/>
  <c r="CB135" i="15"/>
  <c r="CC135" i="15" s="1"/>
  <c r="CC134" i="15"/>
  <c r="CD134" i="15" s="1"/>
  <c r="CB165" i="15"/>
  <c r="CC165" i="15" s="1"/>
  <c r="CC164" i="15"/>
  <c r="CD164" i="15" s="1"/>
  <c r="CC176" i="15"/>
  <c r="CD176" i="15" s="1"/>
  <c r="CB177" i="15"/>
  <c r="CC177" i="15" s="1"/>
  <c r="CC173" i="15"/>
  <c r="CD173" i="15" s="1"/>
  <c r="CB174" i="15"/>
  <c r="CC174" i="15" s="1"/>
  <c r="CB120" i="15"/>
  <c r="CC120" i="15" s="1"/>
  <c r="CC119" i="15"/>
  <c r="CD119" i="15" s="1"/>
  <c r="CB186" i="15"/>
  <c r="CC186" i="15" s="1"/>
  <c r="CC185" i="15"/>
  <c r="CD185" i="15" s="1"/>
  <c r="Y42" i="36"/>
  <c r="Y47" i="36" s="1"/>
  <c r="Y50" i="36" s="1"/>
  <c r="Y51" i="36" s="1"/>
  <c r="Y53" i="36" s="1"/>
  <c r="Y54" i="36" s="1"/>
  <c r="Y56" i="36" s="1"/>
  <c r="Y58" i="36" s="1"/>
  <c r="Y60" i="36" s="1"/>
  <c r="Z36" i="36" s="1"/>
  <c r="Z40" i="36" s="1"/>
  <c r="CA190" i="15"/>
  <c r="BZ12" i="20" s="1"/>
  <c r="BZ17" i="20" s="1"/>
  <c r="BZ20" i="20" s="1"/>
  <c r="BY51" i="20"/>
  <c r="BY53" i="20" s="1"/>
  <c r="BY54" i="20" s="1"/>
  <c r="BY56" i="20" s="1"/>
  <c r="BY58" i="20" s="1"/>
  <c r="BY60" i="20" s="1"/>
  <c r="BZ36" i="20" s="1"/>
  <c r="BZ40" i="20" s="1"/>
  <c r="CC104" i="15"/>
  <c r="CD104" i="15" s="1"/>
  <c r="CB105" i="15"/>
  <c r="CB108" i="15"/>
  <c r="CC108" i="15" s="1"/>
  <c r="CC107" i="15"/>
  <c r="CD107" i="15" s="1"/>
  <c r="BZ82" i="20"/>
  <c r="BZ83" i="20" s="1"/>
  <c r="BZ85" i="20" s="1"/>
  <c r="BZ87" i="20" s="1"/>
  <c r="BZ89" i="20" s="1"/>
  <c r="CA65" i="20" s="1"/>
  <c r="CA69" i="20" s="1"/>
  <c r="CA80" i="20" s="1"/>
  <c r="BV23" i="20"/>
  <c r="BV24" i="20" s="1"/>
  <c r="BV26" i="20" s="1"/>
  <c r="BV28" i="20" s="1"/>
  <c r="BV30" i="20" s="1"/>
  <c r="BW6" i="20" s="1"/>
  <c r="BW10" i="20" s="1"/>
  <c r="BW21" i="20" s="1"/>
  <c r="CD186" i="15" l="1"/>
  <c r="CE185" i="15"/>
  <c r="CE164" i="15"/>
  <c r="CD165" i="15"/>
  <c r="CE149" i="15"/>
  <c r="CD150" i="15"/>
  <c r="CD171" i="15"/>
  <c r="CE170" i="15"/>
  <c r="CE116" i="15"/>
  <c r="CD117" i="15"/>
  <c r="CD129" i="15"/>
  <c r="CE128" i="15"/>
  <c r="CE158" i="15"/>
  <c r="CD159" i="15"/>
  <c r="CE125" i="15"/>
  <c r="CD126" i="15"/>
  <c r="CE146" i="15"/>
  <c r="CD147" i="15"/>
  <c r="CE167" i="15"/>
  <c r="CD168" i="15"/>
  <c r="CD138" i="15"/>
  <c r="CE137" i="15"/>
  <c r="CE173" i="15"/>
  <c r="CD174" i="15"/>
  <c r="CE152" i="15"/>
  <c r="CD153" i="15"/>
  <c r="CD120" i="15"/>
  <c r="CE119" i="15"/>
  <c r="CE134" i="15"/>
  <c r="CD135" i="15"/>
  <c r="CE122" i="15"/>
  <c r="CD123" i="15"/>
  <c r="CE182" i="15"/>
  <c r="CD183" i="15"/>
  <c r="CE155" i="15"/>
  <c r="CD156" i="15"/>
  <c r="CD144" i="15"/>
  <c r="CE143" i="15"/>
  <c r="CE161" i="15"/>
  <c r="CD162" i="15"/>
  <c r="CE179" i="15"/>
  <c r="CD180" i="15"/>
  <c r="CE113" i="15"/>
  <c r="CD114" i="15"/>
  <c r="CE176" i="15"/>
  <c r="CD177" i="15"/>
  <c r="CD141" i="15"/>
  <c r="CE140" i="15"/>
  <c r="CE110" i="15"/>
  <c r="CD111" i="15"/>
  <c r="CD132" i="15"/>
  <c r="CE131" i="15"/>
  <c r="BZ42" i="20"/>
  <c r="BZ47" i="20" s="1"/>
  <c r="BZ50" i="20" s="1"/>
  <c r="BZ51" i="20" s="1"/>
  <c r="BZ53" i="20" s="1"/>
  <c r="BZ54" i="20" s="1"/>
  <c r="BZ56" i="20" s="1"/>
  <c r="BZ58" i="20" s="1"/>
  <c r="BZ60" i="20" s="1"/>
  <c r="CA36" i="20" s="1"/>
  <c r="CA40" i="20" s="1"/>
  <c r="CE107" i="15"/>
  <c r="CD108" i="15"/>
  <c r="CD105" i="15"/>
  <c r="CE104" i="15"/>
  <c r="CB190" i="15"/>
  <c r="CA12" i="20" s="1"/>
  <c r="CC105" i="15"/>
  <c r="CC190" i="15" s="1"/>
  <c r="CA82" i="20"/>
  <c r="CB82" i="20" s="1"/>
  <c r="CB80" i="20"/>
  <c r="BW23" i="20"/>
  <c r="BW24" i="20" s="1"/>
  <c r="BW26" i="20" s="1"/>
  <c r="BW28" i="20" s="1"/>
  <c r="BW30" i="20" s="1"/>
  <c r="BX6" i="20" s="1"/>
  <c r="BX10" i="20" s="1"/>
  <c r="BX21" i="20" s="1"/>
  <c r="CD190" i="15" l="1"/>
  <c r="CC12" i="20" s="1"/>
  <c r="CC42" i="20" s="1"/>
  <c r="CC47" i="20" s="1"/>
  <c r="CC50" i="20" s="1"/>
  <c r="CE132" i="15"/>
  <c r="CF131" i="15"/>
  <c r="CE141" i="15"/>
  <c r="CF140" i="15"/>
  <c r="CE120" i="15"/>
  <c r="CF119" i="15"/>
  <c r="CE129" i="15"/>
  <c r="CF128" i="15"/>
  <c r="CE171" i="15"/>
  <c r="CF170" i="15"/>
  <c r="CE114" i="15"/>
  <c r="CF113" i="15"/>
  <c r="CE162" i="15"/>
  <c r="CF161" i="15"/>
  <c r="CE156" i="15"/>
  <c r="CF155" i="15"/>
  <c r="CF122" i="15"/>
  <c r="CE123" i="15"/>
  <c r="CE174" i="15"/>
  <c r="CF173" i="15"/>
  <c r="CE168" i="15"/>
  <c r="CF167" i="15"/>
  <c r="CE126" i="15"/>
  <c r="CF125" i="15"/>
  <c r="CE165" i="15"/>
  <c r="CF164" i="15"/>
  <c r="CE144" i="15"/>
  <c r="CF143" i="15"/>
  <c r="CF137" i="15"/>
  <c r="CE138" i="15"/>
  <c r="CE186" i="15"/>
  <c r="CF185" i="15"/>
  <c r="CE111" i="15"/>
  <c r="CF110" i="15"/>
  <c r="CF176" i="15"/>
  <c r="CE177" i="15"/>
  <c r="CE180" i="15"/>
  <c r="CF179" i="15"/>
  <c r="CE183" i="15"/>
  <c r="CF182" i="15"/>
  <c r="CE135" i="15"/>
  <c r="CF134" i="15"/>
  <c r="CE153" i="15"/>
  <c r="CF152" i="15"/>
  <c r="CF146" i="15"/>
  <c r="CE147" i="15"/>
  <c r="CE159" i="15"/>
  <c r="CF158" i="15"/>
  <c r="CF116" i="15"/>
  <c r="CE117" i="15"/>
  <c r="CE150" i="15"/>
  <c r="CF149" i="15"/>
  <c r="CE105" i="15"/>
  <c r="CF104" i="15"/>
  <c r="CA17" i="20"/>
  <c r="CA20" i="20" s="1"/>
  <c r="CB20" i="20" s="1"/>
  <c r="CA42" i="20"/>
  <c r="CB12" i="20"/>
  <c r="CB17" i="20" s="1"/>
  <c r="Z12" i="36"/>
  <c r="Z17" i="36" s="1"/>
  <c r="Z20" i="36" s="1"/>
  <c r="Z21" i="36" s="1"/>
  <c r="Z23" i="36" s="1"/>
  <c r="Z24" i="36" s="1"/>
  <c r="Z26" i="36" s="1"/>
  <c r="Z28" i="36" s="1"/>
  <c r="Z30" i="36" s="1"/>
  <c r="AA6" i="36" s="1"/>
  <c r="AA10" i="36" s="1"/>
  <c r="CF107" i="15"/>
  <c r="CE108" i="15"/>
  <c r="CA83" i="20"/>
  <c r="CA85" i="20" s="1"/>
  <c r="CA87" i="20" s="1"/>
  <c r="CA89" i="20" s="1"/>
  <c r="CC65" i="20" s="1"/>
  <c r="CC69" i="20" s="1"/>
  <c r="CC80" i="20" s="1"/>
  <c r="BX23" i="20"/>
  <c r="BX24" i="20" s="1"/>
  <c r="BX26" i="20" s="1"/>
  <c r="BX28" i="20" s="1"/>
  <c r="BX30" i="20" s="1"/>
  <c r="BY6" i="20" s="1"/>
  <c r="BY10" i="20" s="1"/>
  <c r="BY21" i="20" s="1"/>
  <c r="CF150" i="15" l="1"/>
  <c r="CG149" i="15"/>
  <c r="CF159" i="15"/>
  <c r="CG158" i="15"/>
  <c r="CG152" i="15"/>
  <c r="CF153" i="15"/>
  <c r="CF183" i="15"/>
  <c r="CG182" i="15"/>
  <c r="CF186" i="15"/>
  <c r="CG185" i="15"/>
  <c r="CF144" i="15"/>
  <c r="CG143" i="15"/>
  <c r="CG125" i="15"/>
  <c r="CF126" i="15"/>
  <c r="CF174" i="15"/>
  <c r="CG173" i="15"/>
  <c r="CF156" i="15"/>
  <c r="CG155" i="15"/>
  <c r="CF114" i="15"/>
  <c r="CG113" i="15"/>
  <c r="CG128" i="15"/>
  <c r="CF129" i="15"/>
  <c r="CF141" i="15"/>
  <c r="CG140" i="15"/>
  <c r="CF177" i="15"/>
  <c r="CG176" i="15"/>
  <c r="CF135" i="15"/>
  <c r="CG134" i="15"/>
  <c r="CF180" i="15"/>
  <c r="CG179" i="15"/>
  <c r="CF111" i="15"/>
  <c r="CG110" i="15"/>
  <c r="CF165" i="15"/>
  <c r="CG164" i="15"/>
  <c r="CF168" i="15"/>
  <c r="CG167" i="15"/>
  <c r="CF162" i="15"/>
  <c r="CG161" i="15"/>
  <c r="CF171" i="15"/>
  <c r="CG170" i="15"/>
  <c r="CG119" i="15"/>
  <c r="CF120" i="15"/>
  <c r="CG131" i="15"/>
  <c r="CF132" i="15"/>
  <c r="CG116" i="15"/>
  <c r="CF117" i="15"/>
  <c r="CG146" i="15"/>
  <c r="CF147" i="15"/>
  <c r="CG137" i="15"/>
  <c r="CF138" i="15"/>
  <c r="CF123" i="15"/>
  <c r="CG122" i="15"/>
  <c r="CC17" i="20"/>
  <c r="CC20" i="20" s="1"/>
  <c r="CG104" i="15"/>
  <c r="CF105" i="15"/>
  <c r="CE190" i="15"/>
  <c r="CD12" i="20" s="1"/>
  <c r="CG107" i="15"/>
  <c r="CF108" i="15"/>
  <c r="CA47" i="20"/>
  <c r="CA50" i="20" s="1"/>
  <c r="CB42" i="20"/>
  <c r="CB47" i="20" s="1"/>
  <c r="Z42" i="36"/>
  <c r="Z47" i="36" s="1"/>
  <c r="Z50" i="36" s="1"/>
  <c r="Z51" i="36" s="1"/>
  <c r="Z53" i="36" s="1"/>
  <c r="Z54" i="36" s="1"/>
  <c r="Z56" i="36" s="1"/>
  <c r="Z58" i="36" s="1"/>
  <c r="Z60" i="36" s="1"/>
  <c r="AA36" i="36" s="1"/>
  <c r="AA40" i="36" s="1"/>
  <c r="CC82" i="20"/>
  <c r="CC83" i="20" s="1"/>
  <c r="CC85" i="20" s="1"/>
  <c r="CC87" i="20" s="1"/>
  <c r="CC89" i="20" s="1"/>
  <c r="CD65" i="20" s="1"/>
  <c r="CD69" i="20" s="1"/>
  <c r="CD80" i="20" s="1"/>
  <c r="BY23" i="20"/>
  <c r="BY24" i="20" s="1"/>
  <c r="BY26" i="20" s="1"/>
  <c r="BY28" i="20" s="1"/>
  <c r="BY30" i="20" s="1"/>
  <c r="BZ6" i="20" s="1"/>
  <c r="BZ10" i="20" s="1"/>
  <c r="BZ21" i="20" s="1"/>
  <c r="CG123" i="15" l="1"/>
  <c r="CH122" i="15"/>
  <c r="CG171" i="15"/>
  <c r="CH170" i="15"/>
  <c r="CG168" i="15"/>
  <c r="CH167" i="15"/>
  <c r="CG111" i="15"/>
  <c r="CH110" i="15"/>
  <c r="CG135" i="15"/>
  <c r="CH134" i="15"/>
  <c r="CH140" i="15"/>
  <c r="CG141" i="15"/>
  <c r="CG114" i="15"/>
  <c r="CH113" i="15"/>
  <c r="CG174" i="15"/>
  <c r="CH173" i="15"/>
  <c r="CG144" i="15"/>
  <c r="CH143" i="15"/>
  <c r="CG183" i="15"/>
  <c r="CH182" i="15"/>
  <c r="CH158" i="15"/>
  <c r="CG159" i="15"/>
  <c r="CG147" i="15"/>
  <c r="CH146" i="15"/>
  <c r="CG132" i="15"/>
  <c r="CH131" i="15"/>
  <c r="CG162" i="15"/>
  <c r="CH161" i="15"/>
  <c r="CG165" i="15"/>
  <c r="CH164" i="15"/>
  <c r="CH179" i="15"/>
  <c r="CG180" i="15"/>
  <c r="CH176" i="15"/>
  <c r="CG177" i="15"/>
  <c r="CG156" i="15"/>
  <c r="CH155" i="15"/>
  <c r="CG186" i="15"/>
  <c r="CH185" i="15"/>
  <c r="CG150" i="15"/>
  <c r="CH149" i="15"/>
  <c r="CG138" i="15"/>
  <c r="CH137" i="15"/>
  <c r="CG117" i="15"/>
  <c r="CH116" i="15"/>
  <c r="CG120" i="15"/>
  <c r="CH119" i="15"/>
  <c r="CH128" i="15"/>
  <c r="CG129" i="15"/>
  <c r="CG126" i="15"/>
  <c r="CH125" i="15"/>
  <c r="CH152" i="15"/>
  <c r="CG153" i="15"/>
  <c r="CF190" i="15"/>
  <c r="CE12" i="20" s="1"/>
  <c r="CG108" i="15"/>
  <c r="CH107" i="15"/>
  <c r="CD42" i="20"/>
  <c r="CD17" i="20"/>
  <c r="CD20" i="20" s="1"/>
  <c r="CB50" i="20"/>
  <c r="CA51" i="20"/>
  <c r="CH104" i="15"/>
  <c r="CG105" i="15"/>
  <c r="CD82" i="20"/>
  <c r="CD83" i="20" s="1"/>
  <c r="CD85" i="20" s="1"/>
  <c r="CD87" i="20" s="1"/>
  <c r="CD89" i="20" s="1"/>
  <c r="CE65" i="20" s="1"/>
  <c r="CE69" i="20" s="1"/>
  <c r="CE80" i="20" s="1"/>
  <c r="BZ23" i="20"/>
  <c r="BZ24" i="20" s="1"/>
  <c r="BZ26" i="20" s="1"/>
  <c r="BZ28" i="20" s="1"/>
  <c r="BZ30" i="20" s="1"/>
  <c r="CA6" i="20" s="1"/>
  <c r="CA10" i="20" s="1"/>
  <c r="CA21" i="20" s="1"/>
  <c r="CH117" i="15" l="1"/>
  <c r="CI116" i="15"/>
  <c r="CH150" i="15"/>
  <c r="CI149" i="15"/>
  <c r="CH156" i="15"/>
  <c r="CI155" i="15"/>
  <c r="CH162" i="15"/>
  <c r="CI161" i="15"/>
  <c r="CH147" i="15"/>
  <c r="CI146" i="15"/>
  <c r="CI182" i="15"/>
  <c r="CH183" i="15"/>
  <c r="CH174" i="15"/>
  <c r="CI173" i="15"/>
  <c r="CH111" i="15"/>
  <c r="CI110" i="15"/>
  <c r="CI170" i="15"/>
  <c r="CH171" i="15"/>
  <c r="CI152" i="15"/>
  <c r="CH153" i="15"/>
  <c r="CH129" i="15"/>
  <c r="CI128" i="15"/>
  <c r="CH180" i="15"/>
  <c r="CI179" i="15"/>
  <c r="CI140" i="15"/>
  <c r="CH141" i="15"/>
  <c r="CH126" i="15"/>
  <c r="CI125" i="15"/>
  <c r="CH120" i="15"/>
  <c r="CI119" i="15"/>
  <c r="CH138" i="15"/>
  <c r="CI137" i="15"/>
  <c r="CH186" i="15"/>
  <c r="CI185" i="15"/>
  <c r="CH165" i="15"/>
  <c r="CI164" i="15"/>
  <c r="CI131" i="15"/>
  <c r="CH132" i="15"/>
  <c r="CH144" i="15"/>
  <c r="CI143" i="15"/>
  <c r="CH114" i="15"/>
  <c r="CI113" i="15"/>
  <c r="CH135" i="15"/>
  <c r="CI134" i="15"/>
  <c r="CH168" i="15"/>
  <c r="CI167" i="15"/>
  <c r="CH123" i="15"/>
  <c r="CI122" i="15"/>
  <c r="CI176" i="15"/>
  <c r="CH177" i="15"/>
  <c r="CH159" i="15"/>
  <c r="CI158" i="15"/>
  <c r="CG190" i="15"/>
  <c r="CF12" i="20" s="1"/>
  <c r="CF42" i="20" s="1"/>
  <c r="CF47" i="20" s="1"/>
  <c r="CF50" i="20" s="1"/>
  <c r="CI104" i="15"/>
  <c r="CH105" i="15"/>
  <c r="CB51" i="20"/>
  <c r="CA53" i="20"/>
  <c r="CA54" i="20" s="1"/>
  <c r="CA56" i="20" s="1"/>
  <c r="CA58" i="20" s="1"/>
  <c r="CA60" i="20" s="1"/>
  <c r="CC36" i="20" s="1"/>
  <c r="CC40" i="20" s="1"/>
  <c r="CC51" i="20" s="1"/>
  <c r="CC53" i="20" s="1"/>
  <c r="CC54" i="20" s="1"/>
  <c r="CC56" i="20" s="1"/>
  <c r="CC58" i="20" s="1"/>
  <c r="CC60" i="20" s="1"/>
  <c r="CD36" i="20" s="1"/>
  <c r="CD40" i="20" s="1"/>
  <c r="CD47" i="20"/>
  <c r="CD50" i="20" s="1"/>
  <c r="CH108" i="15"/>
  <c r="CI107" i="15"/>
  <c r="AA12" i="36"/>
  <c r="AA17" i="36" s="1"/>
  <c r="AA20" i="36" s="1"/>
  <c r="AA21" i="36" s="1"/>
  <c r="AA23" i="36" s="1"/>
  <c r="AA24" i="36" s="1"/>
  <c r="AA26" i="36" s="1"/>
  <c r="AA28" i="36" s="1"/>
  <c r="AA30" i="36" s="1"/>
  <c r="AB6" i="36" s="1"/>
  <c r="AB10" i="36" s="1"/>
  <c r="CE42" i="20"/>
  <c r="CE47" i="20" s="1"/>
  <c r="CE50" i="20" s="1"/>
  <c r="CE17" i="20"/>
  <c r="CE20" i="20" s="1"/>
  <c r="CE82" i="20"/>
  <c r="CE83" i="20" s="1"/>
  <c r="CE85" i="20" s="1"/>
  <c r="CE87" i="20" s="1"/>
  <c r="CE89" i="20" s="1"/>
  <c r="CF65" i="20" s="1"/>
  <c r="CF69" i="20" s="1"/>
  <c r="CF80" i="20" s="1"/>
  <c r="CA23" i="20"/>
  <c r="CB23" i="20" s="1"/>
  <c r="CB21" i="20"/>
  <c r="CI159" i="15" l="1"/>
  <c r="CJ158" i="15"/>
  <c r="CJ122" i="15"/>
  <c r="CI123" i="15"/>
  <c r="CI135" i="15"/>
  <c r="CJ134" i="15"/>
  <c r="CI144" i="15"/>
  <c r="CJ143" i="15"/>
  <c r="CI165" i="15"/>
  <c r="CJ164" i="15"/>
  <c r="CI138" i="15"/>
  <c r="CJ137" i="15"/>
  <c r="CI126" i="15"/>
  <c r="CJ125" i="15"/>
  <c r="CI180" i="15"/>
  <c r="CJ179" i="15"/>
  <c r="CI111" i="15"/>
  <c r="CJ110" i="15"/>
  <c r="CI162" i="15"/>
  <c r="CJ161" i="15"/>
  <c r="CI150" i="15"/>
  <c r="CJ149" i="15"/>
  <c r="CI153" i="15"/>
  <c r="CJ152" i="15"/>
  <c r="CI183" i="15"/>
  <c r="CJ182" i="15"/>
  <c r="CI168" i="15"/>
  <c r="CJ167" i="15"/>
  <c r="CI114" i="15"/>
  <c r="CJ113" i="15"/>
  <c r="CI186" i="15"/>
  <c r="CJ185" i="15"/>
  <c r="CI120" i="15"/>
  <c r="CJ119" i="15"/>
  <c r="CJ128" i="15"/>
  <c r="CI129" i="15"/>
  <c r="CI174" i="15"/>
  <c r="CJ173" i="15"/>
  <c r="CJ146" i="15"/>
  <c r="CI147" i="15"/>
  <c r="CI156" i="15"/>
  <c r="CJ155" i="15"/>
  <c r="CI117" i="15"/>
  <c r="CJ116" i="15"/>
  <c r="CI177" i="15"/>
  <c r="CJ176" i="15"/>
  <c r="CI132" i="15"/>
  <c r="CJ131" i="15"/>
  <c r="CJ140" i="15"/>
  <c r="CI141" i="15"/>
  <c r="CI171" i="15"/>
  <c r="CJ170" i="15"/>
  <c r="CF17" i="20"/>
  <c r="CF20" i="20" s="1"/>
  <c r="CD51" i="20"/>
  <c r="CD53" i="20" s="1"/>
  <c r="CD54" i="20" s="1"/>
  <c r="CD56" i="20" s="1"/>
  <c r="CD58" i="20" s="1"/>
  <c r="CD60" i="20" s="1"/>
  <c r="CE36" i="20" s="1"/>
  <c r="CE40" i="20" s="1"/>
  <c r="CE51" i="20" s="1"/>
  <c r="CE53" i="20" s="1"/>
  <c r="CE54" i="20" s="1"/>
  <c r="CE56" i="20" s="1"/>
  <c r="CE58" i="20" s="1"/>
  <c r="CE60" i="20" s="1"/>
  <c r="CF36" i="20" s="1"/>
  <c r="CF40" i="20" s="1"/>
  <c r="CF51" i="20" s="1"/>
  <c r="CF53" i="20" s="1"/>
  <c r="CF54" i="20" s="1"/>
  <c r="CF56" i="20" s="1"/>
  <c r="CF58" i="20" s="1"/>
  <c r="CF60" i="20" s="1"/>
  <c r="CG36" i="20" s="1"/>
  <c r="CG40" i="20" s="1"/>
  <c r="CH190" i="15"/>
  <c r="CG12" i="20" s="1"/>
  <c r="CG17" i="20" s="1"/>
  <c r="CG20" i="20" s="1"/>
  <c r="CI108" i="15"/>
  <c r="CJ107" i="15"/>
  <c r="AA42" i="36"/>
  <c r="AA47" i="36" s="1"/>
  <c r="AA50" i="36" s="1"/>
  <c r="AA51" i="36" s="1"/>
  <c r="AA53" i="36" s="1"/>
  <c r="AA54" i="36" s="1"/>
  <c r="AA56" i="36" s="1"/>
  <c r="AA58" i="36" s="1"/>
  <c r="AA60" i="36" s="1"/>
  <c r="AB36" i="36" s="1"/>
  <c r="AB40" i="36" s="1"/>
  <c r="CA24" i="20"/>
  <c r="CA26" i="20" s="1"/>
  <c r="CA28" i="20" s="1"/>
  <c r="CA30" i="20" s="1"/>
  <c r="CC6" i="20" s="1"/>
  <c r="CC10" i="20" s="1"/>
  <c r="CC21" i="20" s="1"/>
  <c r="CC23" i="20" s="1"/>
  <c r="CI105" i="15"/>
  <c r="CJ104" i="15"/>
  <c r="CF82" i="20"/>
  <c r="CF83" i="20" s="1"/>
  <c r="CF85" i="20" s="1"/>
  <c r="CF87" i="20" s="1"/>
  <c r="CF89" i="20" s="1"/>
  <c r="CG65" i="20" s="1"/>
  <c r="CG69" i="20" s="1"/>
  <c r="CG80" i="20" s="1"/>
  <c r="CJ171" i="15" l="1"/>
  <c r="CK170" i="15"/>
  <c r="CJ132" i="15"/>
  <c r="CK131" i="15"/>
  <c r="CK116" i="15"/>
  <c r="CJ117" i="15"/>
  <c r="CK185" i="15"/>
  <c r="CJ186" i="15"/>
  <c r="CJ168" i="15"/>
  <c r="CK167" i="15"/>
  <c r="CK152" i="15"/>
  <c r="CJ153" i="15"/>
  <c r="CK161" i="15"/>
  <c r="CJ162" i="15"/>
  <c r="CJ180" i="15"/>
  <c r="CK179" i="15"/>
  <c r="CJ138" i="15"/>
  <c r="CK137" i="15"/>
  <c r="CJ144" i="15"/>
  <c r="CK143" i="15"/>
  <c r="CJ147" i="15"/>
  <c r="CK146" i="15"/>
  <c r="CK128" i="15"/>
  <c r="CJ129" i="15"/>
  <c r="CJ123" i="15"/>
  <c r="CK122" i="15"/>
  <c r="CK176" i="15"/>
  <c r="CJ177" i="15"/>
  <c r="CJ156" i="15"/>
  <c r="CK155" i="15"/>
  <c r="CJ174" i="15"/>
  <c r="CK173" i="15"/>
  <c r="CK119" i="15"/>
  <c r="CJ120" i="15"/>
  <c r="CJ114" i="15"/>
  <c r="CK113" i="15"/>
  <c r="CJ183" i="15"/>
  <c r="CK182" i="15"/>
  <c r="CJ150" i="15"/>
  <c r="CK149" i="15"/>
  <c r="CJ111" i="15"/>
  <c r="CK110" i="15"/>
  <c r="CK125" i="15"/>
  <c r="CJ126" i="15"/>
  <c r="CJ165" i="15"/>
  <c r="CK164" i="15"/>
  <c r="CJ135" i="15"/>
  <c r="CK134" i="15"/>
  <c r="CJ159" i="15"/>
  <c r="CK158" i="15"/>
  <c r="CJ141" i="15"/>
  <c r="CK140" i="15"/>
  <c r="CI190" i="15"/>
  <c r="CH12" i="20" s="1"/>
  <c r="CG42" i="20"/>
  <c r="CG47" i="20" s="1"/>
  <c r="CG50" i="20" s="1"/>
  <c r="CG51" i="20" s="1"/>
  <c r="CJ108" i="15"/>
  <c r="CK107" i="15"/>
  <c r="CC24" i="20"/>
  <c r="CC26" i="20" s="1"/>
  <c r="CC28" i="20" s="1"/>
  <c r="CC30" i="20" s="1"/>
  <c r="CD6" i="20" s="1"/>
  <c r="CD10" i="20" s="1"/>
  <c r="CD21" i="20" s="1"/>
  <c r="CD23" i="20" s="1"/>
  <c r="CD24" i="20" s="1"/>
  <c r="CD26" i="20" s="1"/>
  <c r="CD28" i="20" s="1"/>
  <c r="CD30" i="20" s="1"/>
  <c r="CE6" i="20" s="1"/>
  <c r="CE10" i="20" s="1"/>
  <c r="CE21" i="20" s="1"/>
  <c r="CJ105" i="15"/>
  <c r="CK104" i="15"/>
  <c r="CG82" i="20"/>
  <c r="CG83" i="20" s="1"/>
  <c r="CG85" i="20" s="1"/>
  <c r="CG87" i="20" s="1"/>
  <c r="CG89" i="20" s="1"/>
  <c r="CH65" i="20" s="1"/>
  <c r="CH69" i="20" s="1"/>
  <c r="CH80" i="20" s="1"/>
  <c r="CK141" i="15" l="1"/>
  <c r="CL140" i="15"/>
  <c r="CK135" i="15"/>
  <c r="CL134" i="15"/>
  <c r="CK150" i="15"/>
  <c r="CL149" i="15"/>
  <c r="CK114" i="15"/>
  <c r="CL113" i="15"/>
  <c r="CK174" i="15"/>
  <c r="CL173" i="15"/>
  <c r="CK144" i="15"/>
  <c r="CL143" i="15"/>
  <c r="CK180" i="15"/>
  <c r="CL179" i="15"/>
  <c r="CK132" i="15"/>
  <c r="CL131" i="15"/>
  <c r="CK126" i="15"/>
  <c r="CL125" i="15"/>
  <c r="CK177" i="15"/>
  <c r="CL176" i="15"/>
  <c r="CK129" i="15"/>
  <c r="CL128" i="15"/>
  <c r="CK153" i="15"/>
  <c r="CL152" i="15"/>
  <c r="CK186" i="15"/>
  <c r="CL185" i="15"/>
  <c r="CK159" i="15"/>
  <c r="CL158" i="15"/>
  <c r="CK165" i="15"/>
  <c r="CL164" i="15"/>
  <c r="CK111" i="15"/>
  <c r="CL110" i="15"/>
  <c r="CL182" i="15"/>
  <c r="CK183" i="15"/>
  <c r="CK156" i="15"/>
  <c r="CL155" i="15"/>
  <c r="CK123" i="15"/>
  <c r="CL122" i="15"/>
  <c r="CK147" i="15"/>
  <c r="CL146" i="15"/>
  <c r="CK138" i="15"/>
  <c r="CL137" i="15"/>
  <c r="CK168" i="15"/>
  <c r="CL167" i="15"/>
  <c r="CK171" i="15"/>
  <c r="CL170" i="15"/>
  <c r="CK120" i="15"/>
  <c r="CL119" i="15"/>
  <c r="CK162" i="15"/>
  <c r="CL161" i="15"/>
  <c r="CK117" i="15"/>
  <c r="CL116" i="15"/>
  <c r="CJ190" i="15"/>
  <c r="CI12" i="20" s="1"/>
  <c r="CI42" i="20" s="1"/>
  <c r="CI47" i="20" s="1"/>
  <c r="CI50" i="20" s="1"/>
  <c r="CH42" i="20"/>
  <c r="CH47" i="20" s="1"/>
  <c r="CH50" i="20" s="1"/>
  <c r="CH17" i="20"/>
  <c r="CH20" i="20" s="1"/>
  <c r="AB12" i="36"/>
  <c r="AB17" i="36" s="1"/>
  <c r="AB20" i="36" s="1"/>
  <c r="AB21" i="36" s="1"/>
  <c r="AB23" i="36" s="1"/>
  <c r="AB24" i="36" s="1"/>
  <c r="AB26" i="36" s="1"/>
  <c r="AB28" i="36" s="1"/>
  <c r="AB30" i="36" s="1"/>
  <c r="AC6" i="36" s="1"/>
  <c r="AC10" i="36" s="1"/>
  <c r="CG53" i="20"/>
  <c r="CG54" i="20" s="1"/>
  <c r="CG56" i="20" s="1"/>
  <c r="CG58" i="20" s="1"/>
  <c r="CG60" i="20" s="1"/>
  <c r="CH36" i="20" s="1"/>
  <c r="CH40" i="20" s="1"/>
  <c r="CK105" i="15"/>
  <c r="CL104" i="15"/>
  <c r="CK108" i="15"/>
  <c r="CL107" i="15"/>
  <c r="CH82" i="20"/>
  <c r="CH83" i="20" s="1"/>
  <c r="CH85" i="20" s="1"/>
  <c r="CH87" i="20" s="1"/>
  <c r="CH89" i="20" s="1"/>
  <c r="CI65" i="20" s="1"/>
  <c r="CI69" i="20" s="1"/>
  <c r="CI80" i="20" s="1"/>
  <c r="CE23" i="20"/>
  <c r="CM116" i="15" l="1"/>
  <c r="CL117" i="15"/>
  <c r="CL120" i="15"/>
  <c r="CM119" i="15"/>
  <c r="CM167" i="15"/>
  <c r="CL168" i="15"/>
  <c r="CL147" i="15"/>
  <c r="CM146" i="15"/>
  <c r="CL156" i="15"/>
  <c r="CM155" i="15"/>
  <c r="CL111" i="15"/>
  <c r="CM110" i="15"/>
  <c r="CL159" i="15"/>
  <c r="CM158" i="15"/>
  <c r="CM152" i="15"/>
  <c r="CL153" i="15"/>
  <c r="CL177" i="15"/>
  <c r="CM176" i="15"/>
  <c r="CL132" i="15"/>
  <c r="CM131" i="15"/>
  <c r="CL144" i="15"/>
  <c r="CM143" i="15"/>
  <c r="CL114" i="15"/>
  <c r="CM113" i="15"/>
  <c r="CL135" i="15"/>
  <c r="CM134" i="15"/>
  <c r="CL162" i="15"/>
  <c r="CM161" i="15"/>
  <c r="CL171" i="15"/>
  <c r="CM170" i="15"/>
  <c r="CL138" i="15"/>
  <c r="CM137" i="15"/>
  <c r="CL123" i="15"/>
  <c r="CM122" i="15"/>
  <c r="CL165" i="15"/>
  <c r="CM164" i="15"/>
  <c r="CL186" i="15"/>
  <c r="CM185" i="15"/>
  <c r="CL129" i="15"/>
  <c r="CM128" i="15"/>
  <c r="CL126" i="15"/>
  <c r="CM125" i="15"/>
  <c r="CM179" i="15"/>
  <c r="CL180" i="15"/>
  <c r="CM173" i="15"/>
  <c r="CL174" i="15"/>
  <c r="CL150" i="15"/>
  <c r="CM149" i="15"/>
  <c r="CL141" i="15"/>
  <c r="CM140" i="15"/>
  <c r="CL183" i="15"/>
  <c r="CM182" i="15"/>
  <c r="AB42" i="36"/>
  <c r="AB47" i="36" s="1"/>
  <c r="AB50" i="36" s="1"/>
  <c r="AB51" i="36" s="1"/>
  <c r="AB53" i="36" s="1"/>
  <c r="AB54" i="36" s="1"/>
  <c r="AB56" i="36" s="1"/>
  <c r="AB58" i="36" s="1"/>
  <c r="AB60" i="36" s="1"/>
  <c r="AC36" i="36" s="1"/>
  <c r="AC40" i="36" s="1"/>
  <c r="CK190" i="15"/>
  <c r="CJ12" i="20" s="1"/>
  <c r="CJ42" i="20" s="1"/>
  <c r="CJ47" i="20" s="1"/>
  <c r="CJ50" i="20" s="1"/>
  <c r="CI17" i="20"/>
  <c r="CI20" i="20" s="1"/>
  <c r="CH51" i="20"/>
  <c r="CH53" i="20" s="1"/>
  <c r="CH54" i="20" s="1"/>
  <c r="CH56" i="20" s="1"/>
  <c r="CH58" i="20" s="1"/>
  <c r="CH60" i="20" s="1"/>
  <c r="CI36" i="20" s="1"/>
  <c r="CI40" i="20" s="1"/>
  <c r="CI51" i="20" s="1"/>
  <c r="CI53" i="20" s="1"/>
  <c r="CI54" i="20" s="1"/>
  <c r="CI56" i="20" s="1"/>
  <c r="CI58" i="20" s="1"/>
  <c r="CI60" i="20" s="1"/>
  <c r="CJ36" i="20" s="1"/>
  <c r="CJ40" i="20" s="1"/>
  <c r="CL108" i="15"/>
  <c r="CM107" i="15"/>
  <c r="CL105" i="15"/>
  <c r="CM104" i="15"/>
  <c r="CI82" i="20"/>
  <c r="CI83" i="20" s="1"/>
  <c r="CI85" i="20" s="1"/>
  <c r="CI87" i="20" s="1"/>
  <c r="CI89" i="20" s="1"/>
  <c r="CJ65" i="20" s="1"/>
  <c r="CJ69" i="20" s="1"/>
  <c r="CJ80" i="20" s="1"/>
  <c r="CE24" i="20"/>
  <c r="CE26" i="20" s="1"/>
  <c r="CE28" i="20" s="1"/>
  <c r="CE30" i="20" s="1"/>
  <c r="CF6" i="20" s="1"/>
  <c r="CF10" i="20" s="1"/>
  <c r="CF21" i="20" s="1"/>
  <c r="CL190" i="15" l="1"/>
  <c r="CK12" i="20" s="1"/>
  <c r="CK42" i="20" s="1"/>
  <c r="CK47" i="20" s="1"/>
  <c r="CK50" i="20" s="1"/>
  <c r="CM183" i="15"/>
  <c r="CN182" i="15"/>
  <c r="CM150" i="15"/>
  <c r="CN149" i="15"/>
  <c r="CM129" i="15"/>
  <c r="CN128" i="15"/>
  <c r="CM165" i="15"/>
  <c r="CN164" i="15"/>
  <c r="CN137" i="15"/>
  <c r="CM138" i="15"/>
  <c r="CM162" i="15"/>
  <c r="CN161" i="15"/>
  <c r="CM114" i="15"/>
  <c r="CN113" i="15"/>
  <c r="CM132" i="15"/>
  <c r="CN131" i="15"/>
  <c r="CM111" i="15"/>
  <c r="CN110" i="15"/>
  <c r="CN146" i="15"/>
  <c r="CM147" i="15"/>
  <c r="CM120" i="15"/>
  <c r="CN119" i="15"/>
  <c r="CM180" i="15"/>
  <c r="CN179" i="15"/>
  <c r="CM153" i="15"/>
  <c r="CN152" i="15"/>
  <c r="CM141" i="15"/>
  <c r="CN140" i="15"/>
  <c r="CN125" i="15"/>
  <c r="CM126" i="15"/>
  <c r="CM186" i="15"/>
  <c r="CN185" i="15"/>
  <c r="CM123" i="15"/>
  <c r="CN122" i="15"/>
  <c r="CM171" i="15"/>
  <c r="CN170" i="15"/>
  <c r="CM135" i="15"/>
  <c r="CN134" i="15"/>
  <c r="CM144" i="15"/>
  <c r="CN143" i="15"/>
  <c r="CM177" i="15"/>
  <c r="CN176" i="15"/>
  <c r="CM159" i="15"/>
  <c r="CN158" i="15"/>
  <c r="CM156" i="15"/>
  <c r="CN155" i="15"/>
  <c r="CM174" i="15"/>
  <c r="CN173" i="15"/>
  <c r="CN167" i="15"/>
  <c r="CM168" i="15"/>
  <c r="CM117" i="15"/>
  <c r="CN116" i="15"/>
  <c r="CJ51" i="20"/>
  <c r="CJ53" i="20" s="1"/>
  <c r="CJ54" i="20" s="1"/>
  <c r="CJ56" i="20" s="1"/>
  <c r="CJ58" i="20" s="1"/>
  <c r="CJ60" i="20" s="1"/>
  <c r="CK36" i="20" s="1"/>
  <c r="CK40" i="20" s="1"/>
  <c r="CJ17" i="20"/>
  <c r="CJ20" i="20" s="1"/>
  <c r="CN104" i="15"/>
  <c r="CM105" i="15"/>
  <c r="CN107" i="15"/>
  <c r="CM108" i="15"/>
  <c r="CJ82" i="20"/>
  <c r="CJ83" i="20" s="1"/>
  <c r="CJ85" i="20" s="1"/>
  <c r="CJ87" i="20" s="1"/>
  <c r="CJ89" i="20" s="1"/>
  <c r="CK65" i="20" s="1"/>
  <c r="CK69" i="20" s="1"/>
  <c r="CK80" i="20" s="1"/>
  <c r="CF23" i="20"/>
  <c r="CF24" i="20" s="1"/>
  <c r="CF26" i="20" s="1"/>
  <c r="CF28" i="20" s="1"/>
  <c r="CF30" i="20" s="1"/>
  <c r="CG6" i="20" s="1"/>
  <c r="CG10" i="20" s="1"/>
  <c r="CG21" i="20" s="1"/>
  <c r="CO116" i="15" l="1"/>
  <c r="CN117" i="15"/>
  <c r="CN174" i="15"/>
  <c r="CO173" i="15"/>
  <c r="CN159" i="15"/>
  <c r="CO158" i="15"/>
  <c r="CN144" i="15"/>
  <c r="CO143" i="15"/>
  <c r="CN171" i="15"/>
  <c r="CO170" i="15"/>
  <c r="CN186" i="15"/>
  <c r="CO185" i="15"/>
  <c r="CN141" i="15"/>
  <c r="CO140" i="15"/>
  <c r="CN180" i="15"/>
  <c r="CO179" i="15"/>
  <c r="CN132" i="15"/>
  <c r="CO131" i="15"/>
  <c r="CN162" i="15"/>
  <c r="CO161" i="15"/>
  <c r="CN165" i="15"/>
  <c r="CO164" i="15"/>
  <c r="CN150" i="15"/>
  <c r="CO149" i="15"/>
  <c r="CN147" i="15"/>
  <c r="CO146" i="15"/>
  <c r="CN156" i="15"/>
  <c r="CO155" i="15"/>
  <c r="CN177" i="15"/>
  <c r="CO176" i="15"/>
  <c r="CN135" i="15"/>
  <c r="CO134" i="15"/>
  <c r="CN123" i="15"/>
  <c r="CO122" i="15"/>
  <c r="CO152" i="15"/>
  <c r="CN153" i="15"/>
  <c r="CO119" i="15"/>
  <c r="CN120" i="15"/>
  <c r="CN111" i="15"/>
  <c r="CO110" i="15"/>
  <c r="CN114" i="15"/>
  <c r="CO113" i="15"/>
  <c r="CO128" i="15"/>
  <c r="CN129" i="15"/>
  <c r="CN183" i="15"/>
  <c r="CO182" i="15"/>
  <c r="CN168" i="15"/>
  <c r="CO167" i="15"/>
  <c r="CN126" i="15"/>
  <c r="CO125" i="15"/>
  <c r="CN138" i="15"/>
  <c r="CO137" i="15"/>
  <c r="AC42" i="36"/>
  <c r="AC47" i="36" s="1"/>
  <c r="AC50" i="36" s="1"/>
  <c r="AC51" i="36" s="1"/>
  <c r="AC53" i="36" s="1"/>
  <c r="AC54" i="36" s="1"/>
  <c r="AC56" i="36" s="1"/>
  <c r="AC58" i="36" s="1"/>
  <c r="AC60" i="36" s="1"/>
  <c r="AD36" i="36" s="1"/>
  <c r="AD40" i="36" s="1"/>
  <c r="CK17" i="20"/>
  <c r="CK20" i="20" s="1"/>
  <c r="AC12" i="36"/>
  <c r="AC17" i="36" s="1"/>
  <c r="AC20" i="36" s="1"/>
  <c r="AC21" i="36" s="1"/>
  <c r="AC23" i="36" s="1"/>
  <c r="AC24" i="36" s="1"/>
  <c r="AC26" i="36" s="1"/>
  <c r="AC28" i="36" s="1"/>
  <c r="AC30" i="36" s="1"/>
  <c r="AD6" i="36" s="1"/>
  <c r="AD10" i="36" s="1"/>
  <c r="CK51" i="20"/>
  <c r="CK53" i="20" s="1"/>
  <c r="CK54" i="20" s="1"/>
  <c r="CK56" i="20" s="1"/>
  <c r="CK58" i="20" s="1"/>
  <c r="CK60" i="20" s="1"/>
  <c r="CL36" i="20" s="1"/>
  <c r="CL40" i="20" s="1"/>
  <c r="CM190" i="15"/>
  <c r="CL12" i="20" s="1"/>
  <c r="CL17" i="20" s="1"/>
  <c r="CL20" i="20" s="1"/>
  <c r="CO104" i="15"/>
  <c r="CN105" i="15"/>
  <c r="CO107" i="15"/>
  <c r="CN108" i="15"/>
  <c r="CK82" i="20"/>
  <c r="CK83" i="20" s="1"/>
  <c r="CK85" i="20" s="1"/>
  <c r="CK87" i="20" s="1"/>
  <c r="CK89" i="20" s="1"/>
  <c r="CL65" i="20" s="1"/>
  <c r="CL69" i="20" s="1"/>
  <c r="CL80" i="20" s="1"/>
  <c r="CG23" i="20"/>
  <c r="CG24" i="20" s="1"/>
  <c r="CG26" i="20" s="1"/>
  <c r="CG28" i="20" s="1"/>
  <c r="CG30" i="20" s="1"/>
  <c r="CH6" i="20" s="1"/>
  <c r="CH10" i="20" s="1"/>
  <c r="CH21" i="20" s="1"/>
  <c r="CP137" i="15" l="1"/>
  <c r="CO138" i="15"/>
  <c r="CP138" i="15" s="1"/>
  <c r="CP167" i="15"/>
  <c r="CO168" i="15"/>
  <c r="CP168" i="15" s="1"/>
  <c r="CP110" i="15"/>
  <c r="CO111" i="15"/>
  <c r="CP111" i="15" s="1"/>
  <c r="CP134" i="15"/>
  <c r="CO135" i="15"/>
  <c r="CP135" i="15" s="1"/>
  <c r="CO156" i="15"/>
  <c r="CP156" i="15" s="1"/>
  <c r="CP155" i="15"/>
  <c r="CO150" i="15"/>
  <c r="CP150" i="15" s="1"/>
  <c r="CP149" i="15"/>
  <c r="CO162" i="15"/>
  <c r="CP162" i="15" s="1"/>
  <c r="CP161" i="15"/>
  <c r="CP179" i="15"/>
  <c r="CO180" i="15"/>
  <c r="CP180" i="15" s="1"/>
  <c r="CO186" i="15"/>
  <c r="CP186" i="15" s="1"/>
  <c r="CP185" i="15"/>
  <c r="CP143" i="15"/>
  <c r="CO144" i="15"/>
  <c r="CP144" i="15" s="1"/>
  <c r="CP173" i="15"/>
  <c r="CO174" i="15"/>
  <c r="CP174" i="15" s="1"/>
  <c r="CP128" i="15"/>
  <c r="CO129" i="15"/>
  <c r="CP129" i="15" s="1"/>
  <c r="CP152" i="15"/>
  <c r="CO153" i="15"/>
  <c r="CP153" i="15" s="1"/>
  <c r="CO126" i="15"/>
  <c r="CP126" i="15" s="1"/>
  <c r="CP125" i="15"/>
  <c r="CP182" i="15"/>
  <c r="CO183" i="15"/>
  <c r="CP183" i="15" s="1"/>
  <c r="CP113" i="15"/>
  <c r="CO114" i="15"/>
  <c r="CP114" i="15" s="1"/>
  <c r="CO123" i="15"/>
  <c r="CP123" i="15" s="1"/>
  <c r="CP122" i="15"/>
  <c r="CP176" i="15"/>
  <c r="CO177" i="15"/>
  <c r="CP177" i="15" s="1"/>
  <c r="CP146" i="15"/>
  <c r="CO147" i="15"/>
  <c r="CP147" i="15" s="1"/>
  <c r="CO165" i="15"/>
  <c r="CP165" i="15" s="1"/>
  <c r="CP164" i="15"/>
  <c r="CO132" i="15"/>
  <c r="CP132" i="15" s="1"/>
  <c r="CP131" i="15"/>
  <c r="CP140" i="15"/>
  <c r="CO141" i="15"/>
  <c r="CP141" i="15" s="1"/>
  <c r="CP170" i="15"/>
  <c r="CO171" i="15"/>
  <c r="CP171" i="15" s="1"/>
  <c r="CP158" i="15"/>
  <c r="CO159" i="15"/>
  <c r="CP159" i="15" s="1"/>
  <c r="CP119" i="15"/>
  <c r="CO120" i="15"/>
  <c r="CP120" i="15" s="1"/>
  <c r="CP116" i="15"/>
  <c r="CO117" i="15"/>
  <c r="CP117" i="15" s="1"/>
  <c r="CL42" i="20"/>
  <c r="CL47" i="20" s="1"/>
  <c r="CL50" i="20" s="1"/>
  <c r="CL51" i="20" s="1"/>
  <c r="CL53" i="20" s="1"/>
  <c r="CL54" i="20" s="1"/>
  <c r="CL56" i="20" s="1"/>
  <c r="CL58" i="20" s="1"/>
  <c r="CL60" i="20" s="1"/>
  <c r="CM36" i="20" s="1"/>
  <c r="CM40" i="20" s="1"/>
  <c r="CN190" i="15"/>
  <c r="CM12" i="20" s="1"/>
  <c r="CM42" i="20" s="1"/>
  <c r="CM47" i="20" s="1"/>
  <c r="CM50" i="20" s="1"/>
  <c r="CO105" i="15"/>
  <c r="CP105" i="15" s="1"/>
  <c r="CP104" i="15"/>
  <c r="CO108" i="15"/>
  <c r="CP108" i="15" s="1"/>
  <c r="CP107" i="15"/>
  <c r="CL82" i="20"/>
  <c r="CL83" i="20" s="1"/>
  <c r="CL85" i="20" s="1"/>
  <c r="CL87" i="20" s="1"/>
  <c r="CL89" i="20" s="1"/>
  <c r="CM65" i="20" s="1"/>
  <c r="CM69" i="20" s="1"/>
  <c r="CM80" i="20" s="1"/>
  <c r="CH23" i="20"/>
  <c r="CH24" i="20" s="1"/>
  <c r="CH26" i="20" s="1"/>
  <c r="CH28" i="20" s="1"/>
  <c r="CH30" i="20" s="1"/>
  <c r="CI6" i="20" s="1"/>
  <c r="CI10" i="20" s="1"/>
  <c r="CI21" i="20" s="1"/>
  <c r="CP190" i="15" l="1"/>
  <c r="CM17" i="20"/>
  <c r="CM20" i="20" s="1"/>
  <c r="CO190" i="15"/>
  <c r="CN12" i="20" s="1"/>
  <c r="CO12" i="20" s="1"/>
  <c r="CO17" i="20" s="1"/>
  <c r="CM51" i="20"/>
  <c r="CM53" i="20" s="1"/>
  <c r="CM54" i="20" s="1"/>
  <c r="CM56" i="20" s="1"/>
  <c r="CM58" i="20" s="1"/>
  <c r="CM60" i="20" s="1"/>
  <c r="CN36" i="20" s="1"/>
  <c r="CN40" i="20" s="1"/>
  <c r="CM82" i="20"/>
  <c r="CM83" i="20" s="1"/>
  <c r="CM85" i="20" s="1"/>
  <c r="CM87" i="20" s="1"/>
  <c r="CM89" i="20" s="1"/>
  <c r="CN65" i="20" s="1"/>
  <c r="CN69" i="20" s="1"/>
  <c r="CN80" i="20" s="1"/>
  <c r="CI23" i="20"/>
  <c r="CI24" i="20" s="1"/>
  <c r="CI26" i="20" s="1"/>
  <c r="CI28" i="20" s="1"/>
  <c r="CI30" i="20" s="1"/>
  <c r="CJ6" i="20" s="1"/>
  <c r="CJ10" i="20" s="1"/>
  <c r="CJ21" i="20" s="1"/>
  <c r="AD12" i="36" l="1"/>
  <c r="AD17" i="36" s="1"/>
  <c r="AD20" i="36" s="1"/>
  <c r="AD21" i="36" s="1"/>
  <c r="AD23" i="36" s="1"/>
  <c r="AD24" i="36" s="1"/>
  <c r="AD26" i="36" s="1"/>
  <c r="AD28" i="36" s="1"/>
  <c r="AD30" i="36" s="1"/>
  <c r="CN42" i="20"/>
  <c r="CN47" i="20" s="1"/>
  <c r="CN50" i="20" s="1"/>
  <c r="CN17" i="20"/>
  <c r="CN20" i="20" s="1"/>
  <c r="CO20" i="20" s="1"/>
  <c r="CN82" i="20"/>
  <c r="CN83" i="20" s="1"/>
  <c r="CN85" i="20" s="1"/>
  <c r="CN87" i="20" s="1"/>
  <c r="CN89" i="20" s="1"/>
  <c r="CO80" i="20"/>
  <c r="CJ23" i="20"/>
  <c r="CJ24" i="20" s="1"/>
  <c r="CJ26" i="20" s="1"/>
  <c r="CJ28" i="20" s="1"/>
  <c r="CJ30" i="20" s="1"/>
  <c r="CK6" i="20" s="1"/>
  <c r="CK10" i="20" s="1"/>
  <c r="CK21" i="20" s="1"/>
  <c r="AD42" i="36" l="1"/>
  <c r="AD47" i="36" s="1"/>
  <c r="AD50" i="36" s="1"/>
  <c r="AD51" i="36" s="1"/>
  <c r="AD53" i="36" s="1"/>
  <c r="AD54" i="36" s="1"/>
  <c r="AD56" i="36" s="1"/>
  <c r="AD58" i="36" s="1"/>
  <c r="AD60" i="36" s="1"/>
  <c r="CO42" i="20"/>
  <c r="CO47" i="20" s="1"/>
  <c r="CO50" i="20"/>
  <c r="CN51" i="20"/>
  <c r="CK23" i="20"/>
  <c r="CK24" i="20" s="1"/>
  <c r="CK26" i="20" s="1"/>
  <c r="CK28" i="20" s="1"/>
  <c r="CK30" i="20" s="1"/>
  <c r="CL6" i="20" s="1"/>
  <c r="CL10" i="20" s="1"/>
  <c r="CL21" i="20" s="1"/>
  <c r="CO51" i="20" l="1"/>
  <c r="CN53" i="20"/>
  <c r="CN54" i="20" s="1"/>
  <c r="CN56" i="20" s="1"/>
  <c r="CN58" i="20" s="1"/>
  <c r="CN60" i="20" s="1"/>
  <c r="CL23" i="20"/>
  <c r="CL24" i="20" s="1"/>
  <c r="CL26" i="20" s="1"/>
  <c r="CL28" i="20" s="1"/>
  <c r="CL30" i="20" s="1"/>
  <c r="CM6" i="20" s="1"/>
  <c r="CM10" i="20" s="1"/>
  <c r="CM21" i="20" s="1"/>
  <c r="CM23" i="20" l="1"/>
  <c r="CM24" i="20" s="1"/>
  <c r="CM26" i="20" s="1"/>
  <c r="CM28" i="20" s="1"/>
  <c r="CM30" i="20" s="1"/>
  <c r="CN6" i="20" s="1"/>
  <c r="CN10" i="20" s="1"/>
  <c r="CN21" i="20" s="1"/>
  <c r="CN23" i="20" l="1"/>
  <c r="CO23" i="20" s="1"/>
  <c r="CO21" i="20"/>
  <c r="CN24" i="20" l="1"/>
  <c r="CN26" i="20" s="1"/>
  <c r="CN28" i="20" s="1"/>
  <c r="CN30"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tc={C8C01B20-236A-44E6-A7A5-68AA59A2E999}</author>
    <author>tc={51E39C36-BB99-4750-B383-F74684794A45}</author>
  </authors>
  <commentList>
    <comment ref="A44" authorId="0" shapeId="0" xr:uid="{C8C01B20-236A-44E6-A7A5-68AA59A2E999}">
      <text>
        <t>[Threaded comment]
Your version of Excel allows you to read this threaded comment; however, any edits to it will get removed if the file is opened in a newer version of Excel. Learn more: https://go.microsoft.com/fwlink/?linkid=870924
Comment:
    IFRS 20</t>
      </text>
    </comment>
    <comment ref="A45" authorId="1" shapeId="0" xr:uid="{51E39C36-BB99-4750-B383-F74684794A45}">
      <text>
        <t>[Threaded comment]
Your version of Excel allows you to read this threaded comment; however, any edits to it will get removed if the file is opened in a newer version of Excel. Learn more: https://go.microsoft.com/fwlink/?linkid=870924
Comment:
    IFRS 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Hani O Skaik</author>
  </authors>
  <commentList>
    <comment ref="O21" authorId="0" shapeId="0" xr:uid="{5E412B59-078F-4505-B69C-05B9F9A9256B}">
      <text>
        <r>
          <rPr>
            <b/>
            <sz val="9"/>
            <color indexed="81"/>
            <rFont val="Tahoma"/>
            <family val="2"/>
          </rPr>
          <t>Hani O Skaik:</t>
        </r>
        <r>
          <rPr>
            <sz val="9"/>
            <color indexed="81"/>
            <rFont val="Tahoma"/>
            <family val="2"/>
          </rPr>
          <t xml:space="preserve">
VALIDATION</t>
        </r>
      </text>
    </comment>
    <comment ref="AB21" authorId="0" shapeId="0" xr:uid="{933D3111-ED69-428D-B85B-03C15D33A60D}">
      <text>
        <r>
          <rPr>
            <b/>
            <sz val="9"/>
            <color indexed="81"/>
            <rFont val="Tahoma"/>
            <family val="2"/>
          </rPr>
          <t>Hani O Skaik:</t>
        </r>
        <r>
          <rPr>
            <sz val="9"/>
            <color indexed="81"/>
            <rFont val="Tahoma"/>
            <family val="2"/>
          </rPr>
          <t xml:space="preserve">
VALIDATION</t>
        </r>
      </text>
    </comment>
    <comment ref="AO21" authorId="0" shapeId="0" xr:uid="{6364D830-EC18-468A-8272-6C49B61873D4}">
      <text>
        <r>
          <rPr>
            <b/>
            <sz val="9"/>
            <color indexed="81"/>
            <rFont val="Tahoma"/>
            <family val="2"/>
          </rPr>
          <t>Hani O Skaik:</t>
        </r>
        <r>
          <rPr>
            <sz val="9"/>
            <color indexed="81"/>
            <rFont val="Tahoma"/>
            <family val="2"/>
          </rPr>
          <t xml:space="preserve">
VALIDATION</t>
        </r>
      </text>
    </comment>
    <comment ref="BB21" authorId="0" shapeId="0" xr:uid="{9FE898BC-6D40-469F-A12F-ECC6E5949C69}">
      <text>
        <r>
          <rPr>
            <b/>
            <sz val="9"/>
            <color indexed="81"/>
            <rFont val="Tahoma"/>
            <family val="2"/>
          </rPr>
          <t>Hani O Skaik:</t>
        </r>
        <r>
          <rPr>
            <sz val="9"/>
            <color indexed="81"/>
            <rFont val="Tahoma"/>
            <family val="2"/>
          </rPr>
          <t xml:space="preserve">
VALIDATION</t>
        </r>
      </text>
    </comment>
    <comment ref="BO21" authorId="0" shapeId="0" xr:uid="{78F5F0F2-9E00-4A04-89FE-1823D71F09D7}">
      <text>
        <r>
          <rPr>
            <b/>
            <sz val="9"/>
            <color indexed="81"/>
            <rFont val="Tahoma"/>
            <family val="2"/>
          </rPr>
          <t>Hani O Skaik:</t>
        </r>
        <r>
          <rPr>
            <sz val="9"/>
            <color indexed="81"/>
            <rFont val="Tahoma"/>
            <family val="2"/>
          </rPr>
          <t xml:space="preserve">
VALIDATION</t>
        </r>
      </text>
    </comment>
    <comment ref="CB21" authorId="0" shapeId="0" xr:uid="{893EB881-FAD8-43B8-A9E0-4D7F7DF51D3A}">
      <text>
        <r>
          <rPr>
            <b/>
            <sz val="9"/>
            <color indexed="81"/>
            <rFont val="Tahoma"/>
            <family val="2"/>
          </rPr>
          <t>Hani O Skaik:</t>
        </r>
        <r>
          <rPr>
            <sz val="9"/>
            <color indexed="81"/>
            <rFont val="Tahoma"/>
            <family val="2"/>
          </rPr>
          <t xml:space="preserve">
VALIDATION</t>
        </r>
      </text>
    </comment>
    <comment ref="CO21" authorId="0" shapeId="0" xr:uid="{16323EBE-8F28-4D24-8277-E76968EA9B12}">
      <text>
        <r>
          <rPr>
            <b/>
            <sz val="9"/>
            <color indexed="81"/>
            <rFont val="Tahoma"/>
            <family val="2"/>
          </rPr>
          <t>Hani O Skaik:</t>
        </r>
        <r>
          <rPr>
            <sz val="9"/>
            <color indexed="81"/>
            <rFont val="Tahoma"/>
            <family val="2"/>
          </rPr>
          <t xml:space="preserve">
VALIDATION</t>
        </r>
      </text>
    </comment>
    <comment ref="O51" authorId="0" shapeId="0" xr:uid="{E24CC1C0-0942-49C1-AE93-60545B469A8E}">
      <text>
        <r>
          <rPr>
            <b/>
            <sz val="9"/>
            <color indexed="81"/>
            <rFont val="Tahoma"/>
            <family val="2"/>
          </rPr>
          <t>Hani O Skaik:</t>
        </r>
        <r>
          <rPr>
            <sz val="9"/>
            <color indexed="81"/>
            <rFont val="Tahoma"/>
            <family val="2"/>
          </rPr>
          <t xml:space="preserve">
VALIDATION</t>
        </r>
      </text>
    </comment>
    <comment ref="AB51" authorId="0" shapeId="0" xr:uid="{811470DB-387B-49C2-B21A-C4CB3BC30F51}">
      <text>
        <r>
          <rPr>
            <b/>
            <sz val="9"/>
            <color indexed="81"/>
            <rFont val="Tahoma"/>
            <family val="2"/>
          </rPr>
          <t>Hani O Skaik:</t>
        </r>
        <r>
          <rPr>
            <sz val="9"/>
            <color indexed="81"/>
            <rFont val="Tahoma"/>
            <family val="2"/>
          </rPr>
          <t xml:space="preserve">
VALIDATION</t>
        </r>
      </text>
    </comment>
    <comment ref="AO51" authorId="0" shapeId="0" xr:uid="{60778BB9-D751-40EE-A447-EE9A7969800E}">
      <text>
        <r>
          <rPr>
            <b/>
            <sz val="9"/>
            <color indexed="81"/>
            <rFont val="Tahoma"/>
            <family val="2"/>
          </rPr>
          <t>Hani O Skaik:</t>
        </r>
        <r>
          <rPr>
            <sz val="9"/>
            <color indexed="81"/>
            <rFont val="Tahoma"/>
            <family val="2"/>
          </rPr>
          <t xml:space="preserve">
VALIDATION</t>
        </r>
      </text>
    </comment>
    <comment ref="BB51" authorId="0" shapeId="0" xr:uid="{3B2118FA-423C-41AA-9F47-977BC0E2A279}">
      <text>
        <r>
          <rPr>
            <b/>
            <sz val="9"/>
            <color indexed="81"/>
            <rFont val="Tahoma"/>
            <family val="2"/>
          </rPr>
          <t>Hani O Skaik:</t>
        </r>
        <r>
          <rPr>
            <sz val="9"/>
            <color indexed="81"/>
            <rFont val="Tahoma"/>
            <family val="2"/>
          </rPr>
          <t xml:space="preserve">
VALIDATION</t>
        </r>
      </text>
    </comment>
    <comment ref="BO51" authorId="0" shapeId="0" xr:uid="{E154ECAB-273D-4181-8DF0-71E5D43039B0}">
      <text>
        <r>
          <rPr>
            <b/>
            <sz val="9"/>
            <color indexed="81"/>
            <rFont val="Tahoma"/>
            <family val="2"/>
          </rPr>
          <t>Hani O Skaik:</t>
        </r>
        <r>
          <rPr>
            <sz val="9"/>
            <color indexed="81"/>
            <rFont val="Tahoma"/>
            <family val="2"/>
          </rPr>
          <t xml:space="preserve">
VALIDATION</t>
        </r>
      </text>
    </comment>
    <comment ref="CB51" authorId="0" shapeId="0" xr:uid="{A51350F1-A9A5-4D63-A4C6-81085D75475D}">
      <text>
        <r>
          <rPr>
            <b/>
            <sz val="9"/>
            <color indexed="81"/>
            <rFont val="Tahoma"/>
            <family val="2"/>
          </rPr>
          <t>Hani O Skaik:</t>
        </r>
        <r>
          <rPr>
            <sz val="9"/>
            <color indexed="81"/>
            <rFont val="Tahoma"/>
            <family val="2"/>
          </rPr>
          <t xml:space="preserve">
VALIDATION</t>
        </r>
      </text>
    </comment>
    <comment ref="CO51" authorId="0" shapeId="0" xr:uid="{37B75EDD-17D1-45D1-8656-30E06FCA5200}">
      <text>
        <r>
          <rPr>
            <b/>
            <sz val="9"/>
            <color indexed="81"/>
            <rFont val="Tahoma"/>
            <family val="2"/>
          </rPr>
          <t>Hani O Skaik:</t>
        </r>
        <r>
          <rPr>
            <sz val="9"/>
            <color indexed="81"/>
            <rFont val="Tahoma"/>
            <family val="2"/>
          </rPr>
          <t xml:space="preserve">
VALIDATION</t>
        </r>
      </text>
    </comment>
    <comment ref="O80" authorId="0" shapeId="0" xr:uid="{66F964AF-0BB1-4546-A236-271254A5E9F6}">
      <text>
        <r>
          <rPr>
            <b/>
            <sz val="9"/>
            <color indexed="81"/>
            <rFont val="Tahoma"/>
            <family val="2"/>
          </rPr>
          <t>Hani O Skaik:</t>
        </r>
        <r>
          <rPr>
            <sz val="9"/>
            <color indexed="81"/>
            <rFont val="Tahoma"/>
            <family val="2"/>
          </rPr>
          <t xml:space="preserve">
VALIDATION</t>
        </r>
      </text>
    </comment>
    <comment ref="AB80" authorId="0" shapeId="0" xr:uid="{3DBB6CC2-4FFA-4032-BA7D-7BADCE0CE1D9}">
      <text>
        <r>
          <rPr>
            <b/>
            <sz val="9"/>
            <color indexed="81"/>
            <rFont val="Tahoma"/>
            <family val="2"/>
          </rPr>
          <t>Hani O Skaik:</t>
        </r>
        <r>
          <rPr>
            <sz val="9"/>
            <color indexed="81"/>
            <rFont val="Tahoma"/>
            <family val="2"/>
          </rPr>
          <t xml:space="preserve">
VALIDATION</t>
        </r>
      </text>
    </comment>
    <comment ref="AO80" authorId="0" shapeId="0" xr:uid="{7A1BD6C0-FC5F-40BF-ABAA-53B3A579F102}">
      <text>
        <r>
          <rPr>
            <b/>
            <sz val="9"/>
            <color indexed="81"/>
            <rFont val="Tahoma"/>
            <family val="2"/>
          </rPr>
          <t>Hani O Skaik:</t>
        </r>
        <r>
          <rPr>
            <sz val="9"/>
            <color indexed="81"/>
            <rFont val="Tahoma"/>
            <family val="2"/>
          </rPr>
          <t xml:space="preserve">
VALIDATION</t>
        </r>
      </text>
    </comment>
    <comment ref="BB80" authorId="0" shapeId="0" xr:uid="{84CE0C04-F737-477A-A80E-FAE85EF0579C}">
      <text>
        <r>
          <rPr>
            <b/>
            <sz val="9"/>
            <color indexed="81"/>
            <rFont val="Tahoma"/>
            <family val="2"/>
          </rPr>
          <t>Hani O Skaik:</t>
        </r>
        <r>
          <rPr>
            <sz val="9"/>
            <color indexed="81"/>
            <rFont val="Tahoma"/>
            <family val="2"/>
          </rPr>
          <t xml:space="preserve">
VALIDATION</t>
        </r>
      </text>
    </comment>
    <comment ref="BO80" authorId="0" shapeId="0" xr:uid="{ECA190B1-3320-4494-B454-13D3B09B05A8}">
      <text>
        <r>
          <rPr>
            <b/>
            <sz val="9"/>
            <color indexed="81"/>
            <rFont val="Tahoma"/>
            <family val="2"/>
          </rPr>
          <t>Hani O Skaik:</t>
        </r>
        <r>
          <rPr>
            <sz val="9"/>
            <color indexed="81"/>
            <rFont val="Tahoma"/>
            <family val="2"/>
          </rPr>
          <t xml:space="preserve">
VALIDATION</t>
        </r>
      </text>
    </comment>
    <comment ref="CB80" authorId="0" shapeId="0" xr:uid="{EDF484EB-86C2-4B8E-98DA-6D23F259EC68}">
      <text>
        <r>
          <rPr>
            <b/>
            <sz val="9"/>
            <color indexed="81"/>
            <rFont val="Tahoma"/>
            <family val="2"/>
          </rPr>
          <t>Hani O Skaik:</t>
        </r>
        <r>
          <rPr>
            <sz val="9"/>
            <color indexed="81"/>
            <rFont val="Tahoma"/>
            <family val="2"/>
          </rPr>
          <t xml:space="preserve">
VALIDATION</t>
        </r>
      </text>
    </comment>
    <comment ref="CO80" authorId="0" shapeId="0" xr:uid="{A32328E2-C750-48A3-861A-38AD01345264}">
      <text>
        <r>
          <rPr>
            <b/>
            <sz val="9"/>
            <color indexed="81"/>
            <rFont val="Tahoma"/>
            <family val="2"/>
          </rPr>
          <t>Hani O Skaik:</t>
        </r>
        <r>
          <rPr>
            <sz val="9"/>
            <color indexed="81"/>
            <rFont val="Tahoma"/>
            <family val="2"/>
          </rPr>
          <t xml:space="preserve">
VALIDATION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<sst xmlns="http://schemas.openxmlformats.org/spreadsheetml/2006/main" count="3838" uniqueCount="1060">
  <si>
    <t>Contents</t>
  </si>
  <si>
    <t>Summary, Assumptions, Inputs</t>
  </si>
  <si>
    <t>Projected Financial Statements</t>
  </si>
  <si>
    <t>Ratio Analysis</t>
  </si>
  <si>
    <t>BEP, &amp; Summary Results</t>
  </si>
  <si>
    <t>Cashflow Estimation, &amp; Investment</t>
  </si>
  <si>
    <t>Capital Expenditures</t>
  </si>
  <si>
    <t>Operating Expenditures, Payroll</t>
  </si>
  <si>
    <t>Sales, Production, &amp; Other Assumptions</t>
  </si>
  <si>
    <t>Sales Volume, Cost of Production Projections</t>
  </si>
  <si>
    <t>Production Matrix</t>
  </si>
  <si>
    <t>Disbursement Plan</t>
  </si>
  <si>
    <t>Implemenation Plan</t>
  </si>
  <si>
    <t>Procurement Plan</t>
  </si>
  <si>
    <t>Financial Plan</t>
  </si>
  <si>
    <t>Al Bawader for Greenhouse Plastics</t>
  </si>
  <si>
    <t>Summary, Assumptions, &amp; Inputs</t>
  </si>
  <si>
    <t>Project Description</t>
  </si>
  <si>
    <t>Al Bawader seeks to create a shift in Palestinian agriculture through the establishment of a production facility that ‎manufactures plastic for greenhouses.  It would be the first such venture in Palestine, as local farmers are reliant on ‎foreign imports, particularly Israeli firms, that import the plastic thus stifling the growth of the sector.  In addition ‎to this, AL Bawader is seeking to do so through creating a competitive advantage based on its ability to recycle ‎waste and convert it into raw materials, and partnering with a German firm remotely that will oversee the ‎production to enhance the quality and value of the products and their subsequent delivery.  Typically, agriculture ‎is between 6-9% of Palestinian GDP, equating to nearly $ 1 Billion in annual revenues generated by the sector‎.</t>
  </si>
  <si>
    <t>Study Financial Result</t>
  </si>
  <si>
    <t>Currency Used</t>
  </si>
  <si>
    <t>USD</t>
  </si>
  <si>
    <t>Investment Value</t>
  </si>
  <si>
    <t>Total Project's Investment</t>
  </si>
  <si>
    <t>Internal Rate of Return (IRR)</t>
  </si>
  <si>
    <t>IRR is a method used by companies to make decisions about the viability of an investment in the long run, that is, it is one of the methods of capital budgeting. It is defined as the discount rate at which the Net Present Value outcome is zero, and it is usually interpreted by the expected profits that an investment decision generates.</t>
  </si>
  <si>
    <t>Net Present Value (NPV) @</t>
  </si>
  <si>
    <t>Net Present Value applies to a series of cash flows occurring at different times. The present value of a cash flow depends on the interval of time between now and the cash flow. It also depends on the discount rate.</t>
  </si>
  <si>
    <t>Payback Period</t>
  </si>
  <si>
    <t>Yr</t>
  </si>
  <si>
    <t>The period that the project spends until it recovers the money initially paid</t>
  </si>
  <si>
    <t>Average Annual Net Profit</t>
  </si>
  <si>
    <t>(Five Years)</t>
  </si>
  <si>
    <t>It is the value of the expected annual net profit and it is calculated after deducting all expenses and expenditures from the total revenues, the Average Annual Net Profit rate was calculated for five years, which is the study period.</t>
  </si>
  <si>
    <t>Return of Investment (ROI)</t>
  </si>
  <si>
    <t>ROI is the ratio between the Average Annual Net Profit and the investment cost resulting from investing some resources. A higher return on investment means that the investment rewards positively over its cost</t>
  </si>
  <si>
    <t>Return on Assets (ROA)</t>
  </si>
  <si>
    <t>The rate of return ratio reflects the investment value of the project's fixed assets</t>
  </si>
  <si>
    <t>OPEX</t>
  </si>
  <si>
    <t>It is a measure of the financial resources needed for a company to cover its daily expenditures and is calculated by subtracting the cash outflows from the cash inflows.</t>
  </si>
  <si>
    <t>Capital Investment</t>
  </si>
  <si>
    <t>The value of the resources needed to invest in fixed assets</t>
  </si>
  <si>
    <t>Financial Assumptions</t>
  </si>
  <si>
    <t>Currency Translation</t>
  </si>
  <si>
    <t>Investment Assumptions</t>
  </si>
  <si>
    <t>Sales Annual Increment</t>
  </si>
  <si>
    <t>ILS to ILS</t>
  </si>
  <si>
    <t>1.00</t>
  </si>
  <si>
    <t>Production Level</t>
  </si>
  <si>
    <t>of projected Sales</t>
  </si>
  <si>
    <t>Annual increase in operating cost</t>
  </si>
  <si>
    <t>USD to ILS</t>
  </si>
  <si>
    <t>Investment  Structure</t>
  </si>
  <si>
    <t>Annual increase in salaries and wages</t>
  </si>
  <si>
    <t>EURO to ILS</t>
  </si>
  <si>
    <t>Equity financing</t>
  </si>
  <si>
    <t>FX Rate</t>
  </si>
  <si>
    <t>Debt financing</t>
  </si>
  <si>
    <r>
      <t>% Collection Rate 1</t>
    </r>
    <r>
      <rPr>
        <vertAlign val="superscript"/>
        <sz val="10"/>
        <color theme="4" tint="-0.499984740745262"/>
        <rFont val="Bookman Old Style"/>
        <family val="1"/>
      </rPr>
      <t>st</t>
    </r>
    <r>
      <rPr>
        <sz val="10"/>
        <color theme="4" tint="-0.499984740745262"/>
        <rFont val="Bookman Old Style"/>
        <family val="1"/>
      </rPr>
      <t xml:space="preserve"> month</t>
    </r>
  </si>
  <si>
    <t>A/R Collections</t>
  </si>
  <si>
    <t>Industry &amp; Market Inputs</t>
  </si>
  <si>
    <t>Loan in currency</t>
  </si>
  <si>
    <t>Loan Details</t>
  </si>
  <si>
    <r>
      <t>% Collection Rate 2</t>
    </r>
    <r>
      <rPr>
        <vertAlign val="superscript"/>
        <sz val="10"/>
        <color theme="4" tint="-0.499984740745262"/>
        <rFont val="Bookman Old Style"/>
        <family val="1"/>
      </rPr>
      <t>nd</t>
    </r>
    <r>
      <rPr>
        <sz val="10"/>
        <color theme="4" tint="-0.499984740745262"/>
        <rFont val="Bookman Old Style"/>
        <family val="1"/>
      </rPr>
      <t xml:space="preserve"> month</t>
    </r>
  </si>
  <si>
    <t>Industry Type</t>
  </si>
  <si>
    <t>Farming/Agriculture</t>
  </si>
  <si>
    <t>Annual Interest Rate</t>
  </si>
  <si>
    <r>
      <t>% Collection Rate 3</t>
    </r>
    <r>
      <rPr>
        <vertAlign val="superscript"/>
        <sz val="10"/>
        <color theme="4" tint="-0.499984740745262"/>
        <rFont val="Bookman Old Style"/>
        <family val="1"/>
      </rPr>
      <t>rd</t>
    </r>
    <r>
      <rPr>
        <sz val="10"/>
        <color theme="4" tint="-0.499984740745262"/>
        <rFont val="Bookman Old Style"/>
        <family val="1"/>
      </rPr>
      <t xml:space="preserve"> month</t>
    </r>
  </si>
  <si>
    <t>Country</t>
  </si>
  <si>
    <t>Palestinian Authority</t>
  </si>
  <si>
    <t>Loan Period in Years</t>
  </si>
  <si>
    <r>
      <t>% Collection Rate 4</t>
    </r>
    <r>
      <rPr>
        <vertAlign val="superscript"/>
        <sz val="10"/>
        <color theme="4" tint="-0.499984740745262"/>
        <rFont val="Bookman Old Style"/>
        <family val="1"/>
      </rPr>
      <t>th</t>
    </r>
    <r>
      <rPr>
        <sz val="10"/>
        <color theme="4" tint="-0.499984740745262"/>
        <rFont val="Bookman Old Style"/>
        <family val="1"/>
      </rPr>
      <t xml:space="preserve"> month</t>
    </r>
  </si>
  <si>
    <t>Maintenance &amp; Insurance</t>
  </si>
  <si>
    <t>No of Payments/Year</t>
  </si>
  <si>
    <r>
      <t>% Collection Rate 5</t>
    </r>
    <r>
      <rPr>
        <vertAlign val="superscript"/>
        <sz val="10"/>
        <color theme="4" tint="-0.499984740745262"/>
        <rFont val="Bookman Old Style"/>
        <family val="1"/>
      </rPr>
      <t>th</t>
    </r>
    <r>
      <rPr>
        <sz val="10"/>
        <color theme="4" tint="-0.499984740745262"/>
        <rFont val="Bookman Old Style"/>
        <family val="1"/>
      </rPr>
      <t xml:space="preserve"> month</t>
    </r>
  </si>
  <si>
    <t>Const. Maintenance</t>
  </si>
  <si>
    <t>No of Payments</t>
  </si>
  <si>
    <r>
      <t>% Collection Rate 6</t>
    </r>
    <r>
      <rPr>
        <vertAlign val="superscript"/>
        <sz val="10"/>
        <color theme="4" tint="-0.499984740745262"/>
        <rFont val="Bookman Old Style"/>
        <family val="1"/>
      </rPr>
      <t>th</t>
    </r>
    <r>
      <rPr>
        <sz val="10"/>
        <color theme="4" tint="-0.499984740745262"/>
        <rFont val="Bookman Old Style"/>
        <family val="1"/>
      </rPr>
      <t xml:space="preserve"> month</t>
    </r>
  </si>
  <si>
    <t>Eqip. Maintenance</t>
  </si>
  <si>
    <t>Start Date of Loan</t>
  </si>
  <si>
    <r>
      <t>% Payment Rate 1</t>
    </r>
    <r>
      <rPr>
        <vertAlign val="superscript"/>
        <sz val="10"/>
        <color theme="4" tint="-0.499984740745262"/>
        <rFont val="Bookman Old Style"/>
        <family val="1"/>
      </rPr>
      <t>st</t>
    </r>
    <r>
      <rPr>
        <sz val="10"/>
        <color theme="4" tint="-0.499984740745262"/>
        <rFont val="Bookman Old Style"/>
        <family val="1"/>
      </rPr>
      <t xml:space="preserve"> month</t>
    </r>
  </si>
  <si>
    <t>A/P Payments</t>
  </si>
  <si>
    <t>Building Insurance</t>
  </si>
  <si>
    <t>Grant (Capex)</t>
  </si>
  <si>
    <t>% Payment Rate 2nd month</t>
  </si>
  <si>
    <t>Staff Insurance</t>
  </si>
  <si>
    <t>Grant (Opex)</t>
  </si>
  <si>
    <t>% Payment Rate 3rd month</t>
  </si>
  <si>
    <t>Marketing and Sales Fee (% of Sales)</t>
  </si>
  <si>
    <t>% Payment Rate 4th month</t>
  </si>
  <si>
    <t>Sales Commissions (% of Sales)</t>
  </si>
  <si>
    <t>% Payment Rate 5th month</t>
  </si>
  <si>
    <t>Shipping Costs (% of Sales)</t>
  </si>
  <si>
    <t>% Payment Rate 6th month</t>
  </si>
  <si>
    <t>Variable Maintenance Expenses (% of Sales)</t>
  </si>
  <si>
    <t>Products and Prices</t>
  </si>
  <si>
    <t>Product</t>
  </si>
  <si>
    <t>Product Unit</t>
  </si>
  <si>
    <t>Batch Unit</t>
  </si>
  <si>
    <t>No. of Units in One Batch</t>
  </si>
  <si>
    <t>Unit Price in LC</t>
  </si>
  <si>
    <t>Unit Price in Study Currency</t>
  </si>
  <si>
    <t>Projected Sales Qt - Year 1</t>
  </si>
  <si>
    <t>Sales Volume in Study Currency</t>
  </si>
  <si>
    <t>BEP in Amount</t>
  </si>
  <si>
    <t>BEP in Quantities</t>
  </si>
  <si>
    <t>Greenhouse cover films</t>
  </si>
  <si>
    <t>KG</t>
  </si>
  <si>
    <t>Thermal shaders</t>
  </si>
  <si>
    <t>Recycled plastic</t>
  </si>
  <si>
    <t>Total</t>
  </si>
  <si>
    <t xml:space="preserve">Raw Material, Direct Labor, &amp; Packaging </t>
  </si>
  <si>
    <t>Raw Material Used</t>
  </si>
  <si>
    <t>Unit</t>
  </si>
  <si>
    <t>Material Classifications</t>
  </si>
  <si>
    <t>Unit Price in LC 
(ILS)</t>
  </si>
  <si>
    <t>Quantity Needed</t>
  </si>
  <si>
    <t>% from total cost of production</t>
  </si>
  <si>
    <t>Cost Of Production Cost in Study Cur</t>
  </si>
  <si>
    <t xml:space="preserve">CaCO3 MB </t>
  </si>
  <si>
    <t>Kilo</t>
  </si>
  <si>
    <t>Raw Material</t>
  </si>
  <si>
    <t>mLLDPE</t>
  </si>
  <si>
    <t xml:space="preserve">LLDPE  </t>
  </si>
  <si>
    <t>LDPE</t>
  </si>
  <si>
    <t>Additive 1</t>
  </si>
  <si>
    <t>Additive 2</t>
  </si>
  <si>
    <t>Additive 3</t>
  </si>
  <si>
    <t>Additive 4</t>
  </si>
  <si>
    <t>Additive 5</t>
  </si>
  <si>
    <t>Recycling Collection</t>
  </si>
  <si>
    <t>Direct Labor</t>
  </si>
  <si>
    <t>Summary</t>
  </si>
  <si>
    <t>Packaging</t>
  </si>
  <si>
    <t>WACC Calculator</t>
  </si>
  <si>
    <t>Scenario 1</t>
  </si>
  <si>
    <t>Scenario 2</t>
  </si>
  <si>
    <t>Scenario 3</t>
  </si>
  <si>
    <t xml:space="preserve">Al Bawader Capital Structure </t>
  </si>
  <si>
    <t xml:space="preserve">Optimum Capital Structure </t>
  </si>
  <si>
    <t>Debt %</t>
  </si>
  <si>
    <t>Equity %</t>
  </si>
  <si>
    <t>Grant %</t>
  </si>
  <si>
    <t>Debt / (Equity+Grant)</t>
  </si>
  <si>
    <t>Cost of Equity</t>
  </si>
  <si>
    <t>Risk Free Rate</t>
  </si>
  <si>
    <t>US Department of Treasury</t>
  </si>
  <si>
    <t>Equity Risk Premium</t>
  </si>
  <si>
    <t>Unlevered Beta (Based on comparable companies)</t>
  </si>
  <si>
    <t>Levered Beta</t>
  </si>
  <si>
    <t>Cost of Debt</t>
  </si>
  <si>
    <t>Tax Rate</t>
  </si>
  <si>
    <t>After Tax Cost of Debt</t>
  </si>
  <si>
    <t>Cost of Grant (Assumption)</t>
  </si>
  <si>
    <t>WACC (Scenario 1)</t>
  </si>
  <si>
    <t>WACC (Scenario 2)</t>
  </si>
  <si>
    <t>WACC (Scenario 3)</t>
  </si>
  <si>
    <t>Variables</t>
  </si>
  <si>
    <t>Increase/Decrease in Sales Price</t>
  </si>
  <si>
    <t>Increase/Decrease in Sales Quantities</t>
  </si>
  <si>
    <t>Increase/Decrease in Direct Material Price</t>
  </si>
  <si>
    <t>NPV Discount Rate</t>
  </si>
  <si>
    <t>Capital Structure</t>
  </si>
  <si>
    <t>% of Equity</t>
  </si>
  <si>
    <t>% of Debt</t>
  </si>
  <si>
    <t>% of CAPEX Grant</t>
  </si>
  <si>
    <t>% of OPEX Grant</t>
  </si>
  <si>
    <t>Credit Policy Scenario Analysis</t>
  </si>
  <si>
    <r>
      <t>% Collection Rate 1</t>
    </r>
    <r>
      <rPr>
        <vertAlign val="superscript"/>
        <sz val="10"/>
        <color theme="4" tint="-0.499984740745262"/>
        <rFont val="Sakkal Majalla"/>
      </rPr>
      <t>st</t>
    </r>
    <r>
      <rPr>
        <sz val="10"/>
        <color theme="4" tint="-0.499984740745262"/>
        <rFont val="Sakkal Majalla"/>
      </rPr>
      <t xml:space="preserve"> month</t>
    </r>
  </si>
  <si>
    <r>
      <t>% Collection Rate 2</t>
    </r>
    <r>
      <rPr>
        <vertAlign val="superscript"/>
        <sz val="10"/>
        <color theme="4" tint="-0.499984740745262"/>
        <rFont val="Sakkal Majalla"/>
      </rPr>
      <t>nd</t>
    </r>
    <r>
      <rPr>
        <sz val="10"/>
        <color theme="4" tint="-0.499984740745262"/>
        <rFont val="Sakkal Majalla"/>
      </rPr>
      <t xml:space="preserve"> month</t>
    </r>
  </si>
  <si>
    <r>
      <t>% Collection Rate 3</t>
    </r>
    <r>
      <rPr>
        <vertAlign val="superscript"/>
        <sz val="10"/>
        <color theme="4" tint="-0.499984740745262"/>
        <rFont val="Sakkal Majalla"/>
      </rPr>
      <t>rd</t>
    </r>
    <r>
      <rPr>
        <sz val="10"/>
        <color theme="4" tint="-0.499984740745262"/>
        <rFont val="Sakkal Majalla"/>
      </rPr>
      <t xml:space="preserve"> month</t>
    </r>
  </si>
  <si>
    <r>
      <t>% Collection Rate 4</t>
    </r>
    <r>
      <rPr>
        <vertAlign val="superscript"/>
        <sz val="10"/>
        <color theme="4" tint="-0.499984740745262"/>
        <rFont val="Sakkal Majalla"/>
      </rPr>
      <t>th</t>
    </r>
    <r>
      <rPr>
        <sz val="10"/>
        <color theme="4" tint="-0.499984740745262"/>
        <rFont val="Sakkal Majalla"/>
      </rPr>
      <t xml:space="preserve"> month</t>
    </r>
  </si>
  <si>
    <r>
      <t>% Collection Rate 5</t>
    </r>
    <r>
      <rPr>
        <vertAlign val="superscript"/>
        <sz val="10"/>
        <color theme="4" tint="-0.499984740745262"/>
        <rFont val="Sakkal Majalla"/>
      </rPr>
      <t>th</t>
    </r>
    <r>
      <rPr>
        <sz val="10"/>
        <color theme="4" tint="-0.499984740745262"/>
        <rFont val="Sakkal Majalla"/>
      </rPr>
      <t xml:space="preserve"> month</t>
    </r>
  </si>
  <si>
    <r>
      <t>% Collection Rate 6</t>
    </r>
    <r>
      <rPr>
        <vertAlign val="superscript"/>
        <sz val="10"/>
        <color theme="4" tint="-0.499984740745262"/>
        <rFont val="Sakkal Majalla"/>
      </rPr>
      <t>th</t>
    </r>
    <r>
      <rPr>
        <sz val="10"/>
        <color theme="4" tint="-0.499984740745262"/>
        <rFont val="Sakkal Majalla"/>
      </rPr>
      <t xml:space="preserve"> month</t>
    </r>
  </si>
  <si>
    <r>
      <t>% Payment Rate 1</t>
    </r>
    <r>
      <rPr>
        <vertAlign val="superscript"/>
        <sz val="10"/>
        <color theme="4" tint="-0.499984740745262"/>
        <rFont val="Sakkal Majalla"/>
      </rPr>
      <t>st</t>
    </r>
    <r>
      <rPr>
        <sz val="10"/>
        <color theme="4" tint="-0.499984740745262"/>
        <rFont val="Sakkal Majalla"/>
      </rPr>
      <t xml:space="preserve"> month</t>
    </r>
  </si>
  <si>
    <t xml:space="preserve">Variances </t>
  </si>
  <si>
    <t>Net Present Value (NPV)</t>
  </si>
  <si>
    <t xml:space="preserve">Break-Even Amount </t>
  </si>
  <si>
    <t>Scenario</t>
  </si>
  <si>
    <t>Total Sales</t>
  </si>
  <si>
    <t>Year 1</t>
  </si>
  <si>
    <t>Year 2</t>
  </si>
  <si>
    <t>Year 3</t>
  </si>
  <si>
    <t>Year 4</t>
  </si>
  <si>
    <t>Year 5</t>
  </si>
  <si>
    <t>Year 6</t>
  </si>
  <si>
    <t>Year 7</t>
  </si>
  <si>
    <t>Net Profit</t>
  </si>
  <si>
    <t>Projected Income Statement</t>
  </si>
  <si>
    <t>Pre-operation</t>
  </si>
  <si>
    <t>Sales</t>
  </si>
  <si>
    <t>Cost of Sales</t>
  </si>
  <si>
    <t>Beginning Inventory</t>
  </si>
  <si>
    <t>Cost of primary raw material</t>
  </si>
  <si>
    <t>Ending Inventory</t>
  </si>
  <si>
    <t>Gross Profit</t>
  </si>
  <si>
    <t>Other Income</t>
  </si>
  <si>
    <t>Government Grant (CapEx)</t>
  </si>
  <si>
    <t>Government Grant (OpEx)</t>
  </si>
  <si>
    <t>Salaries</t>
  </si>
  <si>
    <t>Operating Expenses</t>
  </si>
  <si>
    <t>Donated OpEx</t>
  </si>
  <si>
    <t>Income before Interest, Taxes and Depreciation</t>
  </si>
  <si>
    <t>Depreciation</t>
  </si>
  <si>
    <t>Donated Assets Depreciation</t>
  </si>
  <si>
    <t>Income Before Interest and Tax</t>
  </si>
  <si>
    <t>Interest</t>
  </si>
  <si>
    <t>Income Before Tax</t>
  </si>
  <si>
    <t>Taxes</t>
  </si>
  <si>
    <t>Net Income</t>
  </si>
  <si>
    <t>Projected Balance Sheet</t>
  </si>
  <si>
    <t>Cash &amp; Cash Equivalent</t>
  </si>
  <si>
    <t>Inventory</t>
  </si>
  <si>
    <t>Prepaid Expenses</t>
  </si>
  <si>
    <t>Accounts Receivables</t>
  </si>
  <si>
    <t>Total Current Assets</t>
  </si>
  <si>
    <t>Fixed Assets</t>
  </si>
  <si>
    <t>Total Fixed Assets</t>
  </si>
  <si>
    <t>Accumulated Depreciation</t>
  </si>
  <si>
    <t>Net Fixed Assets</t>
  </si>
  <si>
    <t>Other Assets</t>
  </si>
  <si>
    <t>Total Assets</t>
  </si>
  <si>
    <t>Account Payable</t>
  </si>
  <si>
    <t>Loan</t>
  </si>
  <si>
    <t>Unearned Revenue (CapEx)</t>
  </si>
  <si>
    <t>Unearned Revenue (OpEx)</t>
  </si>
  <si>
    <t>Total Current Liabilities</t>
  </si>
  <si>
    <t>Total Liabilities</t>
  </si>
  <si>
    <t>Equity</t>
  </si>
  <si>
    <t>Capital</t>
  </si>
  <si>
    <t>Retained Earnings</t>
  </si>
  <si>
    <t>Total Equity</t>
  </si>
  <si>
    <t>Projected Cashflow Statement</t>
  </si>
  <si>
    <t>Add: Depreciation Expense</t>
  </si>
  <si>
    <t>Change in Working Capital</t>
  </si>
  <si>
    <t>Change in Inventory</t>
  </si>
  <si>
    <t>Change in Prepaid Expenses</t>
  </si>
  <si>
    <t>Change in A/R</t>
  </si>
  <si>
    <t>Change in A/P</t>
  </si>
  <si>
    <t>Change in Loan</t>
  </si>
  <si>
    <t xml:space="preserve">Change in Unearned Revenue (CapEx) </t>
  </si>
  <si>
    <t xml:space="preserve">Change in Unearned Revenue (OpEx) </t>
  </si>
  <si>
    <t>Cashflow from Operations Activities</t>
  </si>
  <si>
    <t>Cashflow from Investing Activities</t>
  </si>
  <si>
    <t>Cashflow from Financing Activities</t>
  </si>
  <si>
    <t>Beginning Cash Balance</t>
  </si>
  <si>
    <t>Change in Cash</t>
  </si>
  <si>
    <t>Ending Cash Balance</t>
  </si>
  <si>
    <t>Free Cashflow</t>
  </si>
  <si>
    <t>Deduct: Capital Expenditures</t>
  </si>
  <si>
    <t>Cumulative Balance</t>
  </si>
  <si>
    <t>Year</t>
  </si>
  <si>
    <t>Description</t>
  </si>
  <si>
    <t>Cash In/Out Flow</t>
  </si>
  <si>
    <t>Cumulative balance</t>
  </si>
  <si>
    <t>0</t>
  </si>
  <si>
    <t>Initial Investment</t>
  </si>
  <si>
    <t>Cashflow</t>
  </si>
  <si>
    <t>Payback Period in Years</t>
  </si>
  <si>
    <t>Expenses</t>
  </si>
  <si>
    <t>Liabilities</t>
  </si>
  <si>
    <t>Income Statement Vertical Analysis</t>
  </si>
  <si>
    <t>Income Statement Horizontal Analysis</t>
  </si>
  <si>
    <t>Profitability Ratios</t>
  </si>
  <si>
    <t>Liquadity Ratio</t>
  </si>
  <si>
    <t>Cash Ratio</t>
  </si>
  <si>
    <t>Current Ratio</t>
  </si>
  <si>
    <t>Quick Ratio</t>
  </si>
  <si>
    <t>Efficiency Ratio</t>
  </si>
  <si>
    <t>Account Receivable Turnover</t>
  </si>
  <si>
    <t>Account Payable Turnover</t>
  </si>
  <si>
    <t>Inventory Turnover</t>
  </si>
  <si>
    <t>Account Receivable Days (Collection Period)</t>
  </si>
  <si>
    <t>Account Payable Dayes (Payment Period)</t>
  </si>
  <si>
    <t>Inventory Days</t>
  </si>
  <si>
    <t>Cash Conversion Cylce</t>
  </si>
  <si>
    <t>Return On Investment</t>
  </si>
  <si>
    <t>Assets Turnover</t>
  </si>
  <si>
    <t>Financial Leverage</t>
  </si>
  <si>
    <t>Expense</t>
  </si>
  <si>
    <t>Items Cost, margin &amp; net profit Summary Results</t>
  </si>
  <si>
    <t>Break Even Point</t>
  </si>
  <si>
    <t>Item Name</t>
  </si>
  <si>
    <t>Unit Sales Price</t>
  </si>
  <si>
    <t>Unit Direct Cost</t>
  </si>
  <si>
    <t>Unit Profit Margin</t>
  </si>
  <si>
    <t>% of profit Margin</t>
  </si>
  <si>
    <t>Projected # of Items sold</t>
  </si>
  <si>
    <t>Column1</t>
  </si>
  <si>
    <t>Item Sales Volume</t>
  </si>
  <si>
    <t>Item Cost of Production</t>
  </si>
  <si>
    <t>% of Sales Mix</t>
  </si>
  <si>
    <t>Item Gross Profit</t>
  </si>
  <si>
    <t>Item Allocated fixed costs (based on % of sales mix)</t>
  </si>
  <si>
    <t>Item Net Profit</t>
  </si>
  <si>
    <t>BEP In Amounts</t>
  </si>
  <si>
    <t>BEP Quantity</t>
  </si>
  <si>
    <t>Column2</t>
  </si>
  <si>
    <t>Validation</t>
  </si>
  <si>
    <t>Monthly Cashflow Projection</t>
  </si>
  <si>
    <t>Currency: USD</t>
  </si>
  <si>
    <t>Pre-Operation</t>
  </si>
  <si>
    <t>Year 1
Q 1</t>
  </si>
  <si>
    <t>Year 1
Q 2</t>
  </si>
  <si>
    <t>Year 1
Q 3</t>
  </si>
  <si>
    <t>Year 1
Q 4</t>
  </si>
  <si>
    <t>Year 2
Q 1</t>
  </si>
  <si>
    <t>Year 2
Q 2</t>
  </si>
  <si>
    <t>Year 2
Q 3</t>
  </si>
  <si>
    <t>Year 2
Q 4</t>
  </si>
  <si>
    <t>Year 3
Q 1</t>
  </si>
  <si>
    <t>Year 3
Q 2</t>
  </si>
  <si>
    <t>Year 3
Q 3</t>
  </si>
  <si>
    <t>Year 3
Q 4</t>
  </si>
  <si>
    <t>Year 4
Q 1</t>
  </si>
  <si>
    <t>Year 4
Q 2</t>
  </si>
  <si>
    <t>Year 4
Q 3</t>
  </si>
  <si>
    <t>Year 4
Q 4</t>
  </si>
  <si>
    <t>Year 5
Q 1</t>
  </si>
  <si>
    <t>Year 5
Q 2</t>
  </si>
  <si>
    <t>Year 5
Q 3</t>
  </si>
  <si>
    <t>Year 5
Q 4</t>
  </si>
  <si>
    <t>Year 6
Q 1</t>
  </si>
  <si>
    <t>Year 6
Q 2</t>
  </si>
  <si>
    <t>Year 6
Q 3</t>
  </si>
  <si>
    <t>Year 6
Q 4</t>
  </si>
  <si>
    <t>Year 7
Q 1</t>
  </si>
  <si>
    <t>Year 7
Q 2</t>
  </si>
  <si>
    <t>Year 7
Q 3</t>
  </si>
  <si>
    <t>Year 7
Q 4</t>
  </si>
  <si>
    <t>Cash Receipts</t>
  </si>
  <si>
    <t>Cash Sales</t>
  </si>
  <si>
    <t>Total Cash Receipts</t>
  </si>
  <si>
    <t>Available Cash</t>
  </si>
  <si>
    <t>Cash Payments</t>
  </si>
  <si>
    <t>Cash payments for direct cost</t>
  </si>
  <si>
    <t>Salaries &amp; Wages</t>
  </si>
  <si>
    <t>OpEx Paid from the Gov Donation</t>
  </si>
  <si>
    <t>Loan Repayment</t>
  </si>
  <si>
    <t>Total Cash Paid</t>
  </si>
  <si>
    <t>Investments cost payments</t>
  </si>
  <si>
    <t>Other establishments costs</t>
  </si>
  <si>
    <r>
      <t xml:space="preserve">Period Surplus </t>
    </r>
    <r>
      <rPr>
        <b/>
        <sz val="11"/>
        <color rgb="FFFF0000"/>
        <rFont val="Bookman Old Style"/>
        <family val="1"/>
      </rPr>
      <t>(Deficit)</t>
    </r>
  </si>
  <si>
    <t>Financing</t>
  </si>
  <si>
    <t>Ending Cash Balance after Equity financing</t>
  </si>
  <si>
    <t>Ending Cash Balance after Debt financing</t>
  </si>
  <si>
    <t>Ending Cash Balance after Grant CapEXP</t>
  </si>
  <si>
    <t>Year 1
Month 1</t>
  </si>
  <si>
    <t>Year 1
Month 2</t>
  </si>
  <si>
    <t>Year 1
Month 3</t>
  </si>
  <si>
    <t>Year 1
Month 4</t>
  </si>
  <si>
    <t>Year 1
Month 5</t>
  </si>
  <si>
    <t>Year 1
Month 6</t>
  </si>
  <si>
    <t>Year 1
Month 7</t>
  </si>
  <si>
    <t>Year 1
Month 8</t>
  </si>
  <si>
    <t>Year 1
Month 9</t>
  </si>
  <si>
    <t>Year 1
Month 10</t>
  </si>
  <si>
    <t>Year 1
Month 11</t>
  </si>
  <si>
    <t>Year 1
Month 12</t>
  </si>
  <si>
    <t>Total
Year 1</t>
  </si>
  <si>
    <t>Year 2
Month 1</t>
  </si>
  <si>
    <t>Year 2
Month 2</t>
  </si>
  <si>
    <t>Year 2
Month 3</t>
  </si>
  <si>
    <t>Year 2
Month 4</t>
  </si>
  <si>
    <t>Year 2
Month 5</t>
  </si>
  <si>
    <t>Year 2
Month 6</t>
  </si>
  <si>
    <t>Year 2
Month 7</t>
  </si>
  <si>
    <t>Year 2
Month 8</t>
  </si>
  <si>
    <t>Year 2
Month 9</t>
  </si>
  <si>
    <t>Year 2
Month 10</t>
  </si>
  <si>
    <t>Year 2
Month 11</t>
  </si>
  <si>
    <t>Year 2
Month 12</t>
  </si>
  <si>
    <t>Total 
Year 2</t>
  </si>
  <si>
    <t>Year 3
Month 1</t>
  </si>
  <si>
    <t>Year 3
Month 2</t>
  </si>
  <si>
    <t>Year 3
Month 3</t>
  </si>
  <si>
    <t>Year 3
Month 4</t>
  </si>
  <si>
    <t>Year 3
Month 5</t>
  </si>
  <si>
    <t>Year 3
Month 6</t>
  </si>
  <si>
    <t>Year 3
Month 7</t>
  </si>
  <si>
    <t>Year 3
Month 8</t>
  </si>
  <si>
    <t>Year 3
Month 9</t>
  </si>
  <si>
    <t>Year 3
Month 10</t>
  </si>
  <si>
    <t>Year 3
Month 11</t>
  </si>
  <si>
    <t>Year 3
Month 12</t>
  </si>
  <si>
    <t>Total 
Year 3</t>
  </si>
  <si>
    <t>Year 4
Month 1</t>
  </si>
  <si>
    <t>Year 4
Month 2</t>
  </si>
  <si>
    <t>Year 4
Month 3</t>
  </si>
  <si>
    <t>Year 4
Month 4</t>
  </si>
  <si>
    <t>Year 4
Month 5</t>
  </si>
  <si>
    <t>Year 4
Month 6</t>
  </si>
  <si>
    <t>Year 4
Month 7</t>
  </si>
  <si>
    <t>Year 4
Month 8</t>
  </si>
  <si>
    <t>Year 4
Month 9</t>
  </si>
  <si>
    <t>Year 4
Month 10</t>
  </si>
  <si>
    <t>Year 4
Month 11</t>
  </si>
  <si>
    <t>Year 4
Month 12</t>
  </si>
  <si>
    <t>Total 
Year 4</t>
  </si>
  <si>
    <t>Year 5
Month 1</t>
  </si>
  <si>
    <t>Year 5
Month 2</t>
  </si>
  <si>
    <t>Year 5
Month 3</t>
  </si>
  <si>
    <t>Year 5
Month 4</t>
  </si>
  <si>
    <t>Year 5
Month 5</t>
  </si>
  <si>
    <t>Year 5
Month 6</t>
  </si>
  <si>
    <t>Year 5
Month 7</t>
  </si>
  <si>
    <t>Year 5
Month 8</t>
  </si>
  <si>
    <t>Year 5
Month 9</t>
  </si>
  <si>
    <t>Year 5
Month 10</t>
  </si>
  <si>
    <t>Year 5
Month 11</t>
  </si>
  <si>
    <t>Year 5
Month 12</t>
  </si>
  <si>
    <t>Total 
Year 5</t>
  </si>
  <si>
    <t>Year 6
Month 1</t>
  </si>
  <si>
    <t>Year 6
Month 2</t>
  </si>
  <si>
    <t>Year 6
Month 3</t>
  </si>
  <si>
    <t>Year 6
Month 4</t>
  </si>
  <si>
    <t>Year 6
Month 5</t>
  </si>
  <si>
    <t>Year 6
Month 6</t>
  </si>
  <si>
    <t>Year 6
Month 7</t>
  </si>
  <si>
    <t>Year 6
Month 8</t>
  </si>
  <si>
    <t>Year 6
Month 9</t>
  </si>
  <si>
    <t>Year 6
Month 10</t>
  </si>
  <si>
    <t>Year 6
Month 11</t>
  </si>
  <si>
    <t>Year 6
Month 12</t>
  </si>
  <si>
    <t>Total 
Year 6</t>
  </si>
  <si>
    <t>Year 7
Month 1</t>
  </si>
  <si>
    <t>Year 7
Month 2</t>
  </si>
  <si>
    <t>Year 7
Month 3</t>
  </si>
  <si>
    <t>Year 7
Month 4</t>
  </si>
  <si>
    <t>Year 7
Month 5</t>
  </si>
  <si>
    <t>Year 7
Month 6</t>
  </si>
  <si>
    <t>Year 7
Month 7</t>
  </si>
  <si>
    <t>Year 7
Month 8</t>
  </si>
  <si>
    <t>Year 7
Month 9</t>
  </si>
  <si>
    <t>Year 7
Month 10</t>
  </si>
  <si>
    <t>Year 7
Month 11</t>
  </si>
  <si>
    <t>Year 7
Month 12</t>
  </si>
  <si>
    <t>Total 
Year 7</t>
  </si>
  <si>
    <t>Category</t>
  </si>
  <si>
    <t>Method</t>
  </si>
  <si>
    <t>World Bank Review</t>
  </si>
  <si>
    <t>Prequalification</t>
  </si>
  <si>
    <t>ESTIMATED / ACTUAL DATES</t>
  </si>
  <si>
    <t>Goods</t>
  </si>
  <si>
    <t>ICB</t>
  </si>
  <si>
    <t>Prior</t>
  </si>
  <si>
    <t>Yes</t>
  </si>
  <si>
    <t>Prepare &amp; Submission
TOR/ REI/ ITQ/ BD</t>
  </si>
  <si>
    <t>Works</t>
  </si>
  <si>
    <t>NCB</t>
  </si>
  <si>
    <t>Post</t>
  </si>
  <si>
    <t>No</t>
  </si>
  <si>
    <t>IFB/ BD/ ITQ / REI issue Date</t>
  </si>
  <si>
    <t>Consultant Services</t>
  </si>
  <si>
    <t xml:space="preserve">Shopping </t>
  </si>
  <si>
    <t>Bid Opening/Proposals submission Date</t>
  </si>
  <si>
    <t>Non-Consultant Services</t>
  </si>
  <si>
    <t>Direct Contracting</t>
  </si>
  <si>
    <t>Bids Eval Report / Tech &amp; Fin Eval Report &amp; Award Rec.</t>
  </si>
  <si>
    <t>Contract Signing Date</t>
  </si>
  <si>
    <t>Contract Completion Date</t>
  </si>
  <si>
    <t>Payment</t>
  </si>
  <si>
    <t>Item</t>
  </si>
  <si>
    <t>Source of Finance</t>
  </si>
  <si>
    <t>Type of Fixed Asset</t>
  </si>
  <si>
    <t>Quantity</t>
  </si>
  <si>
    <t>Cost in ILS</t>
  </si>
  <si>
    <t>Total Cost in ILS</t>
  </si>
  <si>
    <t>Total Cost in study Currency</t>
  </si>
  <si>
    <t>Depreciation Rate</t>
  </si>
  <si>
    <t>Annual Depreciation</t>
  </si>
  <si>
    <t>Notes</t>
  </si>
  <si>
    <t>Construction:</t>
  </si>
  <si>
    <t>Land</t>
  </si>
  <si>
    <t>Building construction- Barracks</t>
  </si>
  <si>
    <t>Property</t>
  </si>
  <si>
    <t>Fire system</t>
  </si>
  <si>
    <t>Equipment</t>
  </si>
  <si>
    <t>Lighting system</t>
  </si>
  <si>
    <t>Solar System (0.5 Mega)</t>
  </si>
  <si>
    <t>Production Line and Equipment:</t>
  </si>
  <si>
    <t>Production Line</t>
  </si>
  <si>
    <t>Debt</t>
  </si>
  <si>
    <t>Machenary</t>
  </si>
  <si>
    <t>Shipping and Taxes</t>
  </si>
  <si>
    <t>Reel Lifting and handling</t>
  </si>
  <si>
    <t>Raw material containers and silos</t>
  </si>
  <si>
    <t>Installation: Assembly and wiring</t>
  </si>
  <si>
    <t>Software and electrical infrastructure</t>
  </si>
  <si>
    <t>Compressor and compressed airliners</t>
  </si>
  <si>
    <t>Water and air cooling system</t>
  </si>
  <si>
    <t>Power Generator</t>
  </si>
  <si>
    <t>Recycling Production Line (Including washing and palletizing…etc.)</t>
  </si>
  <si>
    <t>Furniture</t>
  </si>
  <si>
    <t>Administrative Offices</t>
  </si>
  <si>
    <t>LS</t>
  </si>
  <si>
    <t>Computers and Accessories</t>
  </si>
  <si>
    <t>Labs</t>
  </si>
  <si>
    <t>Inspection Lab</t>
  </si>
  <si>
    <t xml:space="preserve">Research &amp; Develpment </t>
  </si>
  <si>
    <t xml:space="preserve">Cars and Trucks </t>
  </si>
  <si>
    <t>Forklifts</t>
  </si>
  <si>
    <t>Vehicles</t>
  </si>
  <si>
    <t>Cars</t>
  </si>
  <si>
    <t>Miscellaneous Tools</t>
  </si>
  <si>
    <t>Other Miscellaneous</t>
  </si>
  <si>
    <t>Cost in Study Currency</t>
  </si>
  <si>
    <t>Total Cost</t>
  </si>
  <si>
    <t>Grant</t>
  </si>
  <si>
    <t>Wages &amp; Salaries</t>
  </si>
  <si>
    <t>No of Employees in Year 1</t>
  </si>
  <si>
    <t>Monthly Cost in Local Currency</t>
  </si>
  <si>
    <t>Monthly Salary</t>
  </si>
  <si>
    <t>No of Employees in Year 2</t>
  </si>
  <si>
    <t>No of Employees in Year 3</t>
  </si>
  <si>
    <t>No of Employees in Year 4</t>
  </si>
  <si>
    <t>No of Employees in Year 5</t>
  </si>
  <si>
    <t>No of Employees in Year 6</t>
  </si>
  <si>
    <t>No of Employees in Year 7</t>
  </si>
  <si>
    <t>General Manager Office</t>
  </si>
  <si>
    <t>General Manager</t>
  </si>
  <si>
    <t>Secretary</t>
  </si>
  <si>
    <t>Financial Department</t>
  </si>
  <si>
    <t>Financial Manager</t>
  </si>
  <si>
    <t>Accountants</t>
  </si>
  <si>
    <t>Store Manager</t>
  </si>
  <si>
    <t>Administrative Management</t>
  </si>
  <si>
    <t>Administrative Manager</t>
  </si>
  <si>
    <t>Human Resources Officer</t>
  </si>
  <si>
    <t>Sales and Marketing Manager</t>
  </si>
  <si>
    <t>Factory Management</t>
  </si>
  <si>
    <t>Factory Manager</t>
  </si>
  <si>
    <t>Production Engineer</t>
  </si>
  <si>
    <t>Maintenance Engineer</t>
  </si>
  <si>
    <t>Main Production Line Workers</t>
  </si>
  <si>
    <t>Recycling Production Line Workers</t>
  </si>
  <si>
    <t>Forklifts Drivers</t>
  </si>
  <si>
    <t>Store handling</t>
  </si>
  <si>
    <t>Quality Management</t>
  </si>
  <si>
    <t>Quality Assurance Manager</t>
  </si>
  <si>
    <t>Safety Engineer</t>
  </si>
  <si>
    <t>Quality Control Officers</t>
  </si>
  <si>
    <t>Operational Expenses</t>
  </si>
  <si>
    <t>Count</t>
  </si>
  <si>
    <t>Monthly Cost Estimate</t>
  </si>
  <si>
    <t>Licenses</t>
  </si>
  <si>
    <t>Salaries before starting work</t>
  </si>
  <si>
    <t>Environmental Impact study</t>
  </si>
  <si>
    <t>Miscellaneous</t>
  </si>
  <si>
    <t>Stationery</t>
  </si>
  <si>
    <t>Internet</t>
  </si>
  <si>
    <t>Auditing</t>
  </si>
  <si>
    <t>Cleaning</t>
  </si>
  <si>
    <t>Misc.</t>
  </si>
  <si>
    <t>Construction Maintenance</t>
  </si>
  <si>
    <t>Equipment Maintenance</t>
  </si>
  <si>
    <t>Building &amp; Equipment Insurance</t>
  </si>
  <si>
    <t>Employees Insurance</t>
  </si>
  <si>
    <t>Marketing</t>
  </si>
  <si>
    <t>Utilities</t>
  </si>
  <si>
    <t>Donated Opex</t>
  </si>
  <si>
    <t>PayRoll Donated</t>
  </si>
  <si>
    <t>Scenario 2 (Donated OPEX)</t>
  </si>
  <si>
    <t>Scenario 3 (Donated OPEX)</t>
  </si>
  <si>
    <t>Expected production Ton</t>
  </si>
  <si>
    <t>Sales in ILS</t>
  </si>
  <si>
    <t>Market Share Growth (in Donums)</t>
  </si>
  <si>
    <t>Type</t>
  </si>
  <si>
    <t>Needed for each Donum (KG)</t>
  </si>
  <si>
    <t xml:space="preserve">Year </t>
  </si>
  <si>
    <t>Greenhouse cover films
Production in Tons</t>
  </si>
  <si>
    <t>Thermal
shaders</t>
  </si>
  <si>
    <t xml:space="preserve">Total </t>
  </si>
  <si>
    <t>Utilization
(%)</t>
  </si>
  <si>
    <t>Greenhouse cover films
Sales in ILS</t>
  </si>
  <si>
    <t>Thermal shaders
Sales in ILS</t>
  </si>
  <si>
    <t>Recycled
Plastic in ILS</t>
  </si>
  <si>
    <t>Number of Donums in
Palestine</t>
  </si>
  <si>
    <t>Growth Rate of Donums in
West Bank</t>
  </si>
  <si>
    <t>Market Share
Growth</t>
  </si>
  <si>
    <t>Demanded
Number of
Donums in
Palestine</t>
  </si>
  <si>
    <t>No. of Demanded 2.2 Donums</t>
  </si>
  <si>
    <t>Greenhouse cover films (Used every two Years)</t>
  </si>
  <si>
    <t xml:space="preserve">Every Donum needs 
in Kg </t>
  </si>
  <si>
    <t xml:space="preserve">Price of Kg
(ILS) </t>
  </si>
  <si>
    <t xml:space="preserve">- </t>
  </si>
  <si>
    <t>Thermal shaders (used every year)</t>
  </si>
  <si>
    <r>
      <t>Sales Quantities for 1</t>
    </r>
    <r>
      <rPr>
        <b/>
        <vertAlign val="superscript"/>
        <sz val="16"/>
        <color theme="0"/>
        <rFont val="Bookman Old Style"/>
        <family val="1"/>
      </rPr>
      <t xml:space="preserve">st </t>
    </r>
    <r>
      <rPr>
        <b/>
        <sz val="16"/>
        <color theme="0"/>
        <rFont val="Bookman Old Style"/>
        <family val="1"/>
      </rPr>
      <t>Year</t>
    </r>
  </si>
  <si>
    <t>Sales Quantities for 2nd Year</t>
  </si>
  <si>
    <t>Sales Quantities for 3rd Year</t>
  </si>
  <si>
    <t>Sales Quantities for 4thYear</t>
  </si>
  <si>
    <t>Sales Quantities for 5th Year</t>
  </si>
  <si>
    <t>Sales Quantities for 6th Year</t>
  </si>
  <si>
    <t>Sales Quantities for 7th Year</t>
  </si>
  <si>
    <t>Products</t>
  </si>
  <si>
    <r>
      <t>Sales Quantities for 2nd</t>
    </r>
    <r>
      <rPr>
        <b/>
        <vertAlign val="superscript"/>
        <sz val="16"/>
        <color theme="0"/>
        <rFont val="Bookman Old Style"/>
        <family val="1"/>
      </rPr>
      <t xml:space="preserve"> </t>
    </r>
    <r>
      <rPr>
        <b/>
        <sz val="16"/>
        <color theme="0"/>
        <rFont val="Bookman Old Style"/>
        <family val="1"/>
      </rPr>
      <t>Year</t>
    </r>
  </si>
  <si>
    <t>Sales Quantities for 4th Year</t>
  </si>
  <si>
    <r>
      <t>Produce Quantities for 1</t>
    </r>
    <r>
      <rPr>
        <b/>
        <vertAlign val="superscript"/>
        <sz val="16"/>
        <color theme="0"/>
        <rFont val="Bookman Old Style"/>
        <family val="1"/>
      </rPr>
      <t>st</t>
    </r>
    <r>
      <rPr>
        <b/>
        <sz val="16"/>
        <color theme="0"/>
        <rFont val="Bookman Old Style"/>
        <family val="1"/>
      </rPr>
      <t xml:space="preserve"> Year</t>
    </r>
  </si>
  <si>
    <r>
      <t>Produce Quantities for 2</t>
    </r>
    <r>
      <rPr>
        <b/>
        <vertAlign val="superscript"/>
        <sz val="16"/>
        <color theme="0"/>
        <rFont val="Bookman Old Style"/>
        <family val="1"/>
      </rPr>
      <t xml:space="preserve">nd </t>
    </r>
    <r>
      <rPr>
        <b/>
        <sz val="16"/>
        <color theme="0"/>
        <rFont val="Bookman Old Style"/>
        <family val="1"/>
      </rPr>
      <t xml:space="preserve"> Year</t>
    </r>
  </si>
  <si>
    <t>Produce Quantities for 3rd Year</t>
  </si>
  <si>
    <t>Produce Quantities for 4th Year</t>
  </si>
  <si>
    <t>Produce Quantities for 5th Year</t>
  </si>
  <si>
    <t>Produce Quantities for 6th Year</t>
  </si>
  <si>
    <t>Produce Quantities for 7th Year</t>
  </si>
  <si>
    <r>
      <t>Produce Quantities for 1</t>
    </r>
    <r>
      <rPr>
        <b/>
        <vertAlign val="superscript"/>
        <sz val="16"/>
        <color theme="0"/>
        <rFont val="Bookman Old Style"/>
        <family val="1"/>
      </rPr>
      <t xml:space="preserve">st </t>
    </r>
    <r>
      <rPr>
        <b/>
        <sz val="16"/>
        <color theme="0"/>
        <rFont val="Bookman Old Style"/>
        <family val="1"/>
      </rPr>
      <t>Year</t>
    </r>
  </si>
  <si>
    <t>Produce Quantities for 2nd Year</t>
  </si>
  <si>
    <t>Produce Quantities for 4thYear</t>
  </si>
  <si>
    <t>Sales Projection</t>
  </si>
  <si>
    <t>Total
Year 2</t>
  </si>
  <si>
    <t>Projected Sales</t>
  </si>
  <si>
    <t>Item Sales Price</t>
  </si>
  <si>
    <t>Item Total Sale</t>
  </si>
  <si>
    <t>Production Cost</t>
  </si>
  <si>
    <t>Production Quantity</t>
  </si>
  <si>
    <t>Item Direct Production Cost</t>
  </si>
  <si>
    <t>Total Item Production Cost</t>
  </si>
  <si>
    <t>Total Production Direct Cost</t>
  </si>
  <si>
    <t>Product Label</t>
  </si>
  <si>
    <t>Product Name</t>
  </si>
  <si>
    <t>Batch Direct Cost</t>
  </si>
  <si>
    <t>Unit Sale Price</t>
  </si>
  <si>
    <t>Currency</t>
  </si>
  <si>
    <t>Product Direct Cost / Unit</t>
  </si>
  <si>
    <t>Product Gross Profit / Unit</t>
  </si>
  <si>
    <t>Product Fixed Cost / Unit</t>
  </si>
  <si>
    <t>Product Net Profit / Unit</t>
  </si>
  <si>
    <t>% of Gross Profit</t>
  </si>
  <si>
    <t>No of Products Produced</t>
  </si>
  <si>
    <t>No of Products Sold</t>
  </si>
  <si>
    <t>Amount of Products in Stock</t>
  </si>
  <si>
    <t>Product Sales Volume</t>
  </si>
  <si>
    <t>Product Production Direct Cost</t>
  </si>
  <si>
    <t>Product Stock Value</t>
  </si>
  <si>
    <t>Product Gross Profit</t>
  </si>
  <si>
    <t>Product Sales Mix (%)</t>
  </si>
  <si>
    <t xml:space="preserve">Fixed Cost Product Allocation </t>
  </si>
  <si>
    <t>Product Net Profit</t>
  </si>
  <si>
    <t>% of Net Profit</t>
  </si>
  <si>
    <t>BEP In Units</t>
  </si>
  <si>
    <t>BEP In Value</t>
  </si>
  <si>
    <t>Production Matrix of raw materials and direct wages</t>
  </si>
  <si>
    <t>Material Name</t>
  </si>
  <si>
    <t>Procurement Unit</t>
  </si>
  <si>
    <t>Procurement Unit Price</t>
  </si>
  <si>
    <t>Procurement to Production Fraction</t>
  </si>
  <si>
    <t>Production Unit</t>
  </si>
  <si>
    <t>Production Unit Cost</t>
  </si>
  <si>
    <t>Batch Required Quantity using manufacturing unit (per unit)</t>
  </si>
  <si>
    <t>Product Required Quantity using manufacturing unit (per unit)</t>
  </si>
  <si>
    <t>Total quantity required (Procurement Unit)</t>
  </si>
  <si>
    <t>Cost of Raw Material Per Unit</t>
  </si>
  <si>
    <t>Cost of Raw Material Per Batch</t>
  </si>
  <si>
    <t>Moody's rating</t>
  </si>
  <si>
    <t>Adj. Default Spread</t>
  </si>
  <si>
    <t>Country Risk Premium</t>
  </si>
  <si>
    <t>Abu Dhabi</t>
  </si>
  <si>
    <t>Aa2</t>
  </si>
  <si>
    <t>Albania</t>
  </si>
  <si>
    <t>B1</t>
  </si>
  <si>
    <t>Algeria</t>
  </si>
  <si>
    <t>NR</t>
  </si>
  <si>
    <t>Andorra (Principality of)</t>
  </si>
  <si>
    <t>Baa2</t>
  </si>
  <si>
    <t>Angola</t>
  </si>
  <si>
    <t>B3</t>
  </si>
  <si>
    <t>Anguilla</t>
  </si>
  <si>
    <t>Antigua &amp; Barbuda</t>
  </si>
  <si>
    <t>Argentina</t>
  </si>
  <si>
    <t>Ca</t>
  </si>
  <si>
    <t>Armenia</t>
  </si>
  <si>
    <t>Ba3</t>
  </si>
  <si>
    <t>Aruba</t>
  </si>
  <si>
    <t>Australia</t>
  </si>
  <si>
    <t>Aaa</t>
  </si>
  <si>
    <t>Austria</t>
  </si>
  <si>
    <t>Aa1</t>
  </si>
  <si>
    <t>Azerbaijan</t>
  </si>
  <si>
    <t>Ba2</t>
  </si>
  <si>
    <t>Bahamas</t>
  </si>
  <si>
    <t>Bahrain</t>
  </si>
  <si>
    <t>B2</t>
  </si>
  <si>
    <t>Bangladesh</t>
  </si>
  <si>
    <t>Barbados</t>
  </si>
  <si>
    <t>Caa1</t>
  </si>
  <si>
    <t>Belarus</t>
  </si>
  <si>
    <t>Belgium</t>
  </si>
  <si>
    <t>Aa3</t>
  </si>
  <si>
    <t>Belize</t>
  </si>
  <si>
    <t>Caa3</t>
  </si>
  <si>
    <t>Benin</t>
  </si>
  <si>
    <t>Bermuda</t>
  </si>
  <si>
    <t>A2</t>
  </si>
  <si>
    <t>Bolivia</t>
  </si>
  <si>
    <t>Bosnia and Herzegovina</t>
  </si>
  <si>
    <t>Botswana</t>
  </si>
  <si>
    <t>A3</t>
  </si>
  <si>
    <t>Brazil</t>
  </si>
  <si>
    <t>British Virgin Islands</t>
  </si>
  <si>
    <t>Brunei</t>
  </si>
  <si>
    <t>Bulgaria</t>
  </si>
  <si>
    <t>Baa1</t>
  </si>
  <si>
    <t>Burkina Faso</t>
  </si>
  <si>
    <t>Cambodia</t>
  </si>
  <si>
    <t>Cameroon</t>
  </si>
  <si>
    <t>Canada</t>
  </si>
  <si>
    <t>Cape Verde</t>
  </si>
  <si>
    <t>Cayman Islands</t>
  </si>
  <si>
    <t>Channel Islands</t>
  </si>
  <si>
    <t>Chile</t>
  </si>
  <si>
    <t>A1</t>
  </si>
  <si>
    <t>China</t>
  </si>
  <si>
    <t>Colombia</t>
  </si>
  <si>
    <t>Congo (Democratic Republic</t>
  </si>
  <si>
    <t>Congo (Republic of)</t>
  </si>
  <si>
    <t>Caa2</t>
  </si>
  <si>
    <t>Cook Islands</t>
  </si>
  <si>
    <t>Costa Rica</t>
  </si>
  <si>
    <t>Croatia</t>
  </si>
  <si>
    <t>Ba1</t>
  </si>
  <si>
    <t>Cuba</t>
  </si>
  <si>
    <t>Curacao</t>
  </si>
  <si>
    <t>Cyprus</t>
  </si>
  <si>
    <t>Czech Republic</t>
  </si>
  <si>
    <t>Denmark</t>
  </si>
  <si>
    <t>Dominican Republic</t>
  </si>
  <si>
    <t>Ecuador</t>
  </si>
  <si>
    <t>Egypt</t>
  </si>
  <si>
    <t>El Salvador</t>
  </si>
  <si>
    <t>Estonia</t>
  </si>
  <si>
    <t>Ethiopia</t>
  </si>
  <si>
    <t>Falkland Islands</t>
  </si>
  <si>
    <t>Fiji</t>
  </si>
  <si>
    <t>Finland</t>
  </si>
  <si>
    <t>France</t>
  </si>
  <si>
    <t>French Guiana</t>
  </si>
  <si>
    <t>Gabon</t>
  </si>
  <si>
    <t>Gambia</t>
  </si>
  <si>
    <t>Georgia</t>
  </si>
  <si>
    <t>Germany</t>
  </si>
  <si>
    <t>Ghana</t>
  </si>
  <si>
    <t>Gibraltar</t>
  </si>
  <si>
    <t>Greece</t>
  </si>
  <si>
    <t>Greenland</t>
  </si>
  <si>
    <t>Guatemala</t>
  </si>
  <si>
    <t>Guernsey</t>
  </si>
  <si>
    <t>Guinea</t>
  </si>
  <si>
    <t>Guinea-Bissau</t>
  </si>
  <si>
    <t>Guyana</t>
  </si>
  <si>
    <t>Haiti</t>
  </si>
  <si>
    <t>Honduras</t>
  </si>
  <si>
    <t>Hong Kong</t>
  </si>
  <si>
    <t>Hungary</t>
  </si>
  <si>
    <t>Iceland</t>
  </si>
  <si>
    <t>India</t>
  </si>
  <si>
    <t>Baa3</t>
  </si>
  <si>
    <t>Indonesia</t>
  </si>
  <si>
    <t>Iran</t>
  </si>
  <si>
    <t>Iraq</t>
  </si>
  <si>
    <t>Ireland</t>
  </si>
  <si>
    <t>Isle of Man</t>
  </si>
  <si>
    <t>Israel</t>
  </si>
  <si>
    <t>Italy</t>
  </si>
  <si>
    <t>Ivory Coast</t>
  </si>
  <si>
    <t>Jamaica</t>
  </si>
  <si>
    <t>Japan</t>
  </si>
  <si>
    <t>Jersey</t>
  </si>
  <si>
    <t>Jordan</t>
  </si>
  <si>
    <t>Kazakhstan</t>
  </si>
  <si>
    <t>Kenya</t>
  </si>
  <si>
    <t>Korea, D.P.R.</t>
  </si>
  <si>
    <t>Kuwait</t>
  </si>
  <si>
    <t>Kyrgyzstan</t>
  </si>
  <si>
    <t>Laos</t>
  </si>
  <si>
    <t>Latvia</t>
  </si>
  <si>
    <t>Lebanon</t>
  </si>
  <si>
    <t>C</t>
  </si>
  <si>
    <t>Liberia</t>
  </si>
  <si>
    <t>Libya</t>
  </si>
  <si>
    <t>Liechtenstein</t>
  </si>
  <si>
    <t>Lithuania</t>
  </si>
  <si>
    <t>Luxembourg</t>
  </si>
  <si>
    <t>Macao</t>
  </si>
  <si>
    <t>Macedonia</t>
  </si>
  <si>
    <t>Madagascar</t>
  </si>
  <si>
    <t>Malawi</t>
  </si>
  <si>
    <t>Malaysia</t>
  </si>
  <si>
    <t>Maldives</t>
  </si>
  <si>
    <t>Mali</t>
  </si>
  <si>
    <t>Malta</t>
  </si>
  <si>
    <t>Martinique</t>
  </si>
  <si>
    <t>Mauritius</t>
  </si>
  <si>
    <t>Mexico</t>
  </si>
  <si>
    <t>Moldova</t>
  </si>
  <si>
    <t>Mongolia</t>
  </si>
  <si>
    <t>Montenegro</t>
  </si>
  <si>
    <t>Montserrat</t>
  </si>
  <si>
    <t>Morocco</t>
  </si>
  <si>
    <t>Mozambique</t>
  </si>
  <si>
    <t>Myanmar</t>
  </si>
  <si>
    <t>Namibia</t>
  </si>
  <si>
    <t>Netherlands</t>
  </si>
  <si>
    <t>Netherlands Antilles</t>
  </si>
  <si>
    <t>New Zealand</t>
  </si>
  <si>
    <t>Nicaragua</t>
  </si>
  <si>
    <t>Niger</t>
  </si>
  <si>
    <t>Nigeria</t>
  </si>
  <si>
    <t>Norway</t>
  </si>
  <si>
    <t>Oman</t>
  </si>
  <si>
    <t>Pakistan</t>
  </si>
  <si>
    <t>Panama</t>
  </si>
  <si>
    <t>Papua New Guinea</t>
  </si>
  <si>
    <t>Paraguay</t>
  </si>
  <si>
    <t>Peru</t>
  </si>
  <si>
    <t>Philippines</t>
  </si>
  <si>
    <t>Poland</t>
  </si>
  <si>
    <t>Portugal</t>
  </si>
  <si>
    <t>Qatar</t>
  </si>
  <si>
    <t>Ras Al Khaimah (Emirate of)</t>
  </si>
  <si>
    <t>Reunion</t>
  </si>
  <si>
    <t>Romania</t>
  </si>
  <si>
    <t>Russia</t>
  </si>
  <si>
    <t>Rwanda</t>
  </si>
  <si>
    <t>Saint Lucia</t>
  </si>
  <si>
    <t>Saudi Arabia</t>
  </si>
  <si>
    <t>Senegal</t>
  </si>
  <si>
    <t>Serbia</t>
  </si>
  <si>
    <t>Sharjah</t>
  </si>
  <si>
    <t>Sierra Leone</t>
  </si>
  <si>
    <t>Singapore</t>
  </si>
  <si>
    <t>Slovakia</t>
  </si>
  <si>
    <t>Slovenia</t>
  </si>
  <si>
    <t>Solomon Islands</t>
  </si>
  <si>
    <t>Somalia</t>
  </si>
  <si>
    <t>South Africa</t>
  </si>
  <si>
    <t>South Korea</t>
  </si>
  <si>
    <t>Spain</t>
  </si>
  <si>
    <t>Sri Lanka</t>
  </si>
  <si>
    <t>St. Maarten</t>
  </si>
  <si>
    <t>St. Vincent &amp; the Grenadines</t>
  </si>
  <si>
    <t>Sudan</t>
  </si>
  <si>
    <t>Suriname</t>
  </si>
  <si>
    <t>Swaziland</t>
  </si>
  <si>
    <t>Sweden</t>
  </si>
  <si>
    <t>Switzerland</t>
  </si>
  <si>
    <t>Syria</t>
  </si>
  <si>
    <t>Taiwan</t>
  </si>
  <si>
    <t>Tajikistan</t>
  </si>
  <si>
    <t>Tanzania</t>
  </si>
  <si>
    <t>Thailand</t>
  </si>
  <si>
    <t>Togo</t>
  </si>
  <si>
    <t>Trinidad and Tobago</t>
  </si>
  <si>
    <t>Tunisia</t>
  </si>
  <si>
    <t>Turkey</t>
  </si>
  <si>
    <t>Turks and Caicos Islands</t>
  </si>
  <si>
    <t>Uganda</t>
  </si>
  <si>
    <t>Ukraine</t>
  </si>
  <si>
    <t>United Arab Emirates</t>
  </si>
  <si>
    <t>United Kingdom</t>
  </si>
  <si>
    <t>United States</t>
  </si>
  <si>
    <t>Uruguay</t>
  </si>
  <si>
    <t>Uzbekistan</t>
  </si>
  <si>
    <t>Venezuela</t>
  </si>
  <si>
    <t>Vietnam</t>
  </si>
  <si>
    <t>Yemen</t>
  </si>
  <si>
    <t>Zambia</t>
  </si>
  <si>
    <t>Zimbabwe</t>
  </si>
  <si>
    <t>Industry Name</t>
  </si>
  <si>
    <t>Number of firms</t>
  </si>
  <si>
    <t xml:space="preserve">Beta </t>
  </si>
  <si>
    <t>D/E Ratio</t>
  </si>
  <si>
    <t>Effective Tax rate</t>
  </si>
  <si>
    <t>Unlevered beta</t>
  </si>
  <si>
    <t>Cash/Firm value</t>
  </si>
  <si>
    <t>Unlevered beta corrected for cash</t>
  </si>
  <si>
    <t>HiLo Risk</t>
  </si>
  <si>
    <t>Standard deviation of equity</t>
  </si>
  <si>
    <t>Standard deviation in operating income (last 10 years)</t>
  </si>
  <si>
    <t>Average (2017-22)</t>
  </si>
  <si>
    <t>Advertising</t>
  </si>
  <si>
    <t>Aerospace/Defense</t>
  </si>
  <si>
    <t>Air Transport</t>
  </si>
  <si>
    <t>Apparel</t>
  </si>
  <si>
    <t>Auto &amp; Truck</t>
  </si>
  <si>
    <t>Auto Parts</t>
  </si>
  <si>
    <t>Bank (Money Center)</t>
  </si>
  <si>
    <t>NA</t>
  </si>
  <si>
    <t>Banks (Regional)</t>
  </si>
  <si>
    <t>Beverage (Alcoholic)</t>
  </si>
  <si>
    <t>Beverage (Soft)</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</si>
  <si>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</si>
  <si>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</si>
  <si>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</si>
  <si>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</si>
  <si>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</si>
  <si>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</si>
  <si>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</si>
  <si>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</si>
  <si>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</si>
  <si>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</si>
  <si>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</si>
  <si>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Construction Supplies</t>
  </si>
  <si>
    <t>Diversified</t>
  </si>
  <si>
    <t>Drugs (Biotechnology)</t>
  </si>
  <si>
    <t>Drugs (Pharmaceutical)</t>
  </si>
  <si>
    <t>Education</t>
  </si>
  <si>
    <t>Electrical Equipment</t>
  </si>
  <si>
    <t>Electronics (Consumer &amp; Office)</t>
  </si>
  <si>
    <t>Electronics (General)</t>
  </si>
  <si>
    <t>Engineering/Construction</t>
  </si>
  <si>
    <t>Entertainment</t>
  </si>
  <si>
    <t>Environmental &amp; Waste Services</t>
  </si>
  <si>
    <t>Financial Svcs. (Non-bank &amp; Insuran</t>
  </si>
  <si>
    <t>Food Processing</t>
  </si>
  <si>
    <t>Food Wholesalers</t>
  </si>
  <si>
    <t>Furn/Home Furnishings</t>
  </si>
  <si>
    <t>Green &amp; Renewable Energy</t>
  </si>
  <si>
    <t>Healthcare Products</t>
  </si>
  <si>
    <t>Healthcare Support Services</t>
  </si>
  <si>
    <t>Heathcare Information and Technol</t>
  </si>
  <si>
    <t>Homebuilding</t>
  </si>
  <si>
    <t>Hospitals/Healthcare Facilities</t>
  </si>
  <si>
    <t>Hotel/Gaming</t>
  </si>
  <si>
    <t>Household Products</t>
  </si>
  <si>
    <t>Information Services</t>
  </si>
  <si>
    <t>Insurance (General)</t>
  </si>
  <si>
    <t>Insurance (Life)</t>
  </si>
  <si>
    <t>Insurance (Prop/Cas.)</t>
  </si>
  <si>
    <t>Investments &amp; Asset Management</t>
  </si>
  <si>
    <t>Machinery</t>
  </si>
  <si>
    <t>Metals &amp; Mining</t>
  </si>
  <si>
    <t>Office Equipment &amp; Services</t>
  </si>
  <si>
    <t>Oil/Gas (Integrated)</t>
  </si>
  <si>
    <t>Oil/Gas (Production and Exploratio</t>
  </si>
  <si>
    <t>Oil/Gas Distribution</t>
  </si>
  <si>
    <t>Oilfield Svcs/Equip.</t>
  </si>
  <si>
    <t>Packaging &amp; Container</t>
  </si>
  <si>
    <t>Paper/Forest Products</t>
  </si>
  <si>
    <t>Power</t>
  </si>
  <si>
    <t>Precious Metals</t>
  </si>
  <si>
    <t>Publishing &amp; Newspapers</t>
  </si>
  <si>
    <t>R.E.I.T.</t>
  </si>
  <si>
    <t>Real Estate (Development)</t>
  </si>
  <si>
    <t>Real Estate (General/Diversified)</t>
  </si>
  <si>
    <t>Real Estate (Operations &amp; Services)</t>
  </si>
  <si>
    <t>Recreation</t>
  </si>
  <si>
    <t>Reinsurance</t>
  </si>
  <si>
    <t>Restaurant/Dining</t>
  </si>
  <si>
    <t>Retail (Automotive)</t>
  </si>
  <si>
    <t>Retail (Building Supply)</t>
  </si>
  <si>
    <t>Retail (Distributors)</t>
  </si>
  <si>
    <t>Retail (General)</t>
  </si>
  <si>
    <t>Retail (Grocery and Food)</t>
  </si>
  <si>
    <t>Retail (Online)</t>
  </si>
  <si>
    <t>Retail (Special Lines)</t>
  </si>
  <si>
    <t>Rubber&amp; Tires</t>
  </si>
  <si>
    <t>Semiconductor</t>
  </si>
  <si>
    <t>Semiconductor Equip</t>
  </si>
  <si>
    <t>Shipbuilding &amp; Marine</t>
  </si>
  <si>
    <t>Shoe</t>
  </si>
  <si>
    <t>Software (Entertainment)</t>
  </si>
  <si>
    <t>Software (Internet)</t>
  </si>
  <si>
    <t>Software (System &amp; Application)</t>
  </si>
  <si>
    <t>Steel</t>
  </si>
  <si>
    <t>Telecom (Wireless)</t>
  </si>
  <si>
    <t>Telecom. Equipment</t>
  </si>
  <si>
    <t>Telecom. Services</t>
  </si>
  <si>
    <t>Tobacco</t>
  </si>
  <si>
    <t>Transportation</t>
  </si>
  <si>
    <t>Transportation (Railroads)</t>
  </si>
  <si>
    <t>Trucking</t>
  </si>
  <si>
    <t>Utility (General)</t>
  </si>
  <si>
    <t>Utility (Water)</t>
  </si>
  <si>
    <t>Total Market</t>
  </si>
  <si>
    <t>Total Market (without financials)</t>
  </si>
  <si>
    <t>Mortgage Loan Payments</t>
  </si>
  <si>
    <t>Enter Values</t>
  </si>
  <si>
    <t>Loan Summary</t>
  </si>
  <si>
    <t>Loan Amount</t>
  </si>
  <si>
    <t>Scheduled Payment</t>
  </si>
  <si>
    <t>Scheduled Number of Payments</t>
  </si>
  <si>
    <t>Actual Number of Payments</t>
  </si>
  <si>
    <t>Number of Payments Per Year</t>
  </si>
  <si>
    <t>Total Early Payments</t>
  </si>
  <si>
    <t>Total Interest</t>
  </si>
  <si>
    <t>Optional Extra Payments</t>
  </si>
  <si>
    <t>Flat Interest Rate</t>
  </si>
  <si>
    <t>Total Amount:</t>
  </si>
  <si>
    <t>PmtNo.</t>
  </si>
  <si>
    <t>Month</t>
  </si>
  <si>
    <t>Payment Date</t>
  </si>
  <si>
    <t>Beginning Balance</t>
  </si>
  <si>
    <t>Extra Payment</t>
  </si>
  <si>
    <t>Total Payment</t>
  </si>
  <si>
    <t>Principal</t>
  </si>
  <si>
    <t>Ending Balance</t>
  </si>
  <si>
    <t>Cumulative Interest</t>
  </si>
  <si>
    <t>Month 1</t>
  </si>
  <si>
    <t>Month 2</t>
  </si>
  <si>
    <t>Month 3</t>
  </si>
  <si>
    <t>Month 4</t>
  </si>
  <si>
    <t>Month 5</t>
  </si>
  <si>
    <t>Month 6</t>
  </si>
  <si>
    <t>Month 7</t>
  </si>
  <si>
    <t>Month 8</t>
  </si>
  <si>
    <t>Month 9</t>
  </si>
  <si>
    <t>Month 10</t>
  </si>
  <si>
    <t>Month 11</t>
  </si>
  <si>
    <t>Month 12</t>
  </si>
  <si>
    <t>Month 13</t>
  </si>
  <si>
    <t>Month 14</t>
  </si>
  <si>
    <t>Month 15</t>
  </si>
  <si>
    <t>Month 16</t>
  </si>
  <si>
    <t>Month 17</t>
  </si>
  <si>
    <t>Month 18</t>
  </si>
  <si>
    <t>Month 19</t>
  </si>
  <si>
    <t>Month 20</t>
  </si>
  <si>
    <t>Month 21</t>
  </si>
  <si>
    <t>Month 22</t>
  </si>
  <si>
    <t>Month 23</t>
  </si>
  <si>
    <t>Month 24</t>
  </si>
  <si>
    <t>Month 25</t>
  </si>
  <si>
    <t>Month 26</t>
  </si>
  <si>
    <t>Month 27</t>
  </si>
  <si>
    <t>Month 28</t>
  </si>
  <si>
    <t>Month 29</t>
  </si>
  <si>
    <t>Month 30</t>
  </si>
  <si>
    <t>Month 31</t>
  </si>
  <si>
    <t>Month 32</t>
  </si>
  <si>
    <t>Month 33</t>
  </si>
  <si>
    <t>Month 34</t>
  </si>
  <si>
    <t>Month 35</t>
  </si>
  <si>
    <t>Month 36</t>
  </si>
  <si>
    <t>Month 37</t>
  </si>
  <si>
    <t>Month 38</t>
  </si>
  <si>
    <t>Month 39</t>
  </si>
  <si>
    <t>Month 40</t>
  </si>
  <si>
    <t>Month 41</t>
  </si>
  <si>
    <t>Month 42</t>
  </si>
  <si>
    <t>Month 43</t>
  </si>
  <si>
    <t>Month 44</t>
  </si>
  <si>
    <t>Month 45</t>
  </si>
  <si>
    <t>Month 46</t>
  </si>
  <si>
    <t>Month 47</t>
  </si>
  <si>
    <t>Month 48</t>
  </si>
  <si>
    <t>Month 49</t>
  </si>
  <si>
    <t>Month 50</t>
  </si>
  <si>
    <t>Month 51</t>
  </si>
  <si>
    <t>Month 52</t>
  </si>
  <si>
    <t>Month 53</t>
  </si>
  <si>
    <t>Month 54</t>
  </si>
  <si>
    <t>Month 55</t>
  </si>
  <si>
    <t>Month 56</t>
  </si>
  <si>
    <t>Month 57</t>
  </si>
  <si>
    <t>Month 58</t>
  </si>
  <si>
    <t>Month 59</t>
  </si>
  <si>
    <t>Month 60</t>
  </si>
  <si>
    <t>Filter</t>
  </si>
  <si>
    <t>TRUE VALUE</t>
  </si>
  <si>
    <t>Row Number</t>
  </si>
  <si>
    <t>Item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</si>
</sst>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44" formatCode="_(&quot;$&quot;* #,##0.00_);_(&quot;$&quot;* \(#,##0.00\);_(&quot;$&quot;* &quot;-&quot;??_);_(@_)"/>
    <numFmt numFmtId="43" formatCode="_(* #,##0.00_);_(* \(#,##0.00\);_(* &quot;-&quot;??_);_(@_)"/>
    <numFmt numFmtId="164" formatCode="_-* #,##0.00_-;\-* #,##0.00_-;_-* &quot;-&quot;??_-;_-@_-"/>
    <numFmt numFmtId="165" formatCode="_ [$₪-40D]\ * #,##0.00_ ;_ [$₪-40D]\ * \-#,##0.00_ ;_ [$₪-40D]\ * &quot;-&quot;??_ ;_ @_ "/>
    <numFmt numFmtId="166" formatCode="_-* #,##0.00_-;_-* #,##0.00\-;_-* &quot;-&quot;??_-;_-@_-"/>
    <numFmt numFmtId="167" formatCode="_(* #,##0_);_(* \(#,##0\);_(* &quot;-&quot;??_);_(@_)"/>
    <numFmt numFmtId="168" formatCode="_ [$₪-40D]\ * #,##0_ ;_ [$₪-40D]\ * \-#,##0_ ;_ [$₪-40D]\ * &quot;-&quot;??_ ;_ @_ "/>
    <numFmt numFmtId="169" formatCode="_-&quot;€&quot;\ * #,##0.00_-;_-&quot;€&quot;\ * #,##0.00\-;_-&quot;€&quot;\ * &quot;-&quot;??_-;_-@_-"/>
    <numFmt numFmtId="170" formatCode="[$₪-40D]\ #,##0"/>
    <numFmt numFmtId="171" formatCode="_ [$عبوة-40D]\ * #,##0_ ;_ [$عبوة-40D]\ * \-#,##0_ ;_ [$عبوة-40D]\ * &quot;-&quot;_ ;_ @_ "/>
    <numFmt numFmtId="172" formatCode="_(&quot;$&quot;* #,##0_);_(&quot;$&quot;* \(#,##0\);_(&quot;$&quot;* &quot;-&quot;??_);_(@_)"/>
    <numFmt numFmtId="173" formatCode="[$$-540A]#,##0.00"/>
    <numFmt numFmtId="174" formatCode="#,##0.0000"/>
    <numFmt numFmtId="175" formatCode="#,##0.00000"/>
    <numFmt numFmtId="176" formatCode="#,##0.00_ ;\-#,##0.00\ "/>
    <numFmt numFmtId="177" formatCode="#,##0.00\ ;[Red]\(#,##0.00\);\-\ ;"/>
    <numFmt numFmtId="178" formatCode="#,##0.00;[Red]#,##0.00"/>
    <numFmt numFmtId="179" formatCode="0.00%;[Red]\(0.00%\)"/>
    <numFmt numFmtId="180" formatCode="#,##0.00\ ;[Red]\(#,##0.00\);\-\ "/>
    <numFmt numFmtId="181" formatCode="0.00?%_)"/>
    <numFmt numFmtId="182" formatCode="0_)"/>
    <numFmt numFmtId="183" formatCode="[$-409]mmmm\ d\,\ yyyy;@"/>
    <numFmt numFmtId="184" formatCode="#,##0.00000000000000"/>
    <numFmt numFmtId="185" formatCode="_ [$-40D]\ * #,##0_ ;_ [$Month-40D]\ * \-#,##0_ ;_ [$Month-40D]\ * &quot;-&quot;_ ;_ @_ "/>
    <numFmt numFmtId="186" formatCode="_ [$Year-40D]\ * #,##0.00_ ;_ [$عبوة-40D]\ * \-#,##0.00_ ;_ [$عبوة-40D]\ * &quot;-&quot;_ ;_ @_ "/>
    <numFmt numFmtId="187" formatCode="_(* #,##0_);_(* \(#,##0\);_(* &quot;-&quot;_);@_)"/>
    <numFmt numFmtId="188" formatCode="_ \ #,##0.00\ * [$SqM-40D]\ _ ;_ [$M2-40D]\ * \-#,##0.00_ ;_ [$عبوة-40D]\ * &quot;-&quot;_ ;_ @_ "/>
    <numFmt numFmtId="189" formatCode="_ #,##0\ * [$Empl-40D]\ _ ;_ [$M2-40D]\ * \-#,##0_ ;_ [$عبوة-40D]\ * &quot;-&quot;_ ;_ @_ "/>
    <numFmt numFmtId="190" formatCode="#,##0.000000"/>
  </numFmts>
  <fonts count="128">
    <font>
      <sz val="11"/>
      <color theme="1"/>
      <name val="Bookman Old Style"/>
      <family val="1"/>
    </font>
    <font>
      <sz val="11"/>
      <color theme="1"/>
      <name val="Arial"/>
      <family val="2"/>
      <scheme val="minor"/>
    </font>
    <font>
      <sz val="11"/>
      <color theme="1"/>
      <name val="Arial"/>
      <family val="2"/>
      <scheme val="minor"/>
    </font>
    <font>
      <b/>
      <sz val="11"/>
      <color theme="1"/>
      <name val="Arial"/>
      <family val="2"/>
      <scheme val="minor"/>
    </font>
    <font>
      <sz val="11"/>
      <color theme="1"/>
      <name val="Arial"/>
      <family val="2"/>
      <charset val="178"/>
      <scheme val="minor"/>
    </font>
    <font>
      <sz val="11"/>
      <color rgb="FF3F3F76"/>
      <name val="Arial"/>
      <family val="2"/>
      <charset val="178"/>
      <scheme val="minor"/>
    </font>
    <font>
      <i/>
      <sz val="11"/>
      <color rgb="FF7F7F7F"/>
      <name val="Arial"/>
      <family val="2"/>
      <charset val="178"/>
      <scheme val="minor"/>
    </font>
    <font>
      <sz val="9"/>
      <color theme="3"/>
      <name val="Arial"/>
      <family val="2"/>
      <scheme val="minor"/>
    </font>
    <font>
      <sz val="8"/>
      <name val="Arial"/>
      <family val="2"/>
    </font>
    <font>
      <b/>
      <sz val="9"/>
      <color theme="3"/>
      <name val="Arial"/>
      <family val="2"/>
      <scheme val="minor"/>
    </font>
    <font>
      <sz val="8"/>
      <name val="Arial"/>
      <family val="2"/>
      <scheme val="minor"/>
    </font>
    <font>
      <sz val="9"/>
      <color indexed="81"/>
      <name val="Tahoma"/>
      <family val="2"/>
    </font>
    <font>
      <b/>
      <sz val="9"/>
      <color indexed="81"/>
      <name val="Tahoma"/>
      <family val="2"/>
    </font>
    <font>
      <b/>
      <sz val="11"/>
      <color theme="0"/>
      <name val="Sakkal Majalla"/>
    </font>
    <font>
      <b/>
      <sz val="16"/>
      <color theme="0"/>
      <name val="Sakkal Majalla"/>
    </font>
    <font>
      <u/>
      <sz val="11"/>
      <color theme="10"/>
      <name val="Arial"/>
      <family val="2"/>
      <scheme val="minor"/>
    </font>
    <font>
      <sz val="11"/>
      <color theme="1"/>
      <name val="Bookman Old Style"/>
      <family val="1"/>
    </font>
    <font>
      <b/>
      <sz val="24"/>
      <color theme="3"/>
      <name val="Bookman Old Style"/>
      <family val="1"/>
    </font>
    <font>
      <b/>
      <sz val="13"/>
      <color theme="3"/>
      <name val="Bookman Old Style"/>
      <family val="1"/>
    </font>
    <font>
      <b/>
      <sz val="12"/>
      <color theme="3"/>
      <name val="Bookman Old Style"/>
      <family val="1"/>
    </font>
    <font>
      <sz val="11"/>
      <name val="Bookman Old Style"/>
      <family val="1"/>
    </font>
    <font>
      <b/>
      <sz val="11"/>
      <color theme="1"/>
      <name val="Bookman Old Style"/>
      <family val="1"/>
    </font>
    <font>
      <b/>
      <sz val="11"/>
      <name val="Bookman Old Style"/>
      <family val="1"/>
    </font>
    <font>
      <b/>
      <sz val="12"/>
      <color rgb="FFC00000"/>
      <name val="Bookman Old Style"/>
      <family val="1"/>
    </font>
    <font>
      <b/>
      <sz val="11"/>
      <color theme="9" tint="-0.499984740745262"/>
      <name val="Bookman Old Style"/>
      <family val="1"/>
    </font>
    <font>
      <sz val="10"/>
      <name val="Bookman Old Style"/>
      <family val="1"/>
    </font>
    <font>
      <b/>
      <sz val="10"/>
      <name val="Bookman Old Style"/>
      <family val="1"/>
    </font>
    <font>
      <sz val="10"/>
      <color theme="4" tint="-0.499984740745262"/>
      <name val="Bookman Old Style"/>
      <family val="1"/>
    </font>
    <font>
      <vertAlign val="superscript"/>
      <sz val="10"/>
      <color theme="4" tint="-0.499984740745262"/>
      <name val="Bookman Old Style"/>
      <family val="1"/>
    </font>
    <font>
      <b/>
      <i/>
      <sz val="18"/>
      <name val="Bookman Old Style"/>
      <family val="1"/>
    </font>
    <font>
      <b/>
      <sz val="18"/>
      <color theme="10"/>
      <name val="Bookman Old Style"/>
      <family val="1"/>
    </font>
    <font>
      <b/>
      <sz val="24"/>
      <name val="Bookman Old Style"/>
      <family val="1"/>
    </font>
    <font>
      <sz val="24"/>
      <color theme="1"/>
      <name val="Bookman Old Style"/>
      <family val="1"/>
    </font>
    <font>
      <sz val="16"/>
      <color theme="1"/>
      <name val="Bookman Old Style"/>
      <family val="1"/>
    </font>
    <font>
      <sz val="12"/>
      <color theme="0"/>
      <name val="Bookman Old Style"/>
      <family val="1"/>
    </font>
    <font>
      <sz val="11"/>
      <color theme="0"/>
      <name val="Bookman Old Style"/>
      <family val="1"/>
    </font>
    <font>
      <b/>
      <sz val="12"/>
      <name val="Bookman Old Style"/>
      <family val="1"/>
    </font>
    <font>
      <sz val="12"/>
      <name val="Bookman Old Style"/>
      <family val="1"/>
    </font>
    <font>
      <b/>
      <sz val="11"/>
      <color theme="0"/>
      <name val="Bookman Old Style"/>
      <family val="1"/>
    </font>
    <font>
      <b/>
      <sz val="18"/>
      <color theme="1"/>
      <name val="Bookman Old Style"/>
      <family val="1"/>
    </font>
    <font>
      <sz val="22"/>
      <color theme="1"/>
      <name val="Bookman Old Style"/>
      <family val="1"/>
    </font>
    <font>
      <b/>
      <u/>
      <sz val="12"/>
      <name val="Bookman Old Style"/>
      <family val="1"/>
    </font>
    <font>
      <sz val="16"/>
      <name val="Bookman Old Style"/>
      <family val="1"/>
    </font>
    <font>
      <b/>
      <sz val="11"/>
      <color theme="4" tint="-0.249977111117893"/>
      <name val="Bookman Old Style"/>
      <family val="1"/>
    </font>
    <font>
      <b/>
      <u/>
      <sz val="11"/>
      <name val="Bookman Old Style"/>
      <family val="1"/>
    </font>
    <font>
      <b/>
      <sz val="11"/>
      <color theme="9" tint="0.59999389629810485"/>
      <name val="Bookman Old Style"/>
      <family val="1"/>
    </font>
    <font>
      <sz val="12"/>
      <color theme="1"/>
      <name val="Bookman Old Style"/>
      <family val="1"/>
    </font>
    <font>
      <sz val="11"/>
      <color theme="3"/>
      <name val="Bookman Old Style"/>
      <family val="1"/>
    </font>
    <font>
      <b/>
      <sz val="11"/>
      <color rgb="FFFF0000"/>
      <name val="Bookman Old Style"/>
      <family val="1"/>
    </font>
    <font>
      <sz val="8"/>
      <name val="Bookman Old Style"/>
      <family val="1"/>
    </font>
    <font>
      <b/>
      <sz val="20"/>
      <color theme="1"/>
      <name val="Bookman Old Style"/>
      <family val="1"/>
    </font>
    <font>
      <b/>
      <sz val="18"/>
      <color theme="4" tint="-0.499984740745262"/>
      <name val="Bookman Old Style"/>
      <family val="1"/>
    </font>
    <font>
      <b/>
      <sz val="16"/>
      <color theme="4" tint="-0.499984740745262"/>
      <name val="Bookman Old Style"/>
      <family val="1"/>
    </font>
    <font>
      <sz val="14"/>
      <color theme="1"/>
      <name val="Bookman Old Style"/>
      <family val="1"/>
    </font>
    <font>
      <b/>
      <sz val="14"/>
      <color theme="1"/>
      <name val="Bookman Old Style"/>
      <family val="1"/>
    </font>
    <font>
      <b/>
      <i/>
      <sz val="14"/>
      <color theme="1"/>
      <name val="Bookman Old Style"/>
      <family val="1"/>
    </font>
    <font>
      <sz val="14"/>
      <color theme="3"/>
      <name val="Bookman Old Style"/>
      <family val="1"/>
    </font>
    <font>
      <b/>
      <sz val="10"/>
      <color theme="4" tint="-0.499984740745262"/>
      <name val="Bookman Old Style"/>
      <family val="1"/>
    </font>
    <font>
      <sz val="10"/>
      <name val="Arial"/>
      <family val="2"/>
    </font>
    <font>
      <b/>
      <sz val="18"/>
      <color indexed="8"/>
      <name val="Arial"/>
      <family val="2"/>
    </font>
    <font>
      <b/>
      <sz val="10"/>
      <name val="Arial"/>
      <family val="2"/>
    </font>
    <font>
      <sz val="10"/>
      <color indexed="23"/>
      <name val="Arial"/>
      <family val="2"/>
    </font>
    <font>
      <sz val="10"/>
      <color theme="1"/>
      <name val="Arial"/>
      <family val="2"/>
    </font>
    <font>
      <sz val="10"/>
      <color theme="9" tint="-0.499984740745262"/>
      <name val="Bookman Old Style"/>
      <family val="1"/>
    </font>
    <font>
      <b/>
      <sz val="12"/>
      <name val="Arial"/>
      <family val="2"/>
    </font>
    <font>
      <b/>
      <sz val="9"/>
      <name val="Bookman Old Style"/>
      <family val="1"/>
    </font>
    <font>
      <b/>
      <sz val="16"/>
      <color theme="4" tint="-0.249977111117893"/>
      <name val="Bookman Old Style"/>
      <family val="1"/>
    </font>
    <font>
      <b/>
      <sz val="16"/>
      <name val="Bookman Old Style"/>
      <family val="1"/>
    </font>
    <font>
      <b/>
      <sz val="10"/>
      <color theme="1"/>
      <name val="Bookman Old Style"/>
      <family val="1"/>
    </font>
    <font>
      <b/>
      <sz val="12"/>
      <color theme="1" tint="4.9989318521683403E-2"/>
      <name val="Bookman Old Style"/>
      <family val="1"/>
    </font>
    <font>
      <b/>
      <i/>
      <sz val="12"/>
      <color theme="1"/>
      <name val="Bookman Old Style"/>
      <family val="1"/>
    </font>
    <font>
      <b/>
      <sz val="12"/>
      <color theme="1"/>
      <name val="Bookman Old Style"/>
      <family val="1"/>
    </font>
    <font>
      <b/>
      <sz val="14"/>
      <name val="Bookman Old Style"/>
      <family val="1"/>
    </font>
    <font>
      <sz val="10"/>
      <color theme="1"/>
      <name val="Bookman Old Style"/>
      <family val="1"/>
    </font>
    <font>
      <b/>
      <i/>
      <sz val="11"/>
      <name val="Bookman Old Style"/>
      <family val="1"/>
    </font>
    <font>
      <b/>
      <i/>
      <sz val="10"/>
      <name val="Bookman Old Style"/>
      <family val="1"/>
    </font>
    <font>
      <b/>
      <sz val="10"/>
      <color rgb="FFC00000"/>
      <name val="Bookman Old Style"/>
      <family val="1"/>
    </font>
    <font>
      <sz val="10"/>
      <color rgb="FFC00000"/>
      <name val="Bookman Old Style"/>
      <family val="1"/>
    </font>
    <font>
      <b/>
      <sz val="14"/>
      <color theme="9" tint="-0.499984740745262"/>
      <name val="Bookman Old Style"/>
      <family val="1"/>
    </font>
    <font>
      <sz val="11"/>
      <color theme="1"/>
      <name val="Sakkal Majalla"/>
    </font>
    <font>
      <b/>
      <sz val="14"/>
      <color theme="1"/>
      <name val="Sakkal Majalla"/>
    </font>
    <font>
      <sz val="11"/>
      <color theme="0"/>
      <name val="Sakkal Majalla"/>
    </font>
    <font>
      <b/>
      <sz val="12"/>
      <color theme="0"/>
      <name val="Sakkal Majalla"/>
    </font>
    <font>
      <b/>
      <sz val="14"/>
      <color theme="0"/>
      <name val="Sakkal Majalla"/>
    </font>
    <font>
      <sz val="14"/>
      <color theme="0"/>
      <name val="Sakkal Majalla"/>
    </font>
    <font>
      <sz val="14"/>
      <color theme="1"/>
      <name val="Sakkal Majalla"/>
    </font>
    <font>
      <b/>
      <sz val="36"/>
      <color theme="1"/>
      <name val="Sakkal Majalla"/>
    </font>
    <font>
      <b/>
      <sz val="16"/>
      <color theme="1"/>
      <name val="Bookman Old Style"/>
      <family val="1"/>
    </font>
    <font>
      <b/>
      <sz val="11"/>
      <color theme="3"/>
      <name val="Sakkal Majalla"/>
    </font>
    <font>
      <b/>
      <sz val="12"/>
      <color theme="0"/>
      <name val="Bookman Old Style"/>
      <family val="1"/>
    </font>
    <font>
      <b/>
      <i/>
      <sz val="12"/>
      <color theme="0"/>
      <name val="Bookman Old Style"/>
      <family val="1"/>
    </font>
    <font>
      <b/>
      <sz val="13"/>
      <color theme="7"/>
      <name val="Times New Roman"/>
      <family val="2"/>
      <scheme val="major"/>
    </font>
    <font>
      <b/>
      <sz val="11"/>
      <color theme="1" tint="0.24994659260841701"/>
      <name val="Arial"/>
      <family val="2"/>
      <scheme val="minor"/>
    </font>
    <font>
      <sz val="12"/>
      <color theme="1" tint="0.24994659260841701"/>
      <name val="Times New Roman"/>
      <family val="2"/>
      <scheme val="major"/>
    </font>
    <font>
      <sz val="11"/>
      <color theme="1" tint="0.24994659260841701"/>
      <name val="Times New Roman"/>
      <family val="2"/>
      <scheme val="major"/>
    </font>
    <font>
      <sz val="14"/>
      <color theme="1" tint="0.24994659260841701"/>
      <name val="Arial"/>
      <family val="2"/>
      <scheme val="minor"/>
    </font>
    <font>
      <b/>
      <sz val="11"/>
      <color theme="1" tint="0.34998626667073579"/>
      <name val="Arial"/>
      <family val="2"/>
      <scheme val="minor"/>
    </font>
    <font>
      <b/>
      <sz val="13"/>
      <color theme="1" tint="0.24994659260841701"/>
      <name val="Times New Roman"/>
      <family val="2"/>
      <scheme val="major"/>
    </font>
    <font>
      <sz val="11"/>
      <color theme="1"/>
      <name val="Times New Roman"/>
      <family val="2"/>
      <scheme val="major"/>
    </font>
    <font>
      <sz val="11"/>
      <color rgb="FFFF0000"/>
      <name val="Sakkal Majalla"/>
    </font>
    <font>
      <sz val="10"/>
      <color theme="1"/>
      <name val="Open Sans"/>
      <family val="2"/>
    </font>
    <font>
      <b/>
      <sz val="10"/>
      <color theme="0"/>
      <name val="Open Sans"/>
      <family val="2"/>
    </font>
    <font>
      <b/>
      <sz val="11"/>
      <color theme="0"/>
      <name val="Open Sans"/>
      <family val="2"/>
    </font>
    <font>
      <sz val="10"/>
      <color theme="3"/>
      <name val="Open Sans"/>
      <family val="2"/>
    </font>
    <font>
      <b/>
      <sz val="10"/>
      <color theme="1"/>
      <name val="Open Sans"/>
      <family val="2"/>
    </font>
    <font>
      <sz val="10"/>
      <color rgb="FF0000FF"/>
      <name val="Open Sans"/>
      <family val="2"/>
    </font>
    <font>
      <sz val="10"/>
      <name val="Open Sans"/>
      <family val="2"/>
    </font>
    <font>
      <b/>
      <sz val="10"/>
      <name val="Open Sans"/>
      <family val="2"/>
    </font>
    <font>
      <b/>
      <i/>
      <sz val="10"/>
      <name val="Verdana"/>
      <family val="2"/>
    </font>
    <font>
      <sz val="12"/>
      <color rgb="FF000000"/>
      <name val="Calibri"/>
      <family val="2"/>
    </font>
    <font>
      <b/>
      <sz val="12"/>
      <color rgb="FF000000"/>
      <name val="Calibri"/>
      <family val="2"/>
    </font>
    <font>
      <b/>
      <sz val="10"/>
      <color theme="3"/>
      <name val="Open Sans"/>
      <family val="2"/>
    </font>
    <font>
      <sz val="12"/>
      <color rgb="FFFF0000"/>
      <name val="Calibri"/>
      <family val="2"/>
    </font>
    <font>
      <sz val="12"/>
      <color theme="1"/>
      <name val="Sakkal Majalla"/>
    </font>
    <font>
      <b/>
      <sz val="12"/>
      <color theme="3"/>
      <name val="Sakkal Majalla"/>
    </font>
    <font>
      <sz val="10"/>
      <color theme="4" tint="-0.499984740745262"/>
      <name val="Sakkal Majalla"/>
    </font>
    <font>
      <vertAlign val="superscript"/>
      <sz val="10"/>
      <color theme="4" tint="-0.499984740745262"/>
      <name val="Sakkal Majalla"/>
    </font>
    <font>
      <b/>
      <sz val="10"/>
      <color theme="1"/>
      <name val="Sakkal Majalla"/>
    </font>
    <font>
      <b/>
      <sz val="11"/>
      <color theme="1"/>
      <name val="Sakkal Majalla"/>
    </font>
    <font>
      <b/>
      <sz val="11"/>
      <color theme="4" tint="-0.499984740745262"/>
      <name val="Bookman Old Style"/>
      <family val="1"/>
    </font>
    <font>
      <b/>
      <sz val="11"/>
      <color rgb="FF000000"/>
      <name val="TimesNewRomanPS-BoldMT"/>
    </font>
    <font>
      <sz val="11"/>
      <color rgb="FF000000"/>
      <name val="TimesNewRomanPSMT"/>
    </font>
    <font>
      <b/>
      <sz val="11"/>
      <name val="TimesNewRomanPS-BoldMT"/>
    </font>
    <font>
      <b/>
      <sz val="11"/>
      <color rgb="FFFFFFFF"/>
      <name val="Bookman Old Style"/>
      <family val="1"/>
    </font>
    <font>
      <b/>
      <sz val="11"/>
      <color rgb="FF000000"/>
      <name val="Bookman Old Style"/>
      <family val="1"/>
    </font>
    <font>
      <sz val="11"/>
      <color rgb="FF000000"/>
      <name val="Bookman Old Style"/>
      <family val="1"/>
    </font>
    <font>
      <b/>
      <sz val="16"/>
      <color theme="0"/>
      <name val="Bookman Old Style"/>
      <family val="1"/>
    </font>
    <font>
      <b/>
      <vertAlign val="superscript"/>
      <sz val="16"/>
      <color theme="0"/>
      <name val="Bookman Old Style"/>
      <family val="1"/>
    </font>
  </fonts>
  <fills count="56">
    <fill>
      <patternFill patternType="none"/>
    </fill>
    <fill>
      <patternFill patternType="gray125"/>
    </fill>
    <fill>
      <patternFill patternType="solid">
        <fgColor rgb="FFFFCC99"/>
      </patternFill>
    </fill>
    <fill>
      <patternFill patternType="solid">
        <fgColor theme="3"/>
        <bgColor indexed="64"/>
      </patternFill>
    </fill>
    <fill>
      <patternFill patternType="solid">
        <fgColor theme="4" tint="0.79998168889431442"/>
        <bgColor theme="4" tint="0.79998168889431442"/>
      </patternFill>
    </fill>
    <fill>
      <patternFill patternType="solid">
        <fgColor theme="5" tint="0.79998168889431442"/>
        <bgColor theme="5" tint="0.79998168889431442"/>
      </patternFill>
    </fill>
    <fill>
      <patternFill patternType="solid">
        <fgColor theme="5" tint="-0.249977111117893"/>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theme="1" tint="0.499984740745262"/>
        <bgColor theme="4" tint="0.79998168889431442"/>
      </patternFill>
    </fill>
    <fill>
      <patternFill patternType="solid">
        <fgColor theme="1" tint="0.499984740745262"/>
        <bgColor theme="5" tint="0.79998168889431442"/>
      </patternFill>
    </fill>
    <fill>
      <patternFill patternType="solid">
        <fgColor theme="0"/>
        <bgColor indexed="64"/>
      </patternFill>
    </fill>
    <fill>
      <patternFill patternType="solid">
        <fgColor theme="0"/>
        <bgColor theme="4" tint="0.79998168889431442"/>
      </patternFill>
    </fill>
    <fill>
      <patternFill patternType="solid">
        <fgColor theme="2" tint="-0.499984740745262"/>
        <bgColor indexed="64"/>
      </patternFill>
    </fill>
    <fill>
      <patternFill patternType="solid">
        <fgColor theme="2" tint="-0.49998474074526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249977111117893"/>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0"/>
        <bgColor theme="8" tint="0.79998168889431442"/>
      </patternFill>
    </fill>
    <fill>
      <patternFill patternType="solid">
        <fgColor theme="0" tint="-4.9989318521683403E-2"/>
        <bgColor indexed="64"/>
      </patternFill>
    </fill>
    <fill>
      <patternFill patternType="solid">
        <fgColor theme="0" tint="-4.9989318521683403E-2"/>
        <bgColor theme="8" tint="0.79998168889431442"/>
      </patternFill>
    </fill>
    <fill>
      <patternFill patternType="solid">
        <fgColor theme="0"/>
        <bgColor theme="8" tint="0.79995117038483843"/>
      </patternFill>
    </fill>
    <fill>
      <patternFill patternType="solid">
        <fgColor theme="9" tint="0.59999389629810485"/>
        <bgColor indexed="64"/>
      </patternFill>
    </fill>
    <fill>
      <patternFill patternType="solid">
        <fgColor indexed="9"/>
        <bgColor indexed="64"/>
      </patternFill>
    </fill>
    <fill>
      <patternFill patternType="solid">
        <fgColor rgb="FFFFFFCC"/>
        <bgColor indexed="64"/>
      </patternFill>
    </fill>
    <fill>
      <patternFill patternType="solid">
        <fgColor theme="6"/>
        <bgColor theme="6"/>
      </patternFill>
    </fill>
    <fill>
      <patternFill patternType="solid">
        <fgColor theme="7" tint="0.79998168889431442"/>
        <bgColor theme="4" tint="0.79998168889431442"/>
      </patternFill>
    </fill>
    <fill>
      <patternFill patternType="solid">
        <fgColor theme="7" tint="0.79998168889431442"/>
        <bgColor theme="8" tint="0.79995117038483843"/>
      </patternFill>
    </fill>
    <fill>
      <patternFill patternType="solid">
        <fgColor theme="3" tint="0.399975585192419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6" tint="0.79998168889431442"/>
        <bgColor theme="6" tint="0.79998168889431442"/>
      </patternFill>
    </fill>
    <fill>
      <patternFill patternType="solid">
        <fgColor theme="9" tint="-0.499984740745262"/>
        <bgColor theme="9"/>
      </patternFill>
    </fill>
    <fill>
      <patternFill patternType="solid">
        <fgColor theme="5" tint="-0.499984740745262"/>
        <bgColor indexed="64"/>
      </patternFill>
    </fill>
    <fill>
      <patternFill patternType="solid">
        <fgColor theme="5" tint="-0.499984740745262"/>
        <bgColor theme="5" tint="0.79998168889431442"/>
      </patternFill>
    </fill>
    <fill>
      <patternFill patternType="solid">
        <fgColor theme="4" tint="-0.499984740745262"/>
        <bgColor indexed="64"/>
      </patternFill>
    </fill>
    <fill>
      <patternFill patternType="solid">
        <fgColor theme="4" tint="-0.499984740745262"/>
        <bgColor theme="4" tint="0.79998168889431442"/>
      </patternFill>
    </fill>
    <fill>
      <patternFill patternType="solid">
        <fgColor theme="0" tint="-0.499984740745262"/>
        <bgColor indexed="64"/>
      </patternFill>
    </fill>
    <fill>
      <patternFill patternType="solid">
        <fgColor rgb="FFFFC000"/>
        <bgColor indexed="64"/>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
      <patternFill patternType="solid">
        <fgColor theme="5" tint="0.79998168889431442"/>
        <bgColor indexed="64"/>
      </patternFill>
    </fill>
    <fill>
      <patternFill patternType="solid">
        <fgColor rgb="FFFFFF00"/>
        <bgColor indexed="64"/>
      </patternFill>
    </fill>
    <fill>
      <patternFill patternType="solid">
        <fgColor rgb="FF132E57"/>
        <bgColor indexed="64"/>
      </patternFill>
    </fill>
    <fill>
      <patternFill patternType="solid">
        <fgColor rgb="FFFA621C"/>
        <bgColor indexed="64"/>
      </patternFill>
    </fill>
    <fill>
      <patternFill patternType="solid">
        <fgColor rgb="FFD9D9D9"/>
        <bgColor rgb="FFD9D9D9"/>
      </patternFill>
    </fill>
    <fill>
      <patternFill patternType="solid">
        <fgColor theme="0" tint="-0.14999847407452621"/>
        <bgColor indexed="64"/>
      </patternFill>
    </fill>
  </fills>
  <borders count="158">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double">
        <color indexed="64"/>
      </bottom>
      <diagonal/>
    </border>
    <border>
      <left/>
      <right/>
      <top/>
      <bottom style="thick">
        <color theme="5"/>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theme="5"/>
      </left>
      <right/>
      <top style="thin">
        <color theme="5"/>
      </top>
      <bottom/>
      <diagonal/>
    </border>
    <border>
      <left style="thin">
        <color theme="5"/>
      </left>
      <right style="thin">
        <color theme="5"/>
      </right>
      <top/>
      <bottom/>
      <diagonal/>
    </border>
    <border>
      <left/>
      <right/>
      <top/>
      <bottom style="thin">
        <color theme="4" tint="0.39997558519241921"/>
      </bottom>
      <diagonal/>
    </border>
    <border>
      <left style="medium">
        <color auto="1"/>
      </left>
      <right/>
      <top/>
      <bottom/>
      <diagonal/>
    </border>
    <border>
      <left/>
      <right/>
      <top style="thin">
        <color theme="4" tint="0.39997558519241921"/>
      </top>
      <bottom style="thin">
        <color theme="8"/>
      </bottom>
      <diagonal/>
    </border>
    <border>
      <left/>
      <right style="thin">
        <color theme="4" tint="0.39997558519241921"/>
      </right>
      <top style="thin">
        <color theme="4" tint="0.39997558519241921"/>
      </top>
      <bottom style="thin">
        <color theme="8"/>
      </bottom>
      <diagonal/>
    </border>
    <border>
      <left/>
      <right/>
      <top/>
      <bottom style="thin">
        <color theme="8"/>
      </bottom>
      <diagonal/>
    </border>
    <border>
      <left style="thin">
        <color theme="9"/>
      </left>
      <right/>
      <top/>
      <bottom/>
      <diagonal/>
    </border>
    <border>
      <left/>
      <right/>
      <top style="thin">
        <color theme="9" tint="0.39997558519241921"/>
      </top>
      <bottom style="thin">
        <color theme="9" tint="0.39997558519241921"/>
      </bottom>
      <diagonal/>
    </border>
    <border>
      <left style="medium">
        <color indexed="64"/>
      </left>
      <right/>
      <top/>
      <bottom style="thin">
        <color theme="4" tint="0.39997558519241921"/>
      </bottom>
      <diagonal/>
    </border>
    <border>
      <left/>
      <right/>
      <top/>
      <bottom style="medium">
        <color auto="1"/>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top/>
      <bottom style="double">
        <color indexed="64"/>
      </bottom>
      <diagonal/>
    </border>
    <border>
      <left style="medium">
        <color auto="1"/>
      </left>
      <right/>
      <top style="medium">
        <color auto="1"/>
      </top>
      <bottom style="medium">
        <color auto="1"/>
      </bottom>
      <diagonal/>
    </border>
    <border>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hair">
        <color auto="1"/>
      </left>
      <right/>
      <top style="medium">
        <color auto="1"/>
      </top>
      <bottom style="medium">
        <color auto="1"/>
      </bottom>
      <diagonal/>
    </border>
    <border>
      <left/>
      <right/>
      <top style="thin">
        <color theme="4" tint="0.39997558519241921"/>
      </top>
      <bottom style="double">
        <color indexed="64"/>
      </bottom>
      <diagonal/>
    </border>
    <border>
      <left/>
      <right/>
      <top style="thin">
        <color indexed="64"/>
      </top>
      <bottom style="medium">
        <color indexed="64"/>
      </bottom>
      <diagonal/>
    </border>
    <border>
      <left style="thin">
        <color theme="5"/>
      </left>
      <right style="thin">
        <color theme="5"/>
      </right>
      <top style="thin">
        <color auto="1"/>
      </top>
      <bottom/>
      <diagonal/>
    </border>
    <border>
      <left style="thin">
        <color theme="5"/>
      </left>
      <right/>
      <top style="thin">
        <color auto="1"/>
      </top>
      <bottom/>
      <diagonal/>
    </border>
    <border>
      <left style="thin">
        <color theme="5"/>
      </left>
      <right style="thin">
        <color theme="5"/>
      </right>
      <top/>
      <bottom style="thin">
        <color auto="1"/>
      </bottom>
      <diagonal/>
    </border>
    <border>
      <left style="thin">
        <color theme="5"/>
      </left>
      <right/>
      <top style="thin">
        <color theme="5"/>
      </top>
      <bottom style="thin">
        <color auto="1"/>
      </bottom>
      <diagonal/>
    </border>
    <border>
      <left style="thin">
        <color theme="5"/>
      </left>
      <right style="thin">
        <color theme="5"/>
      </right>
      <top style="thin">
        <color theme="5"/>
      </top>
      <bottom style="thin">
        <color auto="1"/>
      </bottom>
      <diagonal/>
    </border>
    <border>
      <left style="thin">
        <color theme="5"/>
      </left>
      <right/>
      <top style="thin">
        <color theme="5"/>
      </top>
      <bottom style="double">
        <color auto="1"/>
      </bottom>
      <diagonal/>
    </border>
    <border>
      <left style="thin">
        <color theme="4" tint="0.39997558519241921"/>
      </left>
      <right/>
      <top style="thin">
        <color auto="1"/>
      </top>
      <bottom/>
      <diagonal/>
    </border>
    <border>
      <left style="thin">
        <color theme="4" tint="0.39997558519241921"/>
      </left>
      <right/>
      <top/>
      <bottom style="thin">
        <color auto="1"/>
      </bottom>
      <diagonal/>
    </border>
    <border>
      <left style="thin">
        <color theme="5"/>
      </left>
      <right/>
      <top style="thin">
        <color auto="1"/>
      </top>
      <bottom style="double">
        <color auto="1"/>
      </bottom>
      <diagonal/>
    </border>
    <border>
      <left/>
      <right style="thin">
        <color theme="5"/>
      </right>
      <top style="thin">
        <color auto="1"/>
      </top>
      <bottom style="double">
        <color auto="1"/>
      </bottom>
      <diagonal/>
    </border>
    <border>
      <left style="hair">
        <color auto="1"/>
      </left>
      <right style="hair">
        <color auto="1"/>
      </right>
      <top/>
      <bottom/>
      <diagonal/>
    </border>
    <border>
      <left style="hair">
        <color auto="1"/>
      </left>
      <right/>
      <top/>
      <bottom/>
      <diagonal/>
    </border>
    <border>
      <left style="hair">
        <color auto="1"/>
      </left>
      <right style="hair">
        <color auto="1"/>
      </right>
      <top/>
      <bottom style="medium">
        <color auto="1"/>
      </bottom>
      <diagonal/>
    </border>
    <border>
      <left style="hair">
        <color auto="1"/>
      </left>
      <right style="medium">
        <color theme="0"/>
      </right>
      <top style="medium">
        <color auto="1"/>
      </top>
      <bottom style="medium">
        <color auto="1"/>
      </bottom>
      <diagonal/>
    </border>
    <border>
      <left style="hair">
        <color auto="1"/>
      </left>
      <right style="hair">
        <color auto="1"/>
      </right>
      <top style="thin">
        <color auto="1"/>
      </top>
      <bottom style="medium">
        <color auto="1"/>
      </bottom>
      <diagonal/>
    </border>
    <border>
      <left style="hair">
        <color auto="1"/>
      </left>
      <right/>
      <top style="thin">
        <color auto="1"/>
      </top>
      <bottom style="medium">
        <color auto="1"/>
      </bottom>
      <diagonal/>
    </border>
    <border>
      <left/>
      <right/>
      <top/>
      <bottom style="thick">
        <color theme="4" tint="0.499984740745262"/>
      </bottom>
      <diagonal/>
    </border>
    <border>
      <left/>
      <right/>
      <top/>
      <bottom style="medium">
        <color theme="4" tint="0.39997558519241921"/>
      </bottom>
      <diagonal/>
    </border>
    <border>
      <left/>
      <right/>
      <top style="medium">
        <color theme="4" tint="0.39997558519241921"/>
      </top>
      <bottom/>
      <diagonal/>
    </border>
    <border>
      <left style="thin">
        <color auto="1"/>
      </left>
      <right style="thin">
        <color auto="1"/>
      </right>
      <top style="medium">
        <color theme="4" tint="0.39997558519241921"/>
      </top>
      <bottom style="thin">
        <color auto="1"/>
      </bottom>
      <diagonal/>
    </border>
    <border>
      <left style="thin">
        <color auto="1"/>
      </left>
      <right/>
      <top style="medium">
        <color theme="4" tint="0.39997558519241921"/>
      </top>
      <bottom style="thin">
        <color auto="1"/>
      </bottom>
      <diagonal/>
    </border>
    <border>
      <left/>
      <right style="thin">
        <color auto="1"/>
      </right>
      <top style="medium">
        <color theme="4" tint="0.39997558519241921"/>
      </top>
      <bottom style="thin">
        <color auto="1"/>
      </bottom>
      <diagonal/>
    </border>
    <border>
      <left/>
      <right/>
      <top/>
      <bottom style="hair">
        <color indexed="16"/>
      </bottom>
      <diagonal/>
    </border>
    <border>
      <left style="hair">
        <color indexed="16"/>
      </left>
      <right/>
      <top style="hair">
        <color indexed="16"/>
      </top>
      <bottom style="hair">
        <color indexed="16"/>
      </bottom>
      <diagonal/>
    </border>
    <border>
      <left/>
      <right/>
      <top style="hair">
        <color indexed="16"/>
      </top>
      <bottom style="hair">
        <color indexed="16"/>
      </bottom>
      <diagonal/>
    </border>
    <border>
      <left/>
      <right style="hair">
        <color indexed="16"/>
      </right>
      <top style="hair">
        <color indexed="16"/>
      </top>
      <bottom style="hair">
        <color indexed="16"/>
      </bottom>
      <diagonal/>
    </border>
    <border>
      <left style="hair">
        <color indexed="16"/>
      </left>
      <right/>
      <top/>
      <bottom/>
      <diagonal/>
    </border>
    <border>
      <left style="hair">
        <color indexed="16"/>
      </left>
      <right style="hair">
        <color indexed="16"/>
      </right>
      <top/>
      <bottom style="hair">
        <color indexed="16"/>
      </bottom>
      <diagonal/>
    </border>
    <border>
      <left style="hair">
        <color indexed="16"/>
      </left>
      <right style="hair">
        <color indexed="16"/>
      </right>
      <top style="hair">
        <color indexed="16"/>
      </top>
      <bottom style="hair">
        <color indexed="16"/>
      </bottom>
      <diagonal/>
    </border>
    <border>
      <left style="hair">
        <color indexed="16"/>
      </left>
      <right/>
      <top/>
      <bottom style="hair">
        <color indexed="16"/>
      </bottom>
      <diagonal/>
    </border>
    <border>
      <left style="hair">
        <color indexed="16"/>
      </left>
      <right/>
      <top style="hair">
        <color indexed="16"/>
      </top>
      <bottom/>
      <diagonal/>
    </border>
    <border>
      <left/>
      <right style="hair">
        <color indexed="16"/>
      </right>
      <top style="hair">
        <color indexed="16"/>
      </top>
      <bottom/>
      <diagonal/>
    </border>
    <border>
      <left/>
      <right/>
      <top style="hair">
        <color indexed="16"/>
      </top>
      <bottom/>
      <diagonal/>
    </border>
    <border>
      <left style="hair">
        <color auto="1"/>
      </left>
      <right style="hair">
        <color auto="1"/>
      </right>
      <top style="medium">
        <color auto="1"/>
      </top>
      <bottom/>
      <diagonal/>
    </border>
    <border>
      <left style="hair">
        <color auto="1"/>
      </left>
      <right style="medium">
        <color auto="1"/>
      </right>
      <top style="medium">
        <color auto="1"/>
      </top>
      <bottom style="hair">
        <color auto="1"/>
      </bottom>
      <diagonal/>
    </border>
    <border>
      <left/>
      <right/>
      <top/>
      <bottom style="thick">
        <color theme="4"/>
      </bottom>
      <diagonal/>
    </border>
    <border>
      <left/>
      <right style="thin">
        <color indexed="64"/>
      </right>
      <top/>
      <bottom/>
      <diagonal/>
    </border>
    <border>
      <left style="thin">
        <color theme="4"/>
      </left>
      <right style="thin">
        <color theme="4"/>
      </right>
      <top style="thin">
        <color theme="4"/>
      </top>
      <bottom style="medium">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ck">
        <color theme="4" tint="0.499984740745262"/>
      </top>
      <bottom/>
      <diagonal/>
    </border>
    <border>
      <left style="thin">
        <color theme="4"/>
      </left>
      <right style="thin">
        <color theme="4"/>
      </right>
      <top style="thin">
        <color theme="4"/>
      </top>
      <bottom style="thin">
        <color theme="4"/>
      </bottom>
      <diagonal/>
    </border>
    <border>
      <left/>
      <right/>
      <top style="medium">
        <color theme="1"/>
      </top>
      <bottom style="medium">
        <color theme="1"/>
      </bottom>
      <diagonal/>
    </border>
    <border>
      <left style="hair">
        <color auto="1"/>
      </left>
      <right style="medium">
        <color auto="1"/>
      </right>
      <top/>
      <bottom style="medium">
        <color auto="1"/>
      </bottom>
      <diagonal/>
    </border>
    <border>
      <left style="thin">
        <color indexed="64"/>
      </left>
      <right style="thin">
        <color indexed="64"/>
      </right>
      <top/>
      <bottom/>
      <diagonal/>
    </border>
    <border>
      <left style="thin">
        <color indexed="64"/>
      </left>
      <right/>
      <top style="thin">
        <color indexed="64"/>
      </top>
      <bottom style="medium">
        <color indexed="64"/>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theme="9" tint="0.39997558519241921"/>
      </left>
      <right/>
      <top style="double">
        <color theme="9"/>
      </top>
      <bottom style="thin">
        <color theme="9"/>
      </bottom>
      <diagonal/>
    </border>
    <border>
      <left/>
      <right/>
      <top style="double">
        <color theme="9"/>
      </top>
      <bottom style="thin">
        <color theme="9"/>
      </bottom>
      <diagonal/>
    </border>
    <border>
      <left style="thin">
        <color theme="9"/>
      </left>
      <right/>
      <top style="thin">
        <color theme="9"/>
      </top>
      <bottom/>
      <diagonal/>
    </border>
    <border>
      <left style="thin">
        <color theme="9" tint="0.39997558519241921"/>
      </left>
      <right/>
      <top style="thin">
        <color theme="9" tint="0.39997558519241921"/>
      </top>
      <bottom/>
      <diagonal/>
    </border>
    <border>
      <left/>
      <right/>
      <top style="thin">
        <color theme="9" tint="0.39997558519241921"/>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indexed="64"/>
      </top>
      <bottom style="thin">
        <color indexed="64"/>
      </bottom>
      <diagonal/>
    </border>
    <border>
      <left/>
      <right style="thin">
        <color theme="6" tint="0.39997558519241921"/>
      </right>
      <top style="thin">
        <color theme="6" tint="0.39997558519241921"/>
      </top>
      <bottom style="thin">
        <color theme="6" tint="0.39997558519241921"/>
      </bottom>
      <diagonal/>
    </border>
    <border>
      <left/>
      <right/>
      <top style="thin">
        <color indexed="64"/>
      </top>
      <bottom style="thin">
        <color theme="6" tint="0.39997558519241921"/>
      </bottom>
      <diagonal/>
    </border>
    <border>
      <left/>
      <right style="thin">
        <color theme="6" tint="0.39997558519241921"/>
      </right>
      <top style="thin">
        <color indexed="64"/>
      </top>
      <bottom style="thin">
        <color theme="6" tint="0.39997558519241921"/>
      </bottom>
      <diagonal/>
    </border>
    <border>
      <left/>
      <right/>
      <top style="thin">
        <color theme="6" tint="0.39997558519241921"/>
      </top>
      <bottom style="thin">
        <color indexed="64"/>
      </bottom>
      <diagonal/>
    </border>
    <border>
      <left/>
      <right style="thin">
        <color theme="6" tint="0.39997558519241921"/>
      </right>
      <top style="thin">
        <color theme="6" tint="0.39997558519241921"/>
      </top>
      <bottom style="thin">
        <color indexed="64"/>
      </bottom>
      <diagonal/>
    </border>
    <border>
      <left style="thin">
        <color theme="6" tint="0.39997558519241921"/>
      </left>
      <right/>
      <top style="thin">
        <color theme="6" tint="0.39997558519241921"/>
      </top>
      <bottom style="double">
        <color indexed="64"/>
      </bottom>
      <diagonal/>
    </border>
    <border>
      <left/>
      <right/>
      <top style="thin">
        <color theme="6" tint="0.39997558519241921"/>
      </top>
      <bottom style="double">
        <color indexed="64"/>
      </bottom>
      <diagonal/>
    </border>
    <border>
      <left/>
      <right style="thin">
        <color theme="6" tint="0.39997558519241921"/>
      </right>
      <top style="thin">
        <color theme="6" tint="0.39997558519241921"/>
      </top>
      <bottom style="double">
        <color indexed="64"/>
      </bottom>
      <diagonal/>
    </border>
    <border>
      <left/>
      <right/>
      <top style="thin">
        <color theme="6" tint="0.39997558519241921"/>
      </top>
      <bottom style="medium">
        <color auto="1"/>
      </bottom>
      <diagonal/>
    </border>
    <border>
      <left/>
      <right style="thin">
        <color theme="6" tint="0.39997558519241921"/>
      </right>
      <top style="thin">
        <color theme="6" tint="0.39997558519241921"/>
      </top>
      <bottom style="medium">
        <color auto="1"/>
      </bottom>
      <diagonal/>
    </border>
    <border>
      <left/>
      <right style="thin">
        <color theme="6" tint="0.39997558519241921"/>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thin">
        <color auto="1"/>
      </top>
      <bottom style="medium">
        <color auto="1"/>
      </bottom>
      <diagonal/>
    </border>
    <border>
      <left style="hair">
        <color auto="1"/>
      </left>
      <right/>
      <top/>
      <bottom style="medium">
        <color auto="1"/>
      </bottom>
      <diagonal/>
    </border>
    <border>
      <left style="hair">
        <color auto="1"/>
      </left>
      <right/>
      <top style="medium">
        <color auto="1"/>
      </top>
      <bottom/>
      <diagonal/>
    </border>
    <border>
      <left/>
      <right style="hair">
        <color auto="1"/>
      </right>
      <top/>
      <bottom/>
      <diagonal/>
    </border>
    <border>
      <left/>
      <right style="hair">
        <color auto="1"/>
      </right>
      <top style="thin">
        <color auto="1"/>
      </top>
      <bottom style="medium">
        <color auto="1"/>
      </bottom>
      <diagonal/>
    </border>
    <border>
      <left/>
      <right style="hair">
        <color auto="1"/>
      </right>
      <top/>
      <bottom style="medium">
        <color auto="1"/>
      </bottom>
      <diagonal/>
    </border>
    <border>
      <left/>
      <right style="hair">
        <color auto="1"/>
      </right>
      <top style="medium">
        <color auto="1"/>
      </top>
      <bottom/>
      <diagonal/>
    </border>
    <border>
      <left style="medium">
        <color indexed="64"/>
      </left>
      <right style="medium">
        <color indexed="64"/>
      </right>
      <top style="medium">
        <color auto="1"/>
      </top>
      <bottom style="hair">
        <color auto="1"/>
      </bottom>
      <diagonal/>
    </border>
    <border>
      <left/>
      <right/>
      <top style="thin">
        <color theme="9" tint="-0.24994659260841701"/>
      </top>
      <bottom style="thin">
        <color theme="9" tint="-0.24994659260841701"/>
      </bottom>
      <diagonal/>
    </border>
    <border>
      <left style="thick">
        <color theme="0"/>
      </left>
      <right style="thick">
        <color theme="0"/>
      </right>
      <top style="thin">
        <color theme="0"/>
      </top>
      <bottom style="thick">
        <color theme="0"/>
      </bottom>
      <diagonal/>
    </border>
    <border>
      <left style="thick">
        <color theme="0"/>
      </left>
      <right style="thick">
        <color theme="0"/>
      </right>
      <top style="thick">
        <color theme="0"/>
      </top>
      <bottom style="thick">
        <color theme="0"/>
      </bottom>
      <diagonal/>
    </border>
    <border>
      <left/>
      <right/>
      <top/>
      <bottom style="thin">
        <color theme="7"/>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auto="1"/>
      </left>
      <right/>
      <top/>
      <bottom style="thin">
        <color theme="6" tint="0.39997558519241921"/>
      </bottom>
      <diagonal/>
    </border>
    <border>
      <left/>
      <right/>
      <top/>
      <bottom style="thin">
        <color theme="6" tint="0.39997558519241921"/>
      </bottom>
      <diagonal/>
    </border>
    <border>
      <left/>
      <right style="thin">
        <color theme="6" tint="0.39997558519241921"/>
      </right>
      <top/>
      <bottom style="double">
        <color indexed="64"/>
      </bottom>
      <diagonal/>
    </border>
    <border>
      <left/>
      <right style="thin">
        <color theme="6" tint="0.39997558519241921"/>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theme="4" tint="0.39997558519241921"/>
      </right>
      <top style="thin">
        <color indexed="64"/>
      </top>
      <bottom style="double">
        <color indexed="64"/>
      </bottom>
      <diagonal/>
    </border>
    <border>
      <left/>
      <right style="thin">
        <color theme="4" tint="0.39997558519241921"/>
      </right>
      <top style="thin">
        <color indexed="64"/>
      </top>
      <bottom style="thin">
        <color indexed="64"/>
      </bottom>
      <diagonal/>
    </border>
    <border>
      <left/>
      <right style="thin">
        <color theme="4" tint="0.39997558519241921"/>
      </right>
      <top style="thin">
        <color theme="4" tint="0.39997558519241921"/>
      </top>
      <bottom style="double">
        <color indexed="64"/>
      </bottom>
      <diagonal/>
    </border>
    <border>
      <left/>
      <right style="medium">
        <color auto="1"/>
      </right>
      <top/>
      <bottom style="medium">
        <color auto="1"/>
      </bottom>
      <diagonal/>
    </border>
    <border>
      <left style="thin">
        <color auto="1"/>
      </left>
      <right style="thick">
        <color auto="1"/>
      </right>
      <top style="medium">
        <color theme="4" tint="0.39997558519241921"/>
      </top>
      <bottom style="thin">
        <color indexed="64"/>
      </bottom>
      <diagonal/>
    </border>
    <border>
      <left/>
      <right/>
      <top style="medium">
        <color theme="4" tint="0.39997558519241921"/>
      </top>
      <bottom style="thin">
        <color auto="1"/>
      </bottom>
      <diagonal/>
    </border>
    <border>
      <left style="thin">
        <color auto="1"/>
      </left>
      <right style="thick">
        <color auto="1"/>
      </right>
      <top style="thin">
        <color auto="1"/>
      </top>
      <bottom style="thin">
        <color auto="1"/>
      </bottom>
      <diagonal/>
    </border>
    <border>
      <left/>
      <right style="thin">
        <color indexed="64"/>
      </right>
      <top/>
      <bottom style="medium">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auto="1"/>
      </left>
      <right style="thick">
        <color auto="1"/>
      </right>
      <top style="thin">
        <color auto="1"/>
      </top>
      <bottom style="medium">
        <color auto="1"/>
      </bottom>
      <diagonal/>
    </border>
  </borders>
  <cellStyleXfs count="38">
    <xf numFmtId="4" fontId="0" fillId="0" borderId="0">
      <alignment wrapText="1"/>
    </xf>
    <xf numFmtId="43" fontId="2" fillId="0" borderId="0" applyFont="0" applyFill="0" applyBorder="0" applyAlignment="0" applyProtection="0"/>
    <xf numFmtId="9" fontId="2"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2" fillId="0" borderId="0"/>
    <xf numFmtId="9" fontId="2" fillId="0" borderId="0" applyFont="0" applyFill="0" applyBorder="0" applyAlignment="0" applyProtection="0"/>
    <xf numFmtId="0" fontId="5" fillId="2" borderId="1" applyNumberFormat="0" applyAlignment="0" applyProtection="0"/>
    <xf numFmtId="43" fontId="2" fillId="0" borderId="0" applyFont="0" applyFill="0" applyBorder="0" applyAlignment="0" applyProtection="0"/>
    <xf numFmtId="0" fontId="6" fillId="0" borderId="0" applyNumberFormat="0" applyFill="0" applyBorder="0" applyAlignment="0" applyProtection="0"/>
    <xf numFmtId="0" fontId="7" fillId="0" borderId="0">
      <alignment vertical="center"/>
    </xf>
    <xf numFmtId="0" fontId="17" fillId="0" borderId="11" applyNumberFormat="0" applyFill="0" applyProtection="0">
      <alignment horizontal="left" vertical="center"/>
    </xf>
    <xf numFmtId="0" fontId="9" fillId="0" borderId="0" applyNumberFormat="0" applyFill="0" applyProtection="0">
      <alignment horizontal="left"/>
    </xf>
    <xf numFmtId="43" fontId="8" fillId="0" borderId="0" applyFont="0" applyFill="0" applyBorder="0" applyAlignment="0" applyProtection="0"/>
    <xf numFmtId="169" fontId="4" fillId="0" borderId="0" applyFont="0" applyFill="0" applyBorder="0" applyAlignment="0" applyProtection="0"/>
    <xf numFmtId="44" fontId="2" fillId="0" borderId="0" applyFont="0" applyFill="0" applyBorder="0" applyAlignment="0" applyProtection="0"/>
    <xf numFmtId="0" fontId="15" fillId="0" borderId="0" applyNumberFormat="0" applyFill="0" applyBorder="0" applyAlignment="0" applyProtection="0"/>
    <xf numFmtId="0" fontId="18" fillId="0" borderId="57" applyNumberFormat="0" applyFill="0" applyAlignment="0" applyProtection="0"/>
    <xf numFmtId="0" fontId="19" fillId="0" borderId="58" applyNumberFormat="0" applyFill="0" applyAlignment="0" applyProtection="0"/>
    <xf numFmtId="0" fontId="27" fillId="18" borderId="1" applyNumberFormat="0" applyAlignment="0" applyProtection="0"/>
    <xf numFmtId="0" fontId="58" fillId="0" borderId="0"/>
    <xf numFmtId="44" fontId="58" fillId="0" borderId="0" applyFont="0" applyFill="0" applyBorder="0" applyAlignment="0" applyProtection="0"/>
    <xf numFmtId="0" fontId="19" fillId="0" borderId="76" applyNumberFormat="0" applyFill="0" applyAlignment="0" applyProtection="0"/>
    <xf numFmtId="9" fontId="91" fillId="0" borderId="0" applyFill="0" applyBorder="0" applyProtection="0">
      <alignment horizontal="center" vertical="center"/>
    </xf>
    <xf numFmtId="0" fontId="92" fillId="44" borderId="129" applyNumberFormat="0" applyProtection="0">
      <alignment horizontal="left" vertical="center"/>
    </xf>
    <xf numFmtId="1" fontId="93" fillId="44" borderId="129">
      <alignment horizontal="center" vertical="center"/>
    </xf>
    <xf numFmtId="0" fontId="94" fillId="45" borderId="130" applyNumberFormat="0" applyFont="0" applyAlignment="0">
      <alignment horizontal="center"/>
    </xf>
    <xf numFmtId="0" fontId="95" fillId="0" borderId="0" applyNumberFormat="0" applyFill="0" applyBorder="0" applyProtection="0">
      <alignment horizontal="left" vertical="center"/>
    </xf>
    <xf numFmtId="0" fontId="94" fillId="46" borderId="131" applyNumberFormat="0" applyFont="0" applyAlignment="0">
      <alignment horizontal="center"/>
    </xf>
    <xf numFmtId="0" fontId="94" fillId="47" borderId="131" applyNumberFormat="0" applyFont="0" applyAlignment="0">
      <alignment horizontal="center"/>
    </xf>
    <xf numFmtId="0" fontId="94" fillId="48" borderId="131" applyNumberFormat="0" applyFont="0" applyAlignment="0">
      <alignment horizontal="center"/>
    </xf>
    <xf numFmtId="0" fontId="94" fillId="49" borderId="131" applyNumberFormat="0" applyFont="0" applyAlignment="0">
      <alignment horizontal="center"/>
    </xf>
    <xf numFmtId="0" fontId="96" fillId="0" borderId="0" applyFill="0" applyBorder="0" applyProtection="0">
      <alignment horizontal="center" wrapText="1"/>
    </xf>
    <xf numFmtId="3" fontId="96" fillId="0" borderId="132" applyFill="0" applyProtection="0">
      <alignment horizontal="center"/>
    </xf>
    <xf numFmtId="0" fontId="97" fillId="0" borderId="0" applyFill="0" applyBorder="0" applyProtection="0">
      <alignment horizontal="left" wrapText="1"/>
    </xf>
    <xf numFmtId="0" fontId="15" fillId="0" borderId="0" applyNumberFormat="0" applyFill="0" applyBorder="0" applyAlignment="0" applyProtection="0"/>
    <xf numFmtId="187" fontId="1" fillId="0" borderId="0"/>
  </cellStyleXfs>
  <cellXfs count="824">
    <xf numFmtId="4" fontId="0" fillId="0" borderId="0" xfId="0">
      <alignment wrapText="1"/>
    </xf>
    <xf numFmtId="4" fontId="0" fillId="0" borderId="0" xfId="0" applyProtection="1">
      <alignment wrapText="1"/>
      <protection hidden="1"/>
    </xf>
    <xf numFmtId="0" fontId="4" fillId="0" borderId="0" xfId="3" applyProtection="1">
      <protection hidden="1"/>
    </xf>
    <xf numFmtId="165" fontId="4" fillId="0" borderId="0" xfId="3" applyNumberFormat="1" applyProtection="1">
      <protection hidden="1"/>
    </xf>
    <xf numFmtId="4" fontId="0" fillId="0" borderId="0" xfId="0" applyProtection="1">
      <alignment wrapText="1"/>
      <protection locked="0"/>
    </xf>
    <xf numFmtId="173" fontId="0" fillId="0" borderId="0" xfId="16" applyNumberFormat="1" applyFont="1" applyFill="1" applyBorder="1" applyProtection="1">
      <protection hidden="1"/>
    </xf>
    <xf numFmtId="9" fontId="0" fillId="0" borderId="0" xfId="2" applyFont="1" applyFill="1" applyBorder="1" applyProtection="1">
      <protection hidden="1"/>
    </xf>
    <xf numFmtId="3" fontId="0" fillId="0" borderId="0" xfId="16" applyNumberFormat="1" applyFont="1" applyFill="1" applyBorder="1" applyProtection="1">
      <protection hidden="1"/>
    </xf>
    <xf numFmtId="4" fontId="0" fillId="0" borderId="16" xfId="0" applyBorder="1" applyProtection="1">
      <alignment wrapText="1"/>
      <protection hidden="1"/>
    </xf>
    <xf numFmtId="4" fontId="0" fillId="0" borderId="13" xfId="0" applyBorder="1" applyProtection="1">
      <alignment wrapText="1"/>
      <protection hidden="1"/>
    </xf>
    <xf numFmtId="4" fontId="0" fillId="8" borderId="13" xfId="0" applyFill="1" applyBorder="1" applyProtection="1">
      <alignment wrapText="1"/>
      <protection hidden="1"/>
    </xf>
    <xf numFmtId="4" fontId="0" fillId="0" borderId="5" xfId="0" applyBorder="1">
      <alignment wrapText="1"/>
    </xf>
    <xf numFmtId="43" fontId="0" fillId="0" borderId="5" xfId="1" applyFont="1" applyBorder="1"/>
    <xf numFmtId="4" fontId="3" fillId="0" borderId="5" xfId="0" applyFont="1" applyBorder="1" applyAlignment="1">
      <alignment horizontal="center" vertical="center"/>
    </xf>
    <xf numFmtId="4" fontId="3" fillId="0" borderId="5" xfId="0" applyFont="1" applyBorder="1" applyAlignment="1">
      <alignment horizontal="center" vertical="center" wrapText="1"/>
    </xf>
    <xf numFmtId="176" fontId="0" fillId="0" borderId="0" xfId="16" applyNumberFormat="1" applyFont="1" applyFill="1" applyBorder="1" applyProtection="1">
      <protection hidden="1"/>
    </xf>
    <xf numFmtId="178" fontId="0" fillId="0" borderId="0" xfId="16" applyNumberFormat="1" applyFont="1" applyFill="1" applyBorder="1" applyProtection="1">
      <protection hidden="1"/>
    </xf>
    <xf numFmtId="4" fontId="0" fillId="5" borderId="42" xfId="0" applyFill="1" applyBorder="1" applyProtection="1">
      <alignment wrapText="1"/>
      <protection hidden="1"/>
    </xf>
    <xf numFmtId="4" fontId="0" fillId="10" borderId="42" xfId="0" applyFill="1" applyBorder="1" applyProtection="1">
      <alignment wrapText="1"/>
      <protection hidden="1"/>
    </xf>
    <xf numFmtId="4" fontId="0" fillId="4" borderId="8" xfId="0" applyFill="1" applyBorder="1" applyProtection="1">
      <alignment wrapText="1"/>
      <protection hidden="1"/>
    </xf>
    <xf numFmtId="4" fontId="0" fillId="9" borderId="8" xfId="0" applyFill="1" applyBorder="1" applyProtection="1">
      <alignment wrapText="1"/>
      <protection hidden="1"/>
    </xf>
    <xf numFmtId="4" fontId="0" fillId="0" borderId="14" xfId="0" applyBorder="1" applyProtection="1">
      <alignment wrapText="1"/>
      <protection hidden="1"/>
    </xf>
    <xf numFmtId="10" fontId="20" fillId="12" borderId="0" xfId="0" applyNumberFormat="1" applyFont="1" applyFill="1" applyAlignment="1" applyProtection="1">
      <alignment horizontal="right" vertical="center"/>
      <protection hidden="1"/>
    </xf>
    <xf numFmtId="10" fontId="22" fillId="12" borderId="0" xfId="0" applyNumberFormat="1" applyFont="1" applyFill="1" applyAlignment="1" applyProtection="1">
      <alignment horizontal="right" vertical="center"/>
      <protection hidden="1"/>
    </xf>
    <xf numFmtId="4" fontId="26" fillId="0" borderId="0" xfId="0" applyFont="1" applyAlignment="1" applyProtection="1">
      <alignment horizontal="center" vertical="top" wrapText="1"/>
      <protection hidden="1"/>
    </xf>
    <xf numFmtId="4" fontId="29" fillId="20" borderId="0" xfId="0" applyFont="1" applyFill="1" applyAlignment="1">
      <alignment horizontal="center"/>
    </xf>
    <xf numFmtId="0" fontId="30" fillId="20" borderId="0" xfId="17" applyFont="1" applyFill="1" applyAlignment="1" applyProtection="1">
      <alignment horizontal="left" vertical="center"/>
      <protection locked="0"/>
    </xf>
    <xf numFmtId="0" fontId="20" fillId="0" borderId="0" xfId="6" applyFont="1" applyProtection="1">
      <protection hidden="1"/>
    </xf>
    <xf numFmtId="4" fontId="16" fillId="0" borderId="0" xfId="0" applyFont="1" applyProtection="1">
      <alignment wrapText="1"/>
      <protection hidden="1"/>
    </xf>
    <xf numFmtId="0" fontId="34" fillId="3" borderId="0" xfId="6" applyFont="1" applyFill="1" applyAlignment="1" applyProtection="1">
      <alignment horizontal="center" vertical="center"/>
      <protection hidden="1"/>
    </xf>
    <xf numFmtId="0" fontId="35" fillId="0" borderId="0" xfId="6" applyFont="1" applyAlignment="1" applyProtection="1">
      <alignment horizontal="center" vertical="center"/>
      <protection hidden="1"/>
    </xf>
    <xf numFmtId="0" fontId="36" fillId="0" borderId="0" xfId="6" applyFont="1" applyProtection="1">
      <protection hidden="1"/>
    </xf>
    <xf numFmtId="164" fontId="22" fillId="0" borderId="0" xfId="16" applyNumberFormat="1" applyFont="1" applyFill="1" applyBorder="1" applyProtection="1">
      <protection hidden="1"/>
    </xf>
    <xf numFmtId="0" fontId="37" fillId="0" borderId="0" xfId="6" applyFont="1" applyProtection="1">
      <protection hidden="1"/>
    </xf>
    <xf numFmtId="164" fontId="20" fillId="0" borderId="0" xfId="16" applyNumberFormat="1" applyFont="1" applyFill="1" applyBorder="1" applyProtection="1">
      <protection hidden="1"/>
    </xf>
    <xf numFmtId="177" fontId="20" fillId="0" borderId="0" xfId="16" applyNumberFormat="1" applyFont="1" applyFill="1" applyBorder="1" applyProtection="1">
      <protection hidden="1"/>
    </xf>
    <xf numFmtId="177" fontId="22" fillId="0" borderId="3" xfId="16" applyNumberFormat="1" applyFont="1" applyFill="1" applyBorder="1" applyProtection="1">
      <protection hidden="1"/>
    </xf>
    <xf numFmtId="177" fontId="20" fillId="0" borderId="3" xfId="16" applyNumberFormat="1" applyFont="1" applyFill="1" applyBorder="1" applyProtection="1">
      <protection hidden="1"/>
    </xf>
    <xf numFmtId="164" fontId="20" fillId="0" borderId="3" xfId="16" applyNumberFormat="1" applyFont="1" applyBorder="1" applyProtection="1">
      <protection hidden="1"/>
    </xf>
    <xf numFmtId="0" fontId="36" fillId="0" borderId="34" xfId="6" applyFont="1" applyBorder="1" applyProtection="1">
      <protection hidden="1"/>
    </xf>
    <xf numFmtId="177" fontId="22" fillId="0" borderId="34" xfId="16" applyNumberFormat="1" applyFont="1" applyFill="1" applyBorder="1" applyProtection="1">
      <protection hidden="1"/>
    </xf>
    <xf numFmtId="177" fontId="20" fillId="0" borderId="8" xfId="16" applyNumberFormat="1" applyFont="1" applyFill="1" applyBorder="1" applyProtection="1">
      <protection hidden="1"/>
    </xf>
    <xf numFmtId="177" fontId="20" fillId="0" borderId="2" xfId="16" applyNumberFormat="1" applyFont="1" applyFill="1" applyBorder="1" applyProtection="1">
      <protection hidden="1"/>
    </xf>
    <xf numFmtId="177" fontId="22" fillId="0" borderId="26" xfId="16" applyNumberFormat="1" applyFont="1" applyFill="1" applyBorder="1" applyProtection="1">
      <protection hidden="1"/>
    </xf>
    <xf numFmtId="177" fontId="22" fillId="0" borderId="40" xfId="16" applyNumberFormat="1" applyFont="1" applyFill="1" applyBorder="1" applyProtection="1">
      <protection hidden="1"/>
    </xf>
    <xf numFmtId="164" fontId="20" fillId="0" borderId="0" xfId="16" applyNumberFormat="1" applyFont="1" applyBorder="1" applyProtection="1">
      <protection hidden="1"/>
    </xf>
    <xf numFmtId="164" fontId="22" fillId="0" borderId="0" xfId="9" applyNumberFormat="1" applyFont="1" applyBorder="1" applyProtection="1">
      <protection hidden="1"/>
    </xf>
    <xf numFmtId="0" fontId="37" fillId="0" borderId="0" xfId="0" applyNumberFormat="1" applyFont="1" applyAlignment="1" applyProtection="1">
      <protection hidden="1"/>
    </xf>
    <xf numFmtId="164" fontId="20" fillId="0" borderId="0" xfId="0" applyNumberFormat="1" applyFont="1" applyAlignment="1" applyProtection="1">
      <protection hidden="1"/>
    </xf>
    <xf numFmtId="164" fontId="20" fillId="0" borderId="0" xfId="6" applyNumberFormat="1" applyFont="1" applyProtection="1">
      <protection hidden="1"/>
    </xf>
    <xf numFmtId="164" fontId="20" fillId="0" borderId="0" xfId="16" applyNumberFormat="1" applyFont="1" applyProtection="1">
      <protection hidden="1"/>
    </xf>
    <xf numFmtId="164" fontId="20" fillId="0" borderId="0" xfId="16" applyNumberFormat="1" applyFont="1" applyFill="1" applyProtection="1">
      <protection hidden="1"/>
    </xf>
    <xf numFmtId="0" fontId="37" fillId="0" borderId="0" xfId="6" applyFont="1" applyAlignment="1" applyProtection="1">
      <alignment horizontal="left" indent="1" readingOrder="2"/>
      <protection hidden="1"/>
    </xf>
    <xf numFmtId="0" fontId="37" fillId="0" borderId="0" xfId="6" applyFont="1" applyAlignment="1" applyProtection="1">
      <alignment horizontal="left" indent="1"/>
      <protection hidden="1"/>
    </xf>
    <xf numFmtId="0" fontId="37" fillId="0" borderId="0" xfId="6" applyFont="1" applyAlignment="1" applyProtection="1">
      <alignment horizontal="left" vertical="center"/>
      <protection hidden="1"/>
    </xf>
    <xf numFmtId="0" fontId="25" fillId="0" borderId="0" xfId="6" applyFont="1" applyAlignment="1" applyProtection="1">
      <alignment horizontal="center" vertical="center"/>
      <protection hidden="1"/>
    </xf>
    <xf numFmtId="180" fontId="20" fillId="0" borderId="0" xfId="16" applyNumberFormat="1" applyFont="1" applyFill="1" applyBorder="1" applyProtection="1">
      <protection hidden="1"/>
    </xf>
    <xf numFmtId="4" fontId="0" fillId="0" borderId="0" xfId="0" applyAlignment="1" applyProtection="1">
      <alignment shrinkToFit="1"/>
      <protection hidden="1"/>
    </xf>
    <xf numFmtId="0" fontId="37" fillId="0" borderId="0" xfId="6" applyFont="1" applyAlignment="1" applyProtection="1">
      <alignment horizontal="left" indent="1" readingOrder="1"/>
      <protection hidden="1"/>
    </xf>
    <xf numFmtId="0" fontId="37" fillId="0" borderId="0" xfId="6" applyFont="1" applyAlignment="1" applyProtection="1">
      <alignment horizontal="left" readingOrder="1"/>
      <protection hidden="1"/>
    </xf>
    <xf numFmtId="0" fontId="34" fillId="3" borderId="0" xfId="6" applyFont="1" applyFill="1" applyAlignment="1" applyProtection="1">
      <alignment horizontal="left" vertical="center"/>
      <protection hidden="1"/>
    </xf>
    <xf numFmtId="0" fontId="35" fillId="0" borderId="0" xfId="6" applyFont="1" applyAlignment="1">
      <alignment horizontal="center" vertical="center"/>
    </xf>
    <xf numFmtId="9" fontId="20" fillId="0" borderId="0" xfId="7" applyFont="1" applyProtection="1">
      <protection hidden="1"/>
    </xf>
    <xf numFmtId="179" fontId="22" fillId="0" borderId="0" xfId="7" applyNumberFormat="1" applyFont="1" applyProtection="1">
      <protection hidden="1"/>
    </xf>
    <xf numFmtId="0" fontId="20" fillId="0" borderId="0" xfId="6" applyFont="1"/>
    <xf numFmtId="9" fontId="20" fillId="0" borderId="8" xfId="7" applyFont="1" applyBorder="1" applyProtection="1">
      <protection hidden="1"/>
    </xf>
    <xf numFmtId="179" fontId="20" fillId="0" borderId="8" xfId="7" applyNumberFormat="1" applyFont="1" applyBorder="1" applyProtection="1">
      <protection hidden="1"/>
    </xf>
    <xf numFmtId="179" fontId="20" fillId="0" borderId="0" xfId="7" applyNumberFormat="1" applyFont="1" applyProtection="1">
      <protection hidden="1"/>
    </xf>
    <xf numFmtId="167" fontId="20" fillId="0" borderId="0" xfId="9" applyNumberFormat="1" applyFont="1" applyProtection="1">
      <protection hidden="1"/>
    </xf>
    <xf numFmtId="167" fontId="20" fillId="0" borderId="8" xfId="9" applyNumberFormat="1" applyFont="1" applyBorder="1" applyProtection="1">
      <protection hidden="1"/>
    </xf>
    <xf numFmtId="167" fontId="20" fillId="0" borderId="0" xfId="9" applyNumberFormat="1" applyFont="1" applyBorder="1" applyProtection="1">
      <protection hidden="1"/>
    </xf>
    <xf numFmtId="9" fontId="20" fillId="0" borderId="0" xfId="7" applyFont="1" applyBorder="1" applyProtection="1">
      <protection hidden="1"/>
    </xf>
    <xf numFmtId="10" fontId="20" fillId="0" borderId="0" xfId="7" applyNumberFormat="1" applyFont="1" applyBorder="1" applyProtection="1">
      <protection hidden="1"/>
    </xf>
    <xf numFmtId="179" fontId="20" fillId="0" borderId="0" xfId="6" applyNumberFormat="1" applyFont="1" applyProtection="1">
      <protection hidden="1"/>
    </xf>
    <xf numFmtId="0" fontId="41" fillId="0" borderId="0" xfId="6" applyFont="1" applyProtection="1">
      <protection hidden="1"/>
    </xf>
    <xf numFmtId="43" fontId="20" fillId="0" borderId="0" xfId="9" applyFont="1" applyProtection="1">
      <protection hidden="1"/>
    </xf>
    <xf numFmtId="179" fontId="20" fillId="0" borderId="0" xfId="9" applyNumberFormat="1" applyFont="1" applyProtection="1">
      <protection hidden="1"/>
    </xf>
    <xf numFmtId="179" fontId="20" fillId="0" borderId="0" xfId="7" applyNumberFormat="1" applyFont="1" applyBorder="1" applyProtection="1">
      <protection hidden="1"/>
    </xf>
    <xf numFmtId="9" fontId="20" fillId="0" borderId="3" xfId="7" applyFont="1" applyBorder="1" applyProtection="1">
      <protection hidden="1"/>
    </xf>
    <xf numFmtId="179" fontId="22" fillId="0" borderId="3" xfId="7" applyNumberFormat="1" applyFont="1" applyBorder="1" applyProtection="1">
      <protection hidden="1"/>
    </xf>
    <xf numFmtId="4" fontId="0" fillId="0" borderId="0" xfId="16" applyNumberFormat="1" applyFont="1" applyFill="1" applyBorder="1" applyProtection="1">
      <protection hidden="1"/>
    </xf>
    <xf numFmtId="4" fontId="38" fillId="19" borderId="19" xfId="0" applyFont="1" applyFill="1" applyBorder="1" applyAlignment="1" applyProtection="1">
      <alignment horizontal="center" vertical="top" wrapText="1"/>
      <protection hidden="1"/>
    </xf>
    <xf numFmtId="4" fontId="38" fillId="19" borderId="0" xfId="0" applyFont="1" applyFill="1" applyAlignment="1" applyProtection="1">
      <alignment horizontal="center" vertical="top" wrapText="1"/>
      <protection hidden="1"/>
    </xf>
    <xf numFmtId="4" fontId="43" fillId="19" borderId="0" xfId="0" applyFont="1" applyFill="1" applyAlignment="1" applyProtection="1">
      <alignment horizontal="center" vertical="top" wrapText="1"/>
      <protection hidden="1"/>
    </xf>
    <xf numFmtId="4" fontId="20" fillId="0" borderId="19" xfId="16" applyNumberFormat="1" applyFont="1" applyFill="1" applyBorder="1" applyProtection="1">
      <protection hidden="1"/>
    </xf>
    <xf numFmtId="3" fontId="20" fillId="0" borderId="0" xfId="16" applyNumberFormat="1" applyFont="1" applyFill="1" applyBorder="1" applyProtection="1">
      <protection hidden="1"/>
    </xf>
    <xf numFmtId="173" fontId="20" fillId="0" borderId="0" xfId="16" applyNumberFormat="1" applyFont="1" applyFill="1" applyBorder="1" applyProtection="1">
      <protection hidden="1"/>
    </xf>
    <xf numFmtId="4" fontId="21" fillId="0" borderId="0" xfId="0" applyFont="1" applyProtection="1">
      <alignment wrapText="1"/>
      <protection hidden="1"/>
    </xf>
    <xf numFmtId="10" fontId="21" fillId="0" borderId="0" xfId="0" applyNumberFormat="1" applyFont="1" applyProtection="1">
      <alignment wrapText="1"/>
      <protection hidden="1"/>
    </xf>
    <xf numFmtId="171" fontId="21" fillId="0" borderId="0" xfId="0" applyNumberFormat="1" applyFont="1" applyProtection="1">
      <alignment wrapText="1"/>
      <protection hidden="1"/>
    </xf>
    <xf numFmtId="4" fontId="21" fillId="0" borderId="0" xfId="16" applyNumberFormat="1" applyFont="1" applyFill="1" applyBorder="1" applyProtection="1">
      <protection hidden="1"/>
    </xf>
    <xf numFmtId="4" fontId="22" fillId="0" borderId="25" xfId="16" applyNumberFormat="1" applyFont="1" applyFill="1" applyBorder="1" applyProtection="1">
      <protection hidden="1"/>
    </xf>
    <xf numFmtId="171" fontId="20" fillId="0" borderId="0" xfId="0" applyNumberFormat="1" applyFont="1" applyProtection="1">
      <alignment wrapText="1"/>
      <protection hidden="1"/>
    </xf>
    <xf numFmtId="4" fontId="44" fillId="0" borderId="0" xfId="0" applyFont="1" applyProtection="1">
      <alignment wrapText="1"/>
      <protection hidden="1"/>
    </xf>
    <xf numFmtId="172" fontId="22" fillId="0" borderId="20" xfId="16" applyNumberFormat="1" applyFont="1" applyFill="1" applyBorder="1" applyProtection="1">
      <protection hidden="1"/>
    </xf>
    <xf numFmtId="172" fontId="22" fillId="0" borderId="21" xfId="16" applyNumberFormat="1" applyFont="1" applyFill="1" applyBorder="1" applyProtection="1">
      <protection hidden="1"/>
    </xf>
    <xf numFmtId="4" fontId="20" fillId="0" borderId="22" xfId="0" applyFont="1" applyBorder="1" applyProtection="1">
      <alignment wrapText="1"/>
      <protection hidden="1"/>
    </xf>
    <xf numFmtId="4" fontId="44" fillId="0" borderId="22" xfId="0" applyFont="1" applyBorder="1" applyProtection="1">
      <alignment wrapText="1"/>
      <protection hidden="1"/>
    </xf>
    <xf numFmtId="173" fontId="0" fillId="0" borderId="0" xfId="0" applyNumberFormat="1" applyProtection="1">
      <alignment wrapText="1"/>
      <protection hidden="1"/>
    </xf>
    <xf numFmtId="4" fontId="22" fillId="27" borderId="0" xfId="0" applyFont="1" applyFill="1" applyAlignment="1" applyProtection="1">
      <alignment horizontal="center" vertical="top" wrapText="1"/>
      <protection hidden="1"/>
    </xf>
    <xf numFmtId="4" fontId="45" fillId="27" borderId="0" xfId="0" applyFont="1" applyFill="1" applyAlignment="1" applyProtection="1">
      <alignment horizontal="center" vertical="top" wrapText="1"/>
      <protection hidden="1"/>
    </xf>
    <xf numFmtId="4" fontId="21" fillId="16" borderId="24" xfId="16" applyNumberFormat="1" applyFont="1" applyFill="1" applyBorder="1" applyProtection="1">
      <protection hidden="1"/>
    </xf>
    <xf numFmtId="4" fontId="21" fillId="0" borderId="0" xfId="0" applyFont="1" applyAlignment="1">
      <alignment vertical="center"/>
    </xf>
    <xf numFmtId="4" fontId="21" fillId="0" borderId="0" xfId="0" applyFont="1" applyAlignment="1" applyProtection="1">
      <alignment vertical="center"/>
      <protection hidden="1"/>
    </xf>
    <xf numFmtId="0" fontId="47" fillId="0" borderId="0" xfId="11" applyFont="1" applyProtection="1">
      <alignment vertical="center"/>
      <protection hidden="1"/>
    </xf>
    <xf numFmtId="4" fontId="0" fillId="0" borderId="26" xfId="0" applyBorder="1" applyAlignment="1" applyProtection="1">
      <protection hidden="1"/>
    </xf>
    <xf numFmtId="4" fontId="0" fillId="0" borderId="0" xfId="0" applyAlignment="1" applyProtection="1">
      <protection hidden="1"/>
    </xf>
    <xf numFmtId="170" fontId="47" fillId="0" borderId="0" xfId="11" applyNumberFormat="1" applyFont="1" applyProtection="1">
      <alignment vertical="center"/>
      <protection hidden="1"/>
    </xf>
    <xf numFmtId="177" fontId="0" fillId="0" borderId="37" xfId="0" applyNumberFormat="1" applyBorder="1" applyAlignment="1">
      <alignment shrinkToFit="1"/>
    </xf>
    <xf numFmtId="177" fontId="0" fillId="0" borderId="51" xfId="0" applyNumberFormat="1" applyBorder="1" applyAlignment="1">
      <alignment shrinkToFit="1"/>
    </xf>
    <xf numFmtId="177" fontId="21" fillId="0" borderId="55" xfId="0" applyNumberFormat="1" applyFont="1" applyBorder="1" applyAlignment="1">
      <alignment shrinkToFit="1"/>
    </xf>
    <xf numFmtId="177" fontId="21" fillId="0" borderId="56" xfId="0" applyNumberFormat="1" applyFont="1" applyBorder="1" applyAlignment="1">
      <alignment shrinkToFit="1"/>
    </xf>
    <xf numFmtId="168" fontId="47" fillId="0" borderId="0" xfId="11" applyNumberFormat="1" applyFont="1" applyProtection="1">
      <alignment vertical="center"/>
      <protection hidden="1"/>
    </xf>
    <xf numFmtId="177" fontId="21" fillId="0" borderId="37" xfId="0" applyNumberFormat="1" applyFont="1" applyBorder="1" applyAlignment="1">
      <alignment shrinkToFit="1"/>
    </xf>
    <xf numFmtId="177" fontId="0" fillId="0" borderId="53" xfId="0" applyNumberFormat="1" applyBorder="1" applyAlignment="1">
      <alignment shrinkToFit="1"/>
    </xf>
    <xf numFmtId="177" fontId="21" fillId="0" borderId="53" xfId="0" applyNumberFormat="1" applyFont="1" applyBorder="1" applyAlignment="1">
      <alignment shrinkToFit="1"/>
    </xf>
    <xf numFmtId="164" fontId="20" fillId="0" borderId="51" xfId="14" applyNumberFormat="1" applyFont="1" applyFill="1" applyBorder="1" applyAlignment="1" applyProtection="1">
      <alignment horizontal="right" vertical="center" shrinkToFit="1"/>
      <protection hidden="1"/>
    </xf>
    <xf numFmtId="164" fontId="20" fillId="0" borderId="52" xfId="14" applyNumberFormat="1" applyFont="1" applyFill="1" applyBorder="1" applyAlignment="1" applyProtection="1">
      <alignment horizontal="right" vertical="center" shrinkToFit="1"/>
      <protection hidden="1"/>
    </xf>
    <xf numFmtId="164" fontId="20" fillId="0" borderId="37" xfId="16" applyNumberFormat="1" applyFont="1" applyFill="1" applyBorder="1" applyAlignment="1" applyProtection="1">
      <alignment vertical="center" shrinkToFit="1"/>
      <protection hidden="1"/>
    </xf>
    <xf numFmtId="164" fontId="20" fillId="0" borderId="38" xfId="16" applyNumberFormat="1" applyFont="1" applyFill="1" applyBorder="1" applyAlignment="1" applyProtection="1">
      <alignment vertical="center" shrinkToFit="1"/>
      <protection hidden="1"/>
    </xf>
    <xf numFmtId="164" fontId="20" fillId="0" borderId="51" xfId="11" applyNumberFormat="1" applyFont="1" applyBorder="1" applyAlignment="1" applyProtection="1">
      <alignment vertical="center" shrinkToFit="1"/>
      <protection hidden="1"/>
    </xf>
    <xf numFmtId="164" fontId="20" fillId="0" borderId="52" xfId="11" applyNumberFormat="1" applyFont="1" applyBorder="1" applyAlignment="1" applyProtection="1">
      <alignment vertical="center" shrinkToFit="1"/>
      <protection hidden="1"/>
    </xf>
    <xf numFmtId="4" fontId="22" fillId="0" borderId="0" xfId="0" applyFont="1" applyAlignment="1" applyProtection="1">
      <alignment vertical="center"/>
      <protection hidden="1"/>
    </xf>
    <xf numFmtId="0" fontId="20" fillId="0" borderId="0" xfId="13" applyFont="1" applyFill="1" applyAlignment="1" applyProtection="1">
      <alignment horizontal="left" vertical="center" indent="1" readingOrder="1"/>
      <protection hidden="1"/>
    </xf>
    <xf numFmtId="170" fontId="20" fillId="0" borderId="0" xfId="11" applyNumberFormat="1" applyFont="1" applyAlignment="1" applyProtection="1">
      <alignment horizontal="left" vertical="center" indent="2"/>
      <protection hidden="1"/>
    </xf>
    <xf numFmtId="164" fontId="22" fillId="0" borderId="37" xfId="11" applyNumberFormat="1" applyFont="1" applyBorder="1" applyAlignment="1" applyProtection="1">
      <alignment vertical="center" shrinkToFit="1"/>
      <protection hidden="1"/>
    </xf>
    <xf numFmtId="177" fontId="21" fillId="0" borderId="38" xfId="0" applyNumberFormat="1" applyFont="1" applyBorder="1" applyAlignment="1">
      <alignment shrinkToFit="1"/>
    </xf>
    <xf numFmtId="4" fontId="22" fillId="0" borderId="26" xfId="0" applyFont="1" applyBorder="1" applyAlignment="1" applyProtection="1">
      <alignment horizontal="center" vertical="top"/>
      <protection hidden="1"/>
    </xf>
    <xf numFmtId="4" fontId="33" fillId="0" borderId="0" xfId="0" applyFont="1" applyAlignment="1" applyProtection="1">
      <protection hidden="1"/>
    </xf>
    <xf numFmtId="4" fontId="20" fillId="0" borderId="0" xfId="0" applyFont="1" applyAlignment="1" applyProtection="1">
      <alignment horizontal="center" vertical="center"/>
      <protection hidden="1"/>
    </xf>
    <xf numFmtId="4" fontId="20" fillId="0" borderId="0" xfId="0" applyFont="1" applyAlignment="1" applyProtection="1">
      <alignment horizontal="center" vertical="center" wrapText="1"/>
      <protection hidden="1"/>
    </xf>
    <xf numFmtId="4" fontId="46" fillId="0" borderId="0" xfId="0" applyFont="1" applyProtection="1">
      <alignment wrapText="1"/>
      <protection hidden="1"/>
    </xf>
    <xf numFmtId="4" fontId="53" fillId="0" borderId="0" xfId="0" applyFont="1">
      <alignment wrapText="1"/>
    </xf>
    <xf numFmtId="4" fontId="53" fillId="0" borderId="0" xfId="0" applyFont="1" applyProtection="1">
      <alignment wrapText="1"/>
      <protection hidden="1"/>
    </xf>
    <xf numFmtId="4" fontId="53" fillId="14" borderId="0" xfId="0" applyFont="1" applyFill="1" applyAlignment="1" applyProtection="1">
      <alignment horizontal="right"/>
      <protection hidden="1"/>
    </xf>
    <xf numFmtId="4" fontId="53" fillId="0" borderId="0" xfId="0" applyFont="1" applyAlignment="1" applyProtection="1">
      <alignment horizontal="right" vertical="center"/>
      <protection hidden="1"/>
    </xf>
    <xf numFmtId="4" fontId="54" fillId="4" borderId="0" xfId="16" applyNumberFormat="1" applyFont="1" applyFill="1" applyBorder="1" applyAlignment="1" applyProtection="1">
      <alignment horizontal="right"/>
      <protection hidden="1"/>
    </xf>
    <xf numFmtId="4" fontId="53" fillId="13" borderId="0" xfId="0" applyFont="1" applyFill="1" applyAlignment="1" applyProtection="1">
      <alignment horizontal="right"/>
      <protection hidden="1"/>
    </xf>
    <xf numFmtId="4" fontId="54" fillId="9" borderId="37" xfId="0" applyFont="1" applyFill="1" applyBorder="1" applyAlignment="1" applyProtection="1">
      <alignment horizontal="right"/>
      <protection hidden="1"/>
    </xf>
    <xf numFmtId="4" fontId="54" fillId="4" borderId="37" xfId="0" applyFont="1" applyFill="1" applyBorder="1" applyAlignment="1" applyProtection="1">
      <alignment horizontal="right"/>
      <protection hidden="1"/>
    </xf>
    <xf numFmtId="4" fontId="53" fillId="0" borderId="26" xfId="0" applyFont="1" applyBorder="1" applyAlignment="1" applyProtection="1">
      <protection hidden="1"/>
    </xf>
    <xf numFmtId="4" fontId="54" fillId="0" borderId="26" xfId="0" applyFont="1" applyBorder="1" applyAlignment="1" applyProtection="1">
      <alignment horizontal="right" vertical="center"/>
      <protection hidden="1"/>
    </xf>
    <xf numFmtId="168" fontId="56" fillId="0" borderId="0" xfId="11" applyNumberFormat="1" applyFont="1" applyProtection="1">
      <alignment vertical="center"/>
      <protection hidden="1"/>
    </xf>
    <xf numFmtId="4" fontId="53" fillId="0" borderId="0" xfId="0" applyFont="1" applyAlignment="1">
      <alignment horizontal="left" vertical="center" wrapText="1"/>
    </xf>
    <xf numFmtId="4" fontId="53" fillId="0" borderId="0" xfId="0" applyFont="1" applyAlignment="1" applyProtection="1">
      <alignment horizontal="left" vertical="center"/>
      <protection hidden="1"/>
    </xf>
    <xf numFmtId="4" fontId="53" fillId="0" borderId="0" xfId="0" applyFont="1" applyAlignment="1" applyProtection="1">
      <alignment horizontal="left" vertical="center" wrapText="1"/>
      <protection hidden="1"/>
    </xf>
    <xf numFmtId="176" fontId="22" fillId="21" borderId="38" xfId="16" applyNumberFormat="1" applyFont="1" applyFill="1" applyBorder="1" applyAlignment="1" applyProtection="1">
      <alignment vertical="center" shrinkToFit="1"/>
      <protection hidden="1"/>
    </xf>
    <xf numFmtId="0" fontId="59" fillId="28" borderId="0" xfId="21" applyFont="1" applyFill="1" applyAlignment="1">
      <alignment horizontal="left"/>
    </xf>
    <xf numFmtId="0" fontId="58" fillId="28" borderId="0" xfId="21" applyFill="1" applyAlignment="1">
      <alignment horizontal="left"/>
    </xf>
    <xf numFmtId="0" fontId="58" fillId="0" borderId="0" xfId="21" applyAlignment="1">
      <alignment horizontal="center"/>
    </xf>
    <xf numFmtId="0" fontId="58" fillId="0" borderId="0" xfId="21"/>
    <xf numFmtId="0" fontId="58" fillId="28" borderId="0" xfId="21" applyFill="1"/>
    <xf numFmtId="0" fontId="58" fillId="28" borderId="63" xfId="21" applyFill="1" applyBorder="1" applyAlignment="1">
      <alignment horizontal="left"/>
    </xf>
    <xf numFmtId="0" fontId="58" fillId="28" borderId="63" xfId="21" applyFill="1" applyBorder="1"/>
    <xf numFmtId="0" fontId="60" fillId="28" borderId="0" xfId="21" applyFont="1" applyFill="1" applyAlignment="1">
      <alignment horizontal="center"/>
    </xf>
    <xf numFmtId="0" fontId="58" fillId="0" borderId="0" xfId="21" applyAlignment="1">
      <alignment horizontal="left"/>
    </xf>
    <xf numFmtId="0" fontId="58" fillId="28" borderId="67" xfId="21" applyFill="1" applyBorder="1" applyAlignment="1">
      <alignment horizontal="left"/>
    </xf>
    <xf numFmtId="0" fontId="58" fillId="28" borderId="0" xfId="21" applyFill="1" applyAlignment="1">
      <alignment horizontal="right"/>
    </xf>
    <xf numFmtId="44" fontId="58" fillId="28" borderId="0" xfId="22" applyFont="1" applyFill="1" applyBorder="1" applyAlignment="1">
      <alignment horizontal="right"/>
    </xf>
    <xf numFmtId="181" fontId="58" fillId="28" borderId="69" xfId="21" applyNumberFormat="1" applyFill="1" applyBorder="1" applyAlignment="1" applyProtection="1">
      <alignment horizontal="right"/>
      <protection locked="0"/>
    </xf>
    <xf numFmtId="182" fontId="58" fillId="28" borderId="69" xfId="21" applyNumberFormat="1" applyFill="1" applyBorder="1" applyAlignment="1">
      <alignment horizontal="right"/>
    </xf>
    <xf numFmtId="182" fontId="58" fillId="28" borderId="0" xfId="21" applyNumberFormat="1" applyFill="1" applyAlignment="1">
      <alignment horizontal="right"/>
    </xf>
    <xf numFmtId="183" fontId="58" fillId="28" borderId="69" xfId="21" applyNumberFormat="1" applyFill="1" applyBorder="1" applyAlignment="1" applyProtection="1">
      <alignment horizontal="right"/>
      <protection locked="0"/>
    </xf>
    <xf numFmtId="0" fontId="58" fillId="28" borderId="70" xfId="21" applyFill="1" applyBorder="1" applyAlignment="1">
      <alignment horizontal="left"/>
    </xf>
    <xf numFmtId="0" fontId="58" fillId="28" borderId="63" xfId="21" applyFill="1" applyBorder="1" applyAlignment="1">
      <alignment horizontal="right"/>
    </xf>
    <xf numFmtId="44" fontId="58" fillId="28" borderId="69" xfId="22" applyFont="1" applyFill="1" applyBorder="1" applyAlignment="1" applyProtection="1">
      <alignment horizontal="right"/>
      <protection locked="0"/>
    </xf>
    <xf numFmtId="0" fontId="60" fillId="28" borderId="0" xfId="21" applyFont="1" applyFill="1" applyAlignment="1">
      <alignment horizontal="right"/>
    </xf>
    <xf numFmtId="0" fontId="58" fillId="28" borderId="73" xfId="21" applyFill="1" applyBorder="1" applyAlignment="1" applyProtection="1">
      <alignment horizontal="left"/>
      <protection locked="0"/>
    </xf>
    <xf numFmtId="0" fontId="58" fillId="0" borderId="0" xfId="21" applyAlignment="1">
      <alignment wrapText="1"/>
    </xf>
    <xf numFmtId="0" fontId="60" fillId="28" borderId="63" xfId="21" applyFont="1" applyFill="1" applyBorder="1" applyAlignment="1">
      <alignment horizontal="left" wrapText="1" indent="2"/>
    </xf>
    <xf numFmtId="0" fontId="60" fillId="28" borderId="63" xfId="21" applyFont="1" applyFill="1" applyBorder="1" applyAlignment="1">
      <alignment horizontal="left" wrapText="1" indent="3"/>
    </xf>
    <xf numFmtId="0" fontId="61" fillId="28" borderId="0" xfId="21" applyFont="1" applyFill="1" applyAlignment="1">
      <alignment horizontal="left"/>
    </xf>
    <xf numFmtId="183" fontId="61" fillId="28" borderId="0" xfId="21" applyNumberFormat="1" applyFont="1" applyFill="1" applyAlignment="1">
      <alignment horizontal="right"/>
    </xf>
    <xf numFmtId="39" fontId="61" fillId="28" borderId="0" xfId="22" applyNumberFormat="1" applyFont="1" applyFill="1" applyBorder="1" applyAlignment="1">
      <alignment horizontal="right"/>
    </xf>
    <xf numFmtId="43" fontId="61" fillId="28" borderId="0" xfId="22" applyNumberFormat="1" applyFont="1" applyFill="1" applyBorder="1" applyAlignment="1">
      <alignment horizontal="right"/>
    </xf>
    <xf numFmtId="0" fontId="62" fillId="28" borderId="0" xfId="21" applyFont="1" applyFill="1" applyAlignment="1">
      <alignment horizontal="left"/>
    </xf>
    <xf numFmtId="183" fontId="62" fillId="28" borderId="0" xfId="21" applyNumberFormat="1" applyFont="1" applyFill="1" applyAlignment="1">
      <alignment horizontal="right"/>
    </xf>
    <xf numFmtId="39" fontId="62" fillId="28" borderId="0" xfId="22" applyNumberFormat="1" applyFont="1" applyFill="1" applyBorder="1" applyAlignment="1">
      <alignment horizontal="right"/>
    </xf>
    <xf numFmtId="43" fontId="62" fillId="28" borderId="0" xfId="22" applyNumberFormat="1" applyFont="1" applyFill="1" applyBorder="1" applyAlignment="1">
      <alignment horizontal="right"/>
    </xf>
    <xf numFmtId="0" fontId="62" fillId="0" borderId="0" xfId="21" applyFont="1" applyAlignment="1">
      <alignment wrapText="1"/>
    </xf>
    <xf numFmtId="0" fontId="62" fillId="0" borderId="0" xfId="21" applyFont="1"/>
    <xf numFmtId="183" fontId="58" fillId="0" borderId="0" xfId="21" applyNumberFormat="1"/>
    <xf numFmtId="183" fontId="58" fillId="0" borderId="0" xfId="21" applyNumberFormat="1" applyAlignment="1">
      <alignment horizontal="center"/>
    </xf>
    <xf numFmtId="4" fontId="58" fillId="28" borderId="68" xfId="22" applyNumberFormat="1" applyFont="1" applyFill="1" applyBorder="1" applyAlignment="1" applyProtection="1">
      <alignment horizontal="right"/>
      <protection locked="0"/>
    </xf>
    <xf numFmtId="4" fontId="58" fillId="28" borderId="68" xfId="22" applyNumberFormat="1" applyFont="1" applyFill="1" applyBorder="1" applyAlignment="1">
      <alignment horizontal="right"/>
    </xf>
    <xf numFmtId="4" fontId="61" fillId="28" borderId="0" xfId="22" applyNumberFormat="1" applyFont="1" applyFill="1" applyBorder="1" applyAlignment="1">
      <alignment horizontal="right"/>
    </xf>
    <xf numFmtId="1" fontId="58" fillId="28" borderId="69" xfId="21" applyNumberFormat="1" applyFill="1" applyBorder="1" applyAlignment="1" applyProtection="1">
      <alignment horizontal="right"/>
      <protection locked="0"/>
    </xf>
    <xf numFmtId="10" fontId="58" fillId="28" borderId="69" xfId="21" applyNumberFormat="1" applyFill="1" applyBorder="1" applyAlignment="1" applyProtection="1">
      <alignment horizontal="right"/>
      <protection locked="0"/>
    </xf>
    <xf numFmtId="4" fontId="20" fillId="0" borderId="0" xfId="13" applyNumberFormat="1" applyFont="1" applyFill="1" applyAlignment="1" applyProtection="1">
      <alignment horizontal="left" vertical="center" indent="1" readingOrder="1"/>
      <protection hidden="1"/>
    </xf>
    <xf numFmtId="0" fontId="60" fillId="28" borderId="0" xfId="21" applyFont="1" applyFill="1" applyAlignment="1">
      <alignment horizontal="left" vertical="top" wrapText="1"/>
    </xf>
    <xf numFmtId="0" fontId="60" fillId="28" borderId="0" xfId="21" applyFont="1" applyFill="1" applyAlignment="1">
      <alignment horizontal="right" vertical="top" wrapText="1"/>
    </xf>
    <xf numFmtId="0" fontId="61" fillId="28" borderId="0" xfId="21" applyFont="1" applyFill="1" applyAlignment="1">
      <alignment horizontal="center"/>
    </xf>
    <xf numFmtId="0" fontId="62" fillId="28" borderId="0" xfId="21" applyFont="1" applyFill="1" applyAlignment="1">
      <alignment horizontal="center"/>
    </xf>
    <xf numFmtId="164" fontId="22" fillId="0" borderId="3" xfId="16" applyNumberFormat="1" applyFont="1" applyFill="1" applyBorder="1" applyProtection="1">
      <protection hidden="1"/>
    </xf>
    <xf numFmtId="4" fontId="58" fillId="0" borderId="0" xfId="21" applyNumberFormat="1" applyAlignment="1">
      <alignment wrapText="1"/>
    </xf>
    <xf numFmtId="177" fontId="21" fillId="29" borderId="74" xfId="0" applyNumberFormat="1" applyFont="1" applyFill="1" applyBorder="1" applyAlignment="1">
      <alignment shrinkToFit="1"/>
    </xf>
    <xf numFmtId="177" fontId="21" fillId="18" borderId="74" xfId="0" applyNumberFormat="1" applyFont="1" applyFill="1" applyBorder="1" applyAlignment="1">
      <alignment shrinkToFit="1"/>
    </xf>
    <xf numFmtId="177" fontId="21" fillId="20" borderId="74" xfId="0" applyNumberFormat="1" applyFont="1" applyFill="1" applyBorder="1" applyAlignment="1">
      <alignment shrinkToFit="1"/>
    </xf>
    <xf numFmtId="177" fontId="21" fillId="0" borderId="74" xfId="0" applyNumberFormat="1" applyFont="1" applyBorder="1" applyAlignment="1">
      <alignment shrinkToFit="1"/>
    </xf>
    <xf numFmtId="0" fontId="64" fillId="28" borderId="0" xfId="21" applyFont="1" applyFill="1" applyAlignment="1">
      <alignment horizontal="right"/>
    </xf>
    <xf numFmtId="4" fontId="65" fillId="24" borderId="0" xfId="0" applyFont="1" applyFill="1" applyAlignment="1" applyProtection="1">
      <alignment horizontal="center" vertical="top" wrapText="1"/>
      <protection hidden="1"/>
    </xf>
    <xf numFmtId="164" fontId="20" fillId="0" borderId="8" xfId="16" applyNumberFormat="1" applyFont="1" applyFill="1" applyBorder="1" applyProtection="1">
      <protection hidden="1"/>
    </xf>
    <xf numFmtId="4" fontId="20" fillId="0" borderId="0" xfId="0" applyFont="1" applyAlignment="1" applyProtection="1">
      <alignment horizontal="left" wrapText="1"/>
      <protection hidden="1"/>
    </xf>
    <xf numFmtId="4" fontId="16" fillId="0" borderId="0" xfId="0" applyFont="1">
      <alignment wrapText="1"/>
    </xf>
    <xf numFmtId="0" fontId="19" fillId="0" borderId="58" xfId="19" applyFill="1" applyAlignment="1" applyProtection="1">
      <protection hidden="1"/>
    </xf>
    <xf numFmtId="4" fontId="67" fillId="0" borderId="0" xfId="0" applyFont="1" applyAlignment="1" applyProtection="1">
      <alignment vertical="center"/>
      <protection hidden="1"/>
    </xf>
    <xf numFmtId="0" fontId="19" fillId="0" borderId="59" xfId="19" applyFill="1" applyBorder="1" applyAlignment="1" applyProtection="1">
      <protection hidden="1"/>
    </xf>
    <xf numFmtId="0" fontId="19" fillId="0" borderId="0" xfId="19" applyFill="1" applyBorder="1" applyAlignment="1" applyProtection="1">
      <protection hidden="1"/>
    </xf>
    <xf numFmtId="4" fontId="16" fillId="0" borderId="0" xfId="0" applyFont="1" applyAlignment="1">
      <alignment horizontal="left" wrapText="1"/>
    </xf>
    <xf numFmtId="4" fontId="20" fillId="11" borderId="0" xfId="0" applyFont="1" applyFill="1" applyAlignment="1" applyProtection="1">
      <alignment vertical="top" wrapText="1"/>
      <protection hidden="1"/>
    </xf>
    <xf numFmtId="4" fontId="20" fillId="12" borderId="0" xfId="0" applyFont="1" applyFill="1" applyAlignment="1" applyProtection="1">
      <alignment vertical="top"/>
      <protection hidden="1"/>
    </xf>
    <xf numFmtId="4" fontId="20" fillId="11" borderId="0" xfId="0" applyFont="1" applyFill="1" applyAlignment="1" applyProtection="1">
      <alignment vertical="top"/>
      <protection hidden="1"/>
    </xf>
    <xf numFmtId="9" fontId="27" fillId="11" borderId="61" xfId="20" applyNumberFormat="1" applyFill="1" applyBorder="1" applyAlignment="1" applyProtection="1">
      <alignment horizontal="right" vertical="center"/>
      <protection hidden="1"/>
    </xf>
    <xf numFmtId="10" fontId="27" fillId="11" borderId="6" xfId="20" applyNumberFormat="1" applyFill="1" applyBorder="1" applyAlignment="1" applyProtection="1">
      <alignment horizontal="right" vertical="center"/>
      <protection hidden="1"/>
    </xf>
    <xf numFmtId="164" fontId="22" fillId="0" borderId="0" xfId="3" applyNumberFormat="1" applyFont="1" applyProtection="1">
      <protection hidden="1"/>
    </xf>
    <xf numFmtId="37" fontId="22" fillId="0" borderId="0" xfId="3" applyNumberFormat="1" applyFont="1" applyProtection="1">
      <protection hidden="1"/>
    </xf>
    <xf numFmtId="4" fontId="20" fillId="0" borderId="0" xfId="3" applyNumberFormat="1" applyFont="1" applyProtection="1">
      <protection hidden="1"/>
    </xf>
    <xf numFmtId="43" fontId="20" fillId="0" borderId="0" xfId="0" applyNumberFormat="1" applyFont="1" applyProtection="1">
      <alignment wrapText="1"/>
      <protection hidden="1"/>
    </xf>
    <xf numFmtId="10" fontId="20" fillId="0" borderId="0" xfId="2" applyNumberFormat="1" applyFont="1" applyFill="1" applyProtection="1">
      <protection hidden="1"/>
    </xf>
    <xf numFmtId="4" fontId="20" fillId="0" borderId="0" xfId="16" applyNumberFormat="1" applyFont="1" applyProtection="1">
      <protection hidden="1"/>
    </xf>
    <xf numFmtId="4" fontId="53" fillId="0" borderId="0" xfId="0" applyFont="1" applyAlignment="1" applyProtection="1">
      <alignment vertical="top" wrapText="1"/>
      <protection hidden="1"/>
    </xf>
    <xf numFmtId="4" fontId="53" fillId="0" borderId="0" xfId="0" applyFont="1" applyAlignment="1" applyProtection="1">
      <alignment horizontal="right" vertical="top" wrapText="1"/>
      <protection hidden="1"/>
    </xf>
    <xf numFmtId="4" fontId="20" fillId="0" borderId="0" xfId="0" applyFont="1" applyProtection="1">
      <alignment wrapText="1"/>
      <protection hidden="1"/>
    </xf>
    <xf numFmtId="9" fontId="20" fillId="0" borderId="0" xfId="0" applyNumberFormat="1" applyFont="1" applyProtection="1">
      <alignment wrapText="1"/>
      <protection hidden="1"/>
    </xf>
    <xf numFmtId="4" fontId="46" fillId="0" borderId="0" xfId="0" applyFont="1" applyAlignment="1">
      <alignment shrinkToFit="1"/>
    </xf>
    <xf numFmtId="4" fontId="19" fillId="0" borderId="76" xfId="23" applyNumberFormat="1" applyAlignment="1" applyProtection="1">
      <alignment wrapText="1"/>
      <protection hidden="1"/>
    </xf>
    <xf numFmtId="4" fontId="22" fillId="30" borderId="83" xfId="0" applyFont="1" applyFill="1" applyBorder="1" applyAlignment="1">
      <alignment horizontal="center" vertical="center" wrapText="1"/>
    </xf>
    <xf numFmtId="4" fontId="21" fillId="0" borderId="10" xfId="0" applyFont="1" applyBorder="1" applyProtection="1">
      <alignment wrapText="1"/>
      <protection hidden="1"/>
    </xf>
    <xf numFmtId="4" fontId="22" fillId="30" borderId="0" xfId="0" applyFont="1" applyFill="1" applyAlignment="1">
      <alignment horizontal="center" vertical="center" wrapText="1"/>
    </xf>
    <xf numFmtId="0" fontId="25" fillId="0" borderId="0" xfId="6" applyFont="1" applyAlignment="1" applyProtection="1">
      <alignment horizontal="center" vertical="center" wrapText="1"/>
      <protection hidden="1"/>
    </xf>
    <xf numFmtId="4" fontId="19" fillId="0" borderId="76" xfId="23" applyNumberFormat="1" applyAlignment="1" applyProtection="1">
      <alignment vertical="center"/>
      <protection hidden="1"/>
    </xf>
    <xf numFmtId="4" fontId="54" fillId="0" borderId="0" xfId="0" applyFont="1" applyAlignment="1">
      <alignment vertical="center"/>
    </xf>
    <xf numFmtId="10" fontId="0" fillId="0" borderId="0" xfId="2" applyNumberFormat="1" applyFont="1" applyFill="1" applyBorder="1" applyProtection="1">
      <protection hidden="1"/>
    </xf>
    <xf numFmtId="10" fontId="20" fillId="31" borderId="0" xfId="0" applyNumberFormat="1" applyFont="1" applyFill="1" applyAlignment="1" applyProtection="1">
      <alignment horizontal="right" vertical="center"/>
      <protection hidden="1"/>
    </xf>
    <xf numFmtId="4" fontId="63" fillId="0" borderId="5" xfId="20" applyNumberFormat="1" applyFont="1" applyFill="1" applyBorder="1" applyAlignment="1" applyProtection="1">
      <alignment horizontal="right" vertical="center"/>
      <protection hidden="1"/>
    </xf>
    <xf numFmtId="4" fontId="63" fillId="0" borderId="80" xfId="20" applyNumberFormat="1" applyFont="1" applyFill="1" applyBorder="1" applyAlignment="1" applyProtection="1">
      <alignment horizontal="right" vertical="center"/>
      <protection hidden="1"/>
    </xf>
    <xf numFmtId="4" fontId="20" fillId="18" borderId="0" xfId="0" applyFont="1" applyFill="1" applyProtection="1">
      <alignment wrapText="1"/>
      <protection hidden="1"/>
    </xf>
    <xf numFmtId="2" fontId="20" fillId="18" borderId="0" xfId="0" applyNumberFormat="1" applyFont="1" applyFill="1" applyProtection="1">
      <alignment wrapText="1"/>
      <protection hidden="1"/>
    </xf>
    <xf numFmtId="165" fontId="20" fillId="18" borderId="0" xfId="0" applyNumberFormat="1" applyFont="1" applyFill="1" applyProtection="1">
      <alignment wrapText="1"/>
      <protection hidden="1"/>
    </xf>
    <xf numFmtId="167" fontId="46" fillId="18" borderId="0" xfId="1" applyNumberFormat="1" applyFont="1" applyFill="1" applyAlignment="1" applyProtection="1">
      <alignment horizontal="right" vertical="center"/>
      <protection hidden="1"/>
    </xf>
    <xf numFmtId="4" fontId="53" fillId="18" borderId="0" xfId="0" applyFont="1" applyFill="1" applyProtection="1">
      <alignment wrapText="1"/>
      <protection hidden="1"/>
    </xf>
    <xf numFmtId="4" fontId="17" fillId="0" borderId="11" xfId="12" applyNumberFormat="1" applyProtection="1">
      <alignment horizontal="left" vertical="center"/>
      <protection hidden="1"/>
    </xf>
    <xf numFmtId="4" fontId="39" fillId="0" borderId="0" xfId="0" applyFont="1" applyAlignment="1" applyProtection="1">
      <alignment vertical="center"/>
      <protection hidden="1"/>
    </xf>
    <xf numFmtId="4" fontId="50" fillId="0" borderId="0" xfId="0" applyFont="1" applyAlignment="1" applyProtection="1">
      <alignment vertical="center"/>
      <protection hidden="1"/>
    </xf>
    <xf numFmtId="4" fontId="33" fillId="0" borderId="18" xfId="0" applyFont="1" applyBorder="1" applyAlignment="1" applyProtection="1">
      <protection hidden="1"/>
    </xf>
    <xf numFmtId="4" fontId="69" fillId="6" borderId="12" xfId="0" applyFont="1" applyFill="1" applyBorder="1" applyAlignment="1" applyProtection="1">
      <alignment horizontal="center" vertical="center" wrapText="1"/>
      <protection hidden="1"/>
    </xf>
    <xf numFmtId="4" fontId="69" fillId="6" borderId="13" xfId="0" applyFont="1" applyFill="1" applyBorder="1" applyAlignment="1" applyProtection="1">
      <alignment horizontal="center" vertical="center"/>
      <protection hidden="1"/>
    </xf>
    <xf numFmtId="4" fontId="69" fillId="8" borderId="13" xfId="0" applyFont="1" applyFill="1" applyBorder="1" applyAlignment="1" applyProtection="1">
      <alignment horizontal="center" vertical="center"/>
      <protection hidden="1"/>
    </xf>
    <xf numFmtId="4" fontId="21" fillId="5" borderId="44" xfId="0" applyFont="1" applyFill="1" applyBorder="1" applyProtection="1">
      <alignment wrapText="1"/>
      <protection hidden="1"/>
    </xf>
    <xf numFmtId="4" fontId="21" fillId="10" borderId="44" xfId="0" applyFont="1" applyFill="1" applyBorder="1" applyProtection="1">
      <alignment wrapText="1"/>
      <protection hidden="1"/>
    </xf>
    <xf numFmtId="4" fontId="21" fillId="9" borderId="39" xfId="0" applyFont="1" applyFill="1" applyBorder="1" applyProtection="1">
      <alignment wrapText="1"/>
      <protection hidden="1"/>
    </xf>
    <xf numFmtId="4" fontId="21" fillId="5" borderId="46" xfId="0" applyFont="1" applyFill="1" applyBorder="1" applyProtection="1">
      <alignment wrapText="1"/>
      <protection hidden="1"/>
    </xf>
    <xf numFmtId="4" fontId="69" fillId="7" borderId="12" xfId="0" applyFont="1" applyFill="1" applyBorder="1" applyAlignment="1" applyProtection="1">
      <alignment horizontal="center" vertical="center" wrapText="1"/>
      <protection hidden="1"/>
    </xf>
    <xf numFmtId="4" fontId="69" fillId="7" borderId="13" xfId="0" applyFont="1" applyFill="1" applyBorder="1" applyAlignment="1" applyProtection="1">
      <alignment horizontal="center" vertical="center"/>
      <protection hidden="1"/>
    </xf>
    <xf numFmtId="4" fontId="21" fillId="4" borderId="8" xfId="0" applyFont="1" applyFill="1" applyBorder="1" applyProtection="1">
      <alignment wrapText="1"/>
      <protection hidden="1"/>
    </xf>
    <xf numFmtId="4" fontId="21" fillId="4" borderId="32" xfId="0" applyFont="1" applyFill="1" applyBorder="1" applyProtection="1">
      <alignment wrapText="1"/>
      <protection hidden="1"/>
    </xf>
    <xf numFmtId="4" fontId="21" fillId="9" borderId="32" xfId="0" applyFont="1" applyFill="1" applyBorder="1" applyProtection="1">
      <alignment wrapText="1"/>
      <protection hidden="1"/>
    </xf>
    <xf numFmtId="4" fontId="71" fillId="9" borderId="10" xfId="0" applyFont="1" applyFill="1" applyBorder="1" applyProtection="1">
      <alignment wrapText="1"/>
      <protection hidden="1"/>
    </xf>
    <xf numFmtId="0" fontId="67" fillId="0" borderId="2" xfId="3" applyFont="1" applyBorder="1" applyProtection="1">
      <protection hidden="1"/>
    </xf>
    <xf numFmtId="0" fontId="16" fillId="0" borderId="0" xfId="3" applyFont="1" applyProtection="1">
      <protection hidden="1"/>
    </xf>
    <xf numFmtId="9" fontId="22" fillId="0" borderId="27" xfId="2" applyFont="1" applyFill="1" applyBorder="1" applyAlignment="1" applyProtection="1">
      <alignment horizontal="center" vertical="center" wrapText="1"/>
      <protection hidden="1"/>
    </xf>
    <xf numFmtId="9" fontId="22" fillId="0" borderId="7" xfId="2" applyFont="1" applyFill="1" applyBorder="1" applyAlignment="1" applyProtection="1">
      <alignment horizontal="center" vertical="center" wrapText="1"/>
      <protection hidden="1"/>
    </xf>
    <xf numFmtId="0" fontId="72" fillId="18" borderId="29" xfId="3" applyFont="1" applyFill="1" applyBorder="1" applyAlignment="1" applyProtection="1">
      <alignment vertical="center" shrinkToFit="1"/>
      <protection hidden="1"/>
    </xf>
    <xf numFmtId="4" fontId="73" fillId="0" borderId="0" xfId="0" applyFont="1">
      <alignment wrapText="1"/>
    </xf>
    <xf numFmtId="0" fontId="74" fillId="0" borderId="27" xfId="3" applyFont="1" applyBorder="1" applyAlignment="1" applyProtection="1">
      <alignment horizontal="center" vertical="center" wrapText="1"/>
      <protection hidden="1"/>
    </xf>
    <xf numFmtId="4" fontId="74" fillId="0" borderId="7" xfId="3" applyNumberFormat="1" applyFont="1" applyBorder="1" applyAlignment="1" applyProtection="1">
      <alignment horizontal="center" vertical="center" wrapText="1"/>
      <protection hidden="1"/>
    </xf>
    <xf numFmtId="166" fontId="22" fillId="0" borderId="7" xfId="3" applyNumberFormat="1" applyFont="1" applyBorder="1" applyAlignment="1" applyProtection="1">
      <alignment horizontal="center" vertical="center" wrapText="1"/>
      <protection hidden="1"/>
    </xf>
    <xf numFmtId="0" fontId="22" fillId="0" borderId="7" xfId="3" applyFont="1" applyBorder="1" applyAlignment="1" applyProtection="1">
      <alignment horizontal="center" vertical="center" wrapText="1"/>
      <protection hidden="1"/>
    </xf>
    <xf numFmtId="4" fontId="22" fillId="0" borderId="7" xfId="3" applyNumberFormat="1" applyFont="1" applyBorder="1" applyAlignment="1" applyProtection="1">
      <alignment horizontal="center" vertical="center" wrapText="1"/>
      <protection hidden="1"/>
    </xf>
    <xf numFmtId="4" fontId="22" fillId="0" borderId="9" xfId="3" applyNumberFormat="1" applyFont="1" applyBorder="1" applyAlignment="1" applyProtection="1">
      <alignment horizontal="center" vertical="center" wrapText="1"/>
      <protection hidden="1"/>
    </xf>
    <xf numFmtId="4" fontId="75" fillId="0" borderId="30" xfId="3" applyNumberFormat="1" applyFont="1" applyBorder="1" applyAlignment="1" applyProtection="1">
      <alignment horizontal="center" vertical="center"/>
      <protection hidden="1"/>
    </xf>
    <xf numFmtId="4" fontId="75" fillId="0" borderId="31" xfId="3" applyNumberFormat="1" applyFont="1" applyBorder="1" applyAlignment="1" applyProtection="1">
      <alignment horizontal="center" vertical="center"/>
      <protection hidden="1"/>
    </xf>
    <xf numFmtId="9" fontId="76" fillId="0" borderId="31" xfId="2" applyFont="1" applyFill="1" applyBorder="1" applyAlignment="1" applyProtection="1">
      <alignment horizontal="center" vertical="center" wrapText="1"/>
      <protection hidden="1"/>
    </xf>
    <xf numFmtId="3" fontId="76" fillId="0" borderId="28" xfId="2" applyNumberFormat="1" applyFont="1" applyFill="1" applyBorder="1" applyAlignment="1" applyProtection="1">
      <alignment horizontal="center" vertical="center" wrapText="1"/>
      <protection hidden="1"/>
    </xf>
    <xf numFmtId="3" fontId="25" fillId="0" borderId="30" xfId="2" applyNumberFormat="1" applyFont="1" applyFill="1" applyBorder="1" applyAlignment="1" applyProtection="1">
      <alignment horizontal="center" vertical="center" wrapText="1"/>
      <protection hidden="1"/>
    </xf>
    <xf numFmtId="0" fontId="73" fillId="0" borderId="0" xfId="3" applyFont="1" applyProtection="1">
      <protection hidden="1"/>
    </xf>
    <xf numFmtId="3" fontId="77" fillId="0" borderId="0" xfId="2" applyNumberFormat="1" applyFont="1" applyFill="1" applyBorder="1" applyAlignment="1" applyProtection="1">
      <alignment horizontal="center" vertical="center" wrapText="1"/>
      <protection hidden="1"/>
    </xf>
    <xf numFmtId="4" fontId="25" fillId="0" borderId="0" xfId="3" applyNumberFormat="1" applyFont="1" applyAlignment="1" applyProtection="1">
      <alignment horizontal="right" vertical="center"/>
      <protection hidden="1"/>
    </xf>
    <xf numFmtId="4" fontId="78" fillId="0" borderId="0" xfId="0" applyFont="1" applyAlignment="1"/>
    <xf numFmtId="4" fontId="20" fillId="0" borderId="0" xfId="0" applyFont="1" applyAlignment="1">
      <alignment horizontal="center" vertical="top" wrapText="1"/>
    </xf>
    <xf numFmtId="10" fontId="27" fillId="18" borderId="5" xfId="20" applyNumberFormat="1" applyBorder="1" applyAlignment="1" applyProtection="1">
      <alignment horizontal="left" vertical="center"/>
      <protection hidden="1"/>
    </xf>
    <xf numFmtId="4" fontId="27" fillId="18" borderId="5" xfId="20" applyNumberFormat="1" applyBorder="1" applyAlignment="1" applyProtection="1">
      <alignment horizontal="right" vertical="center"/>
      <protection hidden="1"/>
    </xf>
    <xf numFmtId="4" fontId="19" fillId="0" borderId="76" xfId="23" applyNumberFormat="1" applyAlignment="1" applyProtection="1">
      <alignment horizontal="left" vertical="center"/>
      <protection hidden="1"/>
    </xf>
    <xf numFmtId="10" fontId="27" fillId="11" borderId="86" xfId="20" applyNumberFormat="1" applyFill="1" applyBorder="1" applyAlignment="1" applyProtection="1">
      <alignment horizontal="right" vertical="center"/>
      <protection hidden="1"/>
    </xf>
    <xf numFmtId="9" fontId="20" fillId="0" borderId="2" xfId="7" applyFont="1" applyBorder="1" applyProtection="1">
      <protection hidden="1"/>
    </xf>
    <xf numFmtId="179" fontId="20" fillId="0" borderId="2" xfId="7" applyNumberFormat="1" applyFont="1" applyBorder="1" applyProtection="1">
      <protection hidden="1"/>
    </xf>
    <xf numFmtId="167" fontId="20" fillId="0" borderId="2" xfId="9" applyNumberFormat="1" applyFont="1" applyBorder="1" applyProtection="1">
      <protection hidden="1"/>
    </xf>
    <xf numFmtId="179" fontId="22" fillId="0" borderId="8" xfId="7" applyNumberFormat="1" applyFont="1" applyBorder="1" applyProtection="1">
      <protection hidden="1"/>
    </xf>
    <xf numFmtId="4" fontId="69" fillId="7" borderId="36" xfId="0" applyFont="1" applyFill="1" applyBorder="1" applyAlignment="1" applyProtection="1">
      <alignment horizontal="center" vertical="top"/>
      <protection hidden="1"/>
    </xf>
    <xf numFmtId="4" fontId="69" fillId="7" borderId="37" xfId="0" applyFont="1" applyFill="1" applyBorder="1" applyAlignment="1" applyProtection="1">
      <alignment horizontal="center" vertical="top"/>
      <protection hidden="1"/>
    </xf>
    <xf numFmtId="4" fontId="69" fillId="7" borderId="37" xfId="0" applyFont="1" applyFill="1" applyBorder="1" applyAlignment="1" applyProtection="1">
      <alignment horizontal="center" vertical="top" wrapText="1"/>
      <protection hidden="1"/>
    </xf>
    <xf numFmtId="4" fontId="69" fillId="13" borderId="37" xfId="0" applyFont="1" applyFill="1" applyBorder="1" applyAlignment="1" applyProtection="1">
      <alignment horizontal="center" vertical="top"/>
      <protection hidden="1"/>
    </xf>
    <xf numFmtId="4" fontId="46" fillId="0" borderId="0" xfId="0" applyFont="1">
      <alignment wrapText="1"/>
    </xf>
    <xf numFmtId="4" fontId="46" fillId="18" borderId="0" xfId="0" applyFont="1" applyFill="1" applyAlignment="1" applyProtection="1">
      <alignment horizontal="left" vertical="center" shrinkToFit="1"/>
      <protection hidden="1"/>
    </xf>
    <xf numFmtId="4" fontId="46" fillId="0" borderId="0" xfId="0" applyFont="1" applyAlignment="1" applyProtection="1">
      <alignment horizontal="left" vertical="center" shrinkToFit="1"/>
      <protection hidden="1"/>
    </xf>
    <xf numFmtId="4" fontId="46" fillId="18" borderId="0" xfId="0" applyFont="1" applyFill="1" applyAlignment="1" applyProtection="1">
      <alignment horizontal="left" vertical="center" wrapText="1"/>
      <protection hidden="1"/>
    </xf>
    <xf numFmtId="4" fontId="0" fillId="18" borderId="0" xfId="0" applyFill="1" applyAlignment="1" applyProtection="1">
      <alignment horizontal="left" vertical="center" shrinkToFit="1"/>
      <protection hidden="1"/>
    </xf>
    <xf numFmtId="4" fontId="0" fillId="18" borderId="0" xfId="0" applyFill="1" applyAlignment="1" applyProtection="1">
      <alignment horizontal="left" vertical="center" wrapText="1"/>
      <protection hidden="1"/>
    </xf>
    <xf numFmtId="4" fontId="0" fillId="18" borderId="0" xfId="0" applyFill="1" applyAlignment="1" applyProtection="1">
      <alignment horizontal="right" vertical="center" wrapText="1"/>
      <protection hidden="1"/>
    </xf>
    <xf numFmtId="176" fontId="46" fillId="0" borderId="0" xfId="0" applyNumberFormat="1" applyFont="1" applyAlignment="1" applyProtection="1">
      <alignment horizontal="right" vertical="center"/>
      <protection hidden="1"/>
    </xf>
    <xf numFmtId="10" fontId="46" fillId="18" borderId="0" xfId="2" applyNumberFormat="1" applyFont="1" applyFill="1" applyAlignment="1" applyProtection="1">
      <alignment horizontal="right" vertical="center"/>
      <protection hidden="1"/>
    </xf>
    <xf numFmtId="0" fontId="27" fillId="18" borderId="5" xfId="1" applyNumberFormat="1" applyFont="1" applyFill="1" applyBorder="1" applyAlignment="1" applyProtection="1">
      <alignment horizontal="center" vertical="center"/>
      <protection hidden="1"/>
    </xf>
    <xf numFmtId="0" fontId="67" fillId="0" borderId="0" xfId="3" applyFont="1" applyProtection="1">
      <protection hidden="1"/>
    </xf>
    <xf numFmtId="4" fontId="0" fillId="24" borderId="0" xfId="0" applyFill="1" applyAlignment="1">
      <alignment horizontal="center" wrapText="1"/>
    </xf>
    <xf numFmtId="4" fontId="25" fillId="0" borderId="28" xfId="3" applyNumberFormat="1" applyFont="1" applyBorder="1" applyAlignment="1" applyProtection="1">
      <alignment vertical="center" shrinkToFit="1"/>
      <protection hidden="1"/>
    </xf>
    <xf numFmtId="4" fontId="22" fillId="33" borderId="27" xfId="3" applyNumberFormat="1" applyFont="1" applyFill="1" applyBorder="1" applyAlignment="1" applyProtection="1">
      <alignment horizontal="center" vertical="center" wrapText="1" shrinkToFit="1"/>
      <protection hidden="1"/>
    </xf>
    <xf numFmtId="0" fontId="25" fillId="0" borderId="29" xfId="3" applyFont="1" applyBorder="1" applyAlignment="1" applyProtection="1">
      <alignment horizontal="center" vertical="center" shrinkToFit="1"/>
      <protection hidden="1"/>
    </xf>
    <xf numFmtId="4" fontId="25" fillId="0" borderId="28" xfId="3" applyNumberFormat="1" applyFont="1" applyBorder="1" applyAlignment="1" applyProtection="1">
      <alignment horizontal="center" vertical="center" shrinkToFit="1"/>
      <protection hidden="1"/>
    </xf>
    <xf numFmtId="4" fontId="25" fillId="0" borderId="31" xfId="3" applyNumberFormat="1" applyFont="1" applyBorder="1" applyAlignment="1" applyProtection="1">
      <alignment horizontal="center" vertical="center"/>
      <protection hidden="1"/>
    </xf>
    <xf numFmtId="4" fontId="25" fillId="0" borderId="29" xfId="3" applyNumberFormat="1" applyFont="1" applyBorder="1" applyAlignment="1" applyProtection="1">
      <alignment horizontal="center" vertical="center"/>
      <protection hidden="1"/>
    </xf>
    <xf numFmtId="4" fontId="16" fillId="0" borderId="0" xfId="0" applyFont="1" applyAlignment="1">
      <alignment horizontal="center" wrapText="1"/>
    </xf>
    <xf numFmtId="43" fontId="16" fillId="0" borderId="0" xfId="1" applyFont="1" applyAlignment="1">
      <alignment horizontal="center"/>
    </xf>
    <xf numFmtId="4" fontId="16" fillId="17" borderId="0" xfId="0" applyFont="1" applyFill="1" applyAlignment="1">
      <alignment horizontal="center" wrapText="1"/>
    </xf>
    <xf numFmtId="175" fontId="16" fillId="0" borderId="0" xfId="0" applyNumberFormat="1" applyFont="1" applyAlignment="1">
      <alignment horizontal="center" wrapText="1"/>
    </xf>
    <xf numFmtId="174" fontId="16" fillId="0" borderId="0" xfId="0" applyNumberFormat="1" applyFont="1" applyAlignment="1">
      <alignment horizontal="center" wrapText="1"/>
    </xf>
    <xf numFmtId="3" fontId="16" fillId="17" borderId="0" xfId="0" applyNumberFormat="1" applyFont="1" applyFill="1" applyAlignment="1">
      <alignment horizontal="center" wrapText="1"/>
    </xf>
    <xf numFmtId="4" fontId="0" fillId="0" borderId="0" xfId="0" applyAlignment="1">
      <alignment horizontal="center" wrapText="1"/>
    </xf>
    <xf numFmtId="43" fontId="0" fillId="0" borderId="0" xfId="1" applyFont="1" applyAlignment="1">
      <alignment horizontal="center"/>
    </xf>
    <xf numFmtId="4" fontId="0" fillId="17" borderId="0" xfId="0" applyFill="1" applyAlignment="1">
      <alignment horizontal="center" wrapText="1"/>
    </xf>
    <xf numFmtId="175" fontId="0" fillId="0" borderId="0" xfId="0" applyNumberFormat="1" applyAlignment="1">
      <alignment horizontal="center" wrapText="1"/>
    </xf>
    <xf numFmtId="3" fontId="0" fillId="17" borderId="0" xfId="0" applyNumberFormat="1" applyFill="1" applyAlignment="1">
      <alignment horizontal="center" wrapText="1"/>
    </xf>
    <xf numFmtId="174" fontId="0" fillId="0" borderId="0" xfId="0" applyNumberFormat="1" applyAlignment="1">
      <alignment horizontal="center" wrapText="1"/>
    </xf>
    <xf numFmtId="43" fontId="0" fillId="0" borderId="0" xfId="1" applyFont="1" applyAlignment="1">
      <alignment horizontal="center" wrapText="1"/>
    </xf>
    <xf numFmtId="4" fontId="25" fillId="0" borderId="0" xfId="3" applyNumberFormat="1" applyFont="1" applyAlignment="1" applyProtection="1">
      <alignment horizontal="center" vertical="center"/>
      <protection hidden="1"/>
    </xf>
    <xf numFmtId="4" fontId="79" fillId="0" borderId="0" xfId="0" applyFont="1">
      <alignment wrapText="1"/>
    </xf>
    <xf numFmtId="9" fontId="79" fillId="0" borderId="5" xfId="2" applyFont="1" applyBorder="1" applyAlignment="1">
      <alignment horizontal="center" vertical="center" wrapText="1"/>
    </xf>
    <xf numFmtId="4" fontId="80" fillId="0" borderId="0" xfId="0" applyFont="1" applyAlignment="1">
      <alignment horizontal="center" vertical="center" wrapText="1"/>
    </xf>
    <xf numFmtId="9" fontId="79" fillId="0" borderId="0" xfId="2" applyFont="1" applyBorder="1" applyAlignment="1">
      <alignment horizontal="center" vertical="center" wrapText="1"/>
    </xf>
    <xf numFmtId="4" fontId="81" fillId="11" borderId="0" xfId="0" applyFont="1" applyFill="1">
      <alignment wrapText="1"/>
    </xf>
    <xf numFmtId="4" fontId="81" fillId="11" borderId="0" xfId="0" applyFont="1" applyFill="1" applyAlignment="1">
      <alignment horizontal="center" wrapText="1"/>
    </xf>
    <xf numFmtId="4" fontId="79" fillId="11" borderId="0" xfId="0" applyFont="1" applyFill="1">
      <alignment wrapText="1"/>
    </xf>
    <xf numFmtId="4" fontId="54" fillId="0" borderId="26" xfId="0" applyFont="1" applyBorder="1" applyAlignment="1" applyProtection="1">
      <protection hidden="1"/>
    </xf>
    <xf numFmtId="43" fontId="79" fillId="0" borderId="0" xfId="1" applyFont="1" applyBorder="1" applyAlignment="1">
      <alignment horizontal="center" vertical="center" wrapText="1"/>
    </xf>
    <xf numFmtId="9" fontId="79" fillId="0" borderId="93" xfId="2" applyFont="1" applyBorder="1" applyAlignment="1">
      <alignment horizontal="center" vertical="center" wrapText="1"/>
    </xf>
    <xf numFmtId="4" fontId="83" fillId="35" borderId="35" xfId="0" applyFont="1" applyFill="1" applyBorder="1" applyAlignment="1">
      <alignment horizontal="center" vertical="center" wrapText="1"/>
    </xf>
    <xf numFmtId="4" fontId="83" fillId="35" borderId="90" xfId="0" applyFont="1" applyFill="1" applyBorder="1" applyAlignment="1">
      <alignment horizontal="center" vertical="center" wrapText="1"/>
    </xf>
    <xf numFmtId="4" fontId="83" fillId="35" borderId="94" xfId="0" applyFont="1" applyFill="1" applyBorder="1" applyAlignment="1">
      <alignment vertical="center" wrapText="1"/>
    </xf>
    <xf numFmtId="4" fontId="83" fillId="35" borderId="92" xfId="0" applyFont="1" applyFill="1" applyBorder="1" applyAlignment="1">
      <alignment vertical="center" wrapText="1"/>
    </xf>
    <xf numFmtId="4" fontId="83" fillId="35" borderId="91" xfId="0" applyFont="1" applyFill="1" applyBorder="1" applyAlignment="1">
      <alignment vertical="center" wrapText="1"/>
    </xf>
    <xf numFmtId="4" fontId="25" fillId="0" borderId="77" xfId="3" applyNumberFormat="1" applyFont="1" applyBorder="1" applyAlignment="1" applyProtection="1">
      <alignment vertical="center" shrinkToFit="1"/>
      <protection hidden="1"/>
    </xf>
    <xf numFmtId="4" fontId="0" fillId="18" borderId="99" xfId="0" applyFill="1" applyBorder="1" applyProtection="1">
      <alignment wrapText="1"/>
      <protection locked="0"/>
    </xf>
    <xf numFmtId="4" fontId="13" fillId="15" borderId="97" xfId="0" applyFont="1" applyFill="1" applyBorder="1" applyAlignment="1" applyProtection="1">
      <alignment horizontal="center" vertical="center" wrapText="1"/>
      <protection locked="0"/>
    </xf>
    <xf numFmtId="4" fontId="0" fillId="16" borderId="98" xfId="0" applyFill="1" applyBorder="1" applyProtection="1">
      <alignment wrapText="1"/>
      <protection locked="0"/>
    </xf>
    <xf numFmtId="4" fontId="0" fillId="16" borderId="99" xfId="0" applyFill="1" applyBorder="1" applyProtection="1">
      <alignment wrapText="1"/>
      <protection locked="0"/>
    </xf>
    <xf numFmtId="4" fontId="0" fillId="0" borderId="98" xfId="0" applyBorder="1" applyProtection="1">
      <alignment wrapText="1"/>
      <protection locked="0"/>
    </xf>
    <xf numFmtId="4" fontId="0" fillId="0" borderId="99" xfId="0" applyBorder="1" applyProtection="1">
      <alignment wrapText="1"/>
      <protection locked="0"/>
    </xf>
    <xf numFmtId="0" fontId="21" fillId="0" borderId="95" xfId="0" applyNumberFormat="1" applyFont="1" applyBorder="1" applyProtection="1">
      <alignment wrapText="1"/>
      <protection locked="0"/>
    </xf>
    <xf numFmtId="0" fontId="21" fillId="0" borderId="96" xfId="0" applyNumberFormat="1" applyFont="1" applyBorder="1" applyProtection="1">
      <alignment wrapText="1"/>
      <protection locked="0"/>
    </xf>
    <xf numFmtId="0" fontId="0" fillId="0" borderId="0" xfId="0" applyNumberFormat="1" applyProtection="1">
      <alignment wrapText="1"/>
      <protection locked="0"/>
    </xf>
    <xf numFmtId="4" fontId="83" fillId="35" borderId="88" xfId="0" applyFont="1" applyFill="1" applyBorder="1" applyAlignment="1">
      <alignment horizontal="center" vertical="center" wrapText="1"/>
    </xf>
    <xf numFmtId="0" fontId="36" fillId="30" borderId="100" xfId="6" applyFont="1" applyFill="1" applyBorder="1" applyAlignment="1">
      <alignment horizontal="left" vertical="center"/>
    </xf>
    <xf numFmtId="0" fontId="26" fillId="30" borderId="101" xfId="6" applyFont="1" applyFill="1" applyBorder="1" applyAlignment="1">
      <alignment horizontal="center" vertical="center" wrapText="1"/>
    </xf>
    <xf numFmtId="0" fontId="26" fillId="30" borderId="101" xfId="6" applyFont="1" applyFill="1" applyBorder="1" applyAlignment="1">
      <alignment horizontal="center" vertical="center"/>
    </xf>
    <xf numFmtId="0" fontId="26" fillId="30" borderId="103" xfId="6" applyFont="1" applyFill="1" applyBorder="1" applyAlignment="1">
      <alignment horizontal="center" vertical="center"/>
    </xf>
    <xf numFmtId="0" fontId="36" fillId="36" borderId="100" xfId="6" applyFont="1" applyFill="1" applyBorder="1"/>
    <xf numFmtId="164" fontId="22" fillId="36" borderId="101" xfId="16" applyNumberFormat="1" applyFont="1" applyFill="1" applyBorder="1" applyAlignment="1">
      <alignment wrapText="1"/>
    </xf>
    <xf numFmtId="164" fontId="22" fillId="36" borderId="103" xfId="16" applyNumberFormat="1" applyFont="1" applyFill="1" applyBorder="1" applyAlignment="1">
      <alignment wrapText="1"/>
    </xf>
    <xf numFmtId="0" fontId="37" fillId="0" borderId="100" xfId="6" applyFont="1" applyBorder="1"/>
    <xf numFmtId="164" fontId="20" fillId="0" borderId="101" xfId="16" applyNumberFormat="1" applyFont="1" applyBorder="1" applyAlignment="1">
      <alignment wrapText="1"/>
    </xf>
    <xf numFmtId="164" fontId="20" fillId="0" borderId="103" xfId="16" applyNumberFormat="1" applyFont="1" applyBorder="1" applyAlignment="1">
      <alignment wrapText="1"/>
    </xf>
    <xf numFmtId="0" fontId="37" fillId="36" borderId="100" xfId="6" applyFont="1" applyFill="1" applyBorder="1" applyAlignment="1">
      <alignment horizontal="left" indent="1"/>
    </xf>
    <xf numFmtId="177" fontId="20" fillId="36" borderId="101" xfId="16" applyNumberFormat="1" applyFont="1" applyFill="1" applyBorder="1" applyAlignment="1">
      <alignment wrapText="1"/>
    </xf>
    <xf numFmtId="177" fontId="20" fillId="36" borderId="103" xfId="16" applyNumberFormat="1" applyFont="1" applyFill="1" applyBorder="1" applyAlignment="1">
      <alignment wrapText="1"/>
    </xf>
    <xf numFmtId="0" fontId="37" fillId="0" borderId="100" xfId="6" applyFont="1" applyBorder="1" applyAlignment="1">
      <alignment horizontal="left" indent="1" readingOrder="2"/>
    </xf>
    <xf numFmtId="177" fontId="20" fillId="0" borderId="101" xfId="16" applyNumberFormat="1" applyFont="1" applyBorder="1" applyAlignment="1">
      <alignment wrapText="1"/>
    </xf>
    <xf numFmtId="177" fontId="20" fillId="0" borderId="103" xfId="16" applyNumberFormat="1" applyFont="1" applyBorder="1" applyAlignment="1">
      <alignment wrapText="1"/>
    </xf>
    <xf numFmtId="0" fontId="36" fillId="0" borderId="100" xfId="6" applyFont="1" applyBorder="1"/>
    <xf numFmtId="177" fontId="22" fillId="0" borderId="3" xfId="16" applyNumberFormat="1" applyFont="1" applyBorder="1" applyAlignment="1">
      <alignment wrapText="1"/>
    </xf>
    <xf numFmtId="177" fontId="22" fillId="0" borderId="102" xfId="16" applyNumberFormat="1" applyFont="1" applyBorder="1" applyAlignment="1">
      <alignment wrapText="1"/>
    </xf>
    <xf numFmtId="177" fontId="22" fillId="36" borderId="3" xfId="16" applyNumberFormat="1" applyFont="1" applyFill="1" applyBorder="1" applyAlignment="1">
      <alignment wrapText="1"/>
    </xf>
    <xf numFmtId="177" fontId="22" fillId="36" borderId="102" xfId="16" applyNumberFormat="1" applyFont="1" applyFill="1" applyBorder="1" applyAlignment="1">
      <alignment wrapText="1"/>
    </xf>
    <xf numFmtId="164" fontId="22" fillId="0" borderId="3" xfId="16" applyNumberFormat="1" applyFont="1" applyBorder="1" applyAlignment="1">
      <alignment wrapText="1"/>
    </xf>
    <xf numFmtId="164" fontId="22" fillId="0" borderId="102" xfId="16" applyNumberFormat="1" applyFont="1" applyBorder="1" applyAlignment="1">
      <alignment wrapText="1"/>
    </xf>
    <xf numFmtId="177" fontId="20" fillId="36" borderId="104" xfId="16" applyNumberFormat="1" applyFont="1" applyFill="1" applyBorder="1" applyAlignment="1">
      <alignment wrapText="1"/>
    </xf>
    <xf numFmtId="177" fontId="20" fillId="36" borderId="105" xfId="16" applyNumberFormat="1" applyFont="1" applyFill="1" applyBorder="1" applyAlignment="1">
      <alignment wrapText="1"/>
    </xf>
    <xf numFmtId="0" fontId="37" fillId="0" borderId="100" xfId="6" applyFont="1" applyBorder="1" applyAlignment="1">
      <alignment horizontal="left" indent="1"/>
    </xf>
    <xf numFmtId="177" fontId="20" fillId="0" borderId="106" xfId="16" applyNumberFormat="1" applyFont="1" applyBorder="1" applyAlignment="1">
      <alignment wrapText="1"/>
    </xf>
    <xf numFmtId="177" fontId="20" fillId="0" borderId="107" xfId="16" applyNumberFormat="1" applyFont="1" applyBorder="1" applyAlignment="1">
      <alignment wrapText="1"/>
    </xf>
    <xf numFmtId="177" fontId="20" fillId="0" borderId="104" xfId="16" applyNumberFormat="1" applyFont="1" applyBorder="1" applyAlignment="1">
      <alignment wrapText="1"/>
    </xf>
    <xf numFmtId="177" fontId="20" fillId="0" borderId="105" xfId="16" applyNumberFormat="1" applyFont="1" applyBorder="1" applyAlignment="1">
      <alignment wrapText="1"/>
    </xf>
    <xf numFmtId="164" fontId="20" fillId="36" borderId="101" xfId="16" applyNumberFormat="1" applyFont="1" applyFill="1" applyBorder="1" applyAlignment="1">
      <alignment wrapText="1"/>
    </xf>
    <xf numFmtId="164" fontId="20" fillId="36" borderId="103" xfId="16" applyNumberFormat="1" applyFont="1" applyFill="1" applyBorder="1" applyAlignment="1">
      <alignment wrapText="1"/>
    </xf>
    <xf numFmtId="164" fontId="20" fillId="0" borderId="104" xfId="16" applyNumberFormat="1" applyFont="1" applyBorder="1" applyAlignment="1">
      <alignment wrapText="1"/>
    </xf>
    <xf numFmtId="164" fontId="22" fillId="36" borderId="3" xfId="16" applyNumberFormat="1" applyFont="1" applyFill="1" applyBorder="1" applyAlignment="1">
      <alignment wrapText="1"/>
    </xf>
    <xf numFmtId="177" fontId="20" fillId="36" borderId="106" xfId="16" applyNumberFormat="1" applyFont="1" applyFill="1" applyBorder="1" applyAlignment="1">
      <alignment wrapText="1"/>
    </xf>
    <xf numFmtId="177" fontId="20" fillId="36" borderId="107" xfId="16" applyNumberFormat="1" applyFont="1" applyFill="1" applyBorder="1" applyAlignment="1">
      <alignment wrapText="1"/>
    </xf>
    <xf numFmtId="164" fontId="20" fillId="36" borderId="3" xfId="16" applyNumberFormat="1" applyFont="1" applyFill="1" applyBorder="1" applyAlignment="1">
      <alignment wrapText="1"/>
    </xf>
    <xf numFmtId="164" fontId="20" fillId="36" borderId="102" xfId="16" applyNumberFormat="1" applyFont="1" applyFill="1" applyBorder="1" applyAlignment="1">
      <alignment wrapText="1"/>
    </xf>
    <xf numFmtId="0" fontId="36" fillId="0" borderId="108" xfId="6" applyFont="1" applyBorder="1"/>
    <xf numFmtId="177" fontId="22" fillId="0" borderId="109" xfId="16" applyNumberFormat="1" applyFont="1" applyBorder="1" applyAlignment="1">
      <alignment wrapText="1"/>
    </xf>
    <xf numFmtId="177" fontId="22" fillId="0" borderId="110" xfId="16" applyNumberFormat="1" applyFont="1" applyBorder="1" applyAlignment="1">
      <alignment wrapText="1"/>
    </xf>
    <xf numFmtId="177" fontId="22" fillId="36" borderId="111" xfId="16" applyNumberFormat="1" applyFont="1" applyFill="1" applyBorder="1" applyAlignment="1">
      <alignment wrapText="1"/>
    </xf>
    <xf numFmtId="177" fontId="22" fillId="36" borderId="112" xfId="16" applyNumberFormat="1" applyFont="1" applyFill="1" applyBorder="1" applyAlignment="1">
      <alignment wrapText="1"/>
    </xf>
    <xf numFmtId="0" fontId="37" fillId="0" borderId="100" xfId="6" applyFont="1" applyBorder="1" applyAlignment="1">
      <alignment horizontal="left" indent="1" readingOrder="1"/>
    </xf>
    <xf numFmtId="177" fontId="22" fillId="36" borderId="40" xfId="16" applyNumberFormat="1" applyFont="1" applyFill="1" applyBorder="1" applyAlignment="1">
      <alignment wrapText="1"/>
    </xf>
    <xf numFmtId="177" fontId="22" fillId="36" borderId="113" xfId="16" applyNumberFormat="1" applyFont="1" applyFill="1" applyBorder="1" applyAlignment="1">
      <alignment wrapText="1"/>
    </xf>
    <xf numFmtId="177" fontId="22" fillId="36" borderId="109" xfId="16" applyNumberFormat="1" applyFont="1" applyFill="1" applyBorder="1" applyAlignment="1">
      <alignment wrapText="1"/>
    </xf>
    <xf numFmtId="177" fontId="22" fillId="36" borderId="110" xfId="16" applyNumberFormat="1" applyFont="1" applyFill="1" applyBorder="1" applyAlignment="1">
      <alignment wrapText="1"/>
    </xf>
    <xf numFmtId="0" fontId="37" fillId="36" borderId="100" xfId="6" applyFont="1" applyFill="1" applyBorder="1" applyAlignment="1">
      <alignment horizontal="left" indent="1" readingOrder="1"/>
    </xf>
    <xf numFmtId="180" fontId="20" fillId="36" borderId="101" xfId="16" applyNumberFormat="1" applyFont="1" applyFill="1" applyBorder="1" applyAlignment="1">
      <alignment wrapText="1"/>
    </xf>
    <xf numFmtId="177" fontId="20" fillId="0" borderId="3" xfId="16" applyNumberFormat="1" applyFont="1" applyBorder="1" applyAlignment="1">
      <alignment wrapText="1"/>
    </xf>
    <xf numFmtId="177" fontId="20" fillId="0" borderId="102" xfId="16" applyNumberFormat="1" applyFont="1" applyBorder="1" applyAlignment="1">
      <alignment wrapText="1"/>
    </xf>
    <xf numFmtId="177" fontId="20" fillId="36" borderId="3" xfId="16" applyNumberFormat="1" applyFont="1" applyFill="1" applyBorder="1" applyAlignment="1">
      <alignment wrapText="1"/>
    </xf>
    <xf numFmtId="177" fontId="20" fillId="36" borderId="102" xfId="16" applyNumberFormat="1" applyFont="1" applyFill="1" applyBorder="1" applyAlignment="1">
      <alignment wrapText="1"/>
    </xf>
    <xf numFmtId="43" fontId="20" fillId="0" borderId="0" xfId="1" applyFont="1" applyProtection="1">
      <protection hidden="1"/>
    </xf>
    <xf numFmtId="0" fontId="36" fillId="36" borderId="108" xfId="6" applyFont="1" applyFill="1" applyBorder="1"/>
    <xf numFmtId="3" fontId="46" fillId="18" borderId="0" xfId="0" applyNumberFormat="1" applyFont="1" applyFill="1" applyAlignment="1" applyProtection="1">
      <alignment horizontal="center" vertical="center" shrinkToFit="1"/>
      <protection hidden="1"/>
    </xf>
    <xf numFmtId="9" fontId="46" fillId="18" borderId="0" xfId="2" applyFont="1" applyFill="1" applyAlignment="1" applyProtection="1">
      <alignment horizontal="center" vertical="center" shrinkToFit="1"/>
      <protection hidden="1"/>
    </xf>
    <xf numFmtId="40" fontId="20" fillId="0" borderId="0" xfId="6" applyNumberFormat="1" applyFont="1" applyProtection="1">
      <protection hidden="1"/>
    </xf>
    <xf numFmtId="4" fontId="84" fillId="34" borderId="79" xfId="0" applyFont="1" applyFill="1" applyBorder="1" applyAlignment="1">
      <alignment horizontal="left" vertical="center" wrapText="1"/>
    </xf>
    <xf numFmtId="4" fontId="88" fillId="0" borderId="87" xfId="19" applyNumberFormat="1" applyFont="1" applyFill="1" applyBorder="1" applyAlignment="1" applyProtection="1">
      <alignment horizontal="center" vertical="center" wrapText="1"/>
      <protection hidden="1"/>
    </xf>
    <xf numFmtId="4" fontId="88" fillId="0" borderId="88" xfId="19" applyNumberFormat="1" applyFont="1" applyFill="1" applyBorder="1" applyAlignment="1" applyProtection="1">
      <alignment horizontal="center" vertical="center" wrapText="1"/>
      <protection hidden="1"/>
    </xf>
    <xf numFmtId="164" fontId="20" fillId="0" borderId="0" xfId="0" applyNumberFormat="1" applyFont="1" applyProtection="1">
      <alignment wrapText="1"/>
      <protection hidden="1"/>
    </xf>
    <xf numFmtId="0" fontId="36" fillId="0" borderId="0" xfId="0" applyNumberFormat="1" applyFont="1" applyAlignment="1" applyProtection="1">
      <protection hidden="1"/>
    </xf>
    <xf numFmtId="164" fontId="22" fillId="0" borderId="8" xfId="0" applyNumberFormat="1" applyFont="1" applyBorder="1" applyProtection="1">
      <alignment wrapText="1"/>
      <protection hidden="1"/>
    </xf>
    <xf numFmtId="184" fontId="79" fillId="0" borderId="0" xfId="0" applyNumberFormat="1" applyFont="1">
      <alignment wrapText="1"/>
    </xf>
    <xf numFmtId="10" fontId="20" fillId="0" borderId="0" xfId="2" applyNumberFormat="1" applyFont="1" applyFill="1" applyAlignment="1" applyProtection="1">
      <alignment wrapText="1"/>
      <protection hidden="1"/>
    </xf>
    <xf numFmtId="4" fontId="20" fillId="0" borderId="0" xfId="16" applyNumberFormat="1" applyFont="1" applyFill="1" applyAlignment="1" applyProtection="1">
      <alignment wrapText="1"/>
      <protection hidden="1"/>
    </xf>
    <xf numFmtId="174" fontId="16" fillId="17" borderId="0" xfId="0" applyNumberFormat="1" applyFont="1" applyFill="1" applyAlignment="1">
      <alignment horizontal="center" wrapText="1"/>
    </xf>
    <xf numFmtId="174" fontId="0" fillId="17" borderId="0" xfId="0" applyNumberFormat="1" applyFill="1" applyAlignment="1">
      <alignment horizontal="center" wrapText="1"/>
    </xf>
    <xf numFmtId="4" fontId="20" fillId="0" borderId="0" xfId="0" applyFont="1" applyAlignment="1">
      <alignment horizontal="left" wrapText="1"/>
    </xf>
    <xf numFmtId="4" fontId="0" fillId="0" borderId="0" xfId="0" applyAlignment="1">
      <alignment horizontal="left" wrapText="1"/>
    </xf>
    <xf numFmtId="167" fontId="46" fillId="18" borderId="0" xfId="1" applyNumberFormat="1" applyFont="1" applyFill="1" applyAlignment="1" applyProtection="1">
      <alignment horizontal="center" vertical="center"/>
      <protection hidden="1"/>
    </xf>
    <xf numFmtId="164" fontId="20" fillId="0" borderId="105" xfId="16" applyNumberFormat="1" applyFont="1" applyBorder="1" applyAlignment="1">
      <alignment wrapText="1"/>
    </xf>
    <xf numFmtId="164" fontId="22" fillId="36" borderId="103" xfId="9" applyNumberFormat="1" applyFont="1" applyFill="1" applyBorder="1" applyAlignment="1">
      <alignment wrapText="1"/>
    </xf>
    <xf numFmtId="164" fontId="20" fillId="36" borderId="103" xfId="6" applyNumberFormat="1" applyFont="1" applyFill="1" applyBorder="1"/>
    <xf numFmtId="0" fontId="89" fillId="3" borderId="0" xfId="6" applyFont="1" applyFill="1" applyAlignment="1" applyProtection="1">
      <alignment horizontal="center" vertical="center"/>
      <protection hidden="1"/>
    </xf>
    <xf numFmtId="4" fontId="22" fillId="0" borderId="26" xfId="0" applyFont="1" applyBorder="1" applyAlignment="1" applyProtection="1">
      <alignment horizontal="center" vertical="top" wrapText="1"/>
      <protection hidden="1"/>
    </xf>
    <xf numFmtId="4" fontId="69" fillId="13" borderId="37" xfId="0" applyFont="1" applyFill="1" applyBorder="1" applyAlignment="1" applyProtection="1">
      <alignment horizontal="center" vertical="top" wrapText="1"/>
      <protection hidden="1"/>
    </xf>
    <xf numFmtId="4" fontId="38" fillId="34" borderId="0" xfId="0" applyFont="1" applyFill="1" applyAlignment="1" applyProtection="1">
      <alignment horizontal="center" wrapText="1"/>
      <protection locked="0"/>
    </xf>
    <xf numFmtId="4" fontId="38" fillId="39" borderId="42" xfId="0" applyFont="1" applyFill="1" applyBorder="1" applyAlignment="1" applyProtection="1">
      <alignment horizontal="center" wrapText="1"/>
      <protection hidden="1"/>
    </xf>
    <xf numFmtId="4" fontId="38" fillId="38" borderId="16" xfId="0" applyFont="1" applyFill="1" applyBorder="1" applyAlignment="1" applyProtection="1">
      <alignment horizontal="center" wrapText="1"/>
      <protection hidden="1"/>
    </xf>
    <xf numFmtId="4" fontId="90" fillId="39" borderId="45" xfId="0" applyFont="1" applyFill="1" applyBorder="1" applyAlignment="1" applyProtection="1">
      <alignment horizontal="center" wrapText="1"/>
      <protection hidden="1"/>
    </xf>
    <xf numFmtId="4" fontId="38" fillId="39" borderId="46" xfId="0" applyFont="1" applyFill="1" applyBorder="1" applyAlignment="1" applyProtection="1">
      <alignment horizontal="center" wrapText="1"/>
      <protection hidden="1"/>
    </xf>
    <xf numFmtId="4" fontId="38" fillId="41" borderId="8" xfId="0" applyFont="1" applyFill="1" applyBorder="1" applyProtection="1">
      <alignment wrapText="1"/>
      <protection hidden="1"/>
    </xf>
    <xf numFmtId="4" fontId="35" fillId="40" borderId="14" xfId="0" applyFont="1" applyFill="1" applyBorder="1" applyProtection="1">
      <alignment wrapText="1"/>
      <protection hidden="1"/>
    </xf>
    <xf numFmtId="4" fontId="90" fillId="41" borderId="33" xfId="0" applyFont="1" applyFill="1" applyBorder="1" applyProtection="1">
      <alignment wrapText="1"/>
      <protection hidden="1"/>
    </xf>
    <xf numFmtId="4" fontId="69" fillId="6" borderId="13" xfId="0" applyFont="1" applyFill="1" applyBorder="1" applyAlignment="1" applyProtection="1">
      <alignment horizontal="center" vertical="center" wrapText="1"/>
      <protection hidden="1"/>
    </xf>
    <xf numFmtId="4" fontId="89" fillId="38" borderId="14" xfId="0" applyFont="1" applyFill="1" applyBorder="1" applyAlignment="1" applyProtection="1">
      <alignment horizontal="center" vertical="center" wrapText="1"/>
      <protection hidden="1"/>
    </xf>
    <xf numFmtId="4" fontId="69" fillId="7" borderId="13" xfId="0" applyFont="1" applyFill="1" applyBorder="1" applyAlignment="1" applyProtection="1">
      <alignment horizontal="center" vertical="center" wrapText="1"/>
      <protection hidden="1"/>
    </xf>
    <xf numFmtId="4" fontId="89" fillId="40" borderId="14" xfId="0" applyFont="1" applyFill="1" applyBorder="1" applyAlignment="1" applyProtection="1">
      <alignment horizontal="center" vertical="center" wrapText="1"/>
      <protection hidden="1"/>
    </xf>
    <xf numFmtId="164" fontId="20" fillId="0" borderId="124" xfId="14" applyNumberFormat="1" applyFont="1" applyFill="1" applyBorder="1" applyAlignment="1" applyProtection="1">
      <alignment horizontal="right" vertical="center" shrinkToFit="1"/>
      <protection hidden="1"/>
    </xf>
    <xf numFmtId="164" fontId="20" fillId="0" borderId="36" xfId="16" applyNumberFormat="1" applyFont="1" applyFill="1" applyBorder="1" applyAlignment="1" applyProtection="1">
      <alignment vertical="center" shrinkToFit="1"/>
      <protection hidden="1"/>
    </xf>
    <xf numFmtId="164" fontId="20" fillId="0" borderId="124" xfId="11" applyNumberFormat="1" applyFont="1" applyBorder="1" applyAlignment="1" applyProtection="1">
      <alignment vertical="center" shrinkToFit="1"/>
      <protection hidden="1"/>
    </xf>
    <xf numFmtId="4" fontId="38" fillId="42" borderId="90" xfId="0" applyFont="1" applyFill="1" applyBorder="1" applyAlignment="1" applyProtection="1">
      <alignment horizontal="center" vertical="top"/>
      <protection hidden="1"/>
    </xf>
    <xf numFmtId="164" fontId="35" fillId="42" borderId="92" xfId="14" applyNumberFormat="1" applyFont="1" applyFill="1" applyBorder="1" applyAlignment="1" applyProtection="1">
      <alignment horizontal="right" vertical="center" shrinkToFit="1"/>
      <protection hidden="1"/>
    </xf>
    <xf numFmtId="164" fontId="35" fillId="42" borderId="90" xfId="16" applyNumberFormat="1" applyFont="1" applyFill="1" applyBorder="1" applyAlignment="1" applyProtection="1">
      <alignment vertical="center" shrinkToFit="1"/>
      <protection hidden="1"/>
    </xf>
    <xf numFmtId="164" fontId="35" fillId="42" borderId="92" xfId="11" applyNumberFormat="1" applyFont="1" applyFill="1" applyBorder="1" applyAlignment="1" applyProtection="1">
      <alignment vertical="center" shrinkToFit="1"/>
      <protection hidden="1"/>
    </xf>
    <xf numFmtId="176" fontId="38" fillId="43" borderId="90" xfId="16" applyNumberFormat="1" applyFont="1" applyFill="1" applyBorder="1" applyAlignment="1" applyProtection="1">
      <alignment vertical="center" shrinkToFit="1"/>
      <protection hidden="1"/>
    </xf>
    <xf numFmtId="4" fontId="38" fillId="42" borderId="90" xfId="0" applyFont="1" applyFill="1" applyBorder="1" applyAlignment="1" applyProtection="1">
      <alignment horizontal="center" vertical="top" wrapText="1"/>
      <protection hidden="1"/>
    </xf>
    <xf numFmtId="4" fontId="0" fillId="0" borderId="0" xfId="0" applyAlignment="1">
      <alignment horizontal="center" vertical="center"/>
    </xf>
    <xf numFmtId="4" fontId="98" fillId="0" borderId="133" xfId="0" applyFont="1" applyBorder="1" applyAlignment="1">
      <alignment horizontal="left" vertical="center"/>
    </xf>
    <xf numFmtId="4" fontId="98" fillId="0" borderId="134" xfId="0" applyFont="1" applyBorder="1" applyAlignment="1">
      <alignment horizontal="left" vertical="center"/>
    </xf>
    <xf numFmtId="177" fontId="22" fillId="0" borderId="0" xfId="16" applyNumberFormat="1" applyFont="1" applyFill="1" applyBorder="1" applyProtection="1">
      <protection hidden="1"/>
    </xf>
    <xf numFmtId="164" fontId="20" fillId="0" borderId="0" xfId="0" applyNumberFormat="1" applyFont="1" applyAlignment="1" applyProtection="1">
      <alignment horizontal="center" wrapText="1"/>
      <protection hidden="1"/>
    </xf>
    <xf numFmtId="0" fontId="37" fillId="0" borderId="5" xfId="0" applyNumberFormat="1" applyFont="1" applyBorder="1" applyProtection="1">
      <alignment wrapText="1"/>
      <protection hidden="1"/>
    </xf>
    <xf numFmtId="0" fontId="37" fillId="0" borderId="5" xfId="0" applyNumberFormat="1" applyFont="1" applyBorder="1" applyAlignment="1" applyProtection="1">
      <protection hidden="1"/>
    </xf>
    <xf numFmtId="177" fontId="20" fillId="0" borderId="5" xfId="16" applyNumberFormat="1" applyFont="1" applyBorder="1" applyAlignment="1">
      <alignment wrapText="1"/>
    </xf>
    <xf numFmtId="0" fontId="36" fillId="21" borderId="5" xfId="0" applyNumberFormat="1" applyFont="1" applyFill="1" applyBorder="1" applyAlignment="1" applyProtection="1">
      <alignment horizontal="center" vertical="center"/>
      <protection hidden="1"/>
    </xf>
    <xf numFmtId="49" fontId="22" fillId="21" borderId="5" xfId="6" applyNumberFormat="1" applyFont="1" applyFill="1" applyBorder="1" applyAlignment="1" applyProtection="1">
      <alignment horizontal="center"/>
      <protection hidden="1"/>
    </xf>
    <xf numFmtId="0" fontId="22" fillId="21" borderId="5" xfId="6" applyFont="1" applyFill="1" applyBorder="1" applyAlignment="1" applyProtection="1">
      <alignment horizontal="center"/>
      <protection hidden="1"/>
    </xf>
    <xf numFmtId="0" fontId="36" fillId="50" borderId="5" xfId="0" applyNumberFormat="1" applyFont="1" applyFill="1" applyBorder="1" applyAlignment="1" applyProtection="1">
      <alignment horizontal="center" vertical="center"/>
      <protection hidden="1"/>
    </xf>
    <xf numFmtId="0" fontId="36" fillId="50" borderId="5" xfId="0" applyNumberFormat="1" applyFont="1" applyFill="1" applyBorder="1" applyAlignment="1" applyProtection="1">
      <alignment horizontal="center" vertical="center" wrapText="1"/>
      <protection hidden="1"/>
    </xf>
    <xf numFmtId="164" fontId="35" fillId="6" borderId="5" xfId="0" applyNumberFormat="1" applyFont="1" applyFill="1" applyBorder="1" applyProtection="1">
      <alignment wrapText="1"/>
      <protection hidden="1"/>
    </xf>
    <xf numFmtId="164" fontId="22" fillId="0" borderId="137" xfId="0" applyNumberFormat="1" applyFont="1" applyBorder="1">
      <alignment wrapText="1"/>
    </xf>
    <xf numFmtId="0" fontId="36" fillId="0" borderId="35" xfId="6" applyFont="1" applyBorder="1" applyProtection="1">
      <protection hidden="1"/>
    </xf>
    <xf numFmtId="177" fontId="22" fillId="0" borderId="87" xfId="16" applyNumberFormat="1" applyFont="1" applyFill="1" applyBorder="1" applyProtection="1">
      <protection hidden="1"/>
    </xf>
    <xf numFmtId="9" fontId="22" fillId="0" borderId="87" xfId="2" applyFont="1" applyFill="1" applyBorder="1" applyProtection="1">
      <protection hidden="1"/>
    </xf>
    <xf numFmtId="177" fontId="22" fillId="0" borderId="138" xfId="16" applyNumberFormat="1" applyFont="1" applyBorder="1" applyAlignment="1">
      <alignment wrapText="1"/>
    </xf>
    <xf numFmtId="177" fontId="22" fillId="0" borderId="88" xfId="16" applyNumberFormat="1" applyFont="1" applyBorder="1" applyAlignment="1">
      <alignment wrapText="1"/>
    </xf>
    <xf numFmtId="9" fontId="22" fillId="0" borderId="34" xfId="2" applyFont="1" applyFill="1" applyBorder="1" applyProtection="1">
      <protection hidden="1"/>
    </xf>
    <xf numFmtId="186" fontId="22" fillId="0" borderId="90" xfId="2" applyNumberFormat="1" applyFont="1" applyFill="1" applyBorder="1" applyProtection="1">
      <protection hidden="1"/>
    </xf>
    <xf numFmtId="4" fontId="54" fillId="4" borderId="0" xfId="16" applyNumberFormat="1" applyFont="1" applyFill="1" applyAlignment="1" applyProtection="1">
      <alignment horizontal="right"/>
      <protection hidden="1"/>
    </xf>
    <xf numFmtId="4" fontId="71" fillId="18" borderId="0" xfId="0" applyFont="1" applyFill="1" applyAlignment="1" applyProtection="1">
      <alignment horizontal="left" vertical="center" shrinkToFit="1"/>
      <protection hidden="1"/>
    </xf>
    <xf numFmtId="4" fontId="21" fillId="18" borderId="0" xfId="0" applyFont="1" applyFill="1" applyAlignment="1" applyProtection="1">
      <alignment horizontal="left" vertical="center" shrinkToFit="1"/>
      <protection hidden="1"/>
    </xf>
    <xf numFmtId="4" fontId="21" fillId="0" borderId="96" xfId="0" applyFont="1" applyBorder="1" applyProtection="1">
      <alignment wrapText="1"/>
      <protection locked="0"/>
    </xf>
    <xf numFmtId="4" fontId="21" fillId="16" borderId="99" xfId="0" applyFont="1" applyFill="1" applyBorder="1" applyProtection="1">
      <alignment wrapText="1"/>
      <protection locked="0"/>
    </xf>
    <xf numFmtId="4" fontId="21" fillId="0" borderId="99" xfId="0" applyFont="1" applyBorder="1" applyProtection="1">
      <alignment wrapText="1"/>
      <protection locked="0"/>
    </xf>
    <xf numFmtId="9" fontId="0" fillId="0" borderId="0" xfId="2" applyFont="1" applyAlignment="1" applyProtection="1">
      <alignment horizontal="center" vertical="center" wrapText="1"/>
      <protection hidden="1"/>
    </xf>
    <xf numFmtId="4" fontId="99" fillId="11" borderId="0" xfId="0" applyFont="1" applyFill="1" applyAlignment="1">
      <alignment horizontal="center" wrapText="1"/>
    </xf>
    <xf numFmtId="4" fontId="0" fillId="0" borderId="0" xfId="0" applyAlignment="1">
      <alignment vertical="center" wrapText="1"/>
    </xf>
    <xf numFmtId="4" fontId="0" fillId="51" borderId="0" xfId="0" applyFill="1" applyAlignment="1">
      <alignment vertical="center" wrapText="1"/>
    </xf>
    <xf numFmtId="4" fontId="100" fillId="0" borderId="0" xfId="0" applyFont="1" applyAlignment="1"/>
    <xf numFmtId="4" fontId="101" fillId="52" borderId="0" xfId="0" applyFont="1" applyFill="1" applyAlignment="1">
      <alignment vertical="center"/>
    </xf>
    <xf numFmtId="4" fontId="102" fillId="52" borderId="0" xfId="0" applyFont="1" applyFill="1" applyAlignment="1"/>
    <xf numFmtId="4" fontId="100" fillId="0" borderId="0" xfId="0" applyFont="1" applyAlignment="1">
      <alignment horizontal="left" vertical="top"/>
    </xf>
    <xf numFmtId="10" fontId="105" fillId="0" borderId="0" xfId="2" applyNumberFormat="1" applyFont="1" applyFill="1" applyAlignment="1">
      <alignment vertical="top"/>
    </xf>
    <xf numFmtId="4" fontId="100" fillId="0" borderId="2" xfId="0" applyFont="1" applyBorder="1" applyAlignment="1">
      <alignment horizontal="left" vertical="top"/>
    </xf>
    <xf numFmtId="4" fontId="104" fillId="0" borderId="8" xfId="0" applyFont="1" applyBorder="1" applyAlignment="1">
      <alignment horizontal="left" vertical="top"/>
    </xf>
    <xf numFmtId="10" fontId="107" fillId="0" borderId="8" xfId="2" applyNumberFormat="1" applyFont="1" applyFill="1" applyBorder="1" applyAlignment="1">
      <alignment vertical="top"/>
    </xf>
    <xf numFmtId="10" fontId="103" fillId="0" borderId="0" xfId="2" applyNumberFormat="1" applyFont="1" applyFill="1" applyAlignment="1">
      <alignment vertical="top"/>
    </xf>
    <xf numFmtId="4" fontId="104" fillId="0" borderId="0" xfId="0" applyFont="1" applyAlignment="1">
      <alignment horizontal="left" vertical="top"/>
    </xf>
    <xf numFmtId="2" fontId="106" fillId="0" borderId="0" xfId="0" applyNumberFormat="1" applyFont="1" applyAlignment="1">
      <alignment vertical="top"/>
    </xf>
    <xf numFmtId="4" fontId="108" fillId="0" borderId="5" xfId="0" applyFont="1" applyBorder="1" applyAlignment="1">
      <alignment vertical="center" wrapText="1"/>
    </xf>
    <xf numFmtId="4" fontId="109" fillId="54" borderId="5" xfId="0" applyFont="1" applyFill="1" applyBorder="1" applyAlignment="1">
      <alignment vertical="center" wrapText="1"/>
    </xf>
    <xf numFmtId="4" fontId="109" fillId="54" borderId="139" xfId="0" applyFont="1" applyFill="1" applyBorder="1" applyAlignment="1">
      <alignment vertical="center" wrapText="1"/>
    </xf>
    <xf numFmtId="4" fontId="109" fillId="54" borderId="140" xfId="0" applyFont="1" applyFill="1" applyBorder="1" applyAlignment="1">
      <alignment vertical="center" wrapText="1"/>
    </xf>
    <xf numFmtId="4" fontId="109" fillId="0" borderId="5" xfId="0" applyFont="1" applyBorder="1" applyAlignment="1">
      <alignment vertical="center" wrapText="1"/>
    </xf>
    <xf numFmtId="4" fontId="109" fillId="0" borderId="139" xfId="0" applyFont="1" applyBorder="1" applyAlignment="1">
      <alignment vertical="center" wrapText="1"/>
    </xf>
    <xf numFmtId="4" fontId="109" fillId="0" borderId="140" xfId="0" applyFont="1" applyBorder="1" applyAlignment="1">
      <alignment vertical="center" wrapText="1"/>
    </xf>
    <xf numFmtId="4" fontId="110" fillId="54" borderId="5" xfId="0" applyFont="1" applyFill="1" applyBorder="1" applyAlignment="1">
      <alignment vertical="center" wrapText="1"/>
    </xf>
    <xf numFmtId="4" fontId="110" fillId="54" borderId="139" xfId="0" applyFont="1" applyFill="1" applyBorder="1" applyAlignment="1">
      <alignment vertical="center" wrapText="1"/>
    </xf>
    <xf numFmtId="4" fontId="110" fillId="54" borderId="140" xfId="0" applyFont="1" applyFill="1" applyBorder="1" applyAlignment="1">
      <alignment vertical="center" wrapText="1"/>
    </xf>
    <xf numFmtId="4" fontId="110" fillId="0" borderId="5" xfId="0" applyFont="1" applyBorder="1" applyAlignment="1">
      <alignment vertical="center" wrapText="1"/>
    </xf>
    <xf numFmtId="4" fontId="110" fillId="0" borderId="141" xfId="0" applyFont="1" applyBorder="1" applyAlignment="1">
      <alignment vertical="center" wrapText="1"/>
    </xf>
    <xf numFmtId="4" fontId="110" fillId="0" borderId="142" xfId="0" applyFont="1" applyBorder="1" applyAlignment="1">
      <alignment vertical="center" wrapText="1"/>
    </xf>
    <xf numFmtId="49" fontId="108" fillId="0" borderId="5" xfId="0" applyNumberFormat="1" applyFont="1" applyBorder="1" applyAlignment="1">
      <alignment vertical="center" wrapText="1"/>
    </xf>
    <xf numFmtId="4" fontId="100" fillId="0" borderId="0" xfId="0" applyFont="1" applyAlignment="1">
      <alignment horizontal="left" vertical="top" wrapText="1"/>
    </xf>
    <xf numFmtId="2" fontId="105" fillId="0" borderId="0" xfId="2" applyNumberFormat="1" applyFont="1" applyFill="1" applyAlignment="1">
      <alignment vertical="top"/>
    </xf>
    <xf numFmtId="4" fontId="112" fillId="17" borderId="5" xfId="0" applyFont="1" applyFill="1" applyBorder="1" applyAlignment="1">
      <alignment vertical="center" wrapText="1"/>
    </xf>
    <xf numFmtId="4" fontId="112" fillId="17" borderId="139" xfId="0" applyFont="1" applyFill="1" applyBorder="1" applyAlignment="1">
      <alignment vertical="center" wrapText="1"/>
    </xf>
    <xf numFmtId="4" fontId="112" fillId="17" borderId="140" xfId="0" applyFont="1" applyFill="1" applyBorder="1" applyAlignment="1">
      <alignment vertical="center" wrapText="1"/>
    </xf>
    <xf numFmtId="0" fontId="21" fillId="0" borderId="0" xfId="0" applyNumberFormat="1" applyFont="1" applyProtection="1">
      <alignment wrapText="1"/>
      <protection locked="0"/>
    </xf>
    <xf numFmtId="4" fontId="21" fillId="0" borderId="0" xfId="0" applyFont="1" applyProtection="1">
      <alignment wrapText="1"/>
      <protection locked="0"/>
    </xf>
    <xf numFmtId="177" fontId="0" fillId="0" borderId="53" xfId="0" applyNumberFormat="1" applyBorder="1" applyAlignment="1" applyProtection="1">
      <alignment shrinkToFit="1"/>
      <protection hidden="1"/>
    </xf>
    <xf numFmtId="4" fontId="53" fillId="0" borderId="0" xfId="0" applyFont="1" applyAlignment="1" applyProtection="1">
      <protection hidden="1"/>
    </xf>
    <xf numFmtId="177" fontId="21" fillId="0" borderId="37" xfId="0" applyNumberFormat="1" applyFont="1" applyBorder="1" applyAlignment="1" applyProtection="1">
      <alignment shrinkToFit="1"/>
      <protection hidden="1"/>
    </xf>
    <xf numFmtId="177" fontId="21" fillId="0" borderId="38" xfId="0" applyNumberFormat="1" applyFont="1" applyBorder="1" applyAlignment="1" applyProtection="1">
      <alignment shrinkToFit="1"/>
      <protection hidden="1"/>
    </xf>
    <xf numFmtId="177" fontId="0" fillId="0" borderId="51" xfId="0" applyNumberFormat="1" applyBorder="1" applyAlignment="1" applyProtection="1">
      <alignment shrinkToFit="1"/>
      <protection hidden="1"/>
    </xf>
    <xf numFmtId="177" fontId="0" fillId="0" borderId="52" xfId="0" applyNumberFormat="1" applyBorder="1" applyAlignment="1" applyProtection="1">
      <alignment shrinkToFit="1"/>
      <protection hidden="1"/>
    </xf>
    <xf numFmtId="177" fontId="21" fillId="0" borderId="55" xfId="0" applyNumberFormat="1" applyFont="1" applyBorder="1" applyAlignment="1" applyProtection="1">
      <alignment shrinkToFit="1"/>
      <protection hidden="1"/>
    </xf>
    <xf numFmtId="177" fontId="21" fillId="0" borderId="56" xfId="0" applyNumberFormat="1" applyFont="1" applyBorder="1" applyAlignment="1" applyProtection="1">
      <alignment shrinkToFit="1"/>
      <protection hidden="1"/>
    </xf>
    <xf numFmtId="177" fontId="0" fillId="0" borderId="122" xfId="0" applyNumberFormat="1" applyBorder="1" applyAlignment="1" applyProtection="1">
      <alignment shrinkToFit="1"/>
      <protection hidden="1"/>
    </xf>
    <xf numFmtId="177" fontId="21" fillId="0" borderId="53" xfId="0" applyNumberFormat="1" applyFont="1" applyBorder="1" applyAlignment="1" applyProtection="1">
      <alignment shrinkToFit="1"/>
      <protection hidden="1"/>
    </xf>
    <xf numFmtId="177" fontId="21" fillId="0" borderId="122" xfId="0" applyNumberFormat="1" applyFont="1" applyBorder="1" applyAlignment="1" applyProtection="1">
      <alignment shrinkToFit="1"/>
      <protection hidden="1"/>
    </xf>
    <xf numFmtId="177" fontId="0" fillId="0" borderId="37" xfId="0" applyNumberFormat="1" applyBorder="1" applyAlignment="1" applyProtection="1">
      <alignment shrinkToFit="1"/>
      <protection hidden="1"/>
    </xf>
    <xf numFmtId="177" fontId="21" fillId="29" borderId="74" xfId="0" applyNumberFormat="1" applyFont="1" applyFill="1" applyBorder="1" applyAlignment="1" applyProtection="1">
      <alignment shrinkToFit="1"/>
      <protection hidden="1"/>
    </xf>
    <xf numFmtId="177" fontId="21" fillId="29" borderId="123" xfId="0" applyNumberFormat="1" applyFont="1" applyFill="1" applyBorder="1" applyAlignment="1" applyProtection="1">
      <alignment shrinkToFit="1"/>
      <protection hidden="1"/>
    </xf>
    <xf numFmtId="177" fontId="0" fillId="0" borderId="38" xfId="0" applyNumberFormat="1" applyBorder="1" applyAlignment="1" applyProtection="1">
      <alignment shrinkToFit="1"/>
      <protection hidden="1"/>
    </xf>
    <xf numFmtId="177" fontId="21" fillId="18" borderId="74" xfId="0" applyNumberFormat="1" applyFont="1" applyFill="1" applyBorder="1" applyAlignment="1" applyProtection="1">
      <alignment shrinkToFit="1"/>
      <protection hidden="1"/>
    </xf>
    <xf numFmtId="177" fontId="21" fillId="0" borderId="74" xfId="0" applyNumberFormat="1" applyFont="1" applyBorder="1" applyAlignment="1" applyProtection="1">
      <alignment shrinkToFit="1"/>
      <protection hidden="1"/>
    </xf>
    <xf numFmtId="177" fontId="21" fillId="0" borderId="123" xfId="0" applyNumberFormat="1" applyFont="1" applyBorder="1" applyAlignment="1" applyProtection="1">
      <alignment shrinkToFit="1"/>
      <protection hidden="1"/>
    </xf>
    <xf numFmtId="177" fontId="21" fillId="20" borderId="74" xfId="0" applyNumberFormat="1" applyFont="1" applyFill="1" applyBorder="1" applyAlignment="1" applyProtection="1">
      <alignment shrinkToFit="1"/>
      <protection hidden="1"/>
    </xf>
    <xf numFmtId="177" fontId="0" fillId="0" borderId="74" xfId="0" applyNumberFormat="1" applyBorder="1" applyAlignment="1" applyProtection="1">
      <alignment shrinkToFit="1"/>
      <protection hidden="1"/>
    </xf>
    <xf numFmtId="177" fontId="0" fillId="0" borderId="123" xfId="0" applyNumberFormat="1" applyBorder="1" applyAlignment="1" applyProtection="1">
      <alignment shrinkToFit="1"/>
      <protection hidden="1"/>
    </xf>
    <xf numFmtId="177" fontId="21" fillId="0" borderId="36" xfId="0" applyNumberFormat="1" applyFont="1" applyBorder="1" applyAlignment="1" applyProtection="1">
      <alignment shrinkToFit="1"/>
      <protection hidden="1"/>
    </xf>
    <xf numFmtId="177" fontId="0" fillId="0" borderId="124" xfId="0" applyNumberFormat="1" applyBorder="1" applyAlignment="1" applyProtection="1">
      <alignment shrinkToFit="1"/>
      <protection hidden="1"/>
    </xf>
    <xf numFmtId="177" fontId="21" fillId="0" borderId="125" xfId="0" applyNumberFormat="1" applyFont="1" applyBorder="1" applyAlignment="1" applyProtection="1">
      <alignment shrinkToFit="1"/>
      <protection hidden="1"/>
    </xf>
    <xf numFmtId="177" fontId="0" fillId="0" borderId="126" xfId="0" applyNumberFormat="1" applyBorder="1" applyAlignment="1" applyProtection="1">
      <alignment shrinkToFit="1"/>
      <protection hidden="1"/>
    </xf>
    <xf numFmtId="177" fontId="21" fillId="0" borderId="126" xfId="0" applyNumberFormat="1" applyFont="1" applyBorder="1" applyAlignment="1" applyProtection="1">
      <alignment shrinkToFit="1"/>
      <protection hidden="1"/>
    </xf>
    <xf numFmtId="177" fontId="21" fillId="29" borderId="127" xfId="0" applyNumberFormat="1" applyFont="1" applyFill="1" applyBorder="1" applyAlignment="1" applyProtection="1">
      <alignment shrinkToFit="1"/>
      <protection hidden="1"/>
    </xf>
    <xf numFmtId="177" fontId="0" fillId="0" borderId="36" xfId="0" applyNumberFormat="1" applyBorder="1" applyAlignment="1" applyProtection="1">
      <alignment shrinkToFit="1"/>
      <protection hidden="1"/>
    </xf>
    <xf numFmtId="177" fontId="21" fillId="0" borderId="127" xfId="0" applyNumberFormat="1" applyFont="1" applyBorder="1" applyAlignment="1" applyProtection="1">
      <alignment shrinkToFit="1"/>
      <protection hidden="1"/>
    </xf>
    <xf numFmtId="4" fontId="54" fillId="0" borderId="0" xfId="0" applyFont="1" applyAlignment="1" applyProtection="1">
      <alignment vertical="center"/>
      <protection hidden="1"/>
    </xf>
    <xf numFmtId="177" fontId="38" fillId="42" borderId="90" xfId="0" applyNumberFormat="1" applyFont="1" applyFill="1" applyBorder="1" applyAlignment="1" applyProtection="1">
      <alignment shrinkToFit="1"/>
      <protection hidden="1"/>
    </xf>
    <xf numFmtId="177" fontId="35" fillId="42" borderId="92" xfId="0" applyNumberFormat="1" applyFont="1" applyFill="1" applyBorder="1" applyAlignment="1" applyProtection="1">
      <alignment shrinkToFit="1"/>
      <protection hidden="1"/>
    </xf>
    <xf numFmtId="177" fontId="38" fillId="42" borderId="121" xfId="0" applyNumberFormat="1" applyFont="1" applyFill="1" applyBorder="1" applyAlignment="1" applyProtection="1">
      <alignment shrinkToFit="1"/>
      <protection hidden="1"/>
    </xf>
    <xf numFmtId="177" fontId="35" fillId="42" borderId="91" xfId="0" applyNumberFormat="1" applyFont="1" applyFill="1" applyBorder="1" applyAlignment="1" applyProtection="1">
      <alignment shrinkToFit="1"/>
      <protection hidden="1"/>
    </xf>
    <xf numFmtId="177" fontId="38" fillId="42" borderId="91" xfId="0" applyNumberFormat="1" applyFont="1" applyFill="1" applyBorder="1" applyAlignment="1" applyProtection="1">
      <alignment shrinkToFit="1"/>
      <protection hidden="1"/>
    </xf>
    <xf numFmtId="4" fontId="35" fillId="42" borderId="92" xfId="0" applyFont="1" applyFill="1" applyBorder="1" applyProtection="1">
      <alignment wrapText="1"/>
      <protection hidden="1"/>
    </xf>
    <xf numFmtId="177" fontId="38" fillId="42" borderId="128" xfId="0" applyNumberFormat="1" applyFont="1" applyFill="1" applyBorder="1" applyAlignment="1" applyProtection="1">
      <alignment shrinkToFit="1"/>
      <protection hidden="1"/>
    </xf>
    <xf numFmtId="177" fontId="21" fillId="0" borderId="54" xfId="0" applyNumberFormat="1" applyFont="1" applyBorder="1" applyAlignment="1" applyProtection="1">
      <alignment shrinkToFit="1"/>
      <protection hidden="1"/>
    </xf>
    <xf numFmtId="177" fontId="0" fillId="0" borderId="84" xfId="0" applyNumberFormat="1" applyBorder="1" applyAlignment="1" applyProtection="1">
      <alignment shrinkToFit="1"/>
      <protection hidden="1"/>
    </xf>
    <xf numFmtId="177" fontId="24" fillId="29" borderId="75" xfId="0" applyNumberFormat="1" applyFont="1" applyFill="1" applyBorder="1" applyAlignment="1" applyProtection="1">
      <alignment shrinkToFit="1"/>
      <protection hidden="1"/>
    </xf>
    <xf numFmtId="177" fontId="24" fillId="18" borderId="75" xfId="0" applyNumberFormat="1" applyFont="1" applyFill="1" applyBorder="1" applyAlignment="1" applyProtection="1">
      <alignment shrinkToFit="1"/>
      <protection hidden="1"/>
    </xf>
    <xf numFmtId="177" fontId="24" fillId="20" borderId="75" xfId="0" applyNumberFormat="1" applyFont="1" applyFill="1" applyBorder="1" applyAlignment="1" applyProtection="1">
      <alignment shrinkToFit="1"/>
      <protection hidden="1"/>
    </xf>
    <xf numFmtId="4" fontId="54" fillId="0" borderId="0" xfId="0" applyFont="1" applyAlignment="1" applyProtection="1">
      <alignment horizontal="left" vertical="center" wrapText="1"/>
      <protection hidden="1"/>
    </xf>
    <xf numFmtId="4" fontId="82" fillId="34" borderId="5" xfId="0" applyFont="1" applyFill="1" applyBorder="1" applyAlignment="1">
      <alignment horizontal="center" vertical="center" wrapText="1"/>
    </xf>
    <xf numFmtId="179" fontId="22" fillId="4" borderId="143" xfId="7" applyNumberFormat="1" applyFont="1" applyFill="1" applyBorder="1" applyAlignment="1">
      <alignment wrapText="1"/>
    </xf>
    <xf numFmtId="179" fontId="20" fillId="0" borderId="144" xfId="7" applyNumberFormat="1" applyFont="1" applyBorder="1" applyAlignment="1">
      <alignment wrapText="1"/>
    </xf>
    <xf numFmtId="179" fontId="20" fillId="4" borderId="144" xfId="7" applyNumberFormat="1" applyFont="1" applyFill="1" applyBorder="1" applyAlignment="1">
      <alignment wrapText="1"/>
    </xf>
    <xf numFmtId="179" fontId="20" fillId="0" borderId="143" xfId="7" applyNumberFormat="1" applyFont="1" applyBorder="1" applyAlignment="1">
      <alignment wrapText="1"/>
    </xf>
    <xf numFmtId="179" fontId="20" fillId="4" borderId="143" xfId="7" applyNumberFormat="1" applyFont="1" applyFill="1" applyBorder="1" applyAlignment="1">
      <alignment wrapText="1"/>
    </xf>
    <xf numFmtId="179" fontId="22" fillId="0" borderId="146" xfId="7" applyNumberFormat="1" applyFont="1" applyBorder="1" applyAlignment="1">
      <alignment wrapText="1"/>
    </xf>
    <xf numFmtId="179" fontId="20" fillId="0" borderId="33" xfId="7" applyNumberFormat="1" applyFont="1" applyBorder="1" applyAlignment="1">
      <alignment wrapText="1"/>
    </xf>
    <xf numFmtId="179" fontId="22" fillId="0" borderId="147" xfId="7" applyNumberFormat="1" applyFont="1" applyBorder="1" applyAlignment="1">
      <alignment wrapText="1"/>
    </xf>
    <xf numFmtId="179" fontId="20" fillId="4" borderId="143" xfId="6" applyNumberFormat="1" applyFont="1" applyFill="1" applyBorder="1"/>
    <xf numFmtId="179" fontId="22" fillId="0" borderId="143" xfId="7" applyNumberFormat="1" applyFont="1" applyBorder="1" applyAlignment="1">
      <alignment wrapText="1"/>
    </xf>
    <xf numFmtId="179" fontId="20" fillId="0" borderId="143" xfId="6" applyNumberFormat="1" applyFont="1" applyBorder="1"/>
    <xf numFmtId="43" fontId="20" fillId="4" borderId="143" xfId="1" applyFont="1" applyFill="1" applyBorder="1" applyAlignment="1">
      <alignment wrapText="1"/>
    </xf>
    <xf numFmtId="43" fontId="20" fillId="0" borderId="143" xfId="1" applyFont="1" applyBorder="1" applyAlignment="1">
      <alignment wrapText="1"/>
    </xf>
    <xf numFmtId="179" fontId="20" fillId="0" borderId="143" xfId="9" applyNumberFormat="1" applyFont="1" applyBorder="1" applyAlignment="1">
      <alignment wrapText="1"/>
    </xf>
    <xf numFmtId="179" fontId="20" fillId="4" borderId="143" xfId="9" applyNumberFormat="1" applyFont="1" applyFill="1" applyBorder="1" applyAlignment="1">
      <alignment wrapText="1"/>
    </xf>
    <xf numFmtId="179" fontId="22" fillId="4" borderId="146" xfId="7" applyNumberFormat="1" applyFont="1" applyFill="1" applyBorder="1" applyAlignment="1">
      <alignment wrapText="1"/>
    </xf>
    <xf numFmtId="179" fontId="22" fillId="4" borderId="144" xfId="7" applyNumberFormat="1" applyFont="1" applyFill="1" applyBorder="1" applyAlignment="1">
      <alignment wrapText="1"/>
    </xf>
    <xf numFmtId="179" fontId="22" fillId="0" borderId="144" xfId="7" applyNumberFormat="1" applyFont="1" applyBorder="1" applyAlignment="1">
      <alignment wrapText="1"/>
    </xf>
    <xf numFmtId="179" fontId="20" fillId="0" borderId="145" xfId="7" applyNumberFormat="1" applyFont="1" applyBorder="1" applyAlignment="1">
      <alignment wrapText="1"/>
    </xf>
    <xf numFmtId="2" fontId="20" fillId="0" borderId="0" xfId="16" applyNumberFormat="1" applyFont="1" applyFill="1" applyBorder="1" applyProtection="1">
      <protection hidden="1"/>
    </xf>
    <xf numFmtId="179" fontId="22" fillId="4" borderId="143" xfId="7" applyNumberFormat="1" applyFont="1" applyFill="1" applyBorder="1" applyAlignment="1" applyProtection="1">
      <alignment wrapText="1"/>
    </xf>
    <xf numFmtId="179" fontId="20" fillId="0" borderId="144" xfId="7" applyNumberFormat="1" applyFont="1" applyBorder="1" applyAlignment="1" applyProtection="1">
      <alignment wrapText="1"/>
    </xf>
    <xf numFmtId="179" fontId="20" fillId="4" borderId="144" xfId="7" applyNumberFormat="1" applyFont="1" applyFill="1" applyBorder="1" applyAlignment="1" applyProtection="1">
      <alignment wrapText="1"/>
    </xf>
    <xf numFmtId="179" fontId="20" fillId="0" borderId="143" xfId="7" applyNumberFormat="1" applyFont="1" applyBorder="1" applyAlignment="1" applyProtection="1">
      <alignment wrapText="1"/>
    </xf>
    <xf numFmtId="179" fontId="20" fillId="4" borderId="143" xfId="7" applyNumberFormat="1" applyFont="1" applyFill="1" applyBorder="1" applyAlignment="1" applyProtection="1">
      <alignment wrapText="1"/>
    </xf>
    <xf numFmtId="179" fontId="22" fillId="0" borderId="146" xfId="7" applyNumberFormat="1" applyFont="1" applyBorder="1" applyAlignment="1" applyProtection="1">
      <alignment wrapText="1"/>
    </xf>
    <xf numFmtId="179" fontId="20" fillId="0" borderId="33" xfId="7" applyNumberFormat="1" applyFont="1" applyBorder="1" applyAlignment="1" applyProtection="1">
      <alignment wrapText="1"/>
    </xf>
    <xf numFmtId="179" fontId="22" fillId="0" borderId="147" xfId="7" applyNumberFormat="1" applyFont="1" applyBorder="1" applyAlignment="1" applyProtection="1">
      <alignment wrapText="1"/>
    </xf>
    <xf numFmtId="179" fontId="22" fillId="4" borderId="146" xfId="7" applyNumberFormat="1" applyFont="1" applyFill="1" applyBorder="1" applyAlignment="1" applyProtection="1">
      <alignment wrapText="1"/>
    </xf>
    <xf numFmtId="179" fontId="22" fillId="4" borderId="144" xfId="7" applyNumberFormat="1" applyFont="1" applyFill="1" applyBorder="1" applyAlignment="1" applyProtection="1">
      <alignment wrapText="1"/>
    </xf>
    <xf numFmtId="179" fontId="22" fillId="0" borderId="144" xfId="7" applyNumberFormat="1" applyFont="1" applyBorder="1" applyAlignment="1" applyProtection="1">
      <alignment wrapText="1"/>
    </xf>
    <xf numFmtId="179" fontId="20" fillId="0" borderId="145" xfId="7" applyNumberFormat="1" applyFont="1" applyBorder="1" applyAlignment="1" applyProtection="1">
      <alignment wrapText="1"/>
    </xf>
    <xf numFmtId="179" fontId="22" fillId="0" borderId="143" xfId="7" applyNumberFormat="1" applyFont="1" applyBorder="1" applyAlignment="1" applyProtection="1">
      <alignment wrapText="1"/>
    </xf>
    <xf numFmtId="43" fontId="20" fillId="4" borderId="143" xfId="1" applyFont="1" applyFill="1" applyBorder="1" applyAlignment="1" applyProtection="1">
      <alignment wrapText="1"/>
    </xf>
    <xf numFmtId="43" fontId="20" fillId="0" borderId="143" xfId="1" applyFont="1" applyBorder="1" applyAlignment="1" applyProtection="1">
      <alignment wrapText="1"/>
    </xf>
    <xf numFmtId="179" fontId="20" fillId="0" borderId="143" xfId="9" applyNumberFormat="1" applyFont="1" applyBorder="1" applyAlignment="1" applyProtection="1">
      <alignment wrapText="1"/>
    </xf>
    <xf numFmtId="179" fontId="20" fillId="4" borderId="143" xfId="9" applyNumberFormat="1" applyFont="1" applyFill="1" applyBorder="1" applyAlignment="1" applyProtection="1">
      <alignment wrapText="1"/>
    </xf>
    <xf numFmtId="43" fontId="22" fillId="4" borderId="143" xfId="1" applyFont="1" applyFill="1" applyBorder="1" applyAlignment="1" applyProtection="1">
      <alignment wrapText="1"/>
    </xf>
    <xf numFmtId="179" fontId="22" fillId="0" borderId="143" xfId="6" applyNumberFormat="1" applyFont="1" applyBorder="1"/>
    <xf numFmtId="0" fontId="114" fillId="0" borderId="35" xfId="19" applyFont="1" applyFill="1" applyBorder="1" applyAlignment="1" applyProtection="1">
      <alignment horizontal="center"/>
      <protection hidden="1"/>
    </xf>
    <xf numFmtId="0" fontId="114" fillId="0" borderId="87" xfId="19" applyFont="1" applyFill="1" applyBorder="1" applyAlignment="1" applyProtection="1">
      <alignment horizontal="center"/>
      <protection hidden="1"/>
    </xf>
    <xf numFmtId="4" fontId="115" fillId="11" borderId="114" xfId="20" applyNumberFormat="1" applyFont="1" applyFill="1" applyBorder="1" applyAlignment="1">
      <alignment horizontal="left" indent="1"/>
    </xf>
    <xf numFmtId="4" fontId="115" fillId="11" borderId="116" xfId="20" applyNumberFormat="1" applyFont="1" applyFill="1" applyBorder="1" applyAlignment="1"/>
    <xf numFmtId="10" fontId="115" fillId="18" borderId="116" xfId="20" applyNumberFormat="1" applyFont="1" applyBorder="1" applyAlignment="1" applyProtection="1">
      <alignment horizontal="right" vertical="center"/>
      <protection hidden="1"/>
    </xf>
    <xf numFmtId="10" fontId="115" fillId="18" borderId="117" xfId="20" applyNumberFormat="1" applyFont="1" applyBorder="1" applyAlignment="1" applyProtection="1">
      <alignment horizontal="right" vertical="center"/>
      <protection hidden="1"/>
    </xf>
    <xf numFmtId="4" fontId="115" fillId="11" borderId="79" xfId="20" applyNumberFormat="1" applyFont="1" applyFill="1" applyBorder="1" applyAlignment="1">
      <alignment horizontal="left" indent="1"/>
    </xf>
    <xf numFmtId="4" fontId="115" fillId="11" borderId="5" xfId="20" applyNumberFormat="1" applyFont="1" applyFill="1" applyBorder="1" applyAlignment="1"/>
    <xf numFmtId="10" fontId="115" fillId="18" borderId="5" xfId="20" applyNumberFormat="1" applyFont="1" applyBorder="1" applyAlignment="1" applyProtection="1">
      <alignment horizontal="right" vertical="center"/>
      <protection hidden="1"/>
    </xf>
    <xf numFmtId="10" fontId="115" fillId="18" borderId="93" xfId="20" applyNumberFormat="1" applyFont="1" applyBorder="1" applyAlignment="1" applyProtection="1">
      <alignment horizontal="right" vertical="center"/>
      <protection hidden="1"/>
    </xf>
    <xf numFmtId="4" fontId="115" fillId="11" borderId="118" xfId="20" applyNumberFormat="1" applyFont="1" applyFill="1" applyBorder="1" applyAlignment="1">
      <alignment horizontal="left" indent="1"/>
    </xf>
    <xf numFmtId="4" fontId="115" fillId="11" borderId="119" xfId="20" applyNumberFormat="1" applyFont="1" applyFill="1" applyBorder="1" applyAlignment="1"/>
    <xf numFmtId="10" fontId="115" fillId="18" borderId="119" xfId="20" applyNumberFormat="1" applyFont="1" applyBorder="1" applyAlignment="1" applyProtection="1">
      <alignment horizontal="right" vertical="center"/>
      <protection hidden="1"/>
    </xf>
    <xf numFmtId="10" fontId="115" fillId="18" borderId="120" xfId="20" applyNumberFormat="1" applyFont="1" applyBorder="1" applyAlignment="1" applyProtection="1">
      <alignment horizontal="right" vertical="center"/>
      <protection hidden="1"/>
    </xf>
    <xf numFmtId="4" fontId="115" fillId="24" borderId="114" xfId="20" applyNumberFormat="1" applyFont="1" applyFill="1" applyBorder="1" applyAlignment="1">
      <alignment horizontal="left" vertical="center" indent="1"/>
    </xf>
    <xf numFmtId="4" fontId="115" fillId="24" borderId="79" xfId="20" applyNumberFormat="1" applyFont="1" applyFill="1" applyBorder="1" applyAlignment="1">
      <alignment horizontal="left" vertical="center" indent="1"/>
    </xf>
    <xf numFmtId="4" fontId="115" fillId="24" borderId="118" xfId="20" applyNumberFormat="1" applyFont="1" applyFill="1" applyBorder="1" applyAlignment="1">
      <alignment horizontal="left" vertical="center" indent="1"/>
    </xf>
    <xf numFmtId="10" fontId="115" fillId="24" borderId="119" xfId="20" applyNumberFormat="1" applyFont="1" applyFill="1" applyBorder="1" applyAlignment="1" applyProtection="1">
      <alignment horizontal="right" vertical="center"/>
      <protection hidden="1"/>
    </xf>
    <xf numFmtId="10" fontId="115" fillId="24" borderId="120" xfId="20" applyNumberFormat="1" applyFont="1" applyFill="1" applyBorder="1" applyAlignment="1" applyProtection="1">
      <alignment horizontal="right" vertical="center"/>
      <protection hidden="1"/>
    </xf>
    <xf numFmtId="4" fontId="115" fillId="11" borderId="114" xfId="20" applyNumberFormat="1" applyFont="1" applyFill="1" applyBorder="1" applyAlignment="1">
      <alignment horizontal="left" vertical="center" indent="1"/>
    </xf>
    <xf numFmtId="4" fontId="115" fillId="11" borderId="79" xfId="20" applyNumberFormat="1" applyFont="1" applyFill="1" applyBorder="1" applyAlignment="1">
      <alignment horizontal="left" vertical="center" indent="1"/>
    </xf>
    <xf numFmtId="4" fontId="115" fillId="11" borderId="118" xfId="20" applyNumberFormat="1" applyFont="1" applyFill="1" applyBorder="1" applyAlignment="1">
      <alignment horizontal="left" vertical="center" indent="1"/>
    </xf>
    <xf numFmtId="10" fontId="115" fillId="11" borderId="119" xfId="20" applyNumberFormat="1" applyFont="1" applyFill="1" applyBorder="1" applyAlignment="1" applyProtection="1">
      <alignment horizontal="right" vertical="center"/>
      <protection hidden="1"/>
    </xf>
    <xf numFmtId="10" fontId="115" fillId="11" borderId="120" xfId="20" applyNumberFormat="1" applyFont="1" applyFill="1" applyBorder="1" applyAlignment="1" applyProtection="1">
      <alignment horizontal="right" vertical="center"/>
      <protection hidden="1"/>
    </xf>
    <xf numFmtId="4" fontId="118" fillId="0" borderId="0" xfId="0" applyFont="1" applyAlignment="1">
      <alignment horizontal="center" vertical="center" wrapText="1"/>
    </xf>
    <xf numFmtId="4" fontId="79" fillId="0" borderId="0" xfId="0" applyFont="1" applyAlignment="1">
      <alignment horizontal="center" wrapText="1"/>
    </xf>
    <xf numFmtId="4" fontId="113" fillId="0" borderId="92" xfId="0" applyFont="1" applyBorder="1" applyAlignment="1">
      <alignment horizontal="right" wrapText="1"/>
    </xf>
    <xf numFmtId="4" fontId="113" fillId="0" borderId="89" xfId="0" applyFont="1" applyBorder="1" applyAlignment="1">
      <alignment horizontal="right" wrapText="1"/>
    </xf>
    <xf numFmtId="10" fontId="113" fillId="0" borderId="92" xfId="2" applyNumberFormat="1" applyFont="1" applyBorder="1" applyAlignment="1">
      <alignment horizontal="right" wrapText="1"/>
    </xf>
    <xf numFmtId="10" fontId="113" fillId="0" borderId="89" xfId="2" applyNumberFormat="1" applyFont="1" applyBorder="1" applyAlignment="1">
      <alignment horizontal="right" wrapText="1"/>
    </xf>
    <xf numFmtId="4" fontId="79" fillId="0" borderId="92" xfId="0" applyFont="1" applyBorder="1" applyAlignment="1">
      <alignment horizontal="right" wrapText="1"/>
    </xf>
    <xf numFmtId="185" fontId="85" fillId="0" borderId="89" xfId="0" applyNumberFormat="1" applyFont="1" applyBorder="1" applyAlignment="1">
      <alignment horizontal="right" wrapText="1"/>
    </xf>
    <xf numFmtId="4" fontId="113" fillId="0" borderId="91" xfId="0" applyFont="1" applyBorder="1" applyAlignment="1">
      <alignment horizontal="right" wrapText="1"/>
    </xf>
    <xf numFmtId="4" fontId="113" fillId="0" borderId="148" xfId="0" applyFont="1" applyBorder="1" applyAlignment="1">
      <alignment horizontal="right" wrapText="1"/>
    </xf>
    <xf numFmtId="167" fontId="46" fillId="18" borderId="0" xfId="1" applyNumberFormat="1" applyFont="1" applyFill="1" applyAlignment="1" applyProtection="1">
      <alignment horizontal="left" vertical="center"/>
      <protection hidden="1"/>
    </xf>
    <xf numFmtId="3" fontId="46" fillId="18" borderId="0" xfId="1" applyNumberFormat="1" applyFont="1" applyFill="1" applyAlignment="1" applyProtection="1">
      <alignment horizontal="center" vertical="center" shrinkToFit="1"/>
      <protection hidden="1"/>
    </xf>
    <xf numFmtId="4" fontId="104" fillId="0" borderId="10" xfId="0" applyFont="1" applyBorder="1" applyAlignment="1">
      <alignment horizontal="left" vertical="top"/>
    </xf>
    <xf numFmtId="10" fontId="107" fillId="0" borderId="10" xfId="2" applyNumberFormat="1" applyFont="1" applyFill="1" applyBorder="1" applyAlignment="1">
      <alignment vertical="top"/>
    </xf>
    <xf numFmtId="4" fontId="107" fillId="53" borderId="34" xfId="0" applyFont="1" applyFill="1" applyBorder="1" applyAlignment="1">
      <alignment horizontal="left" vertical="top"/>
    </xf>
    <xf numFmtId="10" fontId="107" fillId="53" borderId="34" xfId="2" applyNumberFormat="1" applyFont="1" applyFill="1" applyBorder="1" applyAlignment="1">
      <alignment vertical="top"/>
    </xf>
    <xf numFmtId="4" fontId="46" fillId="18" borderId="0" xfId="0" applyFont="1" applyFill="1" applyAlignment="1" applyProtection="1">
      <alignment horizontal="left" vertical="center" indent="1" shrinkToFit="1"/>
      <protection hidden="1"/>
    </xf>
    <xf numFmtId="3" fontId="20" fillId="0" borderId="0" xfId="0" applyNumberFormat="1" applyFont="1" applyAlignment="1" applyProtection="1">
      <alignment horizontal="center" vertical="center" wrapText="1"/>
      <protection hidden="1"/>
    </xf>
    <xf numFmtId="3" fontId="46" fillId="0" borderId="0" xfId="0" applyNumberFormat="1" applyFont="1" applyAlignment="1" applyProtection="1">
      <alignment horizontal="right" vertical="center"/>
      <protection hidden="1"/>
    </xf>
    <xf numFmtId="3" fontId="0" fillId="0" borderId="0" xfId="0" applyNumberFormat="1" applyProtection="1">
      <alignment wrapText="1"/>
      <protection hidden="1"/>
    </xf>
    <xf numFmtId="3" fontId="22" fillId="30" borderId="83" xfId="0" applyNumberFormat="1" applyFont="1" applyFill="1" applyBorder="1" applyAlignment="1">
      <alignment horizontal="center" vertical="center" wrapText="1"/>
    </xf>
    <xf numFmtId="3" fontId="21" fillId="0" borderId="10" xfId="0" applyNumberFormat="1" applyFont="1" applyBorder="1" applyProtection="1">
      <alignment wrapText="1"/>
      <protection hidden="1"/>
    </xf>
    <xf numFmtId="3" fontId="46" fillId="18" borderId="0" xfId="0" applyNumberFormat="1" applyFont="1" applyFill="1" applyAlignment="1" applyProtection="1">
      <alignment horizontal="center" vertical="center"/>
      <protection hidden="1"/>
    </xf>
    <xf numFmtId="4" fontId="0" fillId="18" borderId="0" xfId="0" applyFill="1" applyAlignment="1">
      <alignment horizontal="left" indent="1"/>
    </xf>
    <xf numFmtId="4" fontId="21" fillId="18" borderId="0" xfId="0" applyFont="1" applyFill="1" applyAlignment="1"/>
    <xf numFmtId="4" fontId="53" fillId="11" borderId="0" xfId="0" applyFont="1" applyFill="1" applyProtection="1">
      <alignment wrapText="1"/>
      <protection hidden="1"/>
    </xf>
    <xf numFmtId="4" fontId="0" fillId="11" borderId="0" xfId="0" applyFill="1" applyProtection="1">
      <alignment wrapText="1"/>
      <protection hidden="1"/>
    </xf>
    <xf numFmtId="4" fontId="55" fillId="4" borderId="87" xfId="0" applyFont="1" applyFill="1" applyBorder="1" applyProtection="1">
      <alignment wrapText="1"/>
      <protection hidden="1"/>
    </xf>
    <xf numFmtId="4" fontId="46" fillId="18" borderId="0" xfId="0" applyFont="1" applyFill="1" applyProtection="1">
      <alignment wrapText="1"/>
      <protection hidden="1"/>
    </xf>
    <xf numFmtId="4" fontId="71" fillId="0" borderId="0" xfId="0" applyFont="1" applyAlignment="1" applyProtection="1">
      <alignment horizontal="left" vertical="center" wrapText="1"/>
      <protection hidden="1"/>
    </xf>
    <xf numFmtId="4" fontId="46" fillId="0" borderId="0" xfId="0" applyFont="1" applyAlignment="1" applyProtection="1">
      <alignment horizontal="left" vertical="center"/>
      <protection hidden="1"/>
    </xf>
    <xf numFmtId="3" fontId="46" fillId="18" borderId="0" xfId="0" applyNumberFormat="1" applyFont="1" applyFill="1" applyAlignment="1" applyProtection="1">
      <alignment horizontal="center" wrapText="1"/>
      <protection hidden="1"/>
    </xf>
    <xf numFmtId="3" fontId="70" fillId="4" borderId="87" xfId="0" applyNumberFormat="1" applyFont="1" applyFill="1" applyBorder="1" applyAlignment="1" applyProtection="1">
      <alignment horizontal="center" wrapText="1"/>
      <protection hidden="1"/>
    </xf>
    <xf numFmtId="4" fontId="71" fillId="0" borderId="26" xfId="0" applyFont="1" applyBorder="1" applyAlignment="1" applyProtection="1">
      <alignment horizontal="right" vertical="center"/>
      <protection hidden="1"/>
    </xf>
    <xf numFmtId="188" fontId="46" fillId="18" borderId="0" xfId="0" applyNumberFormat="1" applyFont="1" applyFill="1" applyAlignment="1" applyProtection="1">
      <alignment horizontal="right" wrapText="1"/>
      <protection hidden="1"/>
    </xf>
    <xf numFmtId="189" fontId="37" fillId="32" borderId="0" xfId="0" applyNumberFormat="1" applyFont="1" applyFill="1" applyAlignment="1">
      <alignment horizontal="right" shrinkToFit="1" readingOrder="2"/>
    </xf>
    <xf numFmtId="10" fontId="27" fillId="18" borderId="149" xfId="20" applyNumberFormat="1" applyBorder="1" applyAlignment="1" applyProtection="1">
      <alignment horizontal="right" vertical="center"/>
      <protection hidden="1"/>
    </xf>
    <xf numFmtId="10" fontId="27" fillId="18" borderId="151" xfId="20" applyNumberFormat="1" applyBorder="1" applyAlignment="1" applyProtection="1">
      <alignment horizontal="right" vertical="center"/>
      <protection hidden="1"/>
    </xf>
    <xf numFmtId="10" fontId="27" fillId="24" borderId="151" xfId="20" applyNumberFormat="1" applyFill="1" applyBorder="1" applyAlignment="1" applyProtection="1">
      <alignment horizontal="right" vertical="center"/>
      <protection hidden="1"/>
    </xf>
    <xf numFmtId="10" fontId="27" fillId="11" borderId="151" xfId="20" applyNumberFormat="1" applyFill="1" applyBorder="1" applyAlignment="1" applyProtection="1">
      <alignment horizontal="right" vertical="center"/>
      <protection hidden="1"/>
    </xf>
    <xf numFmtId="0" fontId="19" fillId="0" borderId="151" xfId="19" applyFill="1" applyBorder="1" applyAlignment="1" applyProtection="1">
      <protection hidden="1"/>
    </xf>
    <xf numFmtId="4" fontId="63" fillId="18" borderId="153" xfId="20" applyNumberFormat="1" applyFont="1" applyBorder="1" applyAlignment="1" applyProtection="1">
      <alignment horizontal="right" vertical="center"/>
      <protection hidden="1"/>
    </xf>
    <xf numFmtId="9" fontId="63" fillId="18" borderId="154" xfId="20" applyNumberFormat="1" applyFont="1" applyBorder="1" applyAlignment="1" applyProtection="1">
      <alignment horizontal="right" vertical="center"/>
      <protection hidden="1"/>
    </xf>
    <xf numFmtId="4" fontId="63" fillId="18" borderId="155" xfId="20" applyNumberFormat="1" applyFont="1" applyBorder="1" applyAlignment="1" applyProtection="1">
      <alignment horizontal="right" vertical="center"/>
      <protection hidden="1"/>
    </xf>
    <xf numFmtId="4" fontId="63" fillId="11" borderId="155" xfId="20" applyNumberFormat="1" applyFont="1" applyFill="1" applyBorder="1" applyAlignment="1" applyProtection="1">
      <alignment horizontal="right" vertical="center"/>
      <protection hidden="1"/>
    </xf>
    <xf numFmtId="4" fontId="46" fillId="0" borderId="0" xfId="0" applyFont="1" applyAlignment="1">
      <alignment horizontal="left" vertical="center" shrinkToFit="1"/>
    </xf>
    <xf numFmtId="4" fontId="120" fillId="0" borderId="5" xfId="0" applyFont="1" applyBorder="1" applyAlignment="1">
      <alignment vertical="center" wrapText="1"/>
    </xf>
    <xf numFmtId="4" fontId="121" fillId="0" borderId="5" xfId="0" applyFont="1" applyBorder="1" applyAlignment="1">
      <alignment horizontal="center" vertical="center" wrapText="1"/>
    </xf>
    <xf numFmtId="4" fontId="122" fillId="55" borderId="5" xfId="0" applyFont="1" applyFill="1" applyBorder="1" applyAlignment="1">
      <alignment horizontal="center" vertical="center" wrapText="1"/>
    </xf>
    <xf numFmtId="4" fontId="123" fillId="0" borderId="5" xfId="0" applyFont="1" applyBorder="1" applyAlignment="1">
      <alignment vertical="center" wrapText="1"/>
    </xf>
    <xf numFmtId="4" fontId="22" fillId="55" borderId="5" xfId="0" applyFont="1" applyFill="1" applyBorder="1" applyAlignment="1">
      <alignment horizontal="center" vertical="center" wrapText="1"/>
    </xf>
    <xf numFmtId="4" fontId="22" fillId="55" borderId="5" xfId="0" applyFont="1" applyFill="1" applyBorder="1" applyAlignment="1">
      <alignment vertical="center" wrapText="1"/>
    </xf>
    <xf numFmtId="4" fontId="124" fillId="0" borderId="5" xfId="0" applyFont="1" applyBorder="1" applyAlignment="1">
      <alignment vertical="center" wrapText="1"/>
    </xf>
    <xf numFmtId="4" fontId="125" fillId="0" borderId="5" xfId="0" applyFont="1" applyBorder="1" applyAlignment="1">
      <alignment vertical="center" wrapText="1"/>
    </xf>
    <xf numFmtId="4" fontId="125" fillId="0" borderId="5" xfId="0" applyFont="1" applyBorder="1" applyAlignment="1">
      <alignment horizontal="center" vertical="center" wrapText="1"/>
    </xf>
    <xf numFmtId="10" fontId="125" fillId="0" borderId="5" xfId="2" applyNumberFormat="1" applyFont="1" applyBorder="1" applyAlignment="1">
      <alignment horizontal="center" vertical="center" wrapText="1"/>
    </xf>
    <xf numFmtId="4" fontId="38" fillId="15" borderId="97" xfId="0" applyFont="1" applyFill="1" applyBorder="1" applyAlignment="1" applyProtection="1">
      <alignment horizontal="center" vertical="center" wrapText="1"/>
      <protection locked="0"/>
    </xf>
    <xf numFmtId="4" fontId="126" fillId="15" borderId="97" xfId="0" applyFont="1" applyFill="1" applyBorder="1" applyAlignment="1" applyProtection="1">
      <alignment horizontal="center" vertical="center" wrapText="1"/>
      <protection locked="0"/>
    </xf>
    <xf numFmtId="4" fontId="38" fillId="15" borderId="23" xfId="0" applyFont="1" applyFill="1" applyBorder="1" applyAlignment="1" applyProtection="1">
      <alignment horizontal="center" vertical="center" wrapText="1"/>
      <protection locked="0"/>
    </xf>
    <xf numFmtId="4" fontId="126" fillId="37" borderId="23" xfId="0" applyFont="1" applyFill="1" applyBorder="1" applyAlignment="1" applyProtection="1">
      <alignment horizontal="center" vertical="center" wrapText="1"/>
      <protection locked="0"/>
    </xf>
    <xf numFmtId="4" fontId="122" fillId="55" borderId="9" xfId="0" applyFont="1" applyFill="1" applyBorder="1" applyAlignment="1">
      <alignment horizontal="center" vertical="center" wrapText="1"/>
    </xf>
    <xf numFmtId="4" fontId="22" fillId="55" borderId="31" xfId="0" applyFont="1" applyFill="1" applyBorder="1" applyAlignment="1">
      <alignment horizontal="center" vertical="center" wrapText="1"/>
    </xf>
    <xf numFmtId="4" fontId="122" fillId="55" borderId="29" xfId="0" applyFont="1" applyFill="1" applyBorder="1" applyAlignment="1">
      <alignment horizontal="center" vertical="center" wrapText="1"/>
    </xf>
    <xf numFmtId="4" fontId="22" fillId="55" borderId="7" xfId="0" applyFont="1" applyFill="1" applyBorder="1" applyAlignment="1">
      <alignment horizontal="center" vertical="center" wrapText="1"/>
    </xf>
    <xf numFmtId="190" fontId="16" fillId="0" borderId="0" xfId="0" applyNumberFormat="1" applyFont="1" applyAlignment="1">
      <alignment horizontal="center" wrapText="1"/>
    </xf>
    <xf numFmtId="167" fontId="46" fillId="18" borderId="0" xfId="0" applyNumberFormat="1" applyFont="1" applyFill="1" applyAlignment="1" applyProtection="1">
      <alignment horizontal="right" vertical="center"/>
      <protection hidden="1"/>
    </xf>
    <xf numFmtId="4" fontId="22" fillId="55" borderId="4" xfId="0" applyFont="1" applyFill="1" applyBorder="1" applyAlignment="1">
      <alignment horizontal="center" vertical="center" wrapText="1"/>
    </xf>
    <xf numFmtId="4" fontId="124" fillId="0" borderId="4" xfId="0" applyFont="1" applyBorder="1" applyAlignment="1">
      <alignment vertical="center" wrapText="1"/>
    </xf>
    <xf numFmtId="4" fontId="66" fillId="0" borderId="0" xfId="0" applyFont="1" applyAlignment="1" applyProtection="1">
      <alignment horizontal="left"/>
      <protection hidden="1"/>
    </xf>
    <xf numFmtId="4" fontId="20" fillId="4" borderId="82" xfId="0" applyFont="1" applyFill="1" applyBorder="1" applyAlignment="1" applyProtection="1">
      <alignment horizontal="left" wrapText="1"/>
      <protection hidden="1"/>
    </xf>
    <xf numFmtId="10" fontId="20" fillId="0" borderId="82" xfId="2" applyNumberFormat="1" applyFont="1" applyBorder="1" applyAlignment="1" applyProtection="1">
      <alignment wrapText="1"/>
      <protection hidden="1"/>
    </xf>
    <xf numFmtId="4" fontId="26" fillId="0" borderId="78" xfId="0" applyFont="1" applyBorder="1" applyAlignment="1" applyProtection="1">
      <alignment horizontal="center" vertical="top" wrapText="1"/>
      <protection hidden="1"/>
    </xf>
    <xf numFmtId="4" fontId="16" fillId="17" borderId="0" xfId="0" applyFont="1" applyFill="1" applyAlignment="1" applyProtection="1">
      <alignment horizontal="center" wrapText="1"/>
    </xf>
    <xf numFmtId="4" fontId="16" fillId="0" borderId="81" xfId="0" applyFont="1" applyBorder="1" applyProtection="1">
      <alignment wrapText="1"/>
      <protection hidden="1"/>
    </xf>
    <xf numFmtId="10" fontId="23" fillId="22" borderId="0" xfId="2" applyNumberFormat="1" applyFont="1" applyFill="1" applyBorder="1" applyAlignment="1" applyProtection="1">
      <alignment horizontal="center"/>
      <protection hidden="1"/>
    </xf>
    <xf numFmtId="4" fontId="16" fillId="0" borderId="0" xfId="0" applyFont="1" applyAlignment="1" applyProtection="1">
      <alignment horizontal="left" wrapText="1"/>
      <protection hidden="1"/>
    </xf>
    <xf numFmtId="4" fontId="21" fillId="0" borderId="0" xfId="0" applyFont="1" applyAlignment="1" applyProtection="1">
      <alignment vertical="center" wrapText="1"/>
      <protection hidden="1"/>
    </xf>
    <xf numFmtId="4" fontId="16" fillId="0" borderId="0" xfId="0" applyFont="1" applyAlignment="1" applyProtection="1">
      <alignment vertical="center" wrapText="1"/>
      <protection hidden="1"/>
    </xf>
    <xf numFmtId="4" fontId="21" fillId="0" borderId="0" xfId="0" applyFont="1" applyAlignment="1" applyProtection="1">
      <alignment vertical="center" shrinkToFit="1"/>
      <protection hidden="1"/>
    </xf>
    <xf numFmtId="4" fontId="16" fillId="0" borderId="0" xfId="0" applyFont="1" applyAlignment="1" applyProtection="1">
      <alignment horizontal="left" vertical="center" wrapText="1"/>
      <protection hidden="1"/>
    </xf>
    <xf numFmtId="4" fontId="27" fillId="11" borderId="60" xfId="20" applyNumberFormat="1" applyFill="1" applyBorder="1" applyAlignment="1" applyProtection="1">
      <alignment horizontal="left" indent="1"/>
      <protection hidden="1"/>
    </xf>
    <xf numFmtId="4" fontId="27" fillId="11" borderId="60" xfId="20" applyNumberFormat="1" applyFill="1" applyBorder="1" applyAlignment="1" applyProtection="1">
      <protection hidden="1"/>
    </xf>
    <xf numFmtId="4" fontId="26" fillId="32" borderId="149" xfId="0" applyFont="1" applyFill="1" applyBorder="1" applyAlignment="1" applyProtection="1">
      <alignment horizontal="center"/>
      <protection hidden="1"/>
    </xf>
    <xf numFmtId="4" fontId="63" fillId="11" borderId="149" xfId="20" applyNumberFormat="1" applyFont="1" applyFill="1" applyBorder="1" applyAlignment="1" applyProtection="1">
      <alignment horizontal="left" wrapText="1"/>
      <protection hidden="1"/>
    </xf>
    <xf numFmtId="4" fontId="27" fillId="11" borderId="5" xfId="20" applyNumberFormat="1" applyFill="1" applyBorder="1" applyAlignment="1" applyProtection="1">
      <alignment horizontal="left" indent="1"/>
      <protection hidden="1"/>
    </xf>
    <xf numFmtId="4" fontId="27" fillId="11" borderId="5" xfId="20" applyNumberFormat="1" applyFill="1" applyBorder="1" applyAlignment="1" applyProtection="1">
      <protection hidden="1"/>
    </xf>
    <xf numFmtId="4" fontId="25" fillId="32" borderId="151" xfId="0" applyFont="1" applyFill="1" applyBorder="1" applyAlignment="1" applyProtection="1">
      <alignment horizontal="center"/>
      <protection hidden="1"/>
    </xf>
    <xf numFmtId="4" fontId="57" fillId="11" borderId="8" xfId="20" applyNumberFormat="1" applyFont="1" applyFill="1" applyBorder="1" applyAlignment="1" applyProtection="1">
      <alignment horizontal="left" vertical="center"/>
      <protection hidden="1"/>
    </xf>
    <xf numFmtId="4" fontId="16" fillId="0" borderId="8" xfId="0" applyFont="1" applyBorder="1" applyProtection="1">
      <alignment wrapText="1"/>
      <protection hidden="1"/>
    </xf>
    <xf numFmtId="4" fontId="16" fillId="0" borderId="151" xfId="0" applyFont="1" applyBorder="1" applyProtection="1">
      <alignment wrapText="1"/>
      <protection hidden="1"/>
    </xf>
    <xf numFmtId="4" fontId="27" fillId="11" borderId="4" xfId="20" applyNumberFormat="1" applyFill="1" applyBorder="1" applyAlignment="1" applyProtection="1">
      <alignment horizontal="left" indent="1"/>
      <protection hidden="1"/>
    </xf>
    <xf numFmtId="4" fontId="16" fillId="0" borderId="3" xfId="0" applyFont="1" applyBorder="1" applyProtection="1">
      <alignment wrapText="1"/>
      <protection hidden="1"/>
    </xf>
    <xf numFmtId="4" fontId="21" fillId="0" borderId="151" xfId="0" applyFont="1" applyBorder="1" applyAlignment="1" applyProtection="1">
      <alignment vertical="center" wrapText="1"/>
      <protection hidden="1"/>
    </xf>
    <xf numFmtId="4" fontId="119" fillId="25" borderId="151" xfId="0" applyFont="1" applyFill="1" applyBorder="1" applyAlignment="1" applyProtection="1">
      <alignment horizontal="center"/>
      <protection hidden="1"/>
    </xf>
    <xf numFmtId="4" fontId="27" fillId="11" borderId="3" xfId="20" applyNumberFormat="1" applyFill="1" applyBorder="1" applyAlignment="1" applyProtection="1">
      <alignment horizontal="left" indent="1"/>
      <protection hidden="1"/>
    </xf>
    <xf numFmtId="4" fontId="27" fillId="24" borderId="5" xfId="20" applyNumberFormat="1" applyFill="1" applyBorder="1" applyAlignment="1" applyProtection="1">
      <alignment horizontal="left" vertical="center" indent="1"/>
      <protection hidden="1"/>
    </xf>
    <xf numFmtId="4" fontId="25" fillId="32" borderId="151" xfId="0" applyFont="1" applyFill="1" applyBorder="1" applyAlignment="1" applyProtection="1">
      <alignment horizontal="center" shrinkToFit="1"/>
      <protection hidden="1"/>
    </xf>
    <xf numFmtId="9" fontId="25" fillId="32" borderId="151" xfId="2" applyFont="1" applyFill="1" applyBorder="1" applyAlignment="1" applyProtection="1">
      <alignment horizontal="center" shrinkToFit="1"/>
      <protection hidden="1"/>
    </xf>
    <xf numFmtId="183" fontId="63" fillId="18" borderId="156" xfId="21" applyNumberFormat="1" applyFont="1" applyFill="1" applyBorder="1" applyAlignment="1" applyProtection="1">
      <alignment horizontal="right" shrinkToFit="1"/>
      <protection locked="0" hidden="1"/>
    </xf>
    <xf numFmtId="4" fontId="27" fillId="11" borderId="5" xfId="20" applyNumberFormat="1" applyFill="1" applyBorder="1" applyAlignment="1" applyProtection="1">
      <alignment horizontal="left" vertical="center" indent="1"/>
      <protection hidden="1"/>
    </xf>
    <xf numFmtId="188" fontId="25" fillId="32" borderId="151" xfId="0" applyNumberFormat="1" applyFont="1" applyFill="1" applyBorder="1" applyAlignment="1" applyProtection="1">
      <alignment horizontal="center" shrinkToFit="1"/>
      <protection hidden="1"/>
    </xf>
    <xf numFmtId="189" fontId="25" fillId="32" borderId="151" xfId="0" applyNumberFormat="1" applyFont="1" applyFill="1" applyBorder="1" applyAlignment="1" applyProtection="1">
      <alignment horizontal="center" shrinkToFit="1" readingOrder="2"/>
      <protection hidden="1"/>
    </xf>
    <xf numFmtId="4" fontId="27" fillId="11" borderId="152" xfId="20" applyNumberFormat="1" applyFill="1" applyBorder="1" applyAlignment="1" applyProtection="1">
      <alignment horizontal="left" indent="1"/>
      <protection hidden="1"/>
    </xf>
    <xf numFmtId="4" fontId="21" fillId="0" borderId="157" xfId="0" applyFont="1" applyBorder="1" applyAlignment="1" applyProtection="1">
      <alignment vertical="center" wrapText="1"/>
      <protection hidden="1"/>
    </xf>
    <xf numFmtId="4" fontId="25" fillId="26" borderId="4" xfId="0" applyFont="1" applyFill="1" applyBorder="1" applyAlignment="1" applyProtection="1">
      <alignment horizontal="left"/>
      <protection hidden="1"/>
    </xf>
    <xf numFmtId="4" fontId="25" fillId="26" borderId="6" xfId="0" applyFont="1" applyFill="1" applyBorder="1" applyAlignment="1" applyProtection="1">
      <alignment horizontal="left"/>
      <protection hidden="1"/>
    </xf>
    <xf numFmtId="0" fontId="25" fillId="32" borderId="151" xfId="0" applyNumberFormat="1" applyFont="1" applyFill="1" applyBorder="1" applyAlignment="1" applyProtection="1">
      <alignment horizontal="center" shrinkToFit="1" readingOrder="2"/>
      <protection hidden="1"/>
    </xf>
    <xf numFmtId="174" fontId="16" fillId="0" borderId="0" xfId="0" applyNumberFormat="1" applyFont="1" applyProtection="1">
      <alignment wrapText="1"/>
      <protection hidden="1"/>
    </xf>
    <xf numFmtId="0" fontId="0" fillId="0" borderId="0" xfId="0" applyNumberFormat="1" applyProtection="1">
      <alignment wrapText="1"/>
      <protection hidden="1"/>
    </xf>
    <xf numFmtId="4" fontId="16" fillId="18" borderId="0" xfId="0" applyFont="1" applyFill="1" applyProtection="1">
      <alignment wrapText="1"/>
      <protection hidden="1"/>
    </xf>
    <xf numFmtId="4" fontId="22" fillId="0" borderId="0" xfId="0" applyFont="1" applyProtection="1">
      <alignment wrapText="1"/>
      <protection hidden="1"/>
    </xf>
    <xf numFmtId="4" fontId="21" fillId="0" borderId="82" xfId="0" applyFont="1" applyBorder="1" applyProtection="1">
      <alignment wrapText="1"/>
      <protection hidden="1"/>
    </xf>
    <xf numFmtId="164" fontId="20" fillId="36" borderId="103" xfId="6" applyNumberFormat="1" applyFont="1" applyFill="1" applyBorder="1" applyAlignment="1"/>
    <xf numFmtId="0" fontId="17" fillId="0" borderId="11" xfId="12" applyAlignment="1" applyProtection="1">
      <alignment horizontal="left" vertical="center"/>
      <protection hidden="1"/>
    </xf>
    <xf numFmtId="0" fontId="19" fillId="0" borderId="76" xfId="23" applyAlignment="1" applyProtection="1">
      <alignment horizontal="left"/>
      <protection hidden="1"/>
    </xf>
    <xf numFmtId="4" fontId="66" fillId="0" borderId="0" xfId="0" applyFont="1" applyAlignment="1" applyProtection="1">
      <alignment horizontal="left"/>
      <protection hidden="1"/>
    </xf>
    <xf numFmtId="4" fontId="27" fillId="11" borderId="150" xfId="20" applyNumberFormat="1" applyFill="1" applyBorder="1" applyAlignment="1" applyProtection="1">
      <alignment horizontal="left"/>
      <protection hidden="1"/>
    </xf>
    <xf numFmtId="4" fontId="25" fillId="26" borderId="4" xfId="0" applyFont="1" applyFill="1" applyBorder="1" applyAlignment="1" applyProtection="1">
      <alignment horizontal="left"/>
      <protection hidden="1"/>
    </xf>
    <xf numFmtId="4" fontId="25" fillId="26" borderId="6" xfId="0" applyFont="1" applyFill="1" applyBorder="1" applyAlignment="1" applyProtection="1">
      <alignment horizontal="left"/>
      <protection hidden="1"/>
    </xf>
    <xf numFmtId="4" fontId="24" fillId="18" borderId="0" xfId="0" applyFont="1" applyFill="1" applyAlignment="1" applyProtection="1">
      <alignment horizontal="left" vertical="top" wrapText="1"/>
      <protection hidden="1"/>
    </xf>
    <xf numFmtId="4" fontId="16" fillId="0" borderId="0" xfId="0" applyFont="1" applyAlignment="1" applyProtection="1">
      <alignment horizontal="left" vertical="center" wrapText="1"/>
      <protection hidden="1"/>
    </xf>
    <xf numFmtId="4" fontId="22" fillId="22" borderId="59" xfId="0" applyFont="1" applyFill="1" applyBorder="1" applyAlignment="1" applyProtection="1">
      <alignment horizontal="center"/>
      <protection hidden="1"/>
    </xf>
    <xf numFmtId="4" fontId="22" fillId="22" borderId="0" xfId="0" applyFont="1" applyFill="1" applyAlignment="1" applyProtection="1">
      <alignment horizontal="center"/>
      <protection hidden="1"/>
    </xf>
    <xf numFmtId="4" fontId="21" fillId="23" borderId="31" xfId="0" applyFont="1" applyFill="1" applyBorder="1" applyAlignment="1" applyProtection="1">
      <alignment horizontal="center" vertical="center" textRotation="90"/>
      <protection hidden="1"/>
    </xf>
    <xf numFmtId="4" fontId="21" fillId="23" borderId="85" xfId="0" applyFont="1" applyFill="1" applyBorder="1" applyAlignment="1" applyProtection="1">
      <alignment horizontal="center" vertical="center" textRotation="90"/>
      <protection hidden="1"/>
    </xf>
    <xf numFmtId="4" fontId="21" fillId="23" borderId="7" xfId="0" applyFont="1" applyFill="1" applyBorder="1" applyAlignment="1" applyProtection="1">
      <alignment horizontal="center" vertical="center" textRotation="90"/>
      <protection hidden="1"/>
    </xf>
    <xf numFmtId="4" fontId="25" fillId="26" borderId="3" xfId="0" applyFont="1" applyFill="1" applyBorder="1" applyAlignment="1" applyProtection="1">
      <alignment horizontal="left"/>
      <protection hidden="1"/>
    </xf>
    <xf numFmtId="4" fontId="68" fillId="25" borderId="31" xfId="0" applyFont="1" applyFill="1" applyBorder="1" applyAlignment="1" applyProtection="1">
      <alignment horizontal="center" vertical="center" textRotation="90"/>
      <protection hidden="1"/>
    </xf>
    <xf numFmtId="4" fontId="68" fillId="25" borderId="85" xfId="0" applyFont="1" applyFill="1" applyBorder="1" applyAlignment="1" applyProtection="1">
      <alignment horizontal="center" vertical="center" textRotation="90"/>
      <protection hidden="1"/>
    </xf>
    <xf numFmtId="4" fontId="68" fillId="25" borderId="7" xfId="0" applyFont="1" applyFill="1" applyBorder="1" applyAlignment="1" applyProtection="1">
      <alignment horizontal="center" vertical="center" textRotation="90"/>
      <protection hidden="1"/>
    </xf>
    <xf numFmtId="4" fontId="16" fillId="0" borderId="151" xfId="0" applyFont="1" applyBorder="1" applyAlignment="1" applyProtection="1">
      <alignment horizontal="center" vertical="center" wrapText="1"/>
      <protection hidden="1"/>
    </xf>
    <xf numFmtId="4" fontId="63" fillId="11" borderId="0" xfId="20" applyNumberFormat="1" applyFont="1" applyFill="1" applyBorder="1" applyAlignment="1" applyProtection="1">
      <alignment horizontal="left" indent="3"/>
      <protection hidden="1"/>
    </xf>
    <xf numFmtId="4" fontId="63" fillId="11" borderId="77" xfId="20" applyNumberFormat="1" applyFont="1" applyFill="1" applyBorder="1" applyAlignment="1" applyProtection="1">
      <alignment horizontal="left" indent="3"/>
      <protection hidden="1"/>
    </xf>
    <xf numFmtId="4" fontId="63" fillId="11" borderId="2" xfId="20" applyNumberFormat="1" applyFont="1" applyFill="1" applyBorder="1" applyAlignment="1" applyProtection="1">
      <alignment horizontal="left" indent="3"/>
      <protection hidden="1"/>
    </xf>
    <xf numFmtId="4" fontId="63" fillId="11" borderId="27" xfId="20" applyNumberFormat="1" applyFont="1" applyFill="1" applyBorder="1" applyAlignment="1" applyProtection="1">
      <alignment horizontal="left" indent="3"/>
      <protection hidden="1"/>
    </xf>
    <xf numFmtId="4" fontId="63" fillId="11" borderId="8" xfId="20" applyNumberFormat="1" applyFont="1" applyFill="1" applyBorder="1" applyAlignment="1" applyProtection="1">
      <alignment horizontal="left" indent="3"/>
      <protection hidden="1"/>
    </xf>
    <xf numFmtId="4" fontId="63" fillId="11" borderId="30" xfId="20" applyNumberFormat="1" applyFont="1" applyFill="1" applyBorder="1" applyAlignment="1" applyProtection="1">
      <alignment horizontal="left" indent="3"/>
      <protection hidden="1"/>
    </xf>
    <xf numFmtId="4" fontId="57" fillId="11" borderId="150" xfId="20" applyNumberFormat="1" applyFont="1" applyFill="1" applyBorder="1" applyAlignment="1" applyProtection="1">
      <alignment horizontal="left" vertical="center"/>
      <protection hidden="1"/>
    </xf>
    <xf numFmtId="4" fontId="57" fillId="11" borderId="62" xfId="20" applyNumberFormat="1" applyFont="1" applyFill="1" applyBorder="1" applyAlignment="1" applyProtection="1">
      <alignment horizontal="left" vertical="center"/>
      <protection hidden="1"/>
    </xf>
    <xf numFmtId="4" fontId="117" fillId="25" borderId="115" xfId="0" applyFont="1" applyFill="1" applyBorder="1" applyAlignment="1">
      <alignment horizontal="center" vertical="center" textRotation="90"/>
    </xf>
    <xf numFmtId="4" fontId="117" fillId="25" borderId="85" xfId="0" applyFont="1" applyFill="1" applyBorder="1" applyAlignment="1">
      <alignment horizontal="center" vertical="center" textRotation="90"/>
    </xf>
    <xf numFmtId="4" fontId="117" fillId="25" borderId="80" xfId="0" applyFont="1" applyFill="1" applyBorder="1" applyAlignment="1">
      <alignment horizontal="center" vertical="center" textRotation="90"/>
    </xf>
    <xf numFmtId="4" fontId="118" fillId="23" borderId="115" xfId="0" applyFont="1" applyFill="1" applyBorder="1" applyAlignment="1">
      <alignment horizontal="center" vertical="center" textRotation="90"/>
    </xf>
    <xf numFmtId="4" fontId="118" fillId="23" borderId="85" xfId="0" applyFont="1" applyFill="1" applyBorder="1" applyAlignment="1">
      <alignment horizontal="center" vertical="center" textRotation="90"/>
    </xf>
    <xf numFmtId="4" fontId="118" fillId="23" borderId="80" xfId="0" applyFont="1" applyFill="1" applyBorder="1" applyAlignment="1">
      <alignment horizontal="center" vertical="center" textRotation="90"/>
    </xf>
    <xf numFmtId="0" fontId="114" fillId="0" borderId="0" xfId="19" applyFont="1" applyFill="1" applyBorder="1" applyAlignment="1" applyProtection="1">
      <alignment horizontal="center"/>
      <protection hidden="1"/>
    </xf>
    <xf numFmtId="4" fontId="13" fillId="34" borderId="5" xfId="0" applyFont="1" applyFill="1" applyBorder="1" applyAlignment="1">
      <alignment horizontal="center" wrapText="1"/>
    </xf>
    <xf numFmtId="4" fontId="83" fillId="34" borderId="5" xfId="0" applyFont="1" applyFill="1" applyBorder="1" applyAlignment="1">
      <alignment horizontal="center" wrapText="1"/>
    </xf>
    <xf numFmtId="4" fontId="82" fillId="34" borderId="5" xfId="0" applyFont="1" applyFill="1" applyBorder="1" applyAlignment="1">
      <alignment horizontal="center" vertical="center" wrapText="1"/>
    </xf>
    <xf numFmtId="0" fontId="36" fillId="21" borderId="9" xfId="0" applyNumberFormat="1" applyFont="1" applyFill="1" applyBorder="1" applyAlignment="1" applyProtection="1">
      <alignment horizontal="center"/>
      <protection hidden="1"/>
    </xf>
    <xf numFmtId="0" fontId="36" fillId="21" borderId="2" xfId="0" applyNumberFormat="1" applyFont="1" applyFill="1" applyBorder="1" applyAlignment="1" applyProtection="1">
      <alignment horizontal="center"/>
      <protection hidden="1"/>
    </xf>
    <xf numFmtId="0" fontId="20" fillId="50" borderId="5" xfId="6" applyFont="1" applyFill="1" applyBorder="1" applyAlignment="1" applyProtection="1">
      <alignment horizontal="center"/>
      <protection hidden="1"/>
    </xf>
    <xf numFmtId="4" fontId="32" fillId="0" borderId="0" xfId="0" applyFont="1" applyAlignment="1" applyProtection="1">
      <alignment horizontal="center"/>
      <protection hidden="1"/>
    </xf>
    <xf numFmtId="4" fontId="33" fillId="0" borderId="0" xfId="0" applyFont="1" applyAlignment="1" applyProtection="1">
      <alignment horizontal="center"/>
      <protection hidden="1"/>
    </xf>
    <xf numFmtId="0" fontId="31" fillId="0" borderId="0" xfId="6" applyFont="1" applyAlignment="1" applyProtection="1">
      <alignment horizontal="center"/>
      <protection hidden="1"/>
    </xf>
    <xf numFmtId="4" fontId="86" fillId="24" borderId="135" xfId="0" applyFont="1" applyFill="1" applyBorder="1" applyAlignment="1">
      <alignment horizontal="center" wrapText="1"/>
    </xf>
    <xf numFmtId="4" fontId="86" fillId="24" borderId="136" xfId="0" applyFont="1" applyFill="1" applyBorder="1" applyAlignment="1">
      <alignment horizontal="center" wrapText="1"/>
    </xf>
    <xf numFmtId="4" fontId="40" fillId="0" borderId="0" xfId="0" applyFont="1" applyAlignment="1" applyProtection="1">
      <alignment horizontal="center" vertical="center" wrapText="1"/>
      <protection hidden="1"/>
    </xf>
    <xf numFmtId="4" fontId="39" fillId="0" borderId="0" xfId="0" applyFont="1" applyAlignment="1">
      <alignment horizontal="center"/>
    </xf>
    <xf numFmtId="4" fontId="87" fillId="0" borderId="5" xfId="0" applyFont="1" applyBorder="1" applyAlignment="1" applyProtection="1">
      <alignment horizontal="center"/>
      <protection hidden="1"/>
    </xf>
    <xf numFmtId="4" fontId="42" fillId="0" borderId="5" xfId="0" applyFont="1" applyBorder="1" applyAlignment="1" applyProtection="1">
      <alignment horizontal="center" vertical="center"/>
      <protection hidden="1"/>
    </xf>
    <xf numFmtId="4" fontId="42" fillId="0" borderId="6" xfId="0" applyFont="1" applyBorder="1" applyAlignment="1" applyProtection="1">
      <alignment horizontal="center" vertical="center"/>
      <protection hidden="1"/>
    </xf>
    <xf numFmtId="4" fontId="42" fillId="0" borderId="3" xfId="0" applyFont="1" applyBorder="1" applyAlignment="1" applyProtection="1">
      <alignment horizontal="center" vertical="center"/>
      <protection hidden="1"/>
    </xf>
    <xf numFmtId="4" fontId="42" fillId="0" borderId="4" xfId="0" applyFont="1" applyBorder="1" applyAlignment="1" applyProtection="1">
      <alignment horizontal="center" vertical="center"/>
      <protection hidden="1"/>
    </xf>
    <xf numFmtId="4" fontId="53" fillId="0" borderId="6" xfId="0" applyFont="1" applyBorder="1" applyAlignment="1" applyProtection="1">
      <alignment horizontal="left"/>
      <protection hidden="1"/>
    </xf>
    <xf numFmtId="4" fontId="53" fillId="0" borderId="3" xfId="0" applyFont="1" applyBorder="1" applyAlignment="1" applyProtection="1">
      <alignment horizontal="left"/>
      <protection hidden="1"/>
    </xf>
    <xf numFmtId="4" fontId="53" fillId="0" borderId="4" xfId="0" applyFont="1" applyBorder="1" applyAlignment="1" applyProtection="1">
      <alignment horizontal="left"/>
      <protection hidden="1"/>
    </xf>
    <xf numFmtId="4" fontId="33" fillId="0" borderId="8" xfId="0" applyFont="1" applyBorder="1" applyAlignment="1" applyProtection="1">
      <alignment horizontal="center"/>
      <protection hidden="1"/>
    </xf>
    <xf numFmtId="4" fontId="21" fillId="5" borderId="41" xfId="0" applyFont="1" applyFill="1" applyBorder="1" applyAlignment="1" applyProtection="1">
      <alignment horizontal="left" vertical="center" wrapText="1"/>
      <protection hidden="1"/>
    </xf>
    <xf numFmtId="4" fontId="21" fillId="5" borderId="17" xfId="0" applyFont="1" applyFill="1" applyBorder="1" applyAlignment="1" applyProtection="1">
      <alignment horizontal="left" vertical="center" wrapText="1"/>
      <protection hidden="1"/>
    </xf>
    <xf numFmtId="4" fontId="21" fillId="5" borderId="43" xfId="0" applyFont="1" applyFill="1" applyBorder="1" applyAlignment="1" applyProtection="1">
      <alignment horizontal="left" vertical="center" wrapText="1"/>
      <protection hidden="1"/>
    </xf>
    <xf numFmtId="4" fontId="21" fillId="4" borderId="47" xfId="0" applyFont="1" applyFill="1" applyBorder="1" applyAlignment="1" applyProtection="1">
      <alignment horizontal="left" vertical="center" wrapText="1"/>
      <protection hidden="1"/>
    </xf>
    <xf numFmtId="4" fontId="21" fillId="4" borderId="15" xfId="0" applyFont="1" applyFill="1" applyBorder="1" applyAlignment="1" applyProtection="1">
      <alignment horizontal="left" vertical="center" wrapText="1"/>
      <protection hidden="1"/>
    </xf>
    <xf numFmtId="4" fontId="21" fillId="4" borderId="48" xfId="0" applyFont="1" applyFill="1" applyBorder="1" applyAlignment="1" applyProtection="1">
      <alignment horizontal="left" vertical="center" wrapText="1"/>
      <protection hidden="1"/>
    </xf>
    <xf numFmtId="4" fontId="21" fillId="5" borderId="41" xfId="0" applyFont="1" applyFill="1" applyBorder="1" applyAlignment="1" applyProtection="1">
      <alignment horizontal="right" vertical="center" wrapText="1"/>
      <protection hidden="1"/>
    </xf>
    <xf numFmtId="4" fontId="21" fillId="5" borderId="17" xfId="0" applyFont="1" applyFill="1" applyBorder="1" applyAlignment="1" applyProtection="1">
      <alignment horizontal="right" vertical="center" wrapText="1"/>
      <protection hidden="1"/>
    </xf>
    <xf numFmtId="4" fontId="70" fillId="4" borderId="10" xfId="0" applyFont="1" applyFill="1" applyBorder="1" applyAlignment="1" applyProtection="1">
      <alignment horizontal="center" wrapText="1"/>
      <protection hidden="1"/>
    </xf>
    <xf numFmtId="4" fontId="21" fillId="5" borderId="49" xfId="0" applyFont="1" applyFill="1" applyBorder="1" applyAlignment="1" applyProtection="1">
      <alignment vertical="center" wrapText="1"/>
      <protection hidden="1"/>
    </xf>
    <xf numFmtId="4" fontId="21" fillId="5" borderId="50" xfId="0" applyFont="1" applyFill="1" applyBorder="1" applyAlignment="1" applyProtection="1">
      <alignment vertical="center" wrapText="1"/>
      <protection hidden="1"/>
    </xf>
    <xf numFmtId="4" fontId="50" fillId="0" borderId="0" xfId="0" applyFont="1" applyAlignment="1" applyProtection="1">
      <alignment horizontal="center" wrapText="1"/>
      <protection hidden="1"/>
    </xf>
    <xf numFmtId="4" fontId="51" fillId="0" borderId="0" xfId="0" applyFont="1" applyAlignment="1" applyProtection="1">
      <alignment horizontal="center" vertical="center" wrapText="1"/>
      <protection hidden="1"/>
    </xf>
    <xf numFmtId="4" fontId="52" fillId="0" borderId="0" xfId="0" applyFont="1" applyAlignment="1" applyProtection="1">
      <alignment horizontal="center" vertical="center" wrapText="1"/>
      <protection hidden="1"/>
    </xf>
    <xf numFmtId="4" fontId="50" fillId="0" borderId="0" xfId="0" applyFont="1" applyAlignment="1" applyProtection="1">
      <alignment horizontal="center"/>
      <protection hidden="1"/>
    </xf>
    <xf numFmtId="4" fontId="54" fillId="0" borderId="0" xfId="0" applyFont="1" applyAlignment="1">
      <alignment horizontal="left" wrapText="1"/>
    </xf>
    <xf numFmtId="4" fontId="55" fillId="4" borderId="36" xfId="0" applyFont="1" applyFill="1" applyBorder="1" applyAlignment="1" applyProtection="1">
      <alignment horizontal="center" wrapText="1"/>
      <protection hidden="1"/>
    </xf>
    <xf numFmtId="4" fontId="55" fillId="4" borderId="37" xfId="0" applyFont="1" applyFill="1" applyBorder="1" applyAlignment="1" applyProtection="1">
      <alignment horizontal="center" wrapText="1"/>
      <protection hidden="1"/>
    </xf>
    <xf numFmtId="4" fontId="21" fillId="55" borderId="6" xfId="0" applyFont="1" applyFill="1" applyBorder="1" applyAlignment="1">
      <alignment horizontal="center" wrapText="1"/>
    </xf>
    <xf numFmtId="4" fontId="21" fillId="55" borderId="3" xfId="0" applyFont="1" applyFill="1" applyBorder="1" applyAlignment="1">
      <alignment horizontal="center" wrapText="1"/>
    </xf>
    <xf numFmtId="4" fontId="21" fillId="55" borderId="4" xfId="0" applyFont="1" applyFill="1" applyBorder="1" applyAlignment="1">
      <alignment horizontal="center" wrapText="1"/>
    </xf>
    <xf numFmtId="4" fontId="122" fillId="55" borderId="9" xfId="0" applyFont="1" applyFill="1" applyBorder="1" applyAlignment="1">
      <alignment horizontal="center" vertical="center" wrapText="1"/>
    </xf>
    <xf numFmtId="4" fontId="122" fillId="55" borderId="2" xfId="0" applyFont="1" applyFill="1" applyBorder="1" applyAlignment="1">
      <alignment horizontal="center" vertical="center" wrapText="1"/>
    </xf>
    <xf numFmtId="4" fontId="126" fillId="15" borderId="23" xfId="0" applyFont="1" applyFill="1" applyBorder="1" applyAlignment="1" applyProtection="1">
      <alignment horizontal="center" vertical="center" wrapText="1"/>
      <protection locked="0"/>
    </xf>
    <xf numFmtId="4" fontId="126" fillId="15" borderId="0" xfId="0" applyFont="1" applyFill="1" applyAlignment="1" applyProtection="1">
      <alignment horizontal="center" vertical="center" wrapText="1"/>
      <protection locked="0"/>
    </xf>
    <xf numFmtId="4" fontId="14" fillId="15" borderId="23" xfId="0" applyFont="1" applyFill="1" applyBorder="1" applyAlignment="1" applyProtection="1">
      <alignment horizontal="center" vertical="center" wrapText="1"/>
      <protection locked="0"/>
    </xf>
    <xf numFmtId="4" fontId="14" fillId="15" borderId="0" xfId="0" applyFont="1" applyFill="1" applyAlignment="1" applyProtection="1">
      <alignment horizontal="center" vertical="center" wrapText="1"/>
      <protection locked="0"/>
    </xf>
    <xf numFmtId="4" fontId="111" fillId="17" borderId="0" xfId="0" applyFont="1" applyFill="1" applyAlignment="1">
      <alignment horizontal="center" vertical="top"/>
    </xf>
    <xf numFmtId="0" fontId="60" fillId="28" borderId="64" xfId="21" applyFont="1" applyFill="1" applyBorder="1" applyAlignment="1">
      <alignment horizontal="center"/>
    </xf>
    <xf numFmtId="0" fontId="60" fillId="28" borderId="65" xfId="21" applyFont="1" applyFill="1" applyBorder="1" applyAlignment="1">
      <alignment horizontal="center"/>
    </xf>
    <xf numFmtId="0" fontId="60" fillId="28" borderId="66" xfId="21" applyFont="1" applyFill="1" applyBorder="1" applyAlignment="1">
      <alignment horizontal="center"/>
    </xf>
    <xf numFmtId="10" fontId="64" fillId="28" borderId="71" xfId="21" applyNumberFormat="1" applyFont="1" applyFill="1" applyBorder="1" applyAlignment="1" applyProtection="1">
      <alignment horizontal="center"/>
      <protection locked="0"/>
    </xf>
    <xf numFmtId="0" fontId="64" fillId="28" borderId="72" xfId="21" applyFont="1" applyFill="1" applyBorder="1" applyAlignment="1" applyProtection="1">
      <alignment horizontal="center"/>
      <protection locked="0"/>
    </xf>
    <xf numFmtId="4" fontId="60" fillId="28" borderId="64" xfId="22" applyNumberFormat="1" applyFont="1" applyFill="1" applyBorder="1" applyAlignment="1" applyProtection="1">
      <alignment horizontal="center" vertical="center" readingOrder="2"/>
      <protection locked="0"/>
    </xf>
    <xf numFmtId="4" fontId="60" fillId="28" borderId="66" xfId="22" applyNumberFormat="1" applyFont="1" applyFill="1" applyBorder="1" applyAlignment="1" applyProtection="1">
      <alignment horizontal="center" vertical="center" readingOrder="2"/>
      <protection locked="0"/>
    </xf>
  </cellXfs>
  <cellStyles count="38">
    <cellStyle name="% complete" xfId="30" xr:uid="{FB9D3752-A265-4DEF-9112-21A8B3FCC4E9}"/>
    <cellStyle name="% complete (beyond plan) legend" xfId="32" xr:uid="{156C3117-F7C1-4D6A-9639-897D23F3460E}"/>
    <cellStyle name="Activity" xfId="35" xr:uid="{8FDAA2FB-A6CC-4780-9151-C9B3A0A46447}"/>
    <cellStyle name="Actual (beyond plan) legend" xfId="31" xr:uid="{A4794127-7FDF-420B-AE6A-62A71591AF1D}"/>
    <cellStyle name="Actual legend" xfId="29" xr:uid="{958E48BA-59D1-4EDE-ADCD-38F59A61EFA7}"/>
    <cellStyle name="Comma" xfId="1" builtinId="3"/>
    <cellStyle name="Comma 2" xfId="5" xr:uid="{4FD3AF85-1080-4199-90F2-CFD45549DE83}"/>
    <cellStyle name="Comma 2 2" xfId="9" xr:uid="{5E799062-85BB-47CC-86E5-77E87D67A11F}"/>
    <cellStyle name="Comma 3" xfId="14" xr:uid="{C3520105-215E-406D-B420-747C4DA00496}"/>
    <cellStyle name="Currency" xfId="16" builtinId="4"/>
    <cellStyle name="Currency 2" xfId="15" xr:uid="{02C25B99-E8A3-4FB5-8FDC-03C052D7347C}"/>
    <cellStyle name="Currency 3" xfId="22" xr:uid="{59F266ED-EB9E-4B31-BBCF-4248B81F8510}"/>
    <cellStyle name="Explanatory Text 2" xfId="10" xr:uid="{3D49DD3D-59B9-4205-97DB-0D99B941AF93}"/>
    <cellStyle name="Heading 1" xfId="23" builtinId="16" customBuiltin="1"/>
    <cellStyle name="Heading 1 2" xfId="12" xr:uid="{3BB66F16-40B1-4BB9-935D-F7E0FDF9168B}"/>
    <cellStyle name="Heading 2" xfId="18" builtinId="17" customBuiltin="1"/>
    <cellStyle name="Heading 3" xfId="19" builtinId="18" customBuiltin="1"/>
    <cellStyle name="Heading 3 2" xfId="13" xr:uid="{A7AAB91D-48BE-4DB3-A623-CDF7ABA62867}"/>
    <cellStyle name="Hyperlink" xfId="17" builtinId="8"/>
    <cellStyle name="Hyperlink 3" xfId="36" xr:uid="{49B1B973-B9AB-4501-8495-4DE3C696140D}"/>
    <cellStyle name="Input" xfId="20" builtinId="20" customBuiltin="1"/>
    <cellStyle name="Input 2" xfId="8" xr:uid="{B37597AC-4DA3-4398-898E-157C7C521289}"/>
    <cellStyle name="Label" xfId="28" xr:uid="{84200A47-F8F7-4B92-9C00-DDD53BBC5F01}"/>
    <cellStyle name="Normal" xfId="0" builtinId="0" customBuiltin="1"/>
    <cellStyle name="Normal 2" xfId="3" xr:uid="{E086585E-F7BB-4C66-9E70-DA9DC5F5B534}"/>
    <cellStyle name="Normal 2 2" xfId="6" xr:uid="{3CA991C0-9908-462C-9A85-A5951A05C207}"/>
    <cellStyle name="Normal 2 2 2" xfId="37" xr:uid="{BCABBA93-3802-4060-A018-70E5D3FD444A}"/>
    <cellStyle name="Normal 3" xfId="21" xr:uid="{97B7A68D-B67E-48F3-8E7F-5B28D0AF9FD6}"/>
    <cellStyle name="Normal 4" xfId="11" xr:uid="{40E42648-C9E9-4D70-8CB9-20A1421BDC56}"/>
    <cellStyle name="Percent" xfId="2" builtinId="5"/>
    <cellStyle name="Percent 2" xfId="4" xr:uid="{C220CC56-0F59-44AD-81D9-2CA7B41473FA}"/>
    <cellStyle name="Percent 2 2" xfId="7" xr:uid="{E90241F3-D8D1-490D-B11D-520C92FB9455}"/>
    <cellStyle name="Percent Complete" xfId="24" xr:uid="{0C8A9FC6-4ABE-41FD-9171-701F72B85A51}"/>
    <cellStyle name="Period Headers" xfId="34" xr:uid="{49AAD4AD-586B-48FE-9B7A-ABA4362901C3}"/>
    <cellStyle name="Period Highlight Control" xfId="25" xr:uid="{00EABC4B-DFBA-4C00-B089-10A5EEDD167D}"/>
    <cellStyle name="Period Value" xfId="26" xr:uid="{CD30E9DC-8FD4-4538-9003-3A5D22100027}"/>
    <cellStyle name="Plan legend" xfId="27" xr:uid="{97CF084F-136E-4429-9D59-B4F2F9682CEB}"/>
    <cellStyle name="Project Headers" xfId="33" xr:uid="{57360AB3-910E-436B-B780-41008CC049D4}"/>
  </cellStyles>
  <dxfs count="1705">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35" formatCode="_(* #,##0.00_);_(* \(#,##0.00\);_(* &quot;-&quot;??_);_(@_)"/>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83" formatCode="[$-409]mmmm\ d\,\ yyyy;@"/>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rgb="FF80808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solid">
          <fgColor indexed="64"/>
          <bgColor indexed="9"/>
        </patternFill>
      </fill>
      <alignment horizontal="right" vertical="top" textRotation="0" wrapText="1" indent="0" justifyLastLine="0" shrinkToFit="0" readingOrder="0"/>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35" formatCode="_(* #,##0.00_);_(* \(#,##0.00\);_(* &quot;-&quot;??_);_(@_)"/>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83" formatCode="[$-409]mmmm\ d\,\ yyyy;@"/>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rgb="FF80808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solid">
          <fgColor indexed="64"/>
          <bgColor indexed="9"/>
        </patternFill>
      </fill>
      <alignment horizontal="right" vertical="top" textRotation="0" wrapText="1" indent="0" justifyLastLine="0" shrinkToFit="0" readingOrder="0"/>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35" formatCode="_(* #,##0.00_);_(* \(#,##0.00\);_(* &quot;-&quot;??_);_(@_)"/>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83" formatCode="[$-409]mmmm\ d\,\ yyyy;@"/>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rgb="FF80808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solid">
          <fgColor indexed="64"/>
          <bgColor indexed="9"/>
        </patternFill>
      </fill>
      <alignment horizontal="right" vertical="top" textRotation="0" wrapText="1" indent="0" justifyLastLine="0" shrinkToFit="0" readingOrder="0"/>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35" formatCode="_(* #,##0.00_);_(* \(#,##0.00\);_(* &quot;-&quot;??_);_(@_)"/>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91" formatCode="#,##0.00;\-#,##0.00"/>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numFmt numFmtId="183" formatCode="[$-409]mmmm\ d\,\ yyyy;@"/>
      <fill>
        <patternFill patternType="solid">
          <fgColor indexed="64"/>
          <bgColor indexed="9"/>
        </patternFill>
      </fill>
      <alignment horizontal="righ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left" vertical="bottom" textRotation="0" wrapText="0" indent="0" justifyLastLine="0" shrinkToFit="0" readingOrder="0"/>
    </dxf>
    <dxf>
      <font>
        <b val="0"/>
        <i val="0"/>
        <strike val="0"/>
        <condense val="0"/>
        <extend val="0"/>
        <outline val="0"/>
        <shadow val="0"/>
        <u val="none"/>
        <vertAlign val="baseline"/>
        <sz val="10"/>
        <color indexed="23"/>
        <name val="Arial"/>
        <family val="2"/>
        <scheme val="none"/>
      </font>
      <fill>
        <patternFill patternType="solid">
          <fgColor indexed="64"/>
          <bgColor indexed="9"/>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solid">
          <fgColor indexed="64"/>
          <bgColor indexed="9"/>
        </patternFill>
      </fill>
      <alignment horizontal="right" vertical="top" textRotation="0" wrapText="1" indent="0" justifyLastLine="0" shrinkToFit="0" readingOrder="0"/>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condense val="0"/>
        <extend val="0"/>
        <color auto="1"/>
      </font>
      <fill>
        <patternFill>
          <bgColor indexed="26"/>
        </patternFill>
      </fill>
    </dxf>
    <dxf>
      <font>
        <condense val="0"/>
        <extend val="0"/>
        <color auto="1"/>
      </font>
      <fill>
        <patternFill patternType="solid">
          <bgColor indexed="26"/>
        </patternFill>
      </fill>
      <border>
        <left/>
        <right/>
        <top/>
        <bottom style="thin">
          <color indexed="22"/>
        </bottom>
      </border>
    </dxf>
    <dxf>
      <font>
        <condense val="0"/>
        <extend val="0"/>
        <color indexed="9"/>
      </font>
      <fill>
        <patternFill patternType="solid">
          <bgColor indexed="9"/>
        </patternFill>
      </fill>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name val="Bookman Old Style"/>
        <family val="1"/>
        <scheme val="none"/>
      </font>
      <numFmt numFmtId="174" formatCode="#,##0.0000"/>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sz val="11"/>
        <color theme="1"/>
        <name val="Bookman Old Style"/>
        <family val="1"/>
        <scheme val="none"/>
      </font>
      <numFmt numFmtId="4" formatCode="#,##0.0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Bookman Old Style"/>
        <family val="1"/>
        <scheme val="none"/>
      </font>
      <numFmt numFmtId="3" formatCode="#,##0"/>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175" formatCode="#,##0.00000"/>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35" formatCode="_(* #,##0.00_);_(* \(#,##0.00\);_(* &quot;-&quot;??_);_(@_)"/>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sz val="11"/>
        <color auto="1"/>
        <name val="Bookman Old Style"/>
        <family val="1"/>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name val="Bookman Old Style"/>
        <family val="1"/>
        <scheme val="none"/>
      </font>
      <alignment horizontal="center" vertical="center" textRotation="0" indent="0" justifyLastLine="0" shrinkToFit="0" readingOrder="0"/>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solid">
          <fgColor indexed="64"/>
          <bgColor theme="3" tint="0.39997558519241921"/>
        </patternFill>
      </fill>
      <alignment horizontal="center" vertical="center" textRotation="0" wrapText="1" indent="0" justifyLastLine="0" shrinkToFit="1"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outline="0">
        <right style="thin">
          <color indexed="64"/>
        </right>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4"/>
        <color auto="1"/>
        <name val="Bookman Old Style"/>
        <family val="1"/>
        <scheme val="none"/>
      </font>
      <fill>
        <patternFill patternType="solid">
          <fgColor indexed="64"/>
          <bgColor theme="7" tint="0.79998168889431442"/>
        </patternFill>
      </fill>
      <alignment horizontal="general" vertical="center" textRotation="0" wrapText="0" indent="0" justifyLastLine="0" shrinkToFit="1" readingOrder="0"/>
      <border diagonalUp="0" diagonalDown="0" outline="0">
        <left style="thin">
          <color indexed="64"/>
        </left>
        <right style="thin">
          <color indexed="64"/>
        </right>
        <top style="thin">
          <color indexed="64"/>
        </top>
        <bottom/>
      </border>
      <protection locked="1" hidden="1"/>
    </dxf>
    <dxf>
      <border outline="0">
        <top style="thin">
          <color indexed="64"/>
        </top>
      </border>
    </dxf>
    <dxf>
      <border outline="0">
        <left style="thin">
          <color indexed="64"/>
        </left>
        <right style="thin">
          <color indexed="64"/>
        </right>
        <bottom style="thin">
          <color indexed="64"/>
        </bottom>
      </border>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general" vertical="center" textRotation="0" wrapText="0" indent="0" justifyLastLine="0" shrinkToFit="1"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name val="Bookman Old Style"/>
        <family val="1"/>
        <scheme val="none"/>
      </font>
      <numFmt numFmtId="174" formatCode="#,##0.0000"/>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sz val="11"/>
        <color theme="1"/>
        <name val="Bookman Old Style"/>
        <family val="1"/>
        <scheme val="none"/>
      </font>
      <numFmt numFmtId="4" formatCode="#,##0.0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Bookman Old Style"/>
        <family val="1"/>
        <scheme val="none"/>
      </font>
      <numFmt numFmtId="3" formatCode="#,##0"/>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175" formatCode="#,##0.00000"/>
      <alignment horizontal="center" vertical="bottom" textRotation="0" indent="0" justifyLastLine="0" shrinkToFit="0" readingOrder="0"/>
    </dxf>
    <dxf>
      <font>
        <strike val="0"/>
        <outline val="0"/>
        <shadow val="0"/>
        <u val="none"/>
        <vertAlign val="baseline"/>
        <name val="Bookman Old Style"/>
        <family val="1"/>
        <scheme val="none"/>
      </font>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35" formatCode="_(* #,##0.00_);_(* \(#,##0.00\);_(* &quot;-&quot;??_);_(@_)"/>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sz val="11"/>
        <color auto="1"/>
        <name val="Bookman Old Style"/>
        <family val="1"/>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name val="Bookman Old Style"/>
        <family val="1"/>
        <scheme val="none"/>
      </font>
      <alignment horizontal="center" vertical="center" textRotation="0" indent="0" justifyLastLine="0" shrinkToFit="0" readingOrder="0"/>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solid">
          <fgColor indexed="64"/>
          <bgColor theme="3" tint="0.39997558519241921"/>
        </patternFill>
      </fill>
      <alignment horizontal="center" vertical="center" textRotation="0" wrapText="1" indent="0" justifyLastLine="0" shrinkToFit="1"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outline="0">
        <right style="thin">
          <color indexed="64"/>
        </right>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4"/>
        <color auto="1"/>
        <name val="Bookman Old Style"/>
        <family val="1"/>
        <scheme val="none"/>
      </font>
      <fill>
        <patternFill patternType="solid">
          <fgColor indexed="64"/>
          <bgColor theme="7" tint="0.79998168889431442"/>
        </patternFill>
      </fill>
      <alignment horizontal="general" vertical="center" textRotation="0" wrapText="0" indent="0" justifyLastLine="0" shrinkToFit="1" readingOrder="0"/>
      <border diagonalUp="0" diagonalDown="0" outline="0">
        <left style="thin">
          <color indexed="64"/>
        </left>
        <right style="thin">
          <color indexed="64"/>
        </right>
        <top style="thin">
          <color indexed="64"/>
        </top>
        <bottom/>
      </border>
      <protection locked="1" hidden="1"/>
    </dxf>
    <dxf>
      <border outline="0">
        <top style="thin">
          <color indexed="64"/>
        </top>
      </border>
    </dxf>
    <dxf>
      <border outline="0">
        <left style="thin">
          <color indexed="64"/>
        </left>
        <right style="thin">
          <color indexed="64"/>
        </right>
        <bottom style="thin">
          <color indexed="64"/>
        </bottom>
      </border>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general" vertical="center" textRotation="0" wrapText="0" indent="0" justifyLastLine="0" shrinkToFit="1"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name val="Bookman Old Style"/>
        <family val="1"/>
        <scheme val="none"/>
      </font>
      <numFmt numFmtId="174" formatCode="#,##0.0000"/>
      <alignment horizontal="center" vertical="bottom" textRotation="0" indent="0" justifyLastLine="0" shrinkToFit="0" readingOrder="0"/>
    </dxf>
    <dxf>
      <font>
        <strike val="0"/>
        <outline val="0"/>
        <shadow val="0"/>
        <u val="none"/>
        <vertAlign val="baseline"/>
        <name val="Bookman Old Style"/>
        <family val="1"/>
        <scheme val="none"/>
      </font>
      <numFmt numFmtId="4" formatCode="#,##0.00"/>
      <alignment horizontal="center" vertical="bottom" textRotation="0" indent="0" justifyLastLine="0" shrinkToFit="0" readingOrder="0"/>
    </dxf>
    <dxf>
      <font>
        <strike val="0"/>
        <outline val="0"/>
        <shadow val="0"/>
        <u val="none"/>
        <vertAlign val="baseline"/>
        <sz val="11"/>
        <color theme="1"/>
        <name val="Bookman Old Style"/>
        <family val="1"/>
        <scheme val="none"/>
      </font>
      <numFmt numFmtId="4" formatCode="#,##0.0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Bookman Old Style"/>
        <family val="1"/>
        <scheme val="none"/>
      </font>
      <numFmt numFmtId="4" formatCode="#,##0.00"/>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175" formatCode="#,##0.00000"/>
      <alignment horizontal="center" vertical="bottom" textRotation="0" indent="0" justifyLastLine="0" shrinkToFit="0" readingOrder="0"/>
    </dxf>
    <dxf>
      <font>
        <strike val="0"/>
        <outline val="0"/>
        <shadow val="0"/>
        <u val="none"/>
        <vertAlign val="baseline"/>
        <name val="Bookman Old Style"/>
        <family val="1"/>
        <scheme val="none"/>
      </font>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fill>
        <patternFill patternType="solid">
          <fgColor indexed="64"/>
          <bgColor theme="4" tint="0.79998168889431442"/>
        </patternFill>
      </fill>
      <alignment horizontal="center" vertical="bottom" textRotation="0" indent="0" justifyLastLine="0" shrinkToFit="0" readingOrder="0"/>
    </dxf>
    <dxf>
      <font>
        <strike val="0"/>
        <outline val="0"/>
        <shadow val="0"/>
        <u val="none"/>
        <vertAlign val="baseline"/>
        <name val="Bookman Old Style"/>
        <family val="1"/>
        <scheme val="none"/>
      </font>
      <numFmt numFmtId="35" formatCode="_(* #,##0.00_);_(* \(#,##0.00\);_(* &quot;-&quot;??_);_(@_)"/>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name val="Bookman Old Style"/>
        <family val="1"/>
        <scheme val="none"/>
      </font>
      <alignment horizontal="center" vertical="bottom" textRotation="0" indent="0" justifyLastLine="0" shrinkToFit="0" readingOrder="0"/>
    </dxf>
    <dxf>
      <font>
        <strike val="0"/>
        <outline val="0"/>
        <shadow val="0"/>
        <u val="none"/>
        <vertAlign val="baseline"/>
        <sz val="11"/>
        <color auto="1"/>
        <name val="Bookman Old Style"/>
        <family val="1"/>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numFmt numFmtId="3" formatCode="#,##0"/>
      <fill>
        <patternFill patternType="none">
          <fgColor indexed="64"/>
          <bgColor indexed="65"/>
        </patternFill>
      </fill>
      <alignment horizontal="center" vertical="center" textRotation="0" wrapText="1"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name val="Bookman Old Style"/>
        <family val="1"/>
        <scheme val="none"/>
      </font>
      <alignment horizontal="center" vertical="center" textRotation="0" indent="0" justifyLastLine="0" shrinkToFit="0" readingOrder="0"/>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solid">
          <fgColor indexed="64"/>
          <bgColor theme="3" tint="0.39997558519241921"/>
        </patternFill>
      </fill>
      <alignment horizontal="center" vertical="center" textRotation="0" wrapText="1" indent="0" justifyLastLine="0" shrinkToFit="1"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0"/>
        <color rgb="FFC00000"/>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font>
        <b/>
        <i/>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indexed="64"/>
        </top>
        <bottom/>
      </border>
      <protection locked="1" hidden="1"/>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0"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numFmt numFmtId="4" formatCode="#,##0.00"/>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general" vertical="center" textRotation="0" wrapText="0" indent="0" justifyLastLine="0" shrinkToFit="1" readingOrder="0"/>
      <border outline="0">
        <right style="thin">
          <color indexed="64"/>
        </right>
      </border>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protection locked="1" hidden="1"/>
    </dxf>
    <dxf>
      <font>
        <b val="0"/>
        <i val="0"/>
        <strike val="0"/>
        <condense val="0"/>
        <extend val="0"/>
        <outline val="0"/>
        <shadow val="0"/>
        <u val="none"/>
        <vertAlign val="baseline"/>
        <sz val="10"/>
        <color auto="1"/>
        <name val="Bookman Old Style"/>
        <family val="1"/>
        <scheme val="none"/>
      </font>
      <numFmt numFmtId="4" formatCode="#,##0.00"/>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border>
      <protection locked="1" hidden="1"/>
    </dxf>
    <dxf>
      <font>
        <b/>
        <i val="0"/>
        <strike val="0"/>
        <condense val="0"/>
        <extend val="0"/>
        <outline val="0"/>
        <shadow val="0"/>
        <u val="none"/>
        <vertAlign val="baseline"/>
        <sz val="14"/>
        <color auto="1"/>
        <name val="Bookman Old Style"/>
        <family val="1"/>
        <scheme val="none"/>
      </font>
      <fill>
        <patternFill patternType="solid">
          <fgColor indexed="64"/>
          <bgColor theme="7" tint="0.79998168889431442"/>
        </patternFill>
      </fill>
      <alignment horizontal="general" vertical="center" textRotation="0" wrapText="0" indent="0" justifyLastLine="0" shrinkToFit="1" readingOrder="0"/>
      <border diagonalUp="0" diagonalDown="0" outline="0">
        <left style="thin">
          <color indexed="64"/>
        </left>
        <right style="thin">
          <color indexed="64"/>
        </right>
        <top style="thin">
          <color indexed="64"/>
        </top>
        <bottom/>
      </border>
      <protection locked="1" hidden="1"/>
    </dxf>
    <dxf>
      <border outline="0">
        <top style="thin">
          <color indexed="64"/>
        </top>
      </border>
    </dxf>
    <dxf>
      <border outline="0">
        <left style="thin">
          <color indexed="64"/>
        </left>
        <right style="thin">
          <color indexed="64"/>
        </right>
        <bottom style="thin">
          <color indexed="64"/>
        </bottom>
      </border>
    </dxf>
    <dxf>
      <font>
        <b val="0"/>
        <i val="0"/>
        <strike val="0"/>
        <condense val="0"/>
        <extend val="0"/>
        <outline val="0"/>
        <shadow val="0"/>
        <u val="none"/>
        <vertAlign val="baseline"/>
        <sz val="10"/>
        <color auto="1"/>
        <name val="Bookman Old Style"/>
        <family val="1"/>
        <scheme val="none"/>
      </font>
      <fill>
        <patternFill patternType="none">
          <fgColor indexed="64"/>
          <bgColor indexed="65"/>
        </patternFill>
      </fill>
      <alignment horizontal="general" vertical="center" textRotation="0" wrapText="0" indent="0" justifyLastLine="0" shrinkToFit="1" readingOrder="0"/>
      <protection locked="1" hidden="1"/>
    </dxf>
    <dxf>
      <border outline="0">
        <bottom style="thin">
          <color indexed="64"/>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
      <protection locked="0" hidden="0"/>
    </dxf>
    <dxf>
      <protection locked="0" hidden="0"/>
    </dxf>
    <dxf>
      <protection locked="0" hidden="0"/>
    </dxf>
    <dxf>
      <protection locked="0" hidden="0"/>
    </dxf>
    <dxf>
      <border outline="0">
        <right style="thin">
          <color indexed="64"/>
        </right>
      </border>
    </dxf>
    <dxf>
      <protection locked="0" hidden="0"/>
    </dxf>
    <dxf>
      <protection locked="0" hidden="0"/>
    </dxf>
    <dxf>
      <font>
        <b/>
        <i val="0"/>
        <strike val="0"/>
        <condense val="0"/>
        <extend val="0"/>
        <outline val="0"/>
        <shadow val="0"/>
        <u val="none"/>
        <vertAlign val="baseline"/>
        <sz val="11"/>
        <color theme="0"/>
        <name val="Bookman Old Style"/>
        <family val="1"/>
        <scheme val="none"/>
      </font>
      <fill>
        <patternFill patternType="solid">
          <fgColor indexed="64"/>
          <bgColor theme="9" tint="-0.499984740745262"/>
        </patternFill>
      </fill>
      <alignment horizontal="center" vertical="bottom" textRotation="0" wrapText="1" indent="0" justifyLastLine="0" shrinkToFit="0" readingOrder="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font>
        <b/>
        <i val="0"/>
        <strike val="0"/>
        <condense val="0"/>
        <extend val="0"/>
        <outline val="0"/>
        <shadow val="0"/>
        <u val="none"/>
        <vertAlign val="baseline"/>
        <sz val="11"/>
        <color theme="0"/>
        <name val="Bookman Old Style"/>
        <family val="1"/>
        <scheme val="none"/>
      </font>
      <fill>
        <patternFill patternType="solid">
          <fgColor indexed="64"/>
          <bgColor theme="9" tint="-0.499984740745262"/>
        </patternFill>
      </fill>
      <alignment horizontal="center" vertical="bottom" textRotation="0" wrapText="1" indent="0" justifyLastLine="0" shrinkToFit="0" readingOrder="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protection locked="0" hidden="0"/>
    </dxf>
    <dxf>
      <font>
        <b/>
        <i val="0"/>
        <strike val="0"/>
        <condense val="0"/>
        <extend val="0"/>
        <outline val="0"/>
        <shadow val="0"/>
        <u val="none"/>
        <vertAlign val="baseline"/>
        <sz val="11"/>
        <color theme="0"/>
        <name val="Sakkal Majalla"/>
        <scheme val="none"/>
      </font>
      <fill>
        <patternFill patternType="solid">
          <fgColor theme="9"/>
          <bgColor theme="9"/>
        </patternFill>
      </fill>
      <alignment horizontal="center" vertical="center" textRotation="0" wrapText="1" indent="0" justifyLastLine="0" shrinkToFit="0" readingOrder="0"/>
      <protection locked="0" hidden="0"/>
    </dxf>
    <dxf>
      <font>
        <b/>
        <i val="0"/>
        <strike val="0"/>
        <condense val="0"/>
        <extend val="0"/>
        <outline val="0"/>
        <shadow val="0"/>
        <u val="none"/>
        <vertAlign val="baseline"/>
        <sz val="11"/>
        <color theme="0"/>
        <name val="Bookman Old Style"/>
        <family val="1"/>
        <scheme val="none"/>
      </font>
      <fill>
        <patternFill patternType="solid">
          <fgColor indexed="64"/>
          <bgColor theme="9" tint="-0.499984740745262"/>
        </patternFill>
      </fill>
      <alignment horizontal="center" vertical="bottom" textRotation="0" wrapText="1" indent="0" justifyLastLine="0" shrinkToFit="0" readingOrder="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font>
        <b/>
        <i val="0"/>
        <strike val="0"/>
        <condense val="0"/>
        <extend val="0"/>
        <outline val="0"/>
        <shadow val="0"/>
        <u val="none"/>
        <vertAlign val="baseline"/>
        <sz val="11"/>
        <color theme="0"/>
        <name val="Bookman Old Style"/>
        <family val="1"/>
        <scheme val="none"/>
      </font>
      <fill>
        <patternFill patternType="solid">
          <fgColor indexed="64"/>
          <bgColor theme="9" tint="-0.499984740745262"/>
        </patternFill>
      </fill>
      <alignment horizontal="center" vertical="bottom" textRotation="0" wrapText="1" indent="0" justifyLastLine="0" shrinkToFit="0" readingOrder="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numFmt numFmtId="4" formatCode="#,##0.00"/>
      <protection locked="0" hidden="0"/>
    </dxf>
    <dxf>
      <protection locked="0" hidden="0"/>
    </dxf>
    <dxf>
      <font>
        <b/>
        <i val="0"/>
        <strike val="0"/>
        <condense val="0"/>
        <extend val="0"/>
        <outline val="0"/>
        <shadow val="0"/>
        <u val="none"/>
        <vertAlign val="baseline"/>
        <sz val="11"/>
        <color theme="0"/>
        <name val="Sakkal Majalla"/>
        <scheme val="none"/>
      </font>
      <fill>
        <patternFill patternType="solid">
          <fgColor theme="9"/>
          <bgColor theme="9"/>
        </patternFill>
      </fill>
      <alignment horizontal="center" vertical="center" textRotation="0" wrapText="1" indent="0" justifyLastLine="0" shrinkToFit="0" readingOrder="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protection locked="0" hidden="0"/>
    </dxf>
    <dxf>
      <numFmt numFmtId="4" formatCode="#,##0.00"/>
      <protection locked="0" hidden="0"/>
    </dxf>
    <dxf>
      <numFmt numFmtId="0" formatCode="General"/>
      <protection locked="0" hidden="0"/>
    </dxf>
    <dxf>
      <numFmt numFmtId="4" formatCode="#,##0.00"/>
      <protection locked="0" hidden="0"/>
    </dxf>
    <dxf>
      <numFmt numFmtId="0" formatCode="General"/>
      <protection locked="0" hidden="0"/>
    </dxf>
    <dxf>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1" hidden="0"/>
    </dxf>
    <dxf>
      <numFmt numFmtId="0" formatCode="General"/>
      <protection locked="0" hidden="0"/>
    </dxf>
    <dxf>
      <numFmt numFmtId="4" formatCode="#,##0.00"/>
      <protection locked="0" hidden="0"/>
    </dxf>
    <dxf>
      <numFmt numFmtId="0" formatCode="General"/>
      <protection locked="0" hidden="0"/>
    </dxf>
    <dxf>
      <protection locked="0" hidden="0"/>
    </dxf>
    <dxf>
      <numFmt numFmtId="0" formatCode="General"/>
      <protection locked="0" hidden="0"/>
    </dxf>
    <dxf>
      <protection locked="0" hidden="0"/>
    </dxf>
    <dxf>
      <protection locked="0" hidden="0"/>
    </dxf>
    <dxf>
      <protection locked="0" hidden="0"/>
    </dxf>
    <dxf>
      <font>
        <b/>
        <i val="0"/>
        <strike val="0"/>
        <condense val="0"/>
        <extend val="0"/>
        <outline val="0"/>
        <shadow val="0"/>
        <u val="none"/>
        <vertAlign val="baseline"/>
        <sz val="11"/>
        <color theme="0"/>
        <name val="Sakkal Majalla"/>
        <scheme val="none"/>
      </font>
      <fill>
        <patternFill patternType="solid">
          <fgColor theme="9"/>
          <bgColor theme="9"/>
        </patternFill>
      </fill>
      <alignment horizontal="center" vertical="center" textRotation="0" wrapText="1" indent="0" justifyLastLine="0" shrinkToFit="0" readingOrder="0"/>
      <protection locked="0" hidden="0"/>
    </dxf>
    <dxf>
      <protection locked="1" hidden="1"/>
    </dxf>
    <dxf>
      <font>
        <strike val="0"/>
        <outline val="0"/>
        <shadow val="0"/>
        <u val="none"/>
        <vertAlign val="baseline"/>
        <name val="Bookman Old Style"/>
        <family val="1"/>
        <scheme val="none"/>
      </font>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76" formatCode="#,##0.00_ ;\-#,##0.00\ "/>
      <alignment horizontal="right" vertical="center" textRotation="0" wrapText="0" indent="0" justifyLastLine="0" shrinkToFit="0" readingOrder="0"/>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4" formatCode="0.00%"/>
      <fill>
        <patternFill patternType="solid">
          <fgColor indexed="64"/>
          <bgColor theme="7" tint="0.79998168889431442"/>
        </patternFill>
      </fill>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right" vertical="center" textRotation="0" indent="0" justifyLastLine="0" shrinkToFit="0" readingOrder="0"/>
      <protection locked="1" hidden="1"/>
    </dxf>
    <dxf>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left" vertical="center" textRotation="0" indent="0" justifyLastLine="0" readingOrder="0"/>
      <protection locked="1" hidden="1"/>
    </dxf>
    <dxf>
      <protection locked="1" hidden="1"/>
    </dxf>
    <dxf>
      <font>
        <strike val="0"/>
        <outline val="0"/>
        <shadow val="0"/>
        <u val="none"/>
        <vertAlign val="baseline"/>
        <sz val="12"/>
        <name val="Bookman Old Style"/>
        <family val="1"/>
        <scheme val="none"/>
      </font>
      <fill>
        <patternFill patternType="solid">
          <fgColor indexed="64"/>
          <bgColor theme="7" tint="0.79998168889431442"/>
        </patternFill>
      </fill>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1"/>
        <color theme="1"/>
        <name val="Bookman Old Style"/>
        <family val="1"/>
        <scheme val="none"/>
      </font>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strike val="0"/>
        <outline val="0"/>
        <shadow val="0"/>
        <u val="none"/>
        <vertAlign val="baseline"/>
        <name val="Bookman Old Style"/>
        <family val="1"/>
        <scheme val="none"/>
      </font>
      <numFmt numFmtId="4" formatCode="#,##0.00"/>
      <fill>
        <patternFill patternType="solid">
          <fgColor indexed="64"/>
          <bgColor theme="7" tint="0.79998168889431442"/>
        </patternFill>
      </fill>
      <alignment horizontal="left" vertical="center" textRotation="0" wrapText="0" indent="0" justifyLastLine="0" shrinkToFit="1" readingOrder="0"/>
      <protection locked="1" hidden="1"/>
    </dxf>
    <dxf>
      <font>
        <strike val="0"/>
        <outline val="0"/>
        <shadow val="0"/>
        <u val="none"/>
        <vertAlign val="baseline"/>
        <name val="Bookman Old Style"/>
        <family val="1"/>
        <scheme val="none"/>
      </font>
      <protection locked="1" hidden="1"/>
    </dxf>
    <dxf>
      <font>
        <strike val="0"/>
        <outline val="0"/>
        <shadow val="0"/>
        <u val="none"/>
        <vertAlign val="baseline"/>
        <name val="Bookman Old Style"/>
        <family val="1"/>
        <scheme val="none"/>
      </font>
      <protection locked="1" hidden="1"/>
    </dxf>
    <dxf>
      <font>
        <strike val="0"/>
        <outline val="0"/>
        <shadow val="0"/>
        <u val="none"/>
        <vertAlign val="baseline"/>
        <sz val="11"/>
        <color auto="1"/>
        <name val="Bookman Old Style"/>
        <family val="1"/>
        <scheme val="none"/>
      </font>
      <alignment horizontal="center" vertical="center" textRotation="0" wrapText="0" indent="0" justifyLastLine="0" shrinkToFit="0" readingOrder="0"/>
      <protection locked="1" hidden="1"/>
    </dxf>
    <dxf>
      <protection locked="1" hidden="1"/>
    </dxf>
    <dxf>
      <font>
        <strike val="0"/>
        <outline val="0"/>
        <shadow val="0"/>
        <u val="none"/>
        <vertAlign val="baseline"/>
        <name val="Bookman Old Style"/>
        <family val="1"/>
        <scheme val="none"/>
      </font>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76" formatCode="#,##0.00_ ;\-#,##0.00\ "/>
      <alignment horizontal="right" vertical="center" textRotation="0" wrapText="0" indent="0" justifyLastLine="0" shrinkToFit="0" readingOrder="0"/>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4" formatCode="0.00%"/>
      <fill>
        <patternFill patternType="solid">
          <fgColor indexed="64"/>
          <bgColor theme="7" tint="0.79998168889431442"/>
        </patternFill>
      </fill>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protection locked="1" hidden="1"/>
    </dxf>
    <dxf>
      <font>
        <strike val="0"/>
        <outline val="0"/>
        <shadow val="0"/>
        <u val="none"/>
        <vertAlign val="baseline"/>
        <sz val="12"/>
        <name val="Bookman Old Style"/>
        <family val="1"/>
        <scheme val="none"/>
      </font>
      <numFmt numFmtId="3" formatCode="#,##0"/>
      <fill>
        <patternFill patternType="solid">
          <fgColor indexed="64"/>
          <bgColor theme="7" tint="0.79998168889431442"/>
        </patternFill>
      </fill>
      <alignment horizontal="center" vertical="center" textRotation="0" wrapText="0" indent="0" justifyLastLine="0" shrinkToFit="1" readingOrder="0"/>
      <protection locked="1" hidden="1"/>
    </dxf>
    <dxf>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left" vertical="center" textRotation="0" indent="0" justifyLastLine="0" readingOrder="0"/>
      <protection locked="1" hidden="1"/>
    </dxf>
    <dxf>
      <protection locked="1" hidden="1"/>
    </dxf>
    <dxf>
      <font>
        <strike val="0"/>
        <outline val="0"/>
        <shadow val="0"/>
        <u val="none"/>
        <vertAlign val="baseline"/>
        <name val="Bookman Old Style"/>
        <family val="1"/>
        <scheme val="none"/>
      </font>
      <numFmt numFmtId="4" formatCode="#,##0.00"/>
      <fill>
        <patternFill patternType="solid">
          <fgColor indexed="64"/>
          <bgColor theme="7" tint="0.79998168889431442"/>
        </patternFill>
      </fill>
      <alignment horizontal="left" vertical="center" textRotation="0" wrapText="1" indent="0" justifyLastLine="0" shrinkToFit="0"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alignment horizontal="left" vertical="center"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fill>
        <patternFill patternType="solid">
          <fgColor indexed="64"/>
          <bgColor theme="7" tint="0.79998168889431442"/>
        </patternFill>
      </fill>
      <alignment horizontal="left" vertical="center" textRotation="0" wrapText="0" indent="1" justifyLastLine="0" shrinkToFit="1" readingOrder="0"/>
      <protection locked="1" hidden="1"/>
    </dxf>
    <dxf>
      <font>
        <b/>
        <strike val="0"/>
        <outline val="0"/>
        <shadow val="0"/>
        <u val="none"/>
        <vertAlign val="baseline"/>
        <name val="Bookman Old Style"/>
        <family val="1"/>
        <scheme val="none"/>
      </font>
      <numFmt numFmtId="4" formatCode="#,##0.00"/>
      <fill>
        <patternFill patternType="solid">
          <fgColor indexed="64"/>
          <bgColor theme="7" tint="0.79998168889431442"/>
        </patternFill>
      </fill>
      <alignment horizontal="left" vertical="center" textRotation="0" wrapText="0" indent="0" justifyLastLine="0" shrinkToFit="1" readingOrder="0"/>
      <protection locked="1" hidden="1"/>
    </dxf>
    <dxf>
      <font>
        <strike val="0"/>
        <outline val="0"/>
        <shadow val="0"/>
        <u val="none"/>
        <vertAlign val="baseline"/>
        <name val="Bookman Old Style"/>
        <family val="1"/>
        <scheme val="none"/>
      </font>
      <protection locked="1" hidden="1"/>
    </dxf>
    <dxf>
      <font>
        <strike val="0"/>
        <outline val="0"/>
        <shadow val="0"/>
        <u val="none"/>
        <vertAlign val="baseline"/>
        <name val="Bookman Old Style"/>
        <family val="1"/>
        <scheme val="none"/>
      </font>
      <protection locked="1" hidden="1"/>
    </dxf>
    <dxf>
      <font>
        <strike val="0"/>
        <outline val="0"/>
        <shadow val="0"/>
        <u val="none"/>
        <vertAlign val="baseline"/>
        <sz val="11"/>
        <color auto="1"/>
        <name val="Bookman Old Style"/>
        <family val="1"/>
        <scheme val="none"/>
      </font>
      <alignment horizontal="center" vertical="center" textRotation="0" wrapText="0" indent="0" justifyLastLine="0" shrinkToFit="0" readingOrder="0"/>
      <protection locked="1" hidden="1"/>
    </dxf>
    <dxf>
      <protection locked="1" hidden="1"/>
    </dxf>
    <dxf>
      <font>
        <strike val="0"/>
        <outline val="0"/>
        <shadow val="0"/>
        <u val="none"/>
        <vertAlign val="baseline"/>
        <name val="Bookman Old Style"/>
        <family val="1"/>
        <scheme val="none"/>
      </font>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76" formatCode="#,##0.00_ ;\-#,##0.00\ "/>
      <alignment horizontal="right" vertical="center" textRotation="0" wrapText="0" indent="0" justifyLastLine="0" shrinkToFit="0" readingOrder="0"/>
      <protection locked="1" hidden="1"/>
    </dxf>
    <dxf>
      <protection locked="1" hidden="1"/>
    </dxf>
    <dxf>
      <font>
        <b val="0"/>
        <i val="0"/>
        <strike val="0"/>
        <condense val="0"/>
        <extend val="0"/>
        <outline val="0"/>
        <shadow val="0"/>
        <u val="none"/>
        <vertAlign val="baseline"/>
        <sz val="12"/>
        <color theme="1"/>
        <name val="Bookman Old Style"/>
        <family val="1"/>
        <scheme val="none"/>
      </font>
      <numFmt numFmtId="14" formatCode="0.00%"/>
      <fill>
        <patternFill patternType="solid">
          <fgColor indexed="64"/>
          <bgColor theme="7" tint="0.79998168889431442"/>
        </patternFill>
      </fill>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numFmt numFmtId="3" formatCode="#,##0"/>
      <protection locked="1" hidden="1"/>
    </dxf>
    <dxf>
      <font>
        <strike val="0"/>
        <outline val="0"/>
        <shadow val="0"/>
        <u val="none"/>
        <vertAlign val="baseline"/>
        <sz val="12"/>
        <name val="Bookman Old Style"/>
        <family val="1"/>
        <scheme val="none"/>
      </font>
      <numFmt numFmtId="3" formatCode="#,##0"/>
      <alignment horizontal="right" vertical="center" textRotation="0" wrapText="0" indent="0" justifyLastLine="0" shrinkToFit="0" readingOrder="0"/>
      <protection locked="1" hidden="1"/>
    </dxf>
    <dxf>
      <protection locked="1" hidden="1"/>
    </dxf>
    <dxf>
      <font>
        <strike val="0"/>
        <outline val="0"/>
        <shadow val="0"/>
        <u val="none"/>
        <vertAlign val="baseline"/>
        <name val="Bookman Old Style"/>
        <family val="1"/>
        <scheme val="none"/>
      </font>
      <numFmt numFmtId="167" formatCode="_(* #,##0_);_(* \(#,##0\);_(* &quot;-&quot;??_);_(@_)"/>
      <fill>
        <patternFill patternType="solid">
          <fgColor indexed="64"/>
          <bgColor theme="7" tint="0.79998168889431442"/>
        </patternFill>
      </fill>
      <alignment horizontal="right" vertical="center" textRotation="0" indent="0" justifyLastLine="0" shrinkToFit="0" readingOrder="0"/>
      <protection locked="1" hidden="1"/>
    </dxf>
    <dxf>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center" vertical="center" textRotation="0" wrapText="0" indent="0" justifyLastLine="0" shrinkToFit="0" readingOrder="0"/>
      <protection locked="1" hidden="1"/>
    </dxf>
    <dxf>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left" vertical="center" textRotation="0" wrapText="1" indent="0" justifyLastLine="0" shrinkToFit="0"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b val="0"/>
        <i val="0"/>
        <strike val="0"/>
        <condense val="0"/>
        <extend val="0"/>
        <outline val="0"/>
        <shadow val="0"/>
        <u val="none"/>
        <vertAlign val="baseline"/>
        <sz val="12"/>
        <color theme="1"/>
        <name val="Bookman Old Style"/>
        <family val="1"/>
        <scheme val="none"/>
      </font>
      <alignment horizontal="left" vertical="center" textRotation="0" wrapText="0" indent="0" justifyLastLine="0" shrinkToFit="1" readingOrder="0"/>
      <protection locked="1" hidden="1"/>
    </dxf>
    <dxf>
      <alignment horizontal="general" vertical="bottom" textRotation="0" wrapText="0" indent="0" justifyLastLine="0" shrinkToFit="1" readingOrder="0"/>
      <protection locked="1" hidden="1"/>
    </dxf>
    <dxf>
      <font>
        <strike val="0"/>
        <outline val="0"/>
        <shadow val="0"/>
        <u val="none"/>
        <vertAlign val="baseline"/>
        <name val="Bookman Old Style"/>
        <family val="1"/>
        <scheme val="none"/>
      </font>
      <fill>
        <patternFill patternType="solid">
          <fgColor indexed="64"/>
          <bgColor theme="7" tint="0.79998168889431442"/>
        </patternFill>
      </fill>
      <alignment horizontal="left" vertical="center" textRotation="0" wrapText="0" indent="0" justifyLastLine="0" shrinkToFit="1" readingOrder="0"/>
      <protection locked="1" hidden="1"/>
    </dxf>
    <dxf>
      <font>
        <strike val="0"/>
        <outline val="0"/>
        <shadow val="0"/>
        <u val="none"/>
        <vertAlign val="baseline"/>
        <name val="Bookman Old Style"/>
        <family val="1"/>
        <scheme val="none"/>
      </font>
      <protection locked="1" hidden="1"/>
    </dxf>
    <dxf>
      <font>
        <strike val="0"/>
        <outline val="0"/>
        <shadow val="0"/>
        <u val="none"/>
        <vertAlign val="baseline"/>
        <name val="Bookman Old Style"/>
        <family val="1"/>
        <scheme val="none"/>
      </font>
      <protection locked="1" hidden="1"/>
    </dxf>
    <dxf>
      <font>
        <strike val="0"/>
        <outline val="0"/>
        <shadow val="0"/>
        <u val="none"/>
        <vertAlign val="baseline"/>
        <sz val="11"/>
        <color auto="1"/>
        <name val="Bookman Old Style"/>
        <family val="1"/>
        <scheme val="none"/>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right style="thin">
          <color theme="4" tint="0.39997558519241921"/>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border diagonalUp="0" diagonalDown="0" outline="0">
        <left style="medium">
          <color indexed="64"/>
        </left>
        <right/>
        <top/>
        <bottom/>
      </border>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numFmt numFmtId="176" formatCode="#,##0.00_ ;\-#,##0.00\ "/>
      <fill>
        <patternFill patternType="none">
          <fgColor indexed="64"/>
          <bgColor indexed="65"/>
        </patternFill>
      </fill>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numFmt numFmtId="13" formatCode="0%"/>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fill>
        <patternFill patternType="none">
          <fgColor indexed="64"/>
          <bgColor indexed="65"/>
        </patternFill>
      </fill>
      <border diagonalUp="0" diagonalDown="0" outline="0">
        <left/>
        <right style="thin">
          <color theme="4" tint="0.39997558519241921"/>
        </right>
        <top/>
        <bottom/>
      </border>
      <protection locked="1" hidden="1"/>
    </dxf>
    <dxf>
      <font>
        <strike val="0"/>
        <outline val="0"/>
        <shadow val="0"/>
        <vertAlign val="baseline"/>
        <name val="Bookman Old Style"/>
        <family val="1"/>
        <scheme val="none"/>
      </font>
      <numFmt numFmtId="4" formatCode="#,##0.00"/>
      <protection locked="1" hidden="1"/>
    </dxf>
    <dxf>
      <fill>
        <patternFill patternType="none">
          <fgColor indexed="64"/>
          <bgColor auto="1"/>
        </patternFill>
      </fill>
    </dxf>
    <dxf>
      <border outline="0">
        <left style="thin">
          <color theme="4" tint="0.39997558519241921"/>
        </left>
        <top style="thin">
          <color theme="4" tint="0.39997558519241921"/>
        </top>
      </border>
    </dxf>
    <dxf>
      <font>
        <strike val="0"/>
        <outline val="0"/>
        <shadow val="0"/>
        <vertAlign val="baseline"/>
        <name val="Bookman Old Style"/>
        <family val="1"/>
        <scheme val="none"/>
      </font>
      <protection locked="1" hidden="1"/>
    </dxf>
    <dxf>
      <border outline="0">
        <bottom style="thin">
          <color theme="4" tint="0.39994506668294322"/>
        </bottom>
      </border>
    </dxf>
    <dxf>
      <font>
        <b/>
        <i val="0"/>
        <strike val="0"/>
        <condense val="0"/>
        <extend val="0"/>
        <outline val="0"/>
        <shadow val="0"/>
        <u val="none"/>
        <vertAlign val="baseline"/>
        <sz val="11"/>
        <color auto="1"/>
        <name val="Bookman Old Style"/>
        <family val="1"/>
        <scheme val="none"/>
      </font>
      <fill>
        <patternFill patternType="solid">
          <fgColor indexed="64"/>
          <bgColor theme="0" tint="-0.499984740745262"/>
        </patternFill>
      </fill>
      <alignment horizontal="center" vertical="top" textRotation="0" wrapText="1" indent="0" justifyLastLine="0" shrinkToFit="0" readingOrder="0"/>
      <border diagonalUp="0" diagonalDown="0" outline="0">
        <left style="thin">
          <color theme="4" tint="0.39994506668294322"/>
        </left>
        <right style="thin">
          <color theme="4" tint="0.39994506668294322"/>
        </right>
        <top/>
        <bottom/>
      </border>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right style="thin">
          <color theme="4" tint="0.39997558519241921"/>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border diagonalUp="0" diagonalDown="0" outline="0">
        <left style="medium">
          <color indexed="64"/>
        </left>
        <right/>
        <top/>
        <bottom/>
      </border>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numFmt numFmtId="176" formatCode="#,##0.00_ ;\-#,##0.00\ "/>
      <fill>
        <patternFill patternType="none">
          <fgColor indexed="64"/>
          <bgColor indexed="65"/>
        </patternFill>
      </fill>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numFmt numFmtId="13" formatCode="0%"/>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fill>
        <patternFill patternType="none">
          <fgColor indexed="64"/>
          <bgColor indexed="65"/>
        </patternFill>
      </fill>
      <border diagonalUp="0" diagonalDown="0" outline="0">
        <left/>
        <right style="thin">
          <color theme="4" tint="0.39997558519241921"/>
        </right>
        <top/>
        <bottom/>
      </border>
      <protection locked="1" hidden="1"/>
    </dxf>
    <dxf>
      <font>
        <strike val="0"/>
        <outline val="0"/>
        <shadow val="0"/>
        <vertAlign val="baseline"/>
        <name val="Bookman Old Style"/>
        <family val="1"/>
        <scheme val="none"/>
      </font>
      <numFmt numFmtId="4" formatCode="#,##0.00"/>
      <protection locked="1" hidden="1"/>
    </dxf>
    <dxf>
      <fill>
        <patternFill patternType="none">
          <fgColor indexed="64"/>
          <bgColor auto="1"/>
        </patternFill>
      </fill>
    </dxf>
    <dxf>
      <border outline="0">
        <left style="thin">
          <color theme="4" tint="0.39997558519241921"/>
        </left>
        <top style="thin">
          <color theme="4" tint="0.39997558519241921"/>
        </top>
      </border>
    </dxf>
    <dxf>
      <font>
        <strike val="0"/>
        <outline val="0"/>
        <shadow val="0"/>
        <vertAlign val="baseline"/>
        <name val="Bookman Old Style"/>
        <family val="1"/>
        <scheme val="none"/>
      </font>
      <protection locked="1" hidden="1"/>
    </dxf>
    <dxf>
      <border outline="0">
        <bottom style="thin">
          <color theme="4" tint="0.39994506668294322"/>
        </bottom>
      </border>
    </dxf>
    <dxf>
      <font>
        <b/>
        <i val="0"/>
        <strike val="0"/>
        <condense val="0"/>
        <extend val="0"/>
        <outline val="0"/>
        <shadow val="0"/>
        <u val="none"/>
        <vertAlign val="baseline"/>
        <sz val="11"/>
        <color auto="1"/>
        <name val="Bookman Old Style"/>
        <family val="1"/>
        <scheme val="none"/>
      </font>
      <fill>
        <patternFill patternType="solid">
          <fgColor indexed="64"/>
          <bgColor theme="0" tint="-0.499984740745262"/>
        </patternFill>
      </fill>
      <alignment horizontal="center" vertical="top" textRotation="0" wrapText="1" indent="0" justifyLastLine="0" shrinkToFit="0" readingOrder="0"/>
      <border diagonalUp="0" diagonalDown="0" outline="0">
        <left style="thin">
          <color theme="4" tint="0.39994506668294322"/>
        </left>
        <right style="thin">
          <color theme="4" tint="0.39994506668294322"/>
        </right>
        <top/>
        <bottom/>
      </border>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right style="thin">
          <color theme="4" tint="0.39997558519241921"/>
        </right>
        <top/>
        <bottom/>
      </border>
      <protection locked="1" hidden="1"/>
    </dxf>
    <dxf>
      <font>
        <strike val="0"/>
        <outline val="0"/>
        <shadow val="0"/>
        <vertAlign val="baseline"/>
        <sz val="11"/>
        <color auto="1"/>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sz val="11"/>
        <color auto="1"/>
        <name val="Bookman Old Style"/>
        <family val="1"/>
        <scheme val="none"/>
      </font>
      <border diagonalUp="0" diagonalDown="0">
        <left style="medium">
          <color indexed="64"/>
        </left>
        <right/>
        <top/>
        <bottom/>
      </border>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border diagonalUp="0" diagonalDown="0" outline="0">
        <left style="thin">
          <color theme="4" tint="0.39997558519241921"/>
        </left>
        <right/>
        <top/>
        <bottom/>
      </border>
      <protection locked="1" hidden="1"/>
    </dxf>
    <dxf>
      <font>
        <strike val="0"/>
        <outline val="0"/>
        <shadow val="0"/>
        <vertAlign val="baseline"/>
        <name val="Bookman Old Style"/>
        <family val="1"/>
        <scheme val="none"/>
      </font>
      <numFmt numFmtId="176" formatCode="#,##0.00_ ;\-#,##0.00\ "/>
      <fill>
        <patternFill patternType="none">
          <fgColor indexed="64"/>
          <bgColor indexed="65"/>
        </patternFill>
      </fill>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numFmt numFmtId="13" formatCode="0%"/>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auto="1"/>
        </patternFill>
      </fill>
      <protection locked="1" hidden="1"/>
    </dxf>
    <dxf>
      <font>
        <strike val="0"/>
        <outline val="0"/>
        <shadow val="0"/>
        <vertAlign val="baseline"/>
        <name val="Bookman Old Style"/>
        <family val="1"/>
        <scheme val="none"/>
      </font>
      <protection locked="1" hidden="1"/>
    </dxf>
    <dxf>
      <font>
        <b val="0"/>
        <i val="0"/>
        <strike val="0"/>
        <condense val="0"/>
        <extend val="0"/>
        <outline val="0"/>
        <shadow val="0"/>
        <u val="none"/>
        <vertAlign val="baseline"/>
        <sz val="11"/>
        <color theme="1"/>
        <name val="Arial"/>
        <family val="2"/>
        <scheme val="minor"/>
      </font>
      <fill>
        <patternFill patternType="none">
          <fgColor indexed="64"/>
          <bgColor indexed="65"/>
        </patternFill>
      </fill>
      <border diagonalUp="0" diagonalDown="0" outline="0">
        <left/>
        <right style="thin">
          <color theme="4" tint="0.39997558519241921"/>
        </right>
        <top/>
        <bottom/>
      </border>
      <protection locked="1" hidden="1"/>
    </dxf>
    <dxf>
      <font>
        <strike val="0"/>
        <outline val="0"/>
        <shadow val="0"/>
        <vertAlign val="baseline"/>
        <name val="Bookman Old Style"/>
        <family val="1"/>
        <scheme val="none"/>
      </font>
      <protection locked="1" hidden="1"/>
    </dxf>
    <dxf>
      <fill>
        <patternFill patternType="none">
          <fgColor indexed="64"/>
          <bgColor auto="1"/>
        </patternFill>
      </fill>
    </dxf>
    <dxf>
      <border outline="0">
        <left style="thin">
          <color theme="4" tint="0.39997558519241921"/>
        </left>
        <top style="thin">
          <color theme="4" tint="0.39997558519241921"/>
        </top>
      </border>
    </dxf>
    <dxf>
      <font>
        <strike val="0"/>
        <outline val="0"/>
        <shadow val="0"/>
        <vertAlign val="baseline"/>
        <name val="Bookman Old Style"/>
        <family val="1"/>
        <scheme val="none"/>
      </font>
      <protection locked="1" hidden="1"/>
    </dxf>
    <dxf>
      <border outline="0">
        <bottom style="thin">
          <color theme="4" tint="0.39994506668294322"/>
        </bottom>
      </border>
    </dxf>
    <dxf>
      <font>
        <b/>
        <i val="0"/>
        <strike val="0"/>
        <condense val="0"/>
        <extend val="0"/>
        <outline val="0"/>
        <shadow val="0"/>
        <u val="none"/>
        <vertAlign val="baseline"/>
        <sz val="11"/>
        <color auto="1"/>
        <name val="Bookman Old Style"/>
        <family val="1"/>
        <scheme val="none"/>
      </font>
      <fill>
        <patternFill patternType="solid">
          <fgColor indexed="64"/>
          <bgColor theme="0" tint="-0.499984740745262"/>
        </patternFill>
      </fill>
      <alignment horizontal="center" vertical="top" textRotation="0" wrapText="1" indent="0" justifyLastLine="0" shrinkToFit="0" readingOrder="0"/>
      <border diagonalUp="0" diagonalDown="0" outline="0">
        <left style="thin">
          <color theme="4" tint="0.39994506668294322"/>
        </left>
        <right style="thin">
          <color theme="4" tint="0.39994506668294322"/>
        </right>
        <top/>
        <bottom/>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color rgb="FFFF0000"/>
        <name val="Bookman Old Style"/>
        <family val="1"/>
        <scheme val="none"/>
      </font>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name val="Bookman Old Style"/>
        <family val="1"/>
        <scheme val="none"/>
      </font>
      <alignment textRotation="0" wrapText="0" justifyLastLine="0" shrinkToFit="1" readingOrder="0"/>
    </dxf>
    <dxf>
      <numFmt numFmtId="0" formatCode="General"/>
    </dxf>
    <dxf>
      <font>
        <strike val="0"/>
        <outline val="0"/>
        <shadow val="0"/>
        <u val="none"/>
        <vertAlign val="baseline"/>
        <sz val="11"/>
        <color rgb="FFFF0000"/>
        <name val="Bookman Old Style"/>
        <family val="1"/>
        <scheme val="none"/>
      </font>
    </dxf>
    <dxf>
      <font>
        <strike val="0"/>
        <outline val="0"/>
        <shadow val="0"/>
        <u val="none"/>
        <vertAlign val="baseline"/>
        <sz val="11"/>
        <name val="Bookman Old Style"/>
        <family val="1"/>
        <scheme val="none"/>
      </font>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color rgb="FFFF0000"/>
        <name val="Bookman Old Style"/>
        <family val="1"/>
        <scheme val="none"/>
      </font>
      <protection locked="1" hidden="1"/>
    </dxf>
    <dxf>
      <font>
        <strike val="0"/>
        <outline val="0"/>
        <shadow val="0"/>
        <u val="none"/>
        <vertAlign val="baseline"/>
        <sz val="11"/>
        <name val="Bookman Old Style"/>
        <family val="1"/>
        <scheme val="none"/>
      </font>
      <protection locked="1" hidden="1"/>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font>
        <b val="0"/>
        <i val="0"/>
        <strike val="0"/>
        <condense val="0"/>
        <extend val="0"/>
        <outline val="0"/>
        <shadow val="0"/>
        <u val="none"/>
        <vertAlign val="baseline"/>
        <sz val="11"/>
        <color theme="1"/>
        <name val="Calibri Light"/>
        <family val="2"/>
        <scheme val="major"/>
      </font>
      <alignment horizontal="left" vertical="center" textRotation="0" wrapText="0"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Light"/>
        <family val="2"/>
        <scheme val="major"/>
      </font>
      <alignment horizontal="left" vertical="center" textRotation="0" wrapText="0" indent="0" justifyLastLine="0" shrinkToFit="0" readingOrder="0"/>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alignment horizontal="center" vertical="top" textRotation="0" wrapText="1"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color rgb="FFFF0000"/>
        <name val="Bookman Old Style"/>
        <family val="1"/>
        <scheme val="none"/>
      </font>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numFmt numFmtId="0" formatCode="General"/>
    </dxf>
    <dxf>
      <font>
        <b/>
        <strike val="0"/>
        <outline val="0"/>
        <shadow val="0"/>
        <u val="none"/>
        <vertAlign val="baseline"/>
        <sz val="11"/>
        <color theme="0"/>
        <name val="Bookman Old Style"/>
        <family val="1"/>
        <scheme val="none"/>
      </font>
      <numFmt numFmtId="177" formatCode="#,##0.00\ ;[Red]\(#,##0.00\);\-\ ;"/>
      <fill>
        <patternFill patternType="solid">
          <fgColor indexed="64"/>
          <bgColor theme="0" tint="-0.499984740745262"/>
        </patternFill>
      </fill>
      <alignment horizontal="general" vertical="bottom" textRotation="0" wrapText="0" indent="0" justifyLastLine="0" shrinkToFit="1" readingOrder="0"/>
      <border diagonalUp="0" diagonalDown="0">
        <left style="medium">
          <color indexed="64"/>
        </left>
        <right style="medium">
          <color indexed="64"/>
        </right>
        <top style="medium">
          <color auto="1"/>
        </top>
        <bottom style="hair">
          <color auto="1"/>
        </bottom>
        <vertical/>
        <horizontal/>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color rgb="FFFF0000"/>
        <name val="Bookman Old Style"/>
        <family val="1"/>
        <scheme val="none"/>
      </font>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font>
        <strike val="0"/>
        <outline val="0"/>
        <shadow val="0"/>
        <u val="none"/>
        <vertAlign val="baseline"/>
        <sz val="11"/>
        <color theme="0"/>
        <name val="Bookman Old Style"/>
        <family val="1"/>
        <scheme val="none"/>
      </font>
      <fill>
        <patternFill>
          <fgColor indexed="64"/>
          <bgColor theme="0" tint="-0.499984740745262"/>
        </patternFill>
      </fill>
      <alignment textRotation="0" wrapText="0" justifyLastLine="0" shrinkToFit="1" readingOrder="0"/>
      <border diagonalUp="0" diagonalDown="0">
        <left style="medium">
          <color indexed="64"/>
        </left>
        <right style="medium">
          <color indexed="64"/>
        </right>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border>
        <right style="medium">
          <color auto="1"/>
        </right>
      </border>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name val="Bookman Old Style"/>
        <family val="1"/>
        <scheme val="none"/>
      </font>
      <alignment textRotation="0" wrapText="0" justifyLastLine="0" shrinkToFit="1" readingOrder="0"/>
      <protection locked="1" hidden="1"/>
    </dxf>
    <dxf>
      <numFmt numFmtId="0" formatCode="General"/>
    </dxf>
    <dxf>
      <font>
        <strike val="0"/>
        <outline val="0"/>
        <shadow val="0"/>
        <u val="none"/>
        <vertAlign val="baseline"/>
        <sz val="11"/>
        <color rgb="FFFF0000"/>
        <name val="Bookman Old Style"/>
        <family val="1"/>
        <scheme val="none"/>
      </font>
      <protection locked="1" hidden="1"/>
    </dxf>
    <dxf>
      <font>
        <strike val="0"/>
        <outline val="0"/>
        <shadow val="0"/>
        <u val="none"/>
        <vertAlign val="baseline"/>
        <sz val="11"/>
        <name val="Bookman Old Style"/>
        <family val="1"/>
        <scheme val="none"/>
      </font>
      <protection locked="1" hidden="1"/>
    </dxf>
    <dxf>
      <border outline="0">
        <left style="medium">
          <color auto="1"/>
        </left>
        <right style="medium">
          <color auto="1"/>
        </right>
        <top style="medium">
          <color auto="1"/>
        </top>
        <bottom style="medium">
          <color auto="1"/>
        </bottom>
      </border>
    </dxf>
    <dxf>
      <font>
        <strike val="0"/>
        <outline val="0"/>
        <shadow val="0"/>
        <u val="none"/>
        <vertAlign val="baseline"/>
        <sz val="11"/>
        <name val="Bookman Old Style"/>
        <family val="1"/>
        <scheme val="none"/>
      </font>
      <protection locked="1" hidden="1"/>
    </dxf>
    <dxf>
      <border outline="0">
        <bottom style="medium">
          <color auto="1"/>
        </bottom>
      </border>
    </dxf>
    <dxf>
      <font>
        <b/>
        <i val="0"/>
        <strike val="0"/>
        <condense val="0"/>
        <extend val="0"/>
        <outline val="0"/>
        <shadow val="0"/>
        <u val="none"/>
        <vertAlign val="baseline"/>
        <sz val="11"/>
        <color auto="1"/>
        <name val="Bookman Old Style"/>
        <family val="1"/>
        <scheme val="none"/>
      </font>
      <fill>
        <patternFill patternType="none">
          <fgColor indexed="64"/>
          <bgColor auto="1"/>
        </patternFill>
      </fill>
      <alignment horizontal="center" vertical="top"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outline="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outline="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outline="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outline="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outline="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67" formatCode="_(* #,##0_);_(* \(#,##0\);_(* &quot;-&quot;??_);_(@_)"/>
      <border diagonalUp="0" diagonalDown="0" outline="0">
        <left/>
        <right/>
        <top style="thin">
          <color indexed="64"/>
        </top>
        <bottom/>
      </border>
      <protection locked="1" hidden="1"/>
    </dxf>
    <dxf>
      <font>
        <b val="0"/>
        <i val="0"/>
        <strike val="0"/>
        <condense val="0"/>
        <extend val="0"/>
        <outline val="0"/>
        <shadow val="0"/>
        <u val="none"/>
        <vertAlign val="baseline"/>
        <sz val="12"/>
        <color auto="1"/>
        <name val="Bookman Old Style"/>
        <family val="1"/>
        <scheme val="none"/>
      </font>
      <protection locked="1" hidden="1"/>
    </dxf>
    <dxf>
      <border outline="0">
        <bottom style="double">
          <color indexed="64"/>
        </bottom>
      </border>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2"/>
        <color theme="0"/>
        <name val="Bookman Old Style"/>
        <family val="1"/>
        <scheme val="none"/>
      </font>
      <fill>
        <patternFill patternType="solid">
          <fgColor indexed="64"/>
          <bgColor theme="3"/>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numFmt numFmtId="179" formatCode="0.00%;[Red]\(0.00%\)"/>
      <border diagonalUp="0" diagonalDown="0">
        <left/>
        <right/>
        <top style="thin">
          <color indexed="64"/>
        </top>
        <bottom/>
      </border>
      <protection locked="1" hidden="1"/>
    </dxf>
    <dxf>
      <font>
        <b val="0"/>
        <i val="0"/>
        <strike val="0"/>
        <condense val="0"/>
        <extend val="0"/>
        <outline val="0"/>
        <shadow val="0"/>
        <u val="none"/>
        <vertAlign val="baseline"/>
        <sz val="11"/>
        <color auto="1"/>
        <name val="Bookman Old Style"/>
        <family val="1"/>
        <scheme val="none"/>
      </font>
      <border diagonalUp="0" diagonalDown="0">
        <left/>
        <right/>
        <top style="thin">
          <color indexed="64"/>
        </top>
        <bottom/>
      </border>
      <protection locked="1" hidden="1"/>
    </dxf>
    <dxf>
      <font>
        <b val="0"/>
        <i val="0"/>
        <strike val="0"/>
        <condense val="0"/>
        <extend val="0"/>
        <outline val="0"/>
        <shadow val="0"/>
        <u val="none"/>
        <vertAlign val="baseline"/>
        <sz val="12"/>
        <color auto="1"/>
        <name val="Bookman Old Style"/>
        <family val="1"/>
        <scheme val="none"/>
      </font>
      <border diagonalUp="0" diagonalDown="0">
        <left/>
        <right/>
        <top style="thin">
          <color indexed="64"/>
        </top>
        <bottom/>
      </border>
      <protection locked="1" hidden="1"/>
    </dxf>
    <dxf>
      <border outline="0">
        <bottom style="double">
          <color indexed="64"/>
        </bottom>
      </border>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theme="0"/>
        <name val="Bookman Old Style"/>
        <family val="1"/>
        <scheme val="none"/>
      </font>
      <fill>
        <patternFill patternType="solid">
          <fgColor indexed="64"/>
          <bgColor theme="3"/>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79" formatCode="0.00%;[Red]\(0.00%\)"/>
      <protection locked="1" hidden="1"/>
    </dxf>
    <dxf>
      <font>
        <b val="0"/>
        <i val="0"/>
        <strike val="0"/>
        <condense val="0"/>
        <extend val="0"/>
        <outline val="0"/>
        <shadow val="0"/>
        <u val="none"/>
        <vertAlign val="baseline"/>
        <sz val="11"/>
        <color auto="1"/>
        <name val="Bookman Old Style"/>
        <family val="1"/>
        <scheme val="none"/>
      </font>
      <numFmt numFmtId="179" formatCode="0.00%;[Red]\(0.00%\)"/>
      <protection locked="1" hidden="1"/>
    </dxf>
    <dxf>
      <font>
        <b val="0"/>
        <i val="0"/>
        <strike val="0"/>
        <condense val="0"/>
        <extend val="0"/>
        <outline val="0"/>
        <shadow val="0"/>
        <u val="none"/>
        <vertAlign val="baseline"/>
        <sz val="11"/>
        <color auto="1"/>
        <name val="Bookman Old Style"/>
        <family val="1"/>
        <scheme val="none"/>
      </font>
      <numFmt numFmtId="179" formatCode="0.00%;[Red]\(0.00%\)"/>
      <protection locked="1" hidden="1"/>
    </dxf>
    <dxf>
      <font>
        <b val="0"/>
        <i val="0"/>
        <strike val="0"/>
        <condense val="0"/>
        <extend val="0"/>
        <outline val="0"/>
        <shadow val="0"/>
        <u val="none"/>
        <vertAlign val="baseline"/>
        <sz val="11"/>
        <color auto="1"/>
        <name val="Bookman Old Style"/>
        <family val="1"/>
        <scheme val="none"/>
      </font>
      <numFmt numFmtId="179" formatCode="0.00%;[Red]\(0.00%\)"/>
      <protection locked="1" hidden="1"/>
    </dxf>
    <dxf>
      <font>
        <b val="0"/>
        <i val="0"/>
        <strike val="0"/>
        <condense val="0"/>
        <extend val="0"/>
        <outline val="0"/>
        <shadow val="0"/>
        <u val="none"/>
        <vertAlign val="baseline"/>
        <sz val="11"/>
        <color auto="1"/>
        <name val="Bookman Old Style"/>
        <family val="1"/>
        <scheme val="none"/>
      </font>
      <numFmt numFmtId="179" formatCode="0.00%;[Red]\(0.00%\)"/>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2"/>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2"/>
        <color theme="0"/>
        <name val="Bookman Old Style"/>
        <family val="1"/>
        <scheme val="none"/>
      </font>
      <fill>
        <patternFill patternType="solid">
          <fgColor indexed="64"/>
          <bgColor theme="3"/>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2"/>
        <color auto="1"/>
        <name val="Bookman Old Style"/>
        <family val="1"/>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1"/>
    </dxf>
    <dxf>
      <font>
        <strike val="0"/>
        <outline val="0"/>
        <shadow val="0"/>
        <u val="none"/>
        <vertAlign val="baseline"/>
        <name val="Bookman Old Style"/>
        <family val="1"/>
        <scheme val="none"/>
      </font>
      <protection locked="1" hidden="1"/>
    </dxf>
    <dxf>
      <border outline="0">
        <bottom style="double">
          <color indexed="64"/>
        </bottom>
      </border>
    </dxf>
    <dxf>
      <font>
        <strike val="0"/>
        <outline val="0"/>
        <shadow val="0"/>
        <u val="none"/>
        <vertAlign val="baseline"/>
        <name val="Bookman Old Style"/>
        <family val="1"/>
        <scheme val="none"/>
      </font>
      <protection locked="1" hidden="1"/>
    </dxf>
    <dxf>
      <font>
        <b val="0"/>
        <i val="0"/>
        <strike val="0"/>
        <condense val="0"/>
        <extend val="0"/>
        <outline val="0"/>
        <shadow val="0"/>
        <u val="none"/>
        <vertAlign val="baseline"/>
        <sz val="11"/>
        <color theme="0"/>
        <name val="Bookman Old Style"/>
        <family val="1"/>
        <scheme val="none"/>
      </font>
      <fill>
        <patternFill patternType="solid">
          <fgColor indexed="64"/>
          <bgColor theme="3"/>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protection locked="1" hidden="1"/>
    </dxf>
    <dxf>
      <font>
        <strike val="0"/>
        <outline val="0"/>
        <shadow val="0"/>
        <u val="none"/>
        <vertAlign val="baseline"/>
        <name val="Bookman Old Style"/>
        <family val="1"/>
        <scheme val="none"/>
      </font>
      <protection locked="1" hidden="1"/>
    </dxf>
    <dxf>
      <border outline="0">
        <bottom style="double">
          <color indexed="64"/>
        </bottom>
      </border>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theme="0"/>
        <name val="Bookman Old Style"/>
        <family val="1"/>
        <scheme val="none"/>
      </font>
      <fill>
        <patternFill patternType="solid">
          <fgColor indexed="64"/>
          <bgColor theme="3"/>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numFmt numFmtId="164" formatCode="_-* #,##0.00_-;\-* #,##0.00_-;_-* &quot;-&quot;??_-;_-@_-"/>
      <protection locked="1" hidden="1"/>
    </dxf>
    <dxf>
      <font>
        <b val="0"/>
        <i val="0"/>
        <strike val="0"/>
        <condense val="0"/>
        <extend val="0"/>
        <outline val="0"/>
        <shadow val="0"/>
        <u val="none"/>
        <vertAlign val="baseline"/>
        <sz val="11"/>
        <color auto="1"/>
        <name val="Bookman Old Style"/>
        <family val="1"/>
        <scheme val="none"/>
      </font>
      <numFmt numFmtId="164" formatCode="_-* #,##0.00_-;\-* #,##0.00_-;_-* &quot;-&quot;??_-;_-@_-"/>
      <alignment horizontal="general" vertical="bottom" textRotation="0" wrapText="0" indent="0" justifyLastLine="0" shrinkToFit="0" readingOrder="0"/>
      <protection locked="1" hidden="1"/>
    </dxf>
    <dxf>
      <font>
        <strike val="0"/>
        <outline val="0"/>
        <shadow val="0"/>
        <u val="none"/>
        <vertAlign val="baseline"/>
        <color auto="1"/>
        <name val="Bookman Old Style"/>
        <family val="1"/>
        <scheme val="none"/>
      </font>
      <numFmt numFmtId="177" formatCode="#,##0.00\ ;[Red]\(#,##0.00\);\-\ ;"/>
      <fill>
        <patternFill patternType="none">
          <fgColor indexed="64"/>
          <bgColor indexed="65"/>
        </patternFill>
      </fill>
      <border diagonalUp="0" diagonalDown="0">
        <left/>
        <right/>
        <top style="thin">
          <color indexed="64"/>
        </top>
        <bottom style="thin">
          <color indexed="64"/>
        </bottom>
        <vertical/>
        <horizontal/>
      </border>
      <protection locked="1" hidden="1"/>
    </dxf>
    <dxf>
      <font>
        <b val="0"/>
        <i val="0"/>
        <strike val="0"/>
        <condense val="0"/>
        <extend val="0"/>
        <outline val="0"/>
        <shadow val="0"/>
        <u val="none"/>
        <vertAlign val="baseline"/>
        <sz val="12"/>
        <color auto="1"/>
        <name val="Bookman Old Style"/>
        <family val="1"/>
        <scheme val="none"/>
      </font>
      <numFmt numFmtId="0" formatCode="General"/>
      <alignment horizontal="general" vertical="bottom" textRotation="0" wrapText="0" indent="0" justifyLastLine="0" shrinkToFit="0" readingOrder="0"/>
      <protection locked="1" hidden="1"/>
    </dxf>
    <dxf>
      <font>
        <strike val="0"/>
        <outline val="0"/>
        <shadow val="0"/>
        <u val="none"/>
        <vertAlign val="baseline"/>
        <name val="Bookman Old Style"/>
        <family val="1"/>
        <scheme val="none"/>
      </font>
    </dxf>
    <dxf>
      <font>
        <strike val="0"/>
        <outline val="0"/>
        <shadow val="0"/>
        <u val="none"/>
        <vertAlign val="baseline"/>
        <name val="Bookman Old Style"/>
        <family val="1"/>
        <scheme val="none"/>
      </font>
    </dxf>
    <dxf>
      <border outline="0">
        <bottom style="double">
          <color indexed="64"/>
        </bottom>
      </border>
    </dxf>
    <dxf>
      <font>
        <strike val="0"/>
        <outline val="0"/>
        <shadow val="0"/>
        <u val="none"/>
        <vertAlign val="baseline"/>
        <name val="Bookman Old Style"/>
        <family val="1"/>
        <scheme val="none"/>
      </font>
      <protection locked="1" hidden="1"/>
    </dxf>
    <dxf>
      <font>
        <b val="0"/>
        <i val="0"/>
        <strike val="0"/>
        <condense val="0"/>
        <extend val="0"/>
        <outline val="0"/>
        <shadow val="0"/>
        <u val="none"/>
        <vertAlign val="baseline"/>
        <sz val="11"/>
        <color theme="0"/>
        <name val="Bookman Old Style"/>
        <family val="1"/>
        <scheme val="none"/>
      </font>
      <fill>
        <patternFill patternType="none">
          <fgColor indexed="64"/>
          <bgColor auto="1"/>
        </patternFill>
      </fill>
      <alignment horizontal="center" vertical="center" textRotation="0" wrapText="0" indent="0" justifyLastLine="0" shrinkToFit="0" readingOrder="0"/>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border diagonalUp="0" diagonalDown="0" outline="0">
        <left/>
        <right/>
        <top style="thin">
          <color indexed="64"/>
        </top>
        <bottom/>
      </border>
      <protection locked="1" hidden="1"/>
    </dxf>
    <dxf>
      <font>
        <b/>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border diagonalUp="0" diagonalDown="0" outline="0">
        <left/>
        <right/>
        <top style="thin">
          <color indexed="64"/>
        </top>
        <bottom style="thin">
          <color indexed="64"/>
        </bottom>
      </border>
      <protection locked="1" hidden="1"/>
    </dxf>
    <dxf>
      <font>
        <b/>
        <i val="0"/>
        <strike val="0"/>
        <condense val="0"/>
        <extend val="0"/>
        <outline val="0"/>
        <shadow val="0"/>
        <u val="none"/>
        <vertAlign val="baseline"/>
        <sz val="12"/>
        <color auto="1"/>
        <name val="Bookman Old Style"/>
        <family val="1"/>
        <scheme val="none"/>
      </font>
      <numFmt numFmtId="0" formatCode="General"/>
      <alignment horizontal="general" vertical="bottom" textRotation="0" wrapText="0" indent="0" justifyLastLine="0" shrinkToFit="0" readingOrder="0"/>
      <protection locked="1" hidden="1"/>
    </dxf>
    <dxf>
      <font>
        <b/>
        <i val="0"/>
        <strike val="0"/>
        <condense val="0"/>
        <extend val="0"/>
        <outline val="0"/>
        <shadow val="0"/>
        <u val="none"/>
        <vertAlign val="baseline"/>
        <sz val="12"/>
        <color auto="1"/>
        <name val="Bookman Old Style"/>
        <family val="1"/>
        <scheme val="none"/>
      </font>
      <protection locked="1" hidden="1"/>
    </dxf>
    <dxf>
      <font>
        <b/>
        <i val="0"/>
        <strike val="0"/>
        <condense val="0"/>
        <extend val="0"/>
        <outline val="0"/>
        <shadow val="0"/>
        <u val="none"/>
        <vertAlign val="baseline"/>
        <sz val="11"/>
        <color auto="1"/>
        <name val="Bookman Old Style"/>
        <family val="1"/>
        <scheme val="none"/>
      </font>
      <fill>
        <patternFill patternType="none">
          <fgColor indexed="64"/>
          <bgColor indexed="65"/>
        </patternFill>
      </fill>
      <protection locked="1" hidden="1"/>
    </dxf>
    <dxf>
      <font>
        <b val="0"/>
        <i val="0"/>
        <strike val="0"/>
        <condense val="0"/>
        <extend val="0"/>
        <outline val="0"/>
        <shadow val="0"/>
        <u val="none"/>
        <vertAlign val="baseline"/>
        <sz val="10"/>
        <color auto="1"/>
        <name val="Bookman Old Style"/>
        <family val="1"/>
        <scheme val="none"/>
      </font>
      <fill>
        <patternFill patternType="none">
          <fgColor indexed="64"/>
          <bgColor auto="1"/>
        </patternFill>
      </fill>
      <alignment horizontal="center" vertical="center" textRotation="0" wrapText="0" indent="0" justifyLastLine="0" shrinkToFit="0" readingOrder="0"/>
      <protection locked="1" hidden="1"/>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numFmt numFmtId="4" formatCode="#,##0.00"/>
    </dxf>
    <dxf>
      <font>
        <strike val="0"/>
        <outline val="0"/>
        <shadow val="0"/>
        <u val="none"/>
        <name val="Sakkal Majalla"/>
        <scheme val="none"/>
      </font>
    </dxf>
    <dxf>
      <font>
        <strike val="0"/>
        <outline val="0"/>
        <shadow val="0"/>
        <u val="none"/>
        <name val="Sakkal Majalla"/>
        <scheme val="none"/>
      </font>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numFmt numFmtId="4" formatCode="#,##0.00"/>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alignment horizontal="center" vertical="bottom" textRotation="0" wrapText="1" indent="0" justifyLastLine="0" shrinkToFit="0" readingOrder="0"/>
    </dxf>
    <dxf>
      <font>
        <strike val="0"/>
        <outline val="0"/>
        <shadow val="0"/>
        <u val="none"/>
        <name val="Sakkal Majalla"/>
        <scheme val="none"/>
      </font>
    </dxf>
    <dxf>
      <font>
        <strike val="0"/>
        <outline val="0"/>
        <shadow val="0"/>
        <u val="none"/>
        <name val="Sakkal Majalla"/>
        <scheme val="none"/>
      </font>
    </dxf>
    <dxf>
      <font>
        <strike val="0"/>
        <outline val="0"/>
        <shadow val="0"/>
        <u val="none"/>
        <name val="Sakkal Majalla"/>
        <scheme val="none"/>
      </font>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numFmt numFmtId="4" formatCode="#,##0.00"/>
      <fill>
        <patternFill patternType="none">
          <fgColor indexed="64"/>
          <bgColor auto="1"/>
        </patternFill>
      </fill>
      <protection locked="1" hidden="1"/>
    </dxf>
    <dxf>
      <font>
        <b val="0"/>
        <i val="0"/>
        <strike val="0"/>
        <condense val="0"/>
        <extend val="0"/>
        <outline val="0"/>
        <shadow val="0"/>
        <u val="none"/>
        <vertAlign val="baseline"/>
        <sz val="11"/>
        <color auto="1"/>
        <name val="Bookman Old Style"/>
        <family val="1"/>
        <scheme val="none"/>
      </font>
      <numFmt numFmtId="13" formatCode="0%"/>
      <protection locked="1" hidden="1"/>
    </dxf>
    <dxf>
      <font>
        <b val="0"/>
        <i val="0"/>
        <strike val="0"/>
        <condense val="0"/>
        <extend val="0"/>
        <outline val="0"/>
        <shadow val="0"/>
        <u val="none"/>
        <vertAlign val="baseline"/>
        <sz val="11"/>
        <color auto="1"/>
        <name val="Bookman Old Style"/>
        <family val="1"/>
        <scheme val="none"/>
      </font>
      <numFmt numFmtId="14" formatCode="0.00%"/>
      <fill>
        <patternFill patternType="none">
          <fgColor indexed="64"/>
          <bgColor indexed="65"/>
        </patternFill>
      </fill>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numFmt numFmtId="35" formatCode="_(* #,##0.00_);_(* \(#,##0.00\);_(* &quot;-&quot;??_);_(@_)"/>
      <fill>
        <patternFill patternType="none">
          <fgColor theme="4" tint="0.79998168889431442"/>
          <bgColor auto="1"/>
        </patternFill>
      </fill>
      <protection locked="1" hidden="1"/>
    </dxf>
    <dxf>
      <font>
        <b/>
        <i val="0"/>
        <strike val="0"/>
        <condense val="0"/>
        <extend val="0"/>
        <outline val="0"/>
        <shadow val="0"/>
        <u val="none"/>
        <vertAlign val="baseline"/>
        <sz val="11"/>
        <color auto="1"/>
        <name val="Bookman Old Style"/>
        <family val="1"/>
        <scheme val="none"/>
      </font>
      <protection hidden="1"/>
    </dxf>
    <dxf>
      <font>
        <b val="0"/>
        <i val="0"/>
        <strike val="0"/>
        <condense val="0"/>
        <extend val="0"/>
        <outline val="0"/>
        <shadow val="0"/>
        <u val="none"/>
        <vertAlign val="baseline"/>
        <sz val="11"/>
        <color auto="1"/>
        <name val="Bookman Old Style"/>
        <family val="1"/>
        <scheme val="none"/>
      </font>
      <numFmt numFmtId="164" formatCode="_-* #,##0.00_-;\-* #,##0.00_-;_-* &quot;-&quot;??_-;_-@_-"/>
      <fill>
        <patternFill patternType="none">
          <fgColor indexed="64"/>
          <bgColor indexed="65"/>
        </patternFill>
      </fill>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numFmt numFmtId="165" formatCode="_ [$₪-40D]\ * #,##0.00_ ;_ [$₪-40D]\ * \-#,##0.00_ ;_ [$₪-40D]\ * &quot;-&quot;??_ ;_ @_ "/>
      <fill>
        <patternFill patternType="solid">
          <fgColor indexed="64"/>
          <bgColor theme="7" tint="0.79998168889431442"/>
        </patternFill>
      </fill>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fill>
        <patternFill patternType="solid">
          <fgColor indexed="64"/>
          <bgColor theme="7" tint="0.79998168889431442"/>
        </patternFill>
      </fill>
      <protection locked="1" hidden="1"/>
    </dxf>
    <dxf>
      <font>
        <b val="0"/>
        <i val="0"/>
        <strike val="0"/>
        <condense val="0"/>
        <extend val="0"/>
        <outline val="0"/>
        <shadow val="0"/>
        <u val="none"/>
        <vertAlign val="baseline"/>
        <sz val="11"/>
        <color auto="1"/>
        <name val="Bookman Old Style"/>
        <family val="1"/>
        <scheme val="none"/>
      </font>
      <protection locked="1" hidden="1"/>
    </dxf>
    <dxf>
      <font>
        <b val="0"/>
        <i val="0"/>
        <strike val="0"/>
        <condense val="0"/>
        <extend val="0"/>
        <outline val="0"/>
        <shadow val="0"/>
        <u val="none"/>
        <vertAlign val="baseline"/>
        <sz val="11"/>
        <color auto="1"/>
        <name val="Bookman Old Style"/>
        <family val="1"/>
        <scheme val="none"/>
      </font>
      <fill>
        <patternFill patternType="solid">
          <fgColor indexed="64"/>
          <bgColor theme="7" tint="0.79998168889431442"/>
        </patternFill>
      </fill>
      <protection locked="1" hidden="1"/>
    </dxf>
    <dxf>
      <font>
        <strike val="0"/>
        <outline val="0"/>
        <shadow val="0"/>
        <u val="none"/>
        <vertAlign val="baseline"/>
        <name val="Bookman Old Style"/>
        <family val="1"/>
        <scheme val="none"/>
      </font>
      <protection hidden="1"/>
    </dxf>
    <dxf>
      <font>
        <strike val="0"/>
        <outline val="0"/>
        <shadow val="0"/>
        <u val="none"/>
        <vertAlign val="baseline"/>
        <sz val="11"/>
        <color auto="1"/>
        <name val="Bookman Old Style"/>
        <family val="1"/>
        <scheme val="none"/>
      </font>
      <fill>
        <patternFill patternType="none">
          <bgColor auto="1"/>
        </patternFill>
      </fill>
      <protection hidden="1"/>
    </dxf>
    <dxf>
      <font>
        <b/>
        <i val="0"/>
        <strike val="0"/>
        <condense val="0"/>
        <extend val="0"/>
        <outline val="0"/>
        <shadow val="0"/>
        <u val="none"/>
        <vertAlign val="baseline"/>
        <sz val="10"/>
        <color auto="1"/>
        <name val="Bookman Old Style"/>
        <family val="1"/>
        <scheme val="none"/>
      </font>
      <alignment horizontal="center" vertical="top" textRotation="0" wrapText="1" indent="0" justifyLastLine="0" shrinkToFit="0" readingOrder="0"/>
      <protection hidden="1"/>
    </dxf>
    <dxf>
      <protection locked="1" hidden="1"/>
    </dxf>
    <dxf>
      <font>
        <strike val="0"/>
        <outline val="0"/>
        <shadow val="0"/>
        <u val="none"/>
        <vertAlign val="baseline"/>
        <name val="Bookman Old Style"/>
        <family val="1"/>
        <scheme val="none"/>
      </font>
      <numFmt numFmtId="4" formatCode="#,##0.00"/>
      <protection locked="1" hidden="1"/>
    </dxf>
    <dxf>
      <protection locked="1" hidden="1"/>
    </dxf>
    <dxf>
      <font>
        <b val="0"/>
        <i val="0"/>
        <strike val="0"/>
        <condense val="0"/>
        <extend val="0"/>
        <outline val="0"/>
        <shadow val="0"/>
        <u val="none"/>
        <vertAlign val="baseline"/>
        <sz val="11"/>
        <color auto="1"/>
        <name val="Bookman Old Style"/>
        <family val="1"/>
        <scheme val="none"/>
      </font>
      <numFmt numFmtId="4" formatCode="#,##0.00"/>
      <fill>
        <patternFill patternType="none">
          <fgColor indexed="64"/>
          <bgColor indexed="65"/>
        </patternFill>
      </fill>
      <alignment horizontal="general" vertical="bottom" textRotation="0" wrapText="0" indent="0" justifyLastLine="0" shrinkToFit="0" readingOrder="0"/>
      <protection locked="1" hidden="1"/>
    </dxf>
    <dxf>
      <protection locked="1" hidden="1"/>
    </dxf>
    <dxf>
      <font>
        <strike val="0"/>
        <outline val="0"/>
        <shadow val="0"/>
        <u val="none"/>
        <vertAlign val="baseline"/>
        <color auto="1"/>
        <name val="Bookman Old Style"/>
        <family val="1"/>
        <scheme val="none"/>
      </font>
      <numFmt numFmtId="4" formatCode="#,##0.00"/>
      <fill>
        <patternFill patternType="none">
          <fgColor indexed="64"/>
          <bgColor indexed="65"/>
        </patternFill>
      </fill>
      <alignment horizontal="general" vertical="bottom" textRotation="0" wrapText="0" indent="0" justifyLastLine="0" shrinkToFit="0" readingOrder="0"/>
      <protection locked="1" hidden="1"/>
    </dxf>
    <dxf>
      <protection locked="1" hidden="1"/>
    </dxf>
    <dxf>
      <font>
        <b/>
        <strike val="0"/>
        <outline val="0"/>
        <shadow val="0"/>
        <u val="none"/>
        <vertAlign val="baseline"/>
        <color auto="1"/>
        <name val="Bookman Old Style"/>
        <family val="1"/>
        <scheme val="none"/>
      </font>
      <numFmt numFmtId="192" formatCode="_-[$$-540A]* #,##0.00_ ;_-[$$-540A]* \-#,##0.00\ ;_-[$$-540A]* &quot;-&quot;??_ ;_-@_ "/>
      <protection locked="1" hidden="1"/>
    </dxf>
    <dxf>
      <numFmt numFmtId="0" formatCode="General"/>
      <protection hidden="1"/>
    </dxf>
    <dxf>
      <font>
        <strike val="0"/>
        <outline val="0"/>
        <shadow val="0"/>
        <u val="none"/>
        <vertAlign val="baseline"/>
        <name val="Bookman Old Style"/>
        <family val="1"/>
        <scheme val="none"/>
      </font>
      <numFmt numFmtId="164" formatCode="_-* #,##0.00_-;\-* #,##0.00_-;_-* &quot;-&quot;??_-;_-@_-"/>
      <protection hidden="1"/>
    </dxf>
    <dxf>
      <numFmt numFmtId="0" formatCode="General"/>
      <protection hidden="1"/>
    </dxf>
    <dxf>
      <font>
        <strike val="0"/>
        <outline val="0"/>
        <shadow val="0"/>
        <u val="none"/>
        <vertAlign val="baseline"/>
        <sz val="10"/>
        <color theme="4" tint="-0.499984740745262"/>
        <name val="Bookman Old Style"/>
        <family val="1"/>
        <scheme val="none"/>
      </font>
      <numFmt numFmtId="4" formatCode="#,##0.00"/>
      <fill>
        <patternFill patternType="solid">
          <fgColor indexed="64"/>
          <bgColor theme="7" tint="0.79998168889431442"/>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1"/>
    </dxf>
    <dxf>
      <numFmt numFmtId="0" formatCode="General"/>
      <protection hidden="1"/>
    </dxf>
    <dxf>
      <font>
        <b val="0"/>
        <i val="0"/>
        <strike val="0"/>
        <condense val="0"/>
        <extend val="0"/>
        <outline val="0"/>
        <shadow val="0"/>
        <u val="none"/>
        <vertAlign val="baseline"/>
        <sz val="10"/>
        <color theme="4" tint="-0.499984740745262"/>
        <name val="Bookman Old Style"/>
        <family val="1"/>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1"/>
    </dxf>
    <dxf>
      <numFmt numFmtId="0" formatCode="General"/>
      <protection hidden="1"/>
    </dxf>
    <dxf>
      <font>
        <b val="0"/>
        <i val="0"/>
        <strike val="0"/>
        <condense val="0"/>
        <extend val="0"/>
        <outline val="0"/>
        <shadow val="0"/>
        <u val="none"/>
        <vertAlign val="baseline"/>
        <sz val="10"/>
        <color theme="4" tint="-0.499984740745262"/>
        <name val="Bookman Old Style"/>
        <family val="1"/>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1"/>
    </dxf>
    <dxf>
      <numFmt numFmtId="0" formatCode="General"/>
      <protection hidden="1"/>
    </dxf>
    <dxf>
      <font>
        <strike val="0"/>
        <outline val="0"/>
        <shadow val="0"/>
        <u val="none"/>
        <vertAlign val="baseline"/>
        <sz val="10"/>
        <color theme="4" tint="-0.499984740745262"/>
        <name val="Bookman Old Style"/>
        <family val="1"/>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1"/>
    </dxf>
    <dxf>
      <numFmt numFmtId="0" formatCode="General"/>
      <protection hidden="1"/>
    </dxf>
    <dxf>
      <font>
        <strike val="0"/>
        <outline val="0"/>
        <shadow val="0"/>
        <u val="none"/>
        <vertAlign val="baseline"/>
        <sz val="10"/>
        <color theme="4" tint="-0.499984740745262"/>
        <name val="Bookman Old Style"/>
        <family val="1"/>
        <scheme val="none"/>
      </font>
      <numFmt numFmtId="14" formatCode="0.00%"/>
      <fill>
        <patternFill patternType="solid">
          <fgColor indexed="64"/>
          <bgColor theme="7"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1"/>
    </dxf>
    <dxf>
      <font>
        <strike val="0"/>
        <outline val="0"/>
        <shadow val="0"/>
        <u val="none"/>
        <vertAlign val="baseline"/>
        <name val="Bookman Old Style"/>
        <family val="1"/>
        <scheme val="none"/>
      </font>
      <protection hidden="1"/>
    </dxf>
    <dxf>
      <font>
        <strike val="0"/>
        <outline val="0"/>
        <shadow val="0"/>
        <u val="none"/>
        <vertAlign val="baseline"/>
        <name val="Bookman Old Style"/>
        <family val="1"/>
        <scheme val="none"/>
      </font>
      <protection hidden="1"/>
    </dxf>
    <dxf>
      <font>
        <b/>
        <strike val="0"/>
        <outline val="0"/>
        <shadow val="0"/>
        <u val="none"/>
        <vertAlign val="baseline"/>
        <sz val="9"/>
        <color auto="1"/>
        <name val="Bookman Old Style"/>
        <family val="1"/>
        <scheme val="none"/>
      </font>
      <fill>
        <patternFill patternType="solid">
          <fgColor indexed="64"/>
          <bgColor theme="0" tint="-4.9989318521683403E-2"/>
        </patternFill>
      </fill>
      <alignment horizontal="center" vertical="top" textRotation="0" wrapText="1" indent="0" justifyLastLine="0" shrinkToFit="0" readingOrder="0"/>
      <protection hidden="1"/>
    </dxf>
    <dxf>
      <font>
        <color rgb="FF006100"/>
      </font>
      <fill>
        <patternFill>
          <bgColor rgb="FFC6EFCE"/>
        </patternFill>
      </fill>
    </dxf>
    <dxf>
      <font>
        <color theme="0"/>
      </font>
      <fill>
        <patternFill>
          <bgColor theme="5" tint="-0.499984740745262"/>
        </patternFill>
      </fill>
    </dxf>
    <dxf>
      <font>
        <color rgb="FF9C0006"/>
      </font>
      <fill>
        <patternFill>
          <bgColor rgb="FFFFC7CE"/>
        </patternFill>
      </fill>
    </dxf>
    <dxf>
      <font>
        <color rgb="FF006100"/>
      </font>
      <fill>
        <patternFill>
          <bgColor rgb="FFC6EFCE"/>
        </patternFill>
      </fill>
    </dxf>
    <dxf>
      <font>
        <color theme="0"/>
      </font>
      <fill>
        <patternFill>
          <bgColor theme="5" tint="-0.49998474074526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font>
      <fill>
        <patternFill>
          <bgColor theme="5" tint="-0.499984740745262"/>
        </patternFill>
      </fill>
    </dxf>
    <dxf>
      <font>
        <color rgb="FF9C0006"/>
      </font>
      <fill>
        <patternFill>
          <bgColor rgb="FFFFC7CE"/>
        </patternFill>
      </fill>
    </dxf>
    <dxf>
      <fill>
        <patternFill>
          <bgColor theme="4" tint="0.79998168889431442"/>
        </patternFill>
      </fill>
    </dxf>
    <dxf>
      <fill>
        <patternFill>
          <fgColor theme="4" tint="-0.24994659260841701"/>
        </patternFill>
      </fill>
    </dxf>
    <dxf>
      <fill>
        <patternFill>
          <bgColor theme="4" tint="0.59996337778862885"/>
        </patternFill>
      </fill>
    </dxf>
  </dxfs>
  <tableStyles count="3" defaultTableStyle="TableStyleMedium2" defaultPivotStyle="PivotStyleLight16">
    <tableStyle name="Table Style 1" pivot="0" count="2" xr9:uid="{57E6AB71-923E-499B-B977-23393068BC1C}">
      <tableStyleElement type="wholeTable" dxfId="1704"/>
      <tableStyleElement type="firstColumnStripe" dxfId="1703"/>
    </tableStyle>
    <tableStyle name="Table Style 2" pivot="0" count="1" xr9:uid="{8CD042DB-6D02-4244-B190-886A16B9F5CD}">
      <tableStyleElement type="firstColumnStripe" size="2"/>
    </tableStyle>
    <tableStyle name="Table Style 3" pivot="0" count="1" xr9:uid="{95384743-2B24-4403-B695-E9E1D5D375A5}">
      <tableStyleElement type="wholeTable" dxfId="1702"/>
    </tableStyle>
  </tableStyles>
  <colors>
    <mruColors>
      <color rgb="FFDD1809"/>
      <color rgb="FFFFFFCC"/>
      <color rgb="FFEE0000"/>
      <color rgb="FFFFFF66"/>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Sales Scenario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'Scenario Analysis'!$A$53</c:f>
              <c:strCache>
                <c:ptCount val="1"/>
                <c:pt idx="0">
                  <c:v>Scenario 1</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'Scenario Analysis'!$B$52:$H$52</c:f>
              <c:strCache>
                <c:ptCount val="7"/>
                <c:pt idx="0">
                  <c:v>Year 1</c:v>
                </c:pt>
                <c:pt idx="1">
                  <c:v>Year 2</c:v>
                </c:pt>
                <c:pt idx="2">
                  <c:v>Year 3</c:v>
                </c:pt>
                <c:pt idx="3">
                  <c:v>Year 4</c:v>
                </c:pt>
                <c:pt idx="4">
                  <c:v>Year 5</c:v>
                </c:pt>
                <c:pt idx="5">
                  <c:v>Year 6</c:v>
                </c:pt>
                <c:pt idx="6">
                  <c:v>Year 7</c:v>
                </c:pt>
              </c:strCache>
            </c:strRef>
          </c:cat>
          <c:val>
            <c:numRef>
              <c:f>'Scenario Analysis'!$B$53:$H$53</c:f>
              <c:numCache>
                <c:formatCode>#,##0.00</c:formatCode>
                <c:ptCount val="7"/>
                <c:pt idx="0">
                  <c:v>8336115</c:v>
                </c:pt>
                <c:pt idx="1">
                  <c:v>9719910.0899999999</c:v>
                </c:pt>
                <c:pt idx="2">
                  <c:v>11239861.725</c:v>
                </c:pt>
                <c:pt idx="3">
                  <c:v>12907084.724999998</c:v>
                </c:pt>
                <c:pt idx="4">
                  <c:v>14733805.391999997</c:v>
                </c:pt>
                <c:pt idx="5">
                  <c:v>16733361.510000002</c:v>
                </c:pt>
                <c:pt idx="6">
                  <c:v>17737585.496999994</c:v>
                </c:pt>
              </c:numCache>
            </c:numRef>
          </c:val>
          <c:extLst>
            <c:ext xmlns:c16="http://schemas.microsoft.com/office/drawing/2014/chart" uri="{C3380CC4-5D6E-409C-BE32-E72D297353CC}">
              <c16:uniqueId val="{00000001-CE99-4E8F-898D-ED8BA2D7A05F}"/>
            </c:ext>
          </c:extLst>
        </c:ser>
        <c:ser>
          <c:idx val="1"/>
          <c:order val="1"/>
          <c:tx>
            <c:strRef>
              <c:f>'Scenario Analysis'!$A$54</c:f>
              <c:strCache>
                <c:ptCount val="1"/>
                <c:pt idx="0">
                  <c:v>Scenario 2</c:v>
                </c:pt>
              </c:strCache>
            </c:strRef>
          </c:tx>
          <c:spPr>
            <a:solidFill>
              <a:schemeClr val="accent2"/>
            </a:solidFill>
            <a:ln>
              <a:noFill/>
            </a:ln>
            <a:effectLst/>
          </c:spPr>
          <c:invertIfNegative val="0"/>
          <c:cat>
            <c:strRef>
              <c:f>'Scenario Analysis'!$B$52:$H$52</c:f>
              <c:strCache>
                <c:ptCount val="7"/>
                <c:pt idx="0">
                  <c:v>Year 1</c:v>
                </c:pt>
                <c:pt idx="1">
                  <c:v>Year 2</c:v>
                </c:pt>
                <c:pt idx="2">
                  <c:v>Year 3</c:v>
                </c:pt>
                <c:pt idx="3">
                  <c:v>Year 4</c:v>
                </c:pt>
                <c:pt idx="4">
                  <c:v>Year 5</c:v>
                </c:pt>
                <c:pt idx="5">
                  <c:v>Year 6</c:v>
                </c:pt>
                <c:pt idx="6">
                  <c:v>Year 7</c:v>
                </c:pt>
              </c:strCache>
            </c:strRef>
          </c:cat>
          <c:val>
            <c:numRef>
              <c:f>'Scenario Analysis'!$B$54:$H$54</c:f>
              <c:numCache>
                <c:formatCode>#,##0.00</c:formatCode>
                <c:ptCount val="7"/>
                <c:pt idx="0">
                  <c:v>8336115</c:v>
                </c:pt>
                <c:pt idx="1">
                  <c:v>9719910.0899999999</c:v>
                </c:pt>
                <c:pt idx="2">
                  <c:v>11239861.725</c:v>
                </c:pt>
                <c:pt idx="3">
                  <c:v>12907084.724999998</c:v>
                </c:pt>
                <c:pt idx="4">
                  <c:v>14733805.391999997</c:v>
                </c:pt>
                <c:pt idx="5">
                  <c:v>16733361.510000002</c:v>
                </c:pt>
                <c:pt idx="6">
                  <c:v>17737585.496999994</c:v>
                </c:pt>
              </c:numCache>
            </c:numRef>
          </c:val>
          <c:extLst>
            <c:ext xmlns:c16="http://schemas.microsoft.com/office/drawing/2014/chart" uri="{C3380CC4-5D6E-409C-BE32-E72D297353CC}">
              <c16:uniqueId val="{00000002-CE99-4E8F-898D-ED8BA2D7A05F}"/>
            </c:ext>
          </c:extLst>
        </c:ser>
        <c:ser>
          <c:idx val="2"/>
          <c:order val="2"/>
          <c:tx>
            <c:strRef>
              <c:f>'Scenario Analysis'!$A$55</c:f>
              <c:strCache>
                <c:ptCount val="1"/>
                <c:pt idx="0">
                  <c:v>Scenario 3</c:v>
                </c:pt>
              </c:strCache>
            </c:strRef>
          </c:tx>
          <c:spPr>
            <a:solidFill>
              <a:schemeClr val="accent3"/>
            </a:solidFill>
            <a:ln>
              <a:noFill/>
            </a:ln>
            <a:effectLst/>
          </c:spPr>
          <c:invertIfNegative val="0"/>
          <c:cat>
            <c:strRef>
              <c:f>'Scenario Analysis'!$B$52:$H$52</c:f>
              <c:strCache>
                <c:ptCount val="7"/>
                <c:pt idx="0">
                  <c:v>Year 1</c:v>
                </c:pt>
                <c:pt idx="1">
                  <c:v>Year 2</c:v>
                </c:pt>
                <c:pt idx="2">
                  <c:v>Year 3</c:v>
                </c:pt>
                <c:pt idx="3">
                  <c:v>Year 4</c:v>
                </c:pt>
                <c:pt idx="4">
                  <c:v>Year 5</c:v>
                </c:pt>
                <c:pt idx="5">
                  <c:v>Year 6</c:v>
                </c:pt>
                <c:pt idx="6">
                  <c:v>Year 7</c:v>
                </c:pt>
              </c:strCache>
            </c:strRef>
          </c:cat>
          <c:val>
            <c:numRef>
              <c:f>'Scenario Analysis'!$B$55:$H$55</c:f>
              <c:numCache>
                <c:formatCode>#,##0.00</c:formatCode>
                <c:ptCount val="7"/>
                <c:pt idx="0">
                  <c:v>7409880</c:v>
                </c:pt>
                <c:pt idx="1">
                  <c:v>8639920.0800000001</c:v>
                </c:pt>
                <c:pt idx="2">
                  <c:v>9990988.2000000011</c:v>
                </c:pt>
                <c:pt idx="3">
                  <c:v>11472964.199999997</c:v>
                </c:pt>
                <c:pt idx="4">
                  <c:v>13096715.903999999</c:v>
                </c:pt>
                <c:pt idx="5">
                  <c:v>14874099.120000003</c:v>
                </c:pt>
                <c:pt idx="6">
                  <c:v>15766742.663999997</c:v>
                </c:pt>
              </c:numCache>
            </c:numRef>
          </c:val>
          <c:extLst>
            <c:ext xmlns:c16="http://schemas.microsoft.com/office/drawing/2014/chart" uri="{C3380CC4-5D6E-409C-BE32-E72D297353CC}">
              <c16:uniqueId val="{00000003-CE99-4E8F-898D-ED8BA2D7A05F}"/>
            </c:ext>
          </c:extLst>
        </c:ser>
        <c:dLbls>
          <c:showLegendKey val="0"/>
          <c:showVal val="0"/>
          <c:showCatName val="0"/>
          <c:showSerName val="0"/>
          <c:showPercent val="0"/>
          <c:showBubbleSize val="0"/>
        </c:dLbls>
        <c:gapWidth val="219"/>
        <c:overlap val="-27"/>
        <c:axId val="1305393887"/>
        <c:axId val="1584532095"/>
      </c:barChart>
      <c:catAx>
        <c:axId val="130539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84532095"/>
        <c:crosses val="autoZero"/>
        <c:auto val="1"/>
        <c:lblAlgn val="ctr"/>
        <c:lblOffset val="100"/>
        <c:noMultiLvlLbl val="0"/>
      </c:catAx>
      <c:valAx>
        <c:axId val="15845320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05393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Income Scenario</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'Scenario Analysis'!$A$58</c:f>
              <c:strCache>
                <c:ptCount val="1"/>
                <c:pt idx="0">
                  <c:v>Scenario 1</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'Scenario Analysis'!$B$57:$H$57</c:f>
              <c:strCache>
                <c:ptCount val="7"/>
                <c:pt idx="0">
                  <c:v>Year 1</c:v>
                </c:pt>
                <c:pt idx="1">
                  <c:v>Year 2</c:v>
                </c:pt>
                <c:pt idx="2">
                  <c:v>Year 3</c:v>
                </c:pt>
                <c:pt idx="3">
                  <c:v>Year 4</c:v>
                </c:pt>
                <c:pt idx="4">
                  <c:v>Year 5</c:v>
                </c:pt>
                <c:pt idx="5">
                  <c:v>Year 6</c:v>
                </c:pt>
                <c:pt idx="6">
                  <c:v>Year 7</c:v>
                </c:pt>
              </c:strCache>
            </c:strRef>
          </c:cat>
          <c:val>
            <c:numRef>
              <c:f>'Scenario Analysis'!$B$58:$H$58</c:f>
              <c:numCache>
                <c:formatCode>#,##0.00</c:formatCode>
                <c:ptCount val="7"/>
                <c:pt idx="0">
                  <c:v>331455.70510210004</c:v>
                </c:pt>
                <c:pt idx="1">
                  <c:v>914981.92610737961</c:v>
                </c:pt>
                <c:pt idx="2">
                  <c:v>1359635.7699830828</c:v>
                </c:pt>
                <c:pt idx="3">
                  <c:v>1848426.3936947768</c:v>
                </c:pt>
                <c:pt idx="4">
                  <c:v>2384983.8204214172</c:v>
                </c:pt>
                <c:pt idx="5">
                  <c:v>2973259.2484058607</c:v>
                </c:pt>
                <c:pt idx="6">
                  <c:v>3155916.5521593494</c:v>
                </c:pt>
              </c:numCache>
            </c:numRef>
          </c:val>
          <c:extLst>
            <c:ext xmlns:c16="http://schemas.microsoft.com/office/drawing/2014/chart" uri="{C3380CC4-5D6E-409C-BE32-E72D297353CC}">
              <c16:uniqueId val="{00000001-9736-4E1E-A4CD-4100D4C0B6A3}"/>
            </c:ext>
          </c:extLst>
        </c:ser>
        <c:ser>
          <c:idx val="1"/>
          <c:order val="1"/>
          <c:tx>
            <c:strRef>
              <c:f>'Scenario Analysis'!$A$59</c:f>
              <c:strCache>
                <c:ptCount val="1"/>
                <c:pt idx="0">
                  <c:v>Scenario 2</c:v>
                </c:pt>
              </c:strCache>
            </c:strRef>
          </c:tx>
          <c:spPr>
            <a:solidFill>
              <a:schemeClr val="accent2"/>
            </a:solidFill>
            <a:ln>
              <a:noFill/>
            </a:ln>
            <a:effectLst/>
          </c:spPr>
          <c:invertIfNegative val="0"/>
          <c:cat>
            <c:strRef>
              <c:f>'Scenario Analysis'!$B$57:$H$57</c:f>
              <c:strCache>
                <c:ptCount val="7"/>
                <c:pt idx="0">
                  <c:v>Year 1</c:v>
                </c:pt>
                <c:pt idx="1">
                  <c:v>Year 2</c:v>
                </c:pt>
                <c:pt idx="2">
                  <c:v>Year 3</c:v>
                </c:pt>
                <c:pt idx="3">
                  <c:v>Year 4</c:v>
                </c:pt>
                <c:pt idx="4">
                  <c:v>Year 5</c:v>
                </c:pt>
                <c:pt idx="5">
                  <c:v>Year 6</c:v>
                </c:pt>
                <c:pt idx="6">
                  <c:v>Year 7</c:v>
                </c:pt>
              </c:strCache>
            </c:strRef>
          </c:cat>
          <c:val>
            <c:numRef>
              <c:f>'Scenario Analysis'!$B$59:$H$59</c:f>
              <c:numCache>
                <c:formatCode>#,##0.00</c:formatCode>
                <c:ptCount val="7"/>
                <c:pt idx="0">
                  <c:v>1378700.5280000006</c:v>
                </c:pt>
                <c:pt idx="1">
                  <c:v>1938478.293144</c:v>
                </c:pt>
                <c:pt idx="2">
                  <c:v>2357666.9033640004</c:v>
                </c:pt>
                <c:pt idx="3">
                  <c:v>2819151.40962</c:v>
                </c:pt>
                <c:pt idx="4">
                  <c:v>3326428.7574522002</c:v>
                </c:pt>
                <c:pt idx="5">
                  <c:v>3883307.4472714476</c:v>
                </c:pt>
                <c:pt idx="6">
                  <c:v>4032298.3401191579</c:v>
                </c:pt>
              </c:numCache>
            </c:numRef>
          </c:val>
          <c:extLst>
            <c:ext xmlns:c16="http://schemas.microsoft.com/office/drawing/2014/chart" uri="{C3380CC4-5D6E-409C-BE32-E72D297353CC}">
              <c16:uniqueId val="{00000002-9736-4E1E-A4CD-4100D4C0B6A3}"/>
            </c:ext>
          </c:extLst>
        </c:ser>
        <c:ser>
          <c:idx val="2"/>
          <c:order val="2"/>
          <c:tx>
            <c:strRef>
              <c:f>'Scenario Analysis'!$A$60</c:f>
              <c:strCache>
                <c:ptCount val="1"/>
                <c:pt idx="0">
                  <c:v>Scenario 3</c:v>
                </c:pt>
              </c:strCache>
            </c:strRef>
          </c:tx>
          <c:spPr>
            <a:solidFill>
              <a:schemeClr val="accent3"/>
            </a:solidFill>
            <a:ln>
              <a:noFill/>
            </a:ln>
            <a:effectLst/>
          </c:spPr>
          <c:invertIfNegative val="0"/>
          <c:cat>
            <c:strRef>
              <c:f>'Scenario Analysis'!$B$57:$H$57</c:f>
              <c:strCache>
                <c:ptCount val="7"/>
                <c:pt idx="0">
                  <c:v>Year 1</c:v>
                </c:pt>
                <c:pt idx="1">
                  <c:v>Year 2</c:v>
                </c:pt>
                <c:pt idx="2">
                  <c:v>Year 3</c:v>
                </c:pt>
                <c:pt idx="3">
                  <c:v>Year 4</c:v>
                </c:pt>
                <c:pt idx="4">
                  <c:v>Year 5</c:v>
                </c:pt>
                <c:pt idx="5">
                  <c:v>Year 6</c:v>
                </c:pt>
                <c:pt idx="6">
                  <c:v>Year 7</c:v>
                </c:pt>
              </c:strCache>
            </c:strRef>
          </c:cat>
          <c:val>
            <c:numRef>
              <c:f>'Scenario Analysis'!$B$60:$H$60</c:f>
              <c:numCache>
                <c:formatCode>#,##0.00</c:formatCode>
                <c:ptCount val="7"/>
                <c:pt idx="0">
                  <c:v>1051565.7360000003</c:v>
                </c:pt>
                <c:pt idx="1">
                  <c:v>2124126.6325119999</c:v>
                </c:pt>
                <c:pt idx="2">
                  <c:v>2572648.0843098206</c:v>
                </c:pt>
                <c:pt idx="3">
                  <c:v>3066336.0111181797</c:v>
                </c:pt>
                <c:pt idx="4">
                  <c:v>3608933.0660396917</c:v>
                </c:pt>
                <c:pt idx="5">
                  <c:v>4204516.8745002877</c:v>
                </c:pt>
                <c:pt idx="6">
                  <c:v>4383620.1941994354</c:v>
                </c:pt>
              </c:numCache>
            </c:numRef>
          </c:val>
          <c:extLst>
            <c:ext xmlns:c16="http://schemas.microsoft.com/office/drawing/2014/chart" uri="{C3380CC4-5D6E-409C-BE32-E72D297353CC}">
              <c16:uniqueId val="{00000003-9736-4E1E-A4CD-4100D4C0B6A3}"/>
            </c:ext>
          </c:extLst>
        </c:ser>
        <c:dLbls>
          <c:showLegendKey val="0"/>
          <c:showVal val="0"/>
          <c:showCatName val="0"/>
          <c:showSerName val="0"/>
          <c:showPercent val="0"/>
          <c:showBubbleSize val="0"/>
        </c:dLbls>
        <c:gapWidth val="219"/>
        <c:overlap val="-27"/>
        <c:axId val="2000590688"/>
        <c:axId val="2117725536"/>
      </c:barChart>
      <c:catAx>
        <c:axId val="200059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17725536"/>
        <c:crosses val="autoZero"/>
        <c:auto val="1"/>
        <c:lblAlgn val="ctr"/>
        <c:lblOffset val="100"/>
        <c:noMultiLvlLbl val="0"/>
      </c:catAx>
      <c:valAx>
        <c:axId val="21177255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0059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Contents!A1"/></Relationships>
</file>

<file path=xl/drawings/_rels/drawing2.xml.rels><?xml version="1.0" encoding="UTF-8" standalone="yes"?>
<Relationships xmlns="http://schemas.openxmlformats.org/package/2006/relationships"><Relationship Id="rId1" Type="http://schemas.openxmlformats.org/officeDocument/2006/relationships/hyperlink" Target="#Contents!A1"/></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hyperlink" Target="#Contents!A1"/></Relationships>
</file>

<file path=xl/drawings/_rels/drawing5.xml.rels><?xml version="1.0" encoding="UTF-8" standalone="yes"?>
<Relationships xmlns="http://schemas.openxmlformats.org/package/2006/relationships"><Relationship Id="rId1" Type="http://schemas.openxmlformats.org/officeDocument/2006/relationships/hyperlink" Target="#Contents!A1"/></Relationships>
</file>

<file path=xl/drawings/_rels/drawing6.xml.rels><?xml version="1.0" encoding="UTF-8" standalone="yes"?>
<Relationships xmlns="http://schemas.openxmlformats.org/package/2006/relationships"><Relationship Id="rId1" Type="http://schemas.openxmlformats.org/officeDocument/2006/relationships/hyperlink" Target="#Contents!A1"/></Relationships>
</file>

<file path=xl/drawings/_rels/drawing7.xml.rels><?xml version="1.0" encoding="UTF-8" standalone="yes"?>
<Relationships xmlns="http://schemas.openxmlformats.org/package/2006/relationships"><Relationship Id="rId1" Type="http://schemas.openxmlformats.org/officeDocument/2006/relationships/hyperlink" Target="#Contents!A1"/></Relationships>
</file>

<file path=xl/drawings/_rels/drawing8.xml.rels><?xml version="1.0" encoding="UTF-8" standalone="yes"?>
<Relationships xmlns="http://schemas.openxmlformats.org/package/2006/relationships"><Relationship Id="rId1" Type="http://schemas.openxmlformats.org/officeDocument/2006/relationships/hyperlink" Target="#Contents!A1"/></Relationships>
</file>

<file path=xl/drawings/_rels/drawing9.xml.rels><?xml version="1.0" encoding="UTF-8" standalone="yes"?>
<Relationships xmlns="http://schemas.openxmlformats.org/package/2006/relationships"><Relationship Id="rId1" Type="http://schemas.openxmlformats.org/officeDocument/2006/relationships/hyperlink" Target="#Contents!A1"/></Relationships>
</file>

<file path=xl/drawings/_rels/drawing10.xml.rels><?xml version="1.0" encoding="UTF-8" standalone="yes"?>
<Relationships xmlns="http://schemas.openxmlformats.org/package/2006/relationships"><Relationship Id="rId1" Type="http://schemas.openxmlformats.org/officeDocument/2006/relationships/hyperlink" Target="#Contents!A1"/></Relationships>
</file>

<file path=xl/drawings/_rels/drawing11.xml.rels><?xml version="1.0" encoding="UTF-8" standalone="yes"?>
<Relationships xmlns="http://schemas.openxmlformats.org/package/2006/relationships"><Relationship Id="rId1" Type="http://schemas.openxmlformats.org/officeDocument/2006/relationships/hyperlink" Target="#Contents!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8</xdr:col>
      <xdr:colOff>1035983</xdr:colOff>
      <xdr:row>0</xdr:row>
      <xdr:rowOff>211096</xdr:rowOff>
    </xdr:from>
    <xdr:to>
      <xdr:col>9</xdr:col>
      <xdr:colOff>874058</xdr:colOff>
      <xdr:row>3</xdr:row>
      <xdr:rowOff>49190</xdr:rowOff>
    </xdr:to>
    <xdr:grpSp>
      <xdr:nvGrpSpPr>
        <xdr:cNvPr id="2" name="Graphic 2" descr="Home">
          <a:hlinkClick xmlns:r="http://schemas.openxmlformats.org/officeDocument/2006/relationships" r:id="rId1"/>
          <a:extLst>
            <a:ext uri="{FF2B5EF4-FFF2-40B4-BE49-F238E27FC236}">
              <a16:creationId xmlns:a16="http://schemas.microsoft.com/office/drawing/2014/main" id="{00000000-0008-0000-0100-000002000000}"/>
            </a:ext>
          </a:extLst>
        </xdr:cNvPr>
        <xdr:cNvGrpSpPr/>
      </xdr:nvGrpSpPr>
      <xdr:grpSpPr>
        <a:xfrm flipH="1">
          <a:off x="13138336" y="211096"/>
          <a:ext cx="1272428" cy="768182"/>
          <a:chOff x="11387251800" y="371475"/>
          <a:chExt cx="914400" cy="914400"/>
        </a:xfrm>
        <a:solidFill>
          <a:schemeClr val="tx1"/>
        </a:solidFill>
      </xdr:grpSpPr>
      <xdr:sp macro="" textlink="">
        <xdr:nvSpPr>
          <xdr:cNvPr id="3" name="Freeform: Shape 2">
            <a:extLst>
              <a:ext uri="{FF2B5EF4-FFF2-40B4-BE49-F238E27FC236}">
                <a16:creationId xmlns:a16="http://schemas.microsoft.com/office/drawing/2014/main" id="{00000000-0008-0000-0100-000003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4" name="Freeform: Shape 3">
            <a:extLst>
              <a:ext uri="{FF2B5EF4-FFF2-40B4-BE49-F238E27FC236}">
                <a16:creationId xmlns:a16="http://schemas.microsoft.com/office/drawing/2014/main" id="{00000000-0008-0000-0100-000004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133351</xdr:colOff>
      <xdr:row>0</xdr:row>
      <xdr:rowOff>0</xdr:rowOff>
    </xdr:from>
    <xdr:to>
      <xdr:col>8</xdr:col>
      <xdr:colOff>1152526</xdr:colOff>
      <xdr:row>2</xdr:row>
      <xdr:rowOff>219075</xdr:rowOff>
    </xdr:to>
    <xdr:grpSp>
      <xdr:nvGrpSpPr>
        <xdr:cNvPr id="2" name="Graphic 2" descr="Home">
          <a:hlinkClick xmlns:r="http://schemas.openxmlformats.org/officeDocument/2006/relationships" r:id="rId1"/>
          <a:extLst>
            <a:ext uri="{FF2B5EF4-FFF2-40B4-BE49-F238E27FC236}">
              <a16:creationId xmlns:a16="http://schemas.microsoft.com/office/drawing/2014/main" id="{00000000-0008-0000-0200-000002000000}"/>
            </a:ext>
          </a:extLst>
        </xdr:cNvPr>
        <xdr:cNvGrpSpPr/>
      </xdr:nvGrpSpPr>
      <xdr:grpSpPr>
        <a:xfrm flipH="1">
          <a:off x="12986498" y="0"/>
          <a:ext cx="1019175" cy="1003487"/>
          <a:chOff x="11387251800" y="371475"/>
          <a:chExt cx="914400" cy="914400"/>
        </a:xfrm>
        <a:solidFill>
          <a:schemeClr val="tx1"/>
        </a:solidFill>
      </xdr:grpSpPr>
      <xdr:sp macro="" textlink="">
        <xdr:nvSpPr>
          <xdr:cNvPr id="3" name="Freeform: Shape 2">
            <a:extLst>
              <a:ext uri="{FF2B5EF4-FFF2-40B4-BE49-F238E27FC236}">
                <a16:creationId xmlns:a16="http://schemas.microsoft.com/office/drawing/2014/main" id="{00000000-0008-0000-0200-000003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4" name="Freeform: Shape 3">
            <a:extLst>
              <a:ext uri="{FF2B5EF4-FFF2-40B4-BE49-F238E27FC236}">
                <a16:creationId xmlns:a16="http://schemas.microsoft.com/office/drawing/2014/main" id="{00000000-0008-0000-0200-000004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718969</xdr:colOff>
      <xdr:row>16</xdr:row>
      <xdr:rowOff>32945</xdr:rowOff>
    </xdr:to>
    <xdr:graphicFrame macro="">
      <xdr:nvGraphicFramePr>
        <xdr:cNvPr id="2" name="Chart 1">
          <a:extLst>
            <a:ext uri="{FF2B5EF4-FFF2-40B4-BE49-F238E27FC236}">
              <a16:creationId xmlns:a16="http://schemas.microsoft.com/office/drawing/2014/main" id="{6CF69E29-18A5-45BD-983E-F8154EAFA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23756</xdr:colOff>
      <xdr:row>16</xdr:row>
      <xdr:rowOff>33612</xdr:rowOff>
    </xdr:from>
    <xdr:to>
      <xdr:col>8</xdr:col>
      <xdr:colOff>717176</xdr:colOff>
      <xdr:row>32</xdr:row>
      <xdr:rowOff>91883</xdr:rowOff>
    </xdr:to>
    <xdr:graphicFrame macro="">
      <xdr:nvGraphicFramePr>
        <xdr:cNvPr id="3" name="Chart 2">
          <a:extLst>
            <a:ext uri="{FF2B5EF4-FFF2-40B4-BE49-F238E27FC236}">
              <a16:creationId xmlns:a16="http://schemas.microsoft.com/office/drawing/2014/main" id="{E1BC54D5-ABBA-46A2-80AF-B015FF1AE3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381001</xdr:colOff>
      <xdr:row>0</xdr:row>
      <xdr:rowOff>11906</xdr:rowOff>
    </xdr:from>
    <xdr:to>
      <xdr:col>0</xdr:col>
      <xdr:colOff>1295401</xdr:colOff>
      <xdr:row>0</xdr:row>
      <xdr:rowOff>564356</xdr:rowOff>
    </xdr:to>
    <xdr:grpSp>
      <xdr:nvGrpSpPr>
        <xdr:cNvPr id="2" name="Graphic 2" descr="Home">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flipH="1">
          <a:off x="381001" y="11906"/>
          <a:ext cx="914400" cy="552450"/>
          <a:chOff x="11387251800" y="371475"/>
          <a:chExt cx="914400" cy="914400"/>
        </a:xfrm>
        <a:solidFill>
          <a:schemeClr val="tx1"/>
        </a:solidFill>
      </xdr:grpSpPr>
      <xdr:sp macro="" textlink="">
        <xdr:nvSpPr>
          <xdr:cNvPr id="3" name="Freeform: Shape 2">
            <a:extLst>
              <a:ext uri="{FF2B5EF4-FFF2-40B4-BE49-F238E27FC236}">
                <a16:creationId xmlns:a16="http://schemas.microsoft.com/office/drawing/2014/main" id="{00000000-0008-0000-0700-000003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4" name="Freeform: Shape 3">
            <a:extLst>
              <a:ext uri="{FF2B5EF4-FFF2-40B4-BE49-F238E27FC236}">
                <a16:creationId xmlns:a16="http://schemas.microsoft.com/office/drawing/2014/main" id="{00000000-0008-0000-0700-000004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381001</xdr:colOff>
      <xdr:row>0</xdr:row>
      <xdr:rowOff>11906</xdr:rowOff>
    </xdr:from>
    <xdr:to>
      <xdr:col>1</xdr:col>
      <xdr:colOff>1</xdr:colOff>
      <xdr:row>1</xdr:row>
      <xdr:rowOff>476</xdr:rowOff>
    </xdr:to>
    <xdr:grpSp>
      <xdr:nvGrpSpPr>
        <xdr:cNvPr id="5" name="Graphic 2" descr="Home">
          <a:hlinkClick xmlns:r="http://schemas.openxmlformats.org/officeDocument/2006/relationships" r:id="rId1"/>
          <a:extLst>
            <a:ext uri="{FF2B5EF4-FFF2-40B4-BE49-F238E27FC236}">
              <a16:creationId xmlns:a16="http://schemas.microsoft.com/office/drawing/2014/main" id="{AC9E2DB4-4160-4C3C-AB9C-9C6561907781}"/>
            </a:ext>
          </a:extLst>
        </xdr:cNvPr>
        <xdr:cNvGrpSpPr/>
      </xdr:nvGrpSpPr>
      <xdr:grpSpPr>
        <a:xfrm flipH="1">
          <a:off x="381001" y="11906"/>
          <a:ext cx="3116036" cy="777784"/>
          <a:chOff x="11387251800" y="371475"/>
          <a:chExt cx="914400" cy="914400"/>
        </a:xfrm>
        <a:solidFill>
          <a:schemeClr val="tx1"/>
        </a:solidFill>
      </xdr:grpSpPr>
      <xdr:sp macro="" textlink="">
        <xdr:nvSpPr>
          <xdr:cNvPr id="6" name="Freeform: Shape 5">
            <a:extLst>
              <a:ext uri="{FF2B5EF4-FFF2-40B4-BE49-F238E27FC236}">
                <a16:creationId xmlns:a16="http://schemas.microsoft.com/office/drawing/2014/main" id="{5A0E08F9-C8E3-4338-B06D-BAE3BCF5D6BD}"/>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7" name="Freeform: Shape 6">
            <a:extLst>
              <a:ext uri="{FF2B5EF4-FFF2-40B4-BE49-F238E27FC236}">
                <a16:creationId xmlns:a16="http://schemas.microsoft.com/office/drawing/2014/main" id="{6DB4EA43-100E-42E8-8F03-0882193607AC}"/>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9526</xdr:colOff>
      <xdr:row>0</xdr:row>
      <xdr:rowOff>85725</xdr:rowOff>
    </xdr:from>
    <xdr:to>
      <xdr:col>0</xdr:col>
      <xdr:colOff>809625</xdr:colOff>
      <xdr:row>0</xdr:row>
      <xdr:rowOff>638175</xdr:rowOff>
    </xdr:to>
    <xdr:grpSp>
      <xdr:nvGrpSpPr>
        <xdr:cNvPr id="5" name="Graphic 2" descr="Home">
          <a:hlinkClick xmlns:r="http://schemas.openxmlformats.org/officeDocument/2006/relationships" r:id="rId1"/>
          <a:extLst>
            <a:ext uri="{FF2B5EF4-FFF2-40B4-BE49-F238E27FC236}">
              <a16:creationId xmlns:a16="http://schemas.microsoft.com/office/drawing/2014/main" id="{00000000-0008-0000-0A00-000005000000}"/>
            </a:ext>
          </a:extLst>
        </xdr:cNvPr>
        <xdr:cNvGrpSpPr/>
      </xdr:nvGrpSpPr>
      <xdr:grpSpPr>
        <a:xfrm flipH="1">
          <a:off x="9526" y="85725"/>
          <a:ext cx="800099" cy="552450"/>
          <a:chOff x="11387251800" y="371475"/>
          <a:chExt cx="914400" cy="914400"/>
        </a:xfrm>
        <a:solidFill>
          <a:schemeClr val="accent1"/>
        </a:solidFill>
      </xdr:grpSpPr>
      <xdr:sp macro="" textlink="">
        <xdr:nvSpPr>
          <xdr:cNvPr id="6" name="Freeform: Shape 5">
            <a:extLst>
              <a:ext uri="{FF2B5EF4-FFF2-40B4-BE49-F238E27FC236}">
                <a16:creationId xmlns:a16="http://schemas.microsoft.com/office/drawing/2014/main" id="{00000000-0008-0000-0A00-000006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7" name="Freeform: Shape 6">
            <a:extLst>
              <a:ext uri="{FF2B5EF4-FFF2-40B4-BE49-F238E27FC236}">
                <a16:creationId xmlns:a16="http://schemas.microsoft.com/office/drawing/2014/main" id="{00000000-0008-0000-0A00-000007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0</xdr:row>
      <xdr:rowOff>0</xdr:rowOff>
    </xdr:from>
    <xdr:to>
      <xdr:col>0</xdr:col>
      <xdr:colOff>1445560</xdr:colOff>
      <xdr:row>0</xdr:row>
      <xdr:rowOff>829235</xdr:rowOff>
    </xdr:to>
    <xdr:grpSp>
      <xdr:nvGrpSpPr>
        <xdr:cNvPr id="2" name="Graphic 2" descr="Home">
          <a:hlinkClick xmlns:r="http://schemas.openxmlformats.org/officeDocument/2006/relationships" r:id="rId1"/>
          <a:extLst>
            <a:ext uri="{FF2B5EF4-FFF2-40B4-BE49-F238E27FC236}">
              <a16:creationId xmlns:a16="http://schemas.microsoft.com/office/drawing/2014/main" id="{00000000-0008-0000-0500-000002000000}"/>
            </a:ext>
          </a:extLst>
        </xdr:cNvPr>
        <xdr:cNvGrpSpPr/>
      </xdr:nvGrpSpPr>
      <xdr:grpSpPr>
        <a:xfrm flipH="1">
          <a:off x="1" y="0"/>
          <a:ext cx="1445559" cy="829235"/>
          <a:chOff x="11387251800" y="371475"/>
          <a:chExt cx="914400" cy="914400"/>
        </a:xfrm>
        <a:solidFill>
          <a:schemeClr val="tx1"/>
        </a:solidFill>
      </xdr:grpSpPr>
      <xdr:sp macro="" textlink="">
        <xdr:nvSpPr>
          <xdr:cNvPr id="3" name="Freeform: Shape 2">
            <a:extLst>
              <a:ext uri="{FF2B5EF4-FFF2-40B4-BE49-F238E27FC236}">
                <a16:creationId xmlns:a16="http://schemas.microsoft.com/office/drawing/2014/main" id="{00000000-0008-0000-0500-000003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4" name="Freeform: Shape 3">
            <a:extLst>
              <a:ext uri="{FF2B5EF4-FFF2-40B4-BE49-F238E27FC236}">
                <a16:creationId xmlns:a16="http://schemas.microsoft.com/office/drawing/2014/main" id="{00000000-0008-0000-0500-000004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161925</xdr:colOff>
      <xdr:row>0</xdr:row>
      <xdr:rowOff>180975</xdr:rowOff>
    </xdr:from>
    <xdr:to>
      <xdr:col>12</xdr:col>
      <xdr:colOff>342900</xdr:colOff>
      <xdr:row>1</xdr:row>
      <xdr:rowOff>514350</xdr:rowOff>
    </xdr:to>
    <xdr:grpSp>
      <xdr:nvGrpSpPr>
        <xdr:cNvPr id="4" name="Graphic 2" descr="Home">
          <a:hlinkClick xmlns:r="http://schemas.openxmlformats.org/officeDocument/2006/relationships" r:id="rId1"/>
          <a:extLst>
            <a:ext uri="{FF2B5EF4-FFF2-40B4-BE49-F238E27FC236}">
              <a16:creationId xmlns:a16="http://schemas.microsoft.com/office/drawing/2014/main" id="{00000000-0008-0000-0B00-000004000000}"/>
            </a:ext>
          </a:extLst>
        </xdr:cNvPr>
        <xdr:cNvGrpSpPr/>
      </xdr:nvGrpSpPr>
      <xdr:grpSpPr>
        <a:xfrm flipH="1">
          <a:off x="18192190" y="180975"/>
          <a:ext cx="976592" cy="450476"/>
          <a:chOff x="11387251800" y="371475"/>
          <a:chExt cx="914400" cy="914400"/>
        </a:xfrm>
        <a:solidFill>
          <a:schemeClr val="accent1"/>
        </a:solidFill>
      </xdr:grpSpPr>
      <xdr:sp macro="" textlink="">
        <xdr:nvSpPr>
          <xdr:cNvPr id="5" name="Freeform: Shape 4">
            <a:extLst>
              <a:ext uri="{FF2B5EF4-FFF2-40B4-BE49-F238E27FC236}">
                <a16:creationId xmlns:a16="http://schemas.microsoft.com/office/drawing/2014/main" id="{00000000-0008-0000-0B00-000005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6" name="Freeform: Shape 5">
            <a:extLst>
              <a:ext uri="{FF2B5EF4-FFF2-40B4-BE49-F238E27FC236}">
                <a16:creationId xmlns:a16="http://schemas.microsoft.com/office/drawing/2014/main" id="{00000000-0008-0000-0B00-000006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190501</xdr:colOff>
      <xdr:row>0</xdr:row>
      <xdr:rowOff>11906</xdr:rowOff>
    </xdr:from>
    <xdr:to>
      <xdr:col>0</xdr:col>
      <xdr:colOff>1104901</xdr:colOff>
      <xdr:row>0</xdr:row>
      <xdr:rowOff>523875</xdr:rowOff>
    </xdr:to>
    <xdr:grpSp>
      <xdr:nvGrpSpPr>
        <xdr:cNvPr id="5" name="Graphic 2" descr="Home">
          <a:hlinkClick xmlns:r="http://schemas.openxmlformats.org/officeDocument/2006/relationships" r:id="rId1"/>
          <a:extLst>
            <a:ext uri="{FF2B5EF4-FFF2-40B4-BE49-F238E27FC236}">
              <a16:creationId xmlns:a16="http://schemas.microsoft.com/office/drawing/2014/main" id="{00000000-0008-0000-0600-000005000000}"/>
            </a:ext>
          </a:extLst>
        </xdr:cNvPr>
        <xdr:cNvGrpSpPr/>
      </xdr:nvGrpSpPr>
      <xdr:grpSpPr>
        <a:xfrm flipH="1">
          <a:off x="190501" y="11906"/>
          <a:ext cx="914400" cy="511969"/>
          <a:chOff x="11387251800" y="371475"/>
          <a:chExt cx="914400" cy="914400"/>
        </a:xfrm>
        <a:solidFill>
          <a:schemeClr val="tx1"/>
        </a:solidFill>
      </xdr:grpSpPr>
      <xdr:sp macro="" textlink="">
        <xdr:nvSpPr>
          <xdr:cNvPr id="6" name="Freeform: Shape 5">
            <a:extLst>
              <a:ext uri="{FF2B5EF4-FFF2-40B4-BE49-F238E27FC236}">
                <a16:creationId xmlns:a16="http://schemas.microsoft.com/office/drawing/2014/main" id="{00000000-0008-0000-0600-000006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7" name="Freeform: Shape 6">
            <a:extLst>
              <a:ext uri="{FF2B5EF4-FFF2-40B4-BE49-F238E27FC236}">
                <a16:creationId xmlns:a16="http://schemas.microsoft.com/office/drawing/2014/main" id="{00000000-0008-0000-0600-000007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xdr:colOff>
      <xdr:row>0</xdr:row>
      <xdr:rowOff>1</xdr:rowOff>
    </xdr:from>
    <xdr:to>
      <xdr:col>0</xdr:col>
      <xdr:colOff>1423148</xdr:colOff>
      <xdr:row>0</xdr:row>
      <xdr:rowOff>784413</xdr:rowOff>
    </xdr:to>
    <xdr:grpSp>
      <xdr:nvGrpSpPr>
        <xdr:cNvPr id="5" name="Graphic 2" descr="Home">
          <a:hlinkClick xmlns:r="http://schemas.openxmlformats.org/officeDocument/2006/relationships" r:id="rId1"/>
          <a:extLst>
            <a:ext uri="{FF2B5EF4-FFF2-40B4-BE49-F238E27FC236}">
              <a16:creationId xmlns:a16="http://schemas.microsoft.com/office/drawing/2014/main" id="{00000000-0008-0000-0400-000005000000}"/>
            </a:ext>
          </a:extLst>
        </xdr:cNvPr>
        <xdr:cNvGrpSpPr/>
      </xdr:nvGrpSpPr>
      <xdr:grpSpPr>
        <a:xfrm flipH="1">
          <a:off x="1" y="1"/>
          <a:ext cx="1423147" cy="784412"/>
          <a:chOff x="11387251800" y="371475"/>
          <a:chExt cx="914400" cy="914400"/>
        </a:xfrm>
        <a:solidFill>
          <a:schemeClr val="tx1"/>
        </a:solidFill>
      </xdr:grpSpPr>
      <xdr:sp macro="" textlink="">
        <xdr:nvSpPr>
          <xdr:cNvPr id="6" name="Freeform: Shape 5">
            <a:extLst>
              <a:ext uri="{FF2B5EF4-FFF2-40B4-BE49-F238E27FC236}">
                <a16:creationId xmlns:a16="http://schemas.microsoft.com/office/drawing/2014/main" id="{00000000-0008-0000-0400-000006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7" name="Freeform: Shape 6">
            <a:extLst>
              <a:ext uri="{FF2B5EF4-FFF2-40B4-BE49-F238E27FC236}">
                <a16:creationId xmlns:a16="http://schemas.microsoft.com/office/drawing/2014/main" id="{00000000-0008-0000-0400-000007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394619</xdr:colOff>
      <xdr:row>0</xdr:row>
      <xdr:rowOff>65287</xdr:rowOff>
    </xdr:from>
    <xdr:to>
      <xdr:col>11</xdr:col>
      <xdr:colOff>531331</xdr:colOff>
      <xdr:row>1</xdr:row>
      <xdr:rowOff>255787</xdr:rowOff>
    </xdr:to>
    <xdr:grpSp>
      <xdr:nvGrpSpPr>
        <xdr:cNvPr id="2" name="Graphic 2" descr="Home">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flipH="1">
          <a:off x="15937178" y="65287"/>
          <a:ext cx="988359" cy="627529"/>
          <a:chOff x="11387251800" y="371475"/>
          <a:chExt cx="914400" cy="914400"/>
        </a:xfrm>
        <a:solidFill>
          <a:schemeClr val="tx1"/>
        </a:solidFill>
      </xdr:grpSpPr>
      <xdr:sp macro="" textlink="">
        <xdr:nvSpPr>
          <xdr:cNvPr id="3" name="Freeform: Shape 2">
            <a:extLst>
              <a:ext uri="{FF2B5EF4-FFF2-40B4-BE49-F238E27FC236}">
                <a16:creationId xmlns:a16="http://schemas.microsoft.com/office/drawing/2014/main" id="{00000000-0008-0000-0800-000003000000}"/>
              </a:ext>
            </a:extLst>
          </xdr:cNvPr>
          <xdr:cNvSpPr/>
        </xdr:nvSpPr>
        <xdr:spPr>
          <a:xfrm>
            <a:off x="11387301806" y="478631"/>
            <a:ext cx="809625" cy="428625"/>
          </a:xfrm>
          <a:custGeom>
            <a:avLst/>
            <a:gdLst>
              <a:gd name="connsiteX0" fmla="*/ 407194 w 809625"/>
              <a:gd name="connsiteY0" fmla="*/ 7144 h 428625"/>
              <a:gd name="connsiteX1" fmla="*/ 407194 w 809625"/>
              <a:gd name="connsiteY1" fmla="*/ 7144 h 428625"/>
              <a:gd name="connsiteX2" fmla="*/ 7144 w 809625"/>
              <a:gd name="connsiteY2" fmla="*/ 388144 h 428625"/>
              <a:gd name="connsiteX3" fmla="*/ 50006 w 809625"/>
              <a:gd name="connsiteY3" fmla="*/ 424339 h 428625"/>
              <a:gd name="connsiteX4" fmla="*/ 407194 w 809625"/>
              <a:gd name="connsiteY4" fmla="*/ 85249 h 428625"/>
              <a:gd name="connsiteX5" fmla="*/ 407194 w 809625"/>
              <a:gd name="connsiteY5" fmla="*/ 85249 h 428625"/>
              <a:gd name="connsiteX6" fmla="*/ 764381 w 809625"/>
              <a:gd name="connsiteY6" fmla="*/ 424339 h 428625"/>
              <a:gd name="connsiteX7" fmla="*/ 807244 w 809625"/>
              <a:gd name="connsiteY7" fmla="*/ 388144 h 42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09625" h="428625">
                <a:moveTo>
                  <a:pt x="407194" y="7144"/>
                </a:moveTo>
                <a:lnTo>
                  <a:pt x="407194" y="7144"/>
                </a:lnTo>
                <a:lnTo>
                  <a:pt x="7144" y="388144"/>
                </a:lnTo>
                <a:lnTo>
                  <a:pt x="50006" y="424339"/>
                </a:lnTo>
                <a:lnTo>
                  <a:pt x="407194" y="85249"/>
                </a:lnTo>
                <a:lnTo>
                  <a:pt x="407194" y="85249"/>
                </a:lnTo>
                <a:lnTo>
                  <a:pt x="764381" y="424339"/>
                </a:lnTo>
                <a:lnTo>
                  <a:pt x="807244" y="388144"/>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sp macro="" textlink="">
        <xdr:nvSpPr>
          <xdr:cNvPr id="4" name="Freeform: Shape 3">
            <a:extLst>
              <a:ext uri="{FF2B5EF4-FFF2-40B4-BE49-F238E27FC236}">
                <a16:creationId xmlns:a16="http://schemas.microsoft.com/office/drawing/2014/main" id="{00000000-0008-0000-0800-000004000000}"/>
              </a:ext>
            </a:extLst>
          </xdr:cNvPr>
          <xdr:cNvSpPr/>
        </xdr:nvSpPr>
        <xdr:spPr>
          <a:xfrm>
            <a:off x="11387416106" y="610076"/>
            <a:ext cx="581025" cy="561975"/>
          </a:xfrm>
          <a:custGeom>
            <a:avLst/>
            <a:gdLst>
              <a:gd name="connsiteX0" fmla="*/ 7144 w 581025"/>
              <a:gd name="connsiteY0" fmla="*/ 278606 h 561975"/>
              <a:gd name="connsiteX1" fmla="*/ 7144 w 581025"/>
              <a:gd name="connsiteY1" fmla="*/ 561499 h 561975"/>
              <a:gd name="connsiteX2" fmla="*/ 235744 w 581025"/>
              <a:gd name="connsiteY2" fmla="*/ 561499 h 561975"/>
              <a:gd name="connsiteX3" fmla="*/ 235744 w 581025"/>
              <a:gd name="connsiteY3" fmla="*/ 323374 h 561975"/>
              <a:gd name="connsiteX4" fmla="*/ 350044 w 581025"/>
              <a:gd name="connsiteY4" fmla="*/ 323374 h 561975"/>
              <a:gd name="connsiteX5" fmla="*/ 350044 w 581025"/>
              <a:gd name="connsiteY5" fmla="*/ 561499 h 561975"/>
              <a:gd name="connsiteX6" fmla="*/ 578644 w 581025"/>
              <a:gd name="connsiteY6" fmla="*/ 561499 h 561975"/>
              <a:gd name="connsiteX7" fmla="*/ 578644 w 581025"/>
              <a:gd name="connsiteY7" fmla="*/ 278606 h 561975"/>
              <a:gd name="connsiteX8" fmla="*/ 292894 w 581025"/>
              <a:gd name="connsiteY8" fmla="*/ 7144 h 561975"/>
              <a:gd name="connsiteX9" fmla="*/ 7144 w 581025"/>
              <a:gd name="connsiteY9" fmla="*/ 278606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81025" h="561975">
                <a:moveTo>
                  <a:pt x="7144" y="278606"/>
                </a:moveTo>
                <a:lnTo>
                  <a:pt x="7144" y="561499"/>
                </a:lnTo>
                <a:lnTo>
                  <a:pt x="235744" y="561499"/>
                </a:lnTo>
                <a:lnTo>
                  <a:pt x="235744" y="323374"/>
                </a:lnTo>
                <a:lnTo>
                  <a:pt x="350044" y="323374"/>
                </a:lnTo>
                <a:lnTo>
                  <a:pt x="350044" y="561499"/>
                </a:lnTo>
                <a:lnTo>
                  <a:pt x="578644" y="561499"/>
                </a:lnTo>
                <a:lnTo>
                  <a:pt x="578644" y="278606"/>
                </a:lnTo>
                <a:lnTo>
                  <a:pt x="292894" y="7144"/>
                </a:lnTo>
                <a:lnTo>
                  <a:pt x="7144" y="278606"/>
                </a:lnTo>
                <a:close/>
              </a:path>
            </a:pathLst>
          </a:custGeom>
          <a:grpFill/>
          <a:ln/>
        </xdr:spPr>
        <xdr:style>
          <a:lnRef idx="0">
            <a:schemeClr val="dk1"/>
          </a:lnRef>
          <a:fillRef idx="3">
            <a:schemeClr val="dk1"/>
          </a:fillRef>
          <a:effectRef idx="3">
            <a:schemeClr val="dk1"/>
          </a:effectRef>
          <a:fontRef idx="minor">
            <a:schemeClr val="lt1"/>
          </a:fontRef>
        </xdr:style>
        <xdr:txBody>
          <a:bodyPr rtlCol="1" anchor="ctr"/>
          <a:lstStyle/>
          <a:p>
            <a:endParaRPr lang="ar-EG"/>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esk%20Top%20File%2024_10_2019\Copy%20of%20Slouter%20manufacturing%20-%20financial%20analysis-final_141120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p/OneDrive/MAIUMAS%20Group%20Work/DAI_F4J/Abu%20Eita/Required%20Documents%20Abo%20Aita/F4J_Template_Gantt%20Project%20Planner%20-%20Abo%20Aita%20Compan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amp;Summary results"/>
      <sheetName val="Chicken Process"/>
      <sheetName val="FSA"/>
      <sheetName val="Projected Cash Flow"/>
      <sheetName val="Sales projection"/>
      <sheetName val="Fixed Assests"/>
      <sheetName val="Refrigirators Break Down"/>
      <sheetName val="Row Materials"/>
      <sheetName val="Inventory"/>
      <sheetName val="Salaries"/>
      <sheetName val="Running cost"/>
      <sheetName val="Running Cost Breakdown"/>
      <sheetName val="Sheet2"/>
    </sheetNames>
    <sheetDataSet>
      <sheetData sheetId="0">
        <row r="4">
          <cell r="C4">
            <v>22791352.07</v>
          </cell>
        </row>
        <row r="15">
          <cell r="A15" t="str">
            <v>Assumptions:</v>
          </cell>
          <cell r="B15">
            <v>0</v>
          </cell>
        </row>
        <row r="16">
          <cell r="A16" t="str">
            <v>Government Grant</v>
          </cell>
          <cell r="B16">
            <v>0.2</v>
          </cell>
        </row>
        <row r="17">
          <cell r="A17" t="str">
            <v>Gaza Strip slaughtered daily Chicken birds consumption</v>
          </cell>
          <cell r="B17">
            <v>70700</v>
          </cell>
        </row>
        <row r="18">
          <cell r="A18" t="str">
            <v>Factory Market Share Percentage</v>
          </cell>
          <cell r="B18">
            <v>0.2</v>
          </cell>
        </row>
        <row r="19">
          <cell r="A19" t="str">
            <v>Factory Market share in Number of birds</v>
          </cell>
          <cell r="B19">
            <v>14140</v>
          </cell>
        </row>
        <row r="20">
          <cell r="A20" t="str">
            <v>Chicken average weight (Kg)-Whole Processed Chicken</v>
          </cell>
          <cell r="B20">
            <v>1.8</v>
          </cell>
        </row>
        <row r="21">
          <cell r="A21" t="str">
            <v>Chicken average weight (Kg)-Chicken Portions</v>
          </cell>
          <cell r="B21">
            <v>2.2999999999999998</v>
          </cell>
        </row>
        <row r="22">
          <cell r="A22" t="str">
            <v>Live Chicken Cost (Kg)-Normal season</v>
          </cell>
          <cell r="B22">
            <v>9.5</v>
          </cell>
        </row>
        <row r="23">
          <cell r="A23" t="str">
            <v>Live Chicken Cost (Kg)-low price season</v>
          </cell>
          <cell r="B23">
            <v>6</v>
          </cell>
        </row>
        <row r="24">
          <cell r="A24" t="str">
            <v>Average Chicken Waste</v>
          </cell>
          <cell r="B24">
            <v>0.3</v>
          </cell>
        </row>
        <row r="25">
          <cell r="A25" t="str">
            <v>Net Slaughtered Chicken weight-Whole Processed Chicken</v>
          </cell>
          <cell r="B25">
            <v>1.26</v>
          </cell>
        </row>
        <row r="26">
          <cell r="A26" t="str">
            <v>Net Slaughtered Chicken weight-Chicken Portions</v>
          </cell>
          <cell r="B26">
            <v>1.6099999999999999</v>
          </cell>
        </row>
        <row r="27">
          <cell r="A27" t="str">
            <v>Factory Capacity Per Hour</v>
          </cell>
          <cell r="B27">
            <v>3000</v>
          </cell>
        </row>
        <row r="28">
          <cell r="A28" t="str">
            <v>Maximum No of working hours per day</v>
          </cell>
          <cell r="B28">
            <v>21</v>
          </cell>
        </row>
        <row r="29">
          <cell r="A29" t="str">
            <v>Full capacity production- daily quantity needed of Chickens</v>
          </cell>
          <cell r="B29">
            <v>63000</v>
          </cell>
        </row>
        <row r="30">
          <cell r="A30" t="str">
            <v>Daily Live Birds (Chickens) needed for the level of production</v>
          </cell>
          <cell r="B30">
            <v>14140</v>
          </cell>
        </row>
        <row r="31">
          <cell r="A31" t="str">
            <v>Annual Sales Increment</v>
          </cell>
          <cell r="B31">
            <v>3.3000000000000002E-2</v>
          </cell>
        </row>
        <row r="32">
          <cell r="A32" t="str">
            <v>Salaries annual increment</v>
          </cell>
          <cell r="B32">
            <v>0.03</v>
          </cell>
        </row>
        <row r="33">
          <cell r="A33" t="str">
            <v>Operational Cost increment</v>
          </cell>
          <cell r="B33">
            <v>0.03</v>
          </cell>
        </row>
        <row r="34">
          <cell r="A34" t="str">
            <v>Taxes</v>
          </cell>
          <cell r="B34">
            <v>0.17699999999999999</v>
          </cell>
        </row>
        <row r="35">
          <cell r="A35" t="str">
            <v>Credit Sales percent</v>
          </cell>
          <cell r="B35">
            <v>3.8461538461538464E-2</v>
          </cell>
        </row>
        <row r="36">
          <cell r="A36" t="str">
            <v>Credit Purchases Percent of Cost of Sales</v>
          </cell>
          <cell r="B36">
            <v>7.6923076923076927E-2</v>
          </cell>
        </row>
        <row r="37">
          <cell r="A37" t="str">
            <v>USD to NIS</v>
          </cell>
          <cell r="B37">
            <v>3.65</v>
          </cell>
        </row>
      </sheetData>
      <sheetData sheetId="1"/>
      <sheetData sheetId="2"/>
      <sheetData sheetId="3"/>
      <sheetData sheetId="4"/>
      <sheetData sheetId="5">
        <row r="2">
          <cell r="A2" t="str">
            <v>Pre- Starting costs</v>
          </cell>
        </row>
      </sheetData>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Planner"/>
      <sheetName val="Procurement Plan"/>
      <sheetName val="Disbursment Plan"/>
      <sheetName val="Sheet3"/>
    </sheetNames>
    <sheetDataSet>
      <sheetData sheetId="0">
        <row r="3">
          <cell r="H3">
            <v>1</v>
          </cell>
        </row>
      </sheetData>
      <sheetData sheetId="1"/>
      <sheetData sheetId="2" refreshError="1"/>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Hani O Skaik" id="{186D5915-F0D5-47B3-AE00-21E0EFA91507}" userId="e9c999847fc8c592"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C67D308-E888-4CCB-ACA3-7EDB95A4D66B}" name="Table17" displayName="Table17" ref="A45:J76" totalsRowCount="1" headerRowDxfId="1691" dataDxfId="1690" totalsRowDxfId="1689">
  <autoFilter ref="A45:J75" xr:uid="{87632864-E8E3-4F02-8A18-23F5AD43DAC2}">
    <filterColumn colId="0">
      <customFilters>
        <customFilter operator="notEqual" val=" "/>
      </customFilters>
    </filterColumn>
  </autoFilter>
  <tableColumns count="10">
    <tableColumn id="1" xr3:uid="{E9B95ADF-73F1-4F06-B107-1B6C421567DB}" name="Product" totalsRowLabel="Total" dataDxfId="1688" totalsRowDxfId="1687" dataCellStyle="Input"/>
    <tableColumn id="2" xr3:uid="{526521D8-7B54-4453-B24D-1904C413F4DA}" name="Product Unit" totalsRowFunction="count" dataDxfId="1686" totalsRowDxfId="1685" dataCellStyle="Comma"/>
    <tableColumn id="10" xr3:uid="{052B6EE2-4D24-4797-8EF8-16EC3C5E32AF}" name="Batch Unit" dataDxfId="1684" totalsRowDxfId="1683" dataCellStyle="Comma"/>
    <tableColumn id="11" xr3:uid="{F50208D5-AA6D-4DE7-B583-419501CFE09F}" name="No. of Units in One Batch" dataDxfId="1682" totalsRowDxfId="1681" dataCellStyle="Comma"/>
    <tableColumn id="5" xr3:uid="{351D7523-B372-4B75-A12B-D8E8D8065EBA}" name="Unit Price in LC" dataDxfId="1680" totalsRowDxfId="1679" dataCellStyle="Input"/>
    <tableColumn id="3" xr3:uid="{5977255A-00DC-4412-8724-BD0FF922F9AD}" name="Unit Price in Study Currency" dataDxfId="1678" totalsRowDxfId="1677">
      <calculatedColumnFormula>IFERROR(Table17[[#This Row],[Unit Price in LC]]/FX_RATE,0)</calculatedColumnFormula>
    </tableColumn>
    <tableColumn id="4" xr3:uid="{E86B7AF3-8DC5-49D3-94DA-DD53C7E3BE0A}" name="Projected Sales Qt - Year 1" dataDxfId="1676" totalsRowDxfId="1675" dataCellStyle="Normal 2">
      <calculatedColumnFormula>'Sales, Production, &amp; Other Assu'!P19*Capacity</calculatedColumnFormula>
    </tableColumn>
    <tableColumn id="6" xr3:uid="{1D378FCD-179B-4B13-987A-5E04C21A1D53}" name="Sales Volume in Study Currency" totalsRowFunction="sum" dataDxfId="1674" totalsRowDxfId="1673" dataCellStyle="Normal 2">
      <calculatedColumnFormula>Table17[[#This Row],[Unit Price in Study Currency]]*Table17[[#This Row],[Projected Sales Qt - Year 1]]</calculatedColumnFormula>
    </tableColumn>
    <tableColumn id="9" xr3:uid="{E7C7236D-1FE6-4809-B288-B6AC1D7531E6}" name="BEP in Amount" dataDxfId="1672" totalsRowDxfId="1671" dataCellStyle="Normal 2">
      <calculatedColumnFormula>Table17[[#This Row],[BEP in Quantities]]*Table17[[#This Row],[Unit Price in Study Currency]]</calculatedColumnFormula>
    </tableColumn>
    <tableColumn id="7" xr3:uid="{5F2E5214-39C9-46EE-A451-8F517AB7605A}" name="BEP in Quantities" dataDxfId="1670" totalsRowDxfId="1669">
      <calculatedColumnFormula>'BEP. &amp; Summary Results'!O6</calculatedColumnFormula>
    </tableColumn>
  </tableColumns>
  <tableStyleInfo name="TableStyleLight11" showFirstColumn="1"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EA06CE8-FCE6-454E-B793-C180E9080A8B}" name="Table16" displayName="Table16" ref="A78:H210" totalsRowCount="1" headerRowDxfId="1668" dataDxfId="1667" totalsRowDxfId="1666">
  <autoFilter ref="A78:H209" xr:uid="{464EC29A-F8F9-4936-98FC-CD09D999ECA9}">
    <filterColumn colId="0">
      <customFilters>
        <customFilter operator="notEqual" val=" "/>
      </customFilters>
    </filterColumn>
  </autoFilter>
  <sortState xmlns:xlrd2="http://schemas.microsoft.com/office/spreadsheetml/2017/richdata2" ref="A79:H191">
    <sortCondition ref="A78:A191"/>
  </sortState>
  <tableColumns count="8">
    <tableColumn id="1" xr3:uid="{5FDCBCA4-9732-4682-9DA5-03CCA6C42A3E}" name="Raw Material Used" totalsRowLabel="Total" dataDxfId="1665" totalsRowDxfId="1664"/>
    <tableColumn id="2" xr3:uid="{81597B63-38D8-4B58-B482-0DC85FDF4C2B}" name="Unit" totalsRowFunction="count" dataDxfId="1663" totalsRowDxfId="1662"/>
    <tableColumn id="9" xr3:uid="{8BBFC777-90B2-48B4-BBF6-8107D0775D83}" name="Material Classifications" dataDxfId="1661" totalsRowDxfId="1660"/>
    <tableColumn id="5" xr3:uid="{4C30440E-87ED-4154-8B6A-438BF5F12DFF}" name="Unit Price in LC _x000a_(ILS)" dataDxfId="1659" totalsRowDxfId="1658"/>
    <tableColumn id="3" xr3:uid="{0FC82393-7076-4D65-A718-D32143F3DD15}" name="Unit Price in Study Currency" dataDxfId="1657" totalsRowDxfId="1656">
      <calculatedColumnFormula>Table16[[#This Row],[Unit Price in LC 
(ILS)]]/FX_RATE</calculatedColumnFormula>
    </tableColumn>
    <tableColumn id="4" xr3:uid="{06427154-4A16-4472-9B39-77EF1ED19CE0}" name="Quantity Needed" dataDxfId="1655" totalsRowDxfId="1654">
      <calculatedColumnFormula>SUMIF('Production Matrix'!A:A,Table16[[#This Row],[Raw Material Used]],'Production Matrix'!I:I)</calculatedColumnFormula>
    </tableColumn>
    <tableColumn id="8" xr3:uid="{5EBF5101-75AA-4600-A6B7-15A2E20F7523}" name="% from total cost of production" totalsRowFunction="sum" dataDxfId="1653" totalsRowDxfId="1652">
      <calculatedColumnFormula>IFERROR(Table16[[#This Row],[Cost Of Production Cost in Study Cur]]/Table16[[#Totals],[Cost Of Production Cost in Study Cur]],0)</calculatedColumnFormula>
    </tableColumn>
    <tableColumn id="6" xr3:uid="{E8666D93-8E9F-43C4-B11D-D6ECBF362B1C}" name="Cost Of Production Cost in Study Cur" totalsRowFunction="sum" dataDxfId="1651" totalsRowDxfId="1650" dataCellStyle="Currency">
      <calculatedColumnFormula>Table16[[#This Row],[Unit Price in Study Currency]]*Table16[[#This Row],[Quantity Needed]]</calculatedColumnFormula>
    </tableColumn>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17C52CC-3DC9-4E4D-A0CE-6147F9F98E84}" name="Table19" displayName="Table19" ref="A52:H55" totalsRowShown="0" headerRowDxfId="1649" dataDxfId="1648">
  <autoFilter ref="A52:H55" xr:uid="{82C803BC-D0BE-48D3-8187-5351A22AA91C}"/>
  <tableColumns count="8">
    <tableColumn id="1" xr3:uid="{BEFFF9EF-0299-4900-AAF4-8A72F5180062}" name="Total Sales" dataDxfId="1647">
      <calculatedColumnFormula>A4</calculatedColumnFormula>
    </tableColumn>
    <tableColumn id="2" xr3:uid="{82F45B04-8498-43D9-B8B6-A25B314CF616}" name="Year 1" dataDxfId="1646"/>
    <tableColumn id="3" xr3:uid="{A99A7510-2886-4F17-BC2F-125938436842}" name="Year 2" dataDxfId="1645"/>
    <tableColumn id="4" xr3:uid="{3CFBC7EC-B4AA-4AF9-BA25-FCFF7A49E847}" name="Year 3" dataDxfId="1644"/>
    <tableColumn id="5" xr3:uid="{03C4857C-7119-4C34-ADDD-0AAA091D0F2C}" name="Year 4" dataDxfId="1643"/>
    <tableColumn id="6" xr3:uid="{0EA7DD3C-6245-4799-9F8F-5B01F3EB4620}" name="Year 5" dataDxfId="1642"/>
    <tableColumn id="7" xr3:uid="{EACE0749-28FB-4BC0-87BF-A8933B79B0BA}" name="Year 6" dataDxfId="1641"/>
    <tableColumn id="8" xr3:uid="{6684541A-B907-4952-A6D0-3D9FF2AC6EE2}" name="Year 7" dataDxfId="164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E43A0FE-361F-4F9F-9951-8394758DFE03}" name="Table197" displayName="Table197" ref="A57:H60" totalsRowShown="0" headerRowDxfId="1639" dataDxfId="1638">
  <autoFilter ref="A57:H60" xr:uid="{904278C8-A1FB-4776-A804-9B7CC24893A8}"/>
  <tableColumns count="8">
    <tableColumn id="1" xr3:uid="{51F25263-7B28-4059-B4F3-92BAC4B1A191}" name="Net Profit" dataDxfId="1637">
      <calculatedColumnFormula>A53</calculatedColumnFormula>
    </tableColumn>
    <tableColumn id="2" xr3:uid="{7862405E-A532-4069-AE62-BAFF174EBC5E}" name="Year 1" dataDxfId="1636"/>
    <tableColumn id="3" xr3:uid="{FF13089A-663E-44C9-83BA-CCBCB44EBC5E}" name="Year 2" dataDxfId="1635"/>
    <tableColumn id="4" xr3:uid="{72B5C720-E80A-44FB-8441-859C4A37A6DE}" name="Year 3" dataDxfId="1634"/>
    <tableColumn id="5" xr3:uid="{922297F0-47FC-4112-B43D-25B588A5DD4F}" name="Year 4" dataDxfId="1633"/>
    <tableColumn id="6" xr3:uid="{DB9B6E62-CF94-4BE6-B9E0-12F6A7A24AA8}" name="Year 5" dataDxfId="1632"/>
    <tableColumn id="7" xr3:uid="{2BFFCC4E-9A88-4F3A-BC6C-44685E6B4017}" name="Year 6" dataDxfId="1631"/>
    <tableColumn id="8" xr3:uid="{BAF3DD7F-DD79-46FF-AC46-945C43F399B2}" name="Year 7" dataDxfId="16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1E9AB2-FB6B-4738-BFC0-3F4A8D65C389}" name="Table3" displayName="Table3" ref="A5:G28" totalsRowCount="1" headerRowDxfId="1629" dataDxfId="1628" headerRowCellStyle="Normal 2 2" dataCellStyle="Input 2">
  <autoFilter ref="A5:G27" xr:uid="{AA19B94A-67E4-4C4E-B9DB-AAA95A6EF39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BB65641-A918-4C87-980C-7263FF870DFA}" name="Projected Income Statement" dataDxfId="1627" totalsRowDxfId="1626" dataCellStyle="Normal 2 2"/>
    <tableColumn id="3" xr3:uid="{BD17A74D-A998-40B4-B6BA-8F0A75410AAE}" name="Pre-operation" dataDxfId="1625" totalsRowDxfId="1624" dataCellStyle="Currency"/>
    <tableColumn id="4" xr3:uid="{0E94B3F3-8E23-4ECF-8A33-5AA3AF72043F}" name="Year 1" dataDxfId="1623" totalsRowDxfId="1622" dataCellStyle="Currency"/>
    <tableColumn id="5" xr3:uid="{E687C140-C9EF-4E8A-AB8E-D2B829EB1D70}" name="Year 2" dataDxfId="1621" totalsRowDxfId="1620" dataCellStyle="Currency"/>
    <tableColumn id="6" xr3:uid="{3BE6E4A0-980C-4796-A31C-E06ED20A0D48}" name="Year 3" dataDxfId="1619" totalsRowDxfId="1618" dataCellStyle="Currency"/>
    <tableColumn id="7" xr3:uid="{A94D44E0-2F71-4B73-83E4-688A70BAA604}" name="Year 4" dataDxfId="1617" totalsRowDxfId="1616" dataCellStyle="Currency"/>
    <tableColumn id="8" xr3:uid="{AFF57E7E-E611-4837-8754-2FBC0F0A9DA0}" name="Year 5" dataDxfId="1615" totalsRowDxfId="1614" dataCellStyle="Currency"/>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0760F7-2E93-4D8D-97EB-CF852D3D17A4}" name="Table4" displayName="Table4" ref="A29:G53" totalsRowCount="1" headerRowDxfId="1613" dataDxfId="1612" totalsRowDxfId="1610" tableBorderDxfId="1611" headerRowCellStyle="Normal 2 2">
  <autoFilter ref="A29:G52" xr:uid="{479C5C3B-5EF2-4B6B-9B0F-2089490AC27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79FCB18-F246-4CD9-BB25-EFC5CD31C7C8}" name="Projected Balance Sheet" dataDxfId="1609" totalsRowDxfId="1608" dataCellStyle="Normal 2 2"/>
    <tableColumn id="3" xr3:uid="{5245F133-39AB-48B1-BF79-1B0060D9113A}" name="Pre-operation" totalsRowFunction="custom" dataDxfId="1607" totalsRowDxfId="1606" dataCellStyle="Currency">
      <totalsRowFormula>B40-B47-B52</totalsRowFormula>
    </tableColumn>
    <tableColumn id="4" xr3:uid="{4AAA98B3-477C-47A5-BBA8-78268BAA1E7F}" name="Year 1" totalsRowFunction="custom" dataDxfId="1605" totalsRowDxfId="1604">
      <totalsRowFormula>C40-C47-C52</totalsRowFormula>
    </tableColumn>
    <tableColumn id="5" xr3:uid="{14739ED7-4F46-4BD7-B6C2-D8182A50BC81}" name="Year 2" totalsRowFunction="custom" dataDxfId="1603" totalsRowDxfId="1602">
      <totalsRowFormula>D40-D47-D52</totalsRowFormula>
    </tableColumn>
    <tableColumn id="6" xr3:uid="{C5044E81-6FB0-4870-8873-892E12E8FF2A}" name="Year 3" totalsRowFunction="custom" dataDxfId="1601" totalsRowDxfId="1600">
      <totalsRowFormula>E40-E47-E52</totalsRowFormula>
    </tableColumn>
    <tableColumn id="7" xr3:uid="{92EF2DCE-036B-42B6-AF93-3B491565787D}" name="Year 4" totalsRowFunction="custom" dataDxfId="1599" totalsRowDxfId="1598">
      <totalsRowFormula>F40-F47-F52</totalsRowFormula>
    </tableColumn>
    <tableColumn id="8" xr3:uid="{D1C1A6F1-5A28-4D06-A7C6-B5D02A5B7055}" name="Year 5" totalsRowFunction="custom" dataDxfId="1597" totalsRowDxfId="1596">
      <totalsRowFormula>G40-G47-G52</totalsRow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6756B8-EC24-4270-8D8F-C1B61793B0C9}" name="Table10" displayName="Table10" ref="A54:G75" totalsRowShown="0" headerRowDxfId="1595" dataDxfId="1594" tableBorderDxfId="1593" headerRowCellStyle="Normal 2 2" dataCellStyle="Comma 2 2">
  <autoFilter ref="A54:G75" xr:uid="{F14C68F1-7532-49E8-98C6-51BF2358EDC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B7C3F07-F8A2-4ECB-8688-55C5171526D5}" name="Projected Cashflow Statement" dataDxfId="1592"/>
    <tableColumn id="3" xr3:uid="{4EB0BB8E-3A31-4D7C-B278-3C3F1B6EA5BC}" name="Pre-operation" dataDxfId="1591" dataCellStyle="Comma 2 2"/>
    <tableColumn id="4" xr3:uid="{6C76F279-0CA1-4703-848C-795F80237CE8}" name="Year 1" dataDxfId="1590" dataCellStyle="Comma 2 2"/>
    <tableColumn id="5" xr3:uid="{9DD64C07-C772-4464-9756-E76796AE6FF7}" name="Year 2" dataDxfId="1589" dataCellStyle="Comma 2 2"/>
    <tableColumn id="6" xr3:uid="{884EC867-8AC8-4BE4-ADDE-07A274CAFFB2}" name="Year 3" dataDxfId="1588" dataCellStyle="Comma 2 2"/>
    <tableColumn id="7" xr3:uid="{CCE732D0-B7CC-4CC0-8E3D-A1724C8817DB}" name="Year 4" dataDxfId="1587" dataCellStyle="Comma 2 2"/>
    <tableColumn id="8" xr3:uid="{8AEDC99D-B8CD-417A-B75E-956A74929BC2}" name="Year 5" dataDxfId="1586" dataCellStyle="Comma 2 2"/>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47225F9-E0E1-4744-8BFC-1E0401CAC2DA}" name="Table14" displayName="Table14" ref="A77:G84" totalsRowCount="1" headerRowDxfId="1585" dataDxfId="1584" tableBorderDxfId="1583" headerRowCellStyle="Normal 2 2">
  <autoFilter ref="A77:G83" xr:uid="{87D512CF-7176-414D-8DDB-C7F2950A6FC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809ADFE-F680-4EAB-945C-6617AC1C31FF}" name="Free Cashflow" dataDxfId="1582" totalsRowDxfId="1581"/>
    <tableColumn id="3" xr3:uid="{8E2362CD-AD8F-4B2B-B253-355207328E0A}" name="Pre-operation" dataDxfId="1580" totalsRowDxfId="1579"/>
    <tableColumn id="4" xr3:uid="{DE650B2F-502D-4FF5-9BC5-801EDAACC22D}" name="Year 1" dataDxfId="1578" totalsRowDxfId="1577"/>
    <tableColumn id="5" xr3:uid="{7EBD442D-CAA0-4F3E-9FCF-C6E402BAEF36}" name="Year 2" dataDxfId="1576" totalsRowDxfId="1575"/>
    <tableColumn id="6" xr3:uid="{E7143378-3A37-48F7-84D2-C5C7624ABBF7}" name="Year 3" dataDxfId="1574" totalsRowDxfId="1573"/>
    <tableColumn id="7" xr3:uid="{8F066A21-1B52-4572-858B-23B8362AD348}" name="Year 4" dataDxfId="1572" totalsRowDxfId="1571"/>
    <tableColumn id="8" xr3:uid="{F8588E34-BDD1-4B0C-9D78-8411FB4BE107}" name="Year 5" dataDxfId="1570" totalsRowDxfId="1569"/>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F56CCBF-2D3C-4595-BF93-06605DCFAFCA}" name="Table9" displayName="Table9" ref="A53:G77" totalsRowShown="0" headerRowDxfId="1568" dataDxfId="1567" headerRowCellStyle="Normal 2 2" dataCellStyle="Comma 2 2">
  <autoFilter ref="A53:G77" xr:uid="{BBC35B12-6D0A-4753-9D51-CAF864A9D044}">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5221A1A-BA0B-4430-B80F-1E5F332ADD09}" name="Ratio Analysis" dataDxfId="1566" dataCellStyle="Normal 2 2"/>
    <tableColumn id="2" xr3:uid="{91195DAD-C919-4FED-8930-0F0A92E966F9}" name="Pre-operation" dataDxfId="1565" dataCellStyle="Comma 2 2"/>
    <tableColumn id="3" xr3:uid="{8CB132D8-5B91-48B5-9AFA-00B5345EE8CA}" name="Year 1" dataDxfId="1564" dataCellStyle="Comma 2 2"/>
    <tableColumn id="4" xr3:uid="{0B057BC5-4195-4336-8545-7FADFB817CBA}" name="Year 2" dataDxfId="1563" dataCellStyle="Comma 2 2"/>
    <tableColumn id="5" xr3:uid="{53874FB7-883C-40D6-A615-8EF0187C1E14}" name="Year 3" dataDxfId="1562" dataCellStyle="Comma 2 2"/>
    <tableColumn id="6" xr3:uid="{A5056BFA-283C-4FEB-871D-D5D1E45B3B63}" name="Year 4" dataDxfId="1561" dataCellStyle="Comma 2 2"/>
    <tableColumn id="7" xr3:uid="{FD3815B3-E957-447B-8E78-A2FFCA083EA2}" name="Year 5" dataDxfId="1560" dataCellStyle="Comma 2 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3D60BDD-0A5E-4E62-88E2-2CCF8E23C635}" name="Table11" displayName="Table11" ref="A5:G27" totalsRowShown="0" headerRowDxfId="1559" dataDxfId="1558" tableBorderDxfId="1557" headerRowCellStyle="Normal 2 2" dataCellStyle="Percent 2 2">
  <autoFilter ref="A5:G27" xr:uid="{53440A13-4BD3-41C5-B311-1039CA33F96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555ECC4-EFC2-4B09-A699-509008D7657A}" name="Income Statement Vertical Analysis" dataDxfId="1556" dataCellStyle="Normal 2 2"/>
    <tableColumn id="2" xr3:uid="{BD7F8C99-9F0A-4AB7-A227-3EAA8ADFFCA3}" name="Pre-operation" dataDxfId="1555" dataCellStyle="Percent 2 2"/>
    <tableColumn id="3" xr3:uid="{26960797-A186-4ABE-9B02-FBA94C61F58A}" name="Year 1" dataDxfId="1554" dataCellStyle="Percent 2 2">
      <calculatedColumnFormula>'Projected FS'!C9/'Projected FS'!C$6</calculatedColumnFormula>
    </tableColumn>
    <tableColumn id="4" xr3:uid="{2520297E-7208-45C7-BDBC-D6AF069A5FE6}" name="Year 2" dataDxfId="1553" dataCellStyle="Percent 2 2">
      <calculatedColumnFormula>'Projected FS'!D9/'Projected FS'!D$6</calculatedColumnFormula>
    </tableColumn>
    <tableColumn id="5" xr3:uid="{F22B5953-87E4-44CD-A8FD-CC9B84998068}" name="Year 3" dataDxfId="1552" dataCellStyle="Percent 2 2">
      <calculatedColumnFormula>'Projected FS'!E9/'Projected FS'!E$6</calculatedColumnFormula>
    </tableColumn>
    <tableColumn id="6" xr3:uid="{F8D6AECA-C60C-41E6-96B5-2783F05A0ADD}" name="Year 4" dataDxfId="1551" dataCellStyle="Percent 2 2">
      <calculatedColumnFormula>'Projected FS'!F9/'Projected FS'!F$6</calculatedColumnFormula>
    </tableColumn>
    <tableColumn id="7" xr3:uid="{FB1019EE-D34B-4F99-80C3-9563ACB406A9}" name="Year 5" dataDxfId="1550" dataCellStyle="Percent 2 2">
      <calculatedColumnFormula>'Projected FS'!G9/'Projected FS'!G$6</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5FE0B7A-F30C-4F0D-8C59-1575039BC1CF}" name="Table12" displayName="Table12" ref="A29:G51" totalsRowShown="0" headerRowDxfId="1549" dataDxfId="1548" tableBorderDxfId="1547" headerRowCellStyle="Normal 2 2" dataCellStyle="Percent 2 2">
  <autoFilter ref="A29:G51" xr:uid="{7CA5B38C-F2C1-4DB2-A434-19D0C46C212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FB8F11A-2251-451B-B43A-DF7095E7B4E7}" name="Income Statement Horizontal Analysis" dataDxfId="1546" dataCellStyle="Normal 2 2"/>
    <tableColumn id="2" xr3:uid="{650E3214-160C-4E02-A4CF-5D6B2E4DE456}" name="Pre-operation" dataDxfId="1545" dataCellStyle="Comma 2 2"/>
    <tableColumn id="3" xr3:uid="{CA58BB9B-415E-44A8-839C-A7B9741450DF}" name="Year 1" dataDxfId="1544" dataCellStyle="Percent 2 2"/>
    <tableColumn id="4" xr3:uid="{01A25EBE-5556-4BFE-8562-FE8E1714C951}" name="Year 2" dataDxfId="1543" dataCellStyle="Percent 2 2">
      <calculatedColumnFormula>'Projected FS'!D9/'Projected FS'!C9-1</calculatedColumnFormula>
    </tableColumn>
    <tableColumn id="5" xr3:uid="{15A72E6D-5373-4E59-A188-24AC58BDE4B9}" name="Year 3" dataDxfId="1542" dataCellStyle="Percent 2 2">
      <calculatedColumnFormula>'Projected FS'!E9/'Projected FS'!D9-1</calculatedColumnFormula>
    </tableColumn>
    <tableColumn id="6" xr3:uid="{4337DE26-CD07-4EF1-A9BD-54CDEF615281}" name="Year 4" dataDxfId="1541" dataCellStyle="Percent 2 2">
      <calculatedColumnFormula>'Projected FS'!F9/'Projected FS'!E9-1</calculatedColumnFormula>
    </tableColumn>
    <tableColumn id="7" xr3:uid="{5BA22BC5-EC1A-482D-A141-6BE966EA1577}" name="Year 5" dataDxfId="1540" dataCellStyle="Percent 2 2">
      <calculatedColumnFormula>'Projected FS'!G9/'Projected FS'!F9-1</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AEDA7AE7-916F-4F64-8921-74E336979833}" name="Table42" displayName="Table42" ref="A5:O30" headerRowDxfId="1539" dataDxfId="1537" totalsRowDxfId="1535" headerRowBorderDxfId="1538" tableBorderDxfId="1536">
  <autoFilter ref="A5:O30" xr:uid="{A30F609A-4ADE-4B1F-93D8-6A4A156C78F7}"/>
  <tableColumns count="15">
    <tableColumn id="1" xr3:uid="{DAFCA2B5-23D4-45C3-BD4D-980EC232825F}" name="Description" totalsRowLabel="Total" dataDxfId="1534" totalsRowDxfId="1533"/>
    <tableColumn id="2" xr3:uid="{07E76142-6039-4E7B-89D4-4E7FB45E02F0}" name="Pre-Operation" dataDxfId="1532" totalsRowDxfId="1531"/>
    <tableColumn id="3" xr3:uid="{B3A2573C-EF9A-41BD-8335-0BDC280FD00D}" name="Year 1_x000a_Month 1" dataDxfId="1530" totalsRowDxfId="1529"/>
    <tableColumn id="4" xr3:uid="{FDE75B09-98DE-4CBE-9D26-02457E70E392}" name="Year 1_x000a_Month 2" dataDxfId="1528" totalsRowDxfId="1527"/>
    <tableColumn id="5" xr3:uid="{7F8FF96E-8EA9-4C37-B6ED-87325405D21A}" name="Year 1_x000a_Month 3" dataDxfId="1526" totalsRowDxfId="1525"/>
    <tableColumn id="6" xr3:uid="{631E6F8B-A524-403F-9D0E-0C1042F70A4E}" name="Year 1_x000a_Month 4" dataDxfId="1524" totalsRowDxfId="1523"/>
    <tableColumn id="7" xr3:uid="{BF7AFDE7-1402-4605-9B1F-06BB8C539432}" name="Year 1_x000a_Month 5" dataDxfId="1522" totalsRowDxfId="1521"/>
    <tableColumn id="8" xr3:uid="{0493E98A-CCA7-4AC2-A36E-E5F3D869AECD}" name="Year 1_x000a_Month 6" dataDxfId="1520" totalsRowDxfId="1519"/>
    <tableColumn id="9" xr3:uid="{B0CE22EA-DC87-44DE-8B85-8A6D01963501}" name="Year 1_x000a_Month 7" dataDxfId="1518" totalsRowDxfId="1517"/>
    <tableColumn id="10" xr3:uid="{4B691CE4-4D63-4C03-B322-7D19F9DCA781}" name="Year 1_x000a_Month 8" dataDxfId="1516" totalsRowDxfId="1515"/>
    <tableColumn id="11" xr3:uid="{029F9397-91B2-4FCC-819D-1EBA50874395}" name="Year 1_x000a_Month 9" dataDxfId="1514" totalsRowDxfId="1513"/>
    <tableColumn id="12" xr3:uid="{27CF1741-3D23-4E4E-AA40-9EC9B72D9B6E}" name="Year 1_x000a_Month 10" dataDxfId="1512" totalsRowDxfId="1511"/>
    <tableColumn id="13" xr3:uid="{78CAC0DB-CBD6-4BBE-BAF3-F3EB873FD002}" name="Year 1_x000a_Month 11" dataDxfId="1510" totalsRowDxfId="1509"/>
    <tableColumn id="14" xr3:uid="{5AB1E80B-F0CE-450F-BCC9-01BD10FB3BB9}" name="Year 1_x000a_Month 12" dataDxfId="1508" totalsRowDxfId="1507"/>
    <tableColumn id="15" xr3:uid="{1D05B577-2964-47AA-90E7-27907B2315B1}" name="Total_x000a_Year 1" dataDxfId="1506"/>
  </tableColumns>
  <tableStyleInfo name="TableStyleLight1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9D39543-32D7-478B-B339-7095991C7F62}" name="Table4253" displayName="Table4253" ref="A35:O60" headerRowDxfId="1505" dataDxfId="1503" totalsRowDxfId="1501" headerRowBorderDxfId="1504" tableBorderDxfId="1502">
  <autoFilter ref="A35:O60" xr:uid="{988569C9-1DF8-4A25-9CF8-09FB618AD4AC}"/>
  <tableColumns count="15">
    <tableColumn id="1" xr3:uid="{40A2BB26-7F36-4986-85C5-199731F8FEB1}" name="Description" totalsRowLabel="Total" dataDxfId="1500" totalsRowDxfId="1499"/>
    <tableColumn id="2" xr3:uid="{E2C722A4-B5AE-4028-99BE-3C55C5F7F752}" name="Pre-Operation" dataDxfId="1498" totalsRowDxfId="1497"/>
    <tableColumn id="3" xr3:uid="{0AF3BBE4-F2F7-4C4A-9C5A-1443D497864D}" name="Year 1_x000a_Month 1" dataDxfId="1496" totalsRowDxfId="1495"/>
    <tableColumn id="4" xr3:uid="{0284E002-92DE-4B4C-9E3C-7C2607C45BF6}" name="Year 1_x000a_Month 2" dataDxfId="1494" totalsRowDxfId="1493"/>
    <tableColumn id="5" xr3:uid="{6236275D-0B6A-4F62-96D9-63C25BDA978D}" name="Year 1_x000a_Month 3" dataDxfId="1492" totalsRowDxfId="1491"/>
    <tableColumn id="6" xr3:uid="{30730A24-D4E8-4450-86D4-B2C542893E5F}" name="Year 1_x000a_Month 4" dataDxfId="1490" totalsRowDxfId="1489"/>
    <tableColumn id="7" xr3:uid="{05F827EF-8FB2-46D0-B381-973750B8C40E}" name="Year 1_x000a_Month 5" dataDxfId="1488" totalsRowDxfId="1487"/>
    <tableColumn id="8" xr3:uid="{8DE20AA9-2A94-4247-99F3-AEE0A768E6BC}" name="Year 1_x000a_Month 6" dataDxfId="1486" totalsRowDxfId="1485"/>
    <tableColumn id="9" xr3:uid="{B661C0DE-16D4-42ED-AA89-891B7A85CCBC}" name="Year 1_x000a_Month 7" dataDxfId="1484" totalsRowDxfId="1483"/>
    <tableColumn id="10" xr3:uid="{8D7E3931-A1AE-4AB8-8B9B-4279B14202EB}" name="Year 1_x000a_Month 8" dataDxfId="1482" totalsRowDxfId="1481"/>
    <tableColumn id="11" xr3:uid="{D56E130A-8A3E-4C1B-926E-03948E03A371}" name="Year 1_x000a_Month 9" dataDxfId="1480" totalsRowDxfId="1479"/>
    <tableColumn id="12" xr3:uid="{F4BC380D-0128-49E6-AA55-D57E2A6C6D9A}" name="Year 1_x000a_Month 10" dataDxfId="1478" totalsRowDxfId="1477"/>
    <tableColumn id="13" xr3:uid="{0D06FCF2-6DE2-4FFB-A072-B26EFEB494C2}" name="Year 1_x000a_Month 11" dataDxfId="1476" totalsRowDxfId="1475"/>
    <tableColumn id="14" xr3:uid="{FDCE423A-38F4-4C43-9871-66ECD4795F30}" name="Year 1_x000a_Month 12" dataDxfId="1474" totalsRowDxfId="1473"/>
    <tableColumn id="15" xr3:uid="{6C6EFA79-F3C8-4871-9168-980BA5A48085}" name="Total" dataDxfId="1472" totalsRowDxfId="1471"/>
  </tableColumns>
  <tableStyleInfo name="TableStyleLight1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7AE8C93D-424B-4E0D-AF6B-5578AAACBC54}" name="Table425354" displayName="Table425354" ref="A64:O89" headerRowDxfId="1470" dataDxfId="1468" totalsRowDxfId="1466" headerRowBorderDxfId="1469" tableBorderDxfId="1467">
  <autoFilter ref="A64:O89" xr:uid="{A57BF0C3-4227-46EF-8094-751779F4F9DD}"/>
  <tableColumns count="15">
    <tableColumn id="1" xr3:uid="{8D1532E3-E7BF-481E-8944-8D54D559DAB2}" name="Description" totalsRowLabel="Total" dataDxfId="1465" totalsRowDxfId="1464"/>
    <tableColumn id="2" xr3:uid="{8A66ABE3-81EB-4B60-A655-F2F8EAF14E01}" name="Pre-Operation" dataDxfId="1463" totalsRowDxfId="1462"/>
    <tableColumn id="3" xr3:uid="{20CF91E8-DF89-4F9F-81B6-A8BFE256DB7D}" name="Year 1_x000a_Month 1" dataDxfId="1461" totalsRowDxfId="1460"/>
    <tableColumn id="4" xr3:uid="{241BAC95-8E3B-4368-8776-5E161EEB91FE}" name="Year 1_x000a_Month 2" dataDxfId="1459" totalsRowDxfId="1458"/>
    <tableColumn id="5" xr3:uid="{14D305A6-033D-4ACB-A470-0E99BF35294A}" name="Year 1_x000a_Month 3" dataDxfId="1457" totalsRowDxfId="1456"/>
    <tableColumn id="6" xr3:uid="{7B4EDA18-157F-45D4-9413-D46965268632}" name="Year 1_x000a_Month 4" dataDxfId="1455" totalsRowDxfId="1454"/>
    <tableColumn id="7" xr3:uid="{24D2AD28-60EA-47D1-AAE6-86016ABB13EE}" name="Year 1_x000a_Month 5" dataDxfId="1453" totalsRowDxfId="1452"/>
    <tableColumn id="8" xr3:uid="{CF04D097-3626-49CC-BAF8-E3299FB62078}" name="Year 1_x000a_Month 6" dataDxfId="1451" totalsRowDxfId="1450"/>
    <tableColumn id="9" xr3:uid="{C34F66D3-883D-447E-A2E9-B47B9A93D471}" name="Year 1_x000a_Month 7" dataDxfId="1449" totalsRowDxfId="1448"/>
    <tableColumn id="10" xr3:uid="{FE5B3896-5EED-4702-975D-DFDCCD6336D5}" name="Year 1_x000a_Month 8" dataDxfId="1447" totalsRowDxfId="1446"/>
    <tableColumn id="11" xr3:uid="{B213AB43-CAD0-441C-AA72-2B3EB4CBB2DA}" name="Year 1_x000a_Month 9" dataDxfId="1445" totalsRowDxfId="1444"/>
    <tableColumn id="12" xr3:uid="{700E7B7B-AC1F-4CDF-9098-76972C3206E3}" name="Year 1_x000a_Month 10" dataDxfId="1443" totalsRowDxfId="1442"/>
    <tableColumn id="13" xr3:uid="{E61A680A-932D-4791-B103-E9D0AB79048D}" name="Year 1_x000a_Month 11" dataDxfId="1441" totalsRowDxfId="1440"/>
    <tableColumn id="14" xr3:uid="{D2E8FB75-FC97-4E14-B534-C41B6898D094}" name="Year 1_x000a_Month 12" dataDxfId="1439" totalsRowDxfId="1438"/>
    <tableColumn id="15" xr3:uid="{128674F1-664C-4BAA-A9E9-BC422A2574A0}" name="Total" dataDxfId="1437" totalsRowDxfId="1436"/>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794D6F44-5FFA-4564-9C07-14BE281738EE}" name="Table42135" displayName="Table42135" ref="P5:AB30" headerRowDxfId="1435" dataDxfId="1433" totalsRowDxfId="1431" headerRowBorderDxfId="1434" tableBorderDxfId="1432">
  <autoFilter ref="P5:AB30" xr:uid="{6EDC81DB-7C16-456F-81F8-DA4EF2BD6846}"/>
  <tableColumns count="13">
    <tableColumn id="3" xr3:uid="{C5BCAD68-E54D-4E95-B343-250B7F173EAA}" name="Year 2_x000a_Month 1" dataDxfId="1430" totalsRowDxfId="1429"/>
    <tableColumn id="4" xr3:uid="{39771A60-5DFE-4F6C-97F5-9F931F29EC3E}" name="Year 2_x000a_Month 2" dataDxfId="1428" totalsRowDxfId="1427"/>
    <tableColumn id="5" xr3:uid="{A764E1F0-7F65-4D09-9F7F-F964B9B7A990}" name="Year 2_x000a_Month 3" dataDxfId="1426" totalsRowDxfId="1425"/>
    <tableColumn id="6" xr3:uid="{3B4D6C73-DBB9-4706-B736-AE42C09253CA}" name="Year 2_x000a_Month 4" dataDxfId="1424" totalsRowDxfId="1423"/>
    <tableColumn id="7" xr3:uid="{30559A96-E7F6-4B82-8D9A-FA1EAABA34BC}" name="Year 2_x000a_Month 5" dataDxfId="1422" totalsRowDxfId="1421"/>
    <tableColumn id="8" xr3:uid="{1CE00B7A-5C6A-4620-9AA2-DEBD234C9077}" name="Year 2_x000a_Month 6" dataDxfId="1420" totalsRowDxfId="1419"/>
    <tableColumn id="9" xr3:uid="{4B5F2E23-1D1D-4CCE-A46C-C42816B72541}" name="Year 2_x000a_Month 7" dataDxfId="1418" totalsRowDxfId="1417"/>
    <tableColumn id="10" xr3:uid="{35E780CA-7993-4DD7-85F9-C47E87BD302C}" name="Year 2_x000a_Month 8" dataDxfId="1416" totalsRowDxfId="1415"/>
    <tableColumn id="11" xr3:uid="{9394AEFF-FFBE-4D2D-A293-21B80C0D29F5}" name="Year 2_x000a_Month 9" dataDxfId="1414" totalsRowDxfId="1413"/>
    <tableColumn id="12" xr3:uid="{02A6E0A9-A0B7-445E-ACBF-16724AACC2F2}" name="Year 2_x000a_Month 10" dataDxfId="1412" totalsRowDxfId="1411"/>
    <tableColumn id="13" xr3:uid="{C9FB7939-D39A-4C28-919B-7C28105C83B5}" name="Year 2_x000a_Month 11" dataDxfId="1410" totalsRowDxfId="1409"/>
    <tableColumn id="14" xr3:uid="{717DED5A-6E9F-4691-9D85-0B6F9C13396D}" name="Year 2_x000a_Month 12" dataDxfId="1408" totalsRowDxfId="1407"/>
    <tableColumn id="15" xr3:uid="{F7306B18-BD49-4CF4-ABD6-192096BB0734}" name="Total _x000a_Year 2" dataDxfId="1406" totalsRowDxfId="1405"/>
  </tableColumns>
  <tableStyleInfo name="TableStyleLight1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52E6173A-BCA3-4587-BAE8-DCABF2D66E59}" name="Table4253136" displayName="Table4253136" ref="P35:AB60" headerRowDxfId="1404" dataDxfId="1402" totalsRowDxfId="1400" headerRowBorderDxfId="1403" tableBorderDxfId="1401">
  <autoFilter ref="P35:AB60" xr:uid="{32C86BED-8DE8-414C-A96F-55E5238C56B3}"/>
  <tableColumns count="13">
    <tableColumn id="3" xr3:uid="{E8EA6F5B-235A-49C3-9010-D5FF10AE9D0D}" name="Year 2_x000a_Month 1" dataDxfId="1399" totalsRowDxfId="1398"/>
    <tableColumn id="4" xr3:uid="{75700D15-2A0E-4ADE-A99A-A5144FFF3605}" name="Year 2_x000a_Month 2" dataDxfId="1397" totalsRowDxfId="1396"/>
    <tableColumn id="5" xr3:uid="{FE5577CC-21C0-4DD7-9C41-3F6FEF21F54B}" name="Year 2_x000a_Month 3" dataDxfId="1395" totalsRowDxfId="1394"/>
    <tableColumn id="6" xr3:uid="{DE26011E-8553-4714-9D58-908EB3740F26}" name="Year 2_x000a_Month 4" dataDxfId="1393" totalsRowDxfId="1392"/>
    <tableColumn id="7" xr3:uid="{2E524FF7-BFA9-48A4-ACA9-3B54494DDF3F}" name="Year 2_x000a_Month 5" dataDxfId="1391" totalsRowDxfId="1390"/>
    <tableColumn id="8" xr3:uid="{A75606A5-5439-4D28-A412-FACE44DA278F}" name="Year 2_x000a_Month 6" dataDxfId="1389" totalsRowDxfId="1388"/>
    <tableColumn id="9" xr3:uid="{A1791846-9F03-4778-96F2-15511E543DA7}" name="Year 2_x000a_Month 7" dataDxfId="1387" totalsRowDxfId="1386"/>
    <tableColumn id="10" xr3:uid="{5329D25E-67B1-4417-AC96-8F9A64143DBA}" name="Year 2_x000a_Month 8" dataDxfId="1385" totalsRowDxfId="1384"/>
    <tableColumn id="11" xr3:uid="{1CA2C9E1-EDBE-457C-9119-DF5DA182B831}" name="Year 2_x000a_Month 9" dataDxfId="1383" totalsRowDxfId="1382"/>
    <tableColumn id="12" xr3:uid="{6811E783-FA53-4B17-B7E0-646AE4620D0C}" name="Year 2_x000a_Month 10" dataDxfId="1381" totalsRowDxfId="1380"/>
    <tableColumn id="13" xr3:uid="{8EB3BC2D-E3B3-4298-A5D1-A057C8EDD57A}" name="Year 2_x000a_Month 11" dataDxfId="1379" totalsRowDxfId="1378"/>
    <tableColumn id="14" xr3:uid="{875DE25B-A8DB-4D98-9C5F-89E4527648DF}" name="Year 2_x000a_Month 12" dataDxfId="1377" totalsRowDxfId="1376"/>
    <tableColumn id="15" xr3:uid="{89739644-1BA1-423C-BBBA-49C52AE8FE57}" name="Total _x000a_Year 2" dataDxfId="1375" totalsRowDxfId="1374"/>
  </tableColumns>
  <tableStyleInfo name="TableStyleLight1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9E95D2D0-3D56-4A77-8458-694087FF1951}" name="Table425354137" displayName="Table425354137" ref="P64:AB89" headerRowDxfId="1373" dataDxfId="1371" totalsRowDxfId="1369" headerRowBorderDxfId="1372" tableBorderDxfId="1370">
  <autoFilter ref="P64:AB89" xr:uid="{ADA93529-A8BE-4A84-9684-956DC17C0BC8}"/>
  <tableColumns count="13">
    <tableColumn id="3" xr3:uid="{5B7F4133-76A6-42DC-B756-5B6F50583278}" name="Year 2_x000a_Month 1" dataDxfId="1368" totalsRowDxfId="1367"/>
    <tableColumn id="4" xr3:uid="{5E833751-D424-487B-9360-9EAEE6FD8DA9}" name="Year 2_x000a_Month 2" dataDxfId="1366" totalsRowDxfId="1365"/>
    <tableColumn id="5" xr3:uid="{78A36DAA-2795-47F5-B7A2-9A8878BAE0F8}" name="Year 2_x000a_Month 3" dataDxfId="1364" totalsRowDxfId="1363"/>
    <tableColumn id="6" xr3:uid="{7CF4AFE6-C7E2-49B9-9CE5-51FF478BEFFE}" name="Year 2_x000a_Month 4" dataDxfId="1362" totalsRowDxfId="1361"/>
    <tableColumn id="7" xr3:uid="{AF3BBC9C-8ACF-4746-AED8-12C8F765CDD1}" name="Year 2_x000a_Month 5" dataDxfId="1360" totalsRowDxfId="1359"/>
    <tableColumn id="8" xr3:uid="{333BAE4B-61C6-4C9C-B6B0-9882BB34E550}" name="Year 2_x000a_Month 6" dataDxfId="1358" totalsRowDxfId="1357"/>
    <tableColumn id="9" xr3:uid="{D9BB4C4C-65FC-403F-9833-3ABA2A452B94}" name="Year 2_x000a_Month 7" dataDxfId="1356" totalsRowDxfId="1355"/>
    <tableColumn id="10" xr3:uid="{FFD36F8A-8589-416A-88A8-ACC7B6663499}" name="Year 2_x000a_Month 8" dataDxfId="1354" totalsRowDxfId="1353"/>
    <tableColumn id="11" xr3:uid="{C982F3AB-4FF9-4F77-9402-DA7C4EEB8C03}" name="Year 2_x000a_Month 9" dataDxfId="1352" totalsRowDxfId="1351"/>
    <tableColumn id="12" xr3:uid="{A11271E9-8163-4327-A8B4-94D66850C4DF}" name="Year 2_x000a_Month 10" dataDxfId="1350" totalsRowDxfId="1349"/>
    <tableColumn id="13" xr3:uid="{59DBF96D-FEB3-4E48-A823-94D1EAB02FE1}" name="Year 2_x000a_Month 11" dataDxfId="1348" totalsRowDxfId="1347"/>
    <tableColumn id="14" xr3:uid="{F2C64AE5-9BF0-4BD4-A8B7-773A81CCA03B}" name="Year 2_x000a_Month 12" dataDxfId="1346" totalsRowDxfId="1345"/>
    <tableColumn id="15" xr3:uid="{CB4A3610-B1A1-46CF-A461-231616629A3E}" name="Total _x000a_Year 2" dataDxfId="1344" totalsRowDxfId="1343"/>
  </tableColumns>
  <tableStyleInfo name="TableStyleLight1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9F40EB99-77BD-48D4-A239-4781AA4F656C}" name="Table42135149" displayName="Table42135149" ref="AC5:AO30" headerRowDxfId="1342" dataDxfId="1340" totalsRowDxfId="1338" headerRowBorderDxfId="1341" tableBorderDxfId="1339">
  <autoFilter ref="AC5:AO30" xr:uid="{AF3A0CB5-02EB-4B56-B06E-99D7AC630234}"/>
  <tableColumns count="13">
    <tableColumn id="3" xr3:uid="{85115B0C-1461-414C-966D-F9D479D18F4F}" name="Year 3_x000a_Month 1" dataDxfId="1337" totalsRowDxfId="1336"/>
    <tableColumn id="4" xr3:uid="{712C1F6D-7358-48DD-BD16-96B1F76D4FA4}" name="Year 3_x000a_Month 2" dataDxfId="1335" totalsRowDxfId="1334"/>
    <tableColumn id="5" xr3:uid="{8EBDE4D1-A104-442F-B429-C3AF4C14F6EC}" name="Year 3_x000a_Month 3" dataDxfId="1333" totalsRowDxfId="1332"/>
    <tableColumn id="6" xr3:uid="{DF3BF90C-7833-4E22-B4FA-38B707792D15}" name="Year 3_x000a_Month 4" dataDxfId="1331" totalsRowDxfId="1330"/>
    <tableColumn id="7" xr3:uid="{2777B93C-781F-4D18-8606-1198A829248C}" name="Year 3_x000a_Month 5" dataDxfId="1329" totalsRowDxfId="1328"/>
    <tableColumn id="8" xr3:uid="{EA41079A-1131-4A57-838A-E8A13A2AA4E8}" name="Year 3_x000a_Month 6" dataDxfId="1327" totalsRowDxfId="1326"/>
    <tableColumn id="9" xr3:uid="{0F33C149-2743-4E1A-8441-1C6577623B8A}" name="Year 3_x000a_Month 7" dataDxfId="1325" totalsRowDxfId="1324"/>
    <tableColumn id="10" xr3:uid="{812F0FDC-2F3D-41C7-AC88-88EE6CE1C3BF}" name="Year 3_x000a_Month 8" dataDxfId="1323" totalsRowDxfId="1322"/>
    <tableColumn id="11" xr3:uid="{F0B995BF-071A-4679-8812-EBC9936572BE}" name="Year 3_x000a_Month 9" dataDxfId="1321" totalsRowDxfId="1320"/>
    <tableColumn id="12" xr3:uid="{32C050EE-F588-4BA6-AC47-E70FB6C4F1A3}" name="Year 3_x000a_Month 10" dataDxfId="1319" totalsRowDxfId="1318"/>
    <tableColumn id="13" xr3:uid="{30781246-1132-4DC4-8EF1-160B9B70ADD5}" name="Year 3_x000a_Month 11" dataDxfId="1317" totalsRowDxfId="1316"/>
    <tableColumn id="14" xr3:uid="{CC9DA8CA-F15B-485A-AFD1-1E0F4E6BDF37}" name="Year 3_x000a_Month 12" dataDxfId="1315" totalsRowDxfId="1314"/>
    <tableColumn id="15" xr3:uid="{9FE539DC-7C7A-4802-832B-11807F5CC247}" name="Total _x000a_Year 3" dataDxfId="1313" totalsRowDxfId="1312"/>
  </tableColumns>
  <tableStyleInfo name="TableStyleLight1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41FE691A-B5BF-42EC-8233-1BCCC8AFEB64}" name="Table42135150" displayName="Table42135150" ref="AP5:BB30" headerRowDxfId="1311" dataDxfId="1309" totalsRowDxfId="1307" headerRowBorderDxfId="1310" tableBorderDxfId="1308">
  <autoFilter ref="AP5:BB30" xr:uid="{26DC37A3-08E7-4D05-B12A-9E4FE050B7C2}"/>
  <tableColumns count="13">
    <tableColumn id="3" xr3:uid="{C32715D0-6842-458B-A435-65060CBA52CB}" name="Year 4_x000a_Month 1" dataDxfId="1306" totalsRowDxfId="1305"/>
    <tableColumn id="4" xr3:uid="{98F557E8-9A6C-4EE0-9179-DD54796A0B39}" name="Year 4_x000a_Month 2" dataDxfId="1304" totalsRowDxfId="1303"/>
    <tableColumn id="5" xr3:uid="{FC5138DF-F936-4C81-B63D-3D1F2F937313}" name="Year 4_x000a_Month 3" dataDxfId="1302" totalsRowDxfId="1301"/>
    <tableColumn id="6" xr3:uid="{EDA63FC4-9740-4CC2-AF48-906C53319593}" name="Year 4_x000a_Month 4" dataDxfId="1300" totalsRowDxfId="1299"/>
    <tableColumn id="7" xr3:uid="{2706BA4D-B621-4ECD-AE67-B61D10EEB6CA}" name="Year 4_x000a_Month 5" dataDxfId="1298" totalsRowDxfId="1297"/>
    <tableColumn id="8" xr3:uid="{72ECB82B-8D61-48ED-9A88-05AF9A02470B}" name="Year 4_x000a_Month 6" dataDxfId="1296" totalsRowDxfId="1295"/>
    <tableColumn id="9" xr3:uid="{C034989B-A26F-4403-BE35-A8624BEE97BB}" name="Year 4_x000a_Month 7" dataDxfId="1294" totalsRowDxfId="1293"/>
    <tableColumn id="10" xr3:uid="{235458BA-2D87-4C23-9288-119A8BED6E4A}" name="Year 4_x000a_Month 8" dataDxfId="1292" totalsRowDxfId="1291"/>
    <tableColumn id="11" xr3:uid="{006D98D8-7BAC-4175-99FB-CB7B43FFFA7F}" name="Year 4_x000a_Month 9" dataDxfId="1290" totalsRowDxfId="1289"/>
    <tableColumn id="12" xr3:uid="{9B5F2EFE-757C-40B3-B50E-287C061E7540}" name="Year 4_x000a_Month 10" dataDxfId="1288" totalsRowDxfId="1287"/>
    <tableColumn id="13" xr3:uid="{5F67BEA5-D7BA-4982-85ED-6ED455512911}" name="Year 4_x000a_Month 11" dataDxfId="1286" totalsRowDxfId="1285"/>
    <tableColumn id="14" xr3:uid="{BC1E65CA-38DB-4456-A776-BA8D42311A68}" name="Year 4_x000a_Month 12" dataDxfId="1284" totalsRowDxfId="1283"/>
    <tableColumn id="15" xr3:uid="{96CFFADD-6F0D-454A-8620-0EDC2C2428D5}" name="Total _x000a_Year 4" dataDxfId="1282" totalsRowDxfId="1281"/>
  </tableColumns>
  <tableStyleInfo name="TableStyleLight1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410985BD-889E-4626-8DE3-E80BB44BA78E}" name="Table4253136151" displayName="Table4253136151" ref="AC35:AO60" headerRowDxfId="1280" dataDxfId="1278" totalsRowDxfId="1276" headerRowBorderDxfId="1279" tableBorderDxfId="1277">
  <autoFilter ref="AC35:AO60" xr:uid="{50E6FC2C-B59F-4E95-B734-D49DF081E4D8}"/>
  <tableColumns count="13">
    <tableColumn id="3" xr3:uid="{04571A5A-6ADA-44BD-BABB-617205D228D5}" name="Year 3_x000a_Month 1" dataDxfId="1275" totalsRowDxfId="1274"/>
    <tableColumn id="4" xr3:uid="{13BF3C2C-3164-4AF3-B0FA-E6726B660946}" name="Year 3_x000a_Month 2" dataDxfId="1273" totalsRowDxfId="1272"/>
    <tableColumn id="5" xr3:uid="{EC882365-9A01-4109-9373-5AA88F904119}" name="Year 3_x000a_Month 3" dataDxfId="1271" totalsRowDxfId="1270"/>
    <tableColumn id="6" xr3:uid="{0194638B-FD69-47B9-A25E-2661CEE7801B}" name="Year 3_x000a_Month 4" dataDxfId="1269" totalsRowDxfId="1268"/>
    <tableColumn id="7" xr3:uid="{6B399262-26CD-44E5-9FF4-1B12FA434806}" name="Year 3_x000a_Month 5" dataDxfId="1267" totalsRowDxfId="1266"/>
    <tableColumn id="8" xr3:uid="{23F375A8-5B13-4C9F-BE71-5C7D6D7EFCFA}" name="Year 3_x000a_Month 6" dataDxfId="1265" totalsRowDxfId="1264"/>
    <tableColumn id="9" xr3:uid="{8D258A91-286E-4323-8906-FE029E0E4BDC}" name="Year 3_x000a_Month 7" dataDxfId="1263" totalsRowDxfId="1262"/>
    <tableColumn id="10" xr3:uid="{5676A0BE-1DAF-48A3-AE95-B7D3A85B50CD}" name="Year 3_x000a_Month 8" dataDxfId="1261" totalsRowDxfId="1260"/>
    <tableColumn id="11" xr3:uid="{2AEAF55D-BB5F-4AE0-B0FF-40146E991FD8}" name="Year 3_x000a_Month 9" dataDxfId="1259" totalsRowDxfId="1258"/>
    <tableColumn id="12" xr3:uid="{4CF230D5-98DE-41EE-96FB-7FEEA8F655DC}" name="Year 3_x000a_Month 10" dataDxfId="1257" totalsRowDxfId="1256"/>
    <tableColumn id="13" xr3:uid="{E45E20F1-CC0E-4472-82B8-DD4271661627}" name="Year 3_x000a_Month 11" dataDxfId="1255" totalsRowDxfId="1254"/>
    <tableColumn id="14" xr3:uid="{5189C6CE-8729-494A-AB59-8B2AAF5D557B}" name="Year 3_x000a_Month 12" dataDxfId="1253" totalsRowDxfId="1252"/>
    <tableColumn id="15" xr3:uid="{030A7CD9-3876-4507-B522-7557C5B43D08}" name="Total _x000a_Year 3" dataDxfId="1251" totalsRowDxfId="1250"/>
  </tableColumns>
  <tableStyleInfo name="TableStyleLight1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338A2572-EC7A-4527-9091-46265AE81F91}" name="Table425354137152" displayName="Table425354137152" ref="AC64:AO89" headerRowDxfId="1249" dataDxfId="1247" totalsRowDxfId="1245" headerRowBorderDxfId="1248" tableBorderDxfId="1246">
  <autoFilter ref="AC64:AO89" xr:uid="{DEFEDE6C-A0F5-47B9-8DA8-652D5F98D849}"/>
  <tableColumns count="13">
    <tableColumn id="3" xr3:uid="{67ED60EB-69A6-4604-AC1A-3E1073B181F7}" name="Year 3_x000a_Month 1" dataDxfId="1244" totalsRowDxfId="1243"/>
    <tableColumn id="4" xr3:uid="{F908954E-E218-4000-A79D-19CC215CDE6A}" name="Year 3_x000a_Month 2" dataDxfId="1242" totalsRowDxfId="1241"/>
    <tableColumn id="5" xr3:uid="{46B35C8A-C175-4BA6-9438-16D42781B809}" name="Year 3_x000a_Month 3" dataDxfId="1240" totalsRowDxfId="1239"/>
    <tableColumn id="6" xr3:uid="{416DE356-A4AF-4143-BD20-77EF3E021510}" name="Year 3_x000a_Month 4" dataDxfId="1238" totalsRowDxfId="1237"/>
    <tableColumn id="7" xr3:uid="{E8752FFB-67AA-48E2-892B-87DFAD5244F3}" name="Year 3_x000a_Month 5" dataDxfId="1236" totalsRowDxfId="1235"/>
    <tableColumn id="8" xr3:uid="{C7359265-0783-44BF-92E5-763B5F24FAB0}" name="Year 3_x000a_Month 6" dataDxfId="1234" totalsRowDxfId="1233"/>
    <tableColumn id="9" xr3:uid="{B8876B35-5DB7-47D7-90CA-671A5050B645}" name="Year 3_x000a_Month 7" dataDxfId="1232" totalsRowDxfId="1231"/>
    <tableColumn id="10" xr3:uid="{B5202338-8077-425E-8272-275D4412FE70}" name="Year 3_x000a_Month 8" dataDxfId="1230" totalsRowDxfId="1229"/>
    <tableColumn id="11" xr3:uid="{C6915D38-0951-4F6D-9A37-6D759CFA29A1}" name="Year 3_x000a_Month 9" dataDxfId="1228" totalsRowDxfId="1227"/>
    <tableColumn id="12" xr3:uid="{C44C1317-7A09-44F5-94E9-952504DC6B03}" name="Year 3_x000a_Month 10" dataDxfId="1226" totalsRowDxfId="1225"/>
    <tableColumn id="13" xr3:uid="{8B17105A-605B-4601-A559-3E19DDD94C1D}" name="Year 3_x000a_Month 11" dataDxfId="1224" totalsRowDxfId="1223"/>
    <tableColumn id="14" xr3:uid="{D2CBA5CF-D854-4B47-A2AD-2471EA764A9A}" name="Year 3_x000a_Month 12" dataDxfId="1222" totalsRowDxfId="1221"/>
    <tableColumn id="15" xr3:uid="{884FFA00-1BA1-4D7A-9EE7-5254AF070CB0}" name="Total _x000a_Year 3" dataDxfId="1220" totalsRowDxfId="1219"/>
  </tableColumns>
  <tableStyleInfo name="TableStyleLight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8DAF42FE-598B-47DC-BD15-48388C91D0ED}" name="Table4253136153" displayName="Table4253136153" ref="AP35:BB60" headerRowDxfId="1218" dataDxfId="1216" totalsRowDxfId="1214" headerRowBorderDxfId="1217" tableBorderDxfId="1215">
  <autoFilter ref="AP35:BB60" xr:uid="{7E2EFBFC-3D09-4FE6-B00D-BC326C35CF2F}"/>
  <tableColumns count="13">
    <tableColumn id="3" xr3:uid="{CE011F22-5D8C-41B5-86CF-2340E3FB519C}" name="Year 4_x000a_Month 1" dataDxfId="1213" totalsRowDxfId="1212"/>
    <tableColumn id="4" xr3:uid="{10F56C95-78AF-46B1-A920-B75CB2159FDE}" name="Year 4_x000a_Month 2" dataDxfId="1211" totalsRowDxfId="1210"/>
    <tableColumn id="5" xr3:uid="{8D741BD1-AD22-4E8F-A64E-6069ACC361D8}" name="Year 4_x000a_Month 3" dataDxfId="1209" totalsRowDxfId="1208"/>
    <tableColumn id="6" xr3:uid="{45019191-6721-4218-BAC3-04D51D34CA84}" name="Year 4_x000a_Month 4" dataDxfId="1207" totalsRowDxfId="1206"/>
    <tableColumn id="7" xr3:uid="{E6B510C3-11F1-4B18-8427-0820EBB22DAD}" name="Year 4_x000a_Month 5" dataDxfId="1205" totalsRowDxfId="1204"/>
    <tableColumn id="8" xr3:uid="{C4F5710B-459E-48E9-86BB-7BE9B882585D}" name="Year 4_x000a_Month 6" dataDxfId="1203" totalsRowDxfId="1202"/>
    <tableColumn id="9" xr3:uid="{E5460D11-BCF1-40F2-9CE0-58923C49FDAC}" name="Year 4_x000a_Month 7" dataDxfId="1201" totalsRowDxfId="1200"/>
    <tableColumn id="10" xr3:uid="{01C22590-69F5-43D6-BFC7-0CC41200A7BE}" name="Year 4_x000a_Month 8" dataDxfId="1199" totalsRowDxfId="1198"/>
    <tableColumn id="11" xr3:uid="{4F0BC88D-B184-4D12-A22C-6A300879E2C0}" name="Year 4_x000a_Month 9" dataDxfId="1197" totalsRowDxfId="1196"/>
    <tableColumn id="12" xr3:uid="{92D51530-64FE-4E39-BF44-0E00EF5268FD}" name="Year 4_x000a_Month 10" dataDxfId="1195" totalsRowDxfId="1194"/>
    <tableColumn id="13" xr3:uid="{14E558F1-97BB-49C6-98B9-F4FA35254216}" name="Year 4_x000a_Month 11" dataDxfId="1193" totalsRowDxfId="1192"/>
    <tableColumn id="14" xr3:uid="{AEA31C6A-D434-47D2-B4DF-28A569BDB42F}" name="Year 4_x000a_Month 12" dataDxfId="1191" totalsRowDxfId="1190"/>
    <tableColumn id="15" xr3:uid="{5E05A41C-D646-4D9A-89A6-AD4598B5718A}" name="Total _x000a_Year 4" dataDxfId="1189" totalsRowDxfId="1188"/>
  </tableColumns>
  <tableStyleInfo name="TableStyleLight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BF022FC5-B7C0-4C6D-BD48-596DB839FFA6}" name="Table425354137154" displayName="Table425354137154" ref="AP64:BB89" headerRowDxfId="1187" dataDxfId="1185" totalsRowDxfId="1183" headerRowBorderDxfId="1186" tableBorderDxfId="1184">
  <autoFilter ref="AP64:BB89" xr:uid="{D5AA0AB8-8AE8-4BB5-8FDE-7277914B69CD}"/>
  <tableColumns count="13">
    <tableColumn id="3" xr3:uid="{49E65C30-DC48-4C8B-B4E9-F9DB8573272C}" name="Year 4_x000a_Month 1" dataDxfId="1182" totalsRowDxfId="1181"/>
    <tableColumn id="4" xr3:uid="{CF3B3024-F877-4A6C-8732-5C7AF8FA5489}" name="Year 4_x000a_Month 2" dataDxfId="1180" totalsRowDxfId="1179"/>
    <tableColumn id="5" xr3:uid="{B8D3ED20-6FA2-409E-BED0-7581DF850332}" name="Year 4_x000a_Month 3" dataDxfId="1178" totalsRowDxfId="1177"/>
    <tableColumn id="6" xr3:uid="{840AF5AE-89A0-4EF2-93A4-8178884BE43D}" name="Year 4_x000a_Month 4" dataDxfId="1176" totalsRowDxfId="1175"/>
    <tableColumn id="7" xr3:uid="{DCFAA93F-6D35-4797-972B-2500F5B77AA3}" name="Year 4_x000a_Month 5" dataDxfId="1174" totalsRowDxfId="1173"/>
    <tableColumn id="8" xr3:uid="{DD9C2069-F649-49DE-B99C-5D4334BB1B9D}" name="Year 4_x000a_Month 6" dataDxfId="1172" totalsRowDxfId="1171"/>
    <tableColumn id="9" xr3:uid="{5E3ECD62-89B2-4A96-B17B-866C0B74F0E9}" name="Year 4_x000a_Month 7" dataDxfId="1170" totalsRowDxfId="1169"/>
    <tableColumn id="10" xr3:uid="{35360186-60EB-4F62-B916-1671C98CB34B}" name="Year 4_x000a_Month 8" dataDxfId="1168" totalsRowDxfId="1167"/>
    <tableColumn id="11" xr3:uid="{D101C678-2726-4CB3-8DE2-55B1CE93FCFA}" name="Year 4_x000a_Month 9" dataDxfId="1166" totalsRowDxfId="1165"/>
    <tableColumn id="12" xr3:uid="{1A1B4FD5-9FB6-49D0-946F-53CAE362C937}" name="Year 4_x000a_Month 10" dataDxfId="1164" totalsRowDxfId="1163"/>
    <tableColumn id="13" xr3:uid="{5BBE8928-A075-42D5-B176-71DEC3254A07}" name="Year 4_x000a_Month 11" dataDxfId="1162" totalsRowDxfId="1161"/>
    <tableColumn id="14" xr3:uid="{41F962CA-9D7A-47A1-9ACD-044FB0CDEEC0}" name="Year 4_x000a_Month 12" dataDxfId="1160" totalsRowDxfId="1159"/>
    <tableColumn id="15" xr3:uid="{A2EC9446-14C8-4646-90E4-4287B39A3681}" name="Total _x000a_Year 4" dataDxfId="1158" totalsRowDxfId="1157"/>
  </tableColumns>
  <tableStyleInfo name="TableStyleLight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3EAE891F-0F17-4DEB-B7DE-9053EBB665F8}" name="Table42135150146" displayName="Table42135150146" ref="BC5:BO30" headerRowDxfId="1156" dataDxfId="1154" totalsRowDxfId="1152" headerRowBorderDxfId="1155" tableBorderDxfId="1153">
  <autoFilter ref="BC5:BO30" xr:uid="{7FF79121-4C26-4D37-BACA-DBBA92C4A7C7}"/>
  <tableColumns count="13">
    <tableColumn id="3" xr3:uid="{D675D923-FD29-4AB6-B425-F6EFFF40EA5F}" name="Year 5_x000a_Month 1" dataDxfId="1151" totalsRowDxfId="1150"/>
    <tableColumn id="4" xr3:uid="{675865F1-567B-4F09-AFD2-81F86C22FA53}" name="Year 5_x000a_Month 2" dataDxfId="1149" totalsRowDxfId="1148"/>
    <tableColumn id="5" xr3:uid="{BE2C33D6-C69D-48DB-8961-F1E3191C1E1F}" name="Year 5_x000a_Month 3" dataDxfId="1147" totalsRowDxfId="1146"/>
    <tableColumn id="6" xr3:uid="{A6576474-B9BA-4640-90FB-99E056A8319A}" name="Year 5_x000a_Month 4" dataDxfId="1145" totalsRowDxfId="1144"/>
    <tableColumn id="7" xr3:uid="{2B835C29-6548-40A5-9669-49D8EDD962D1}" name="Year 5_x000a_Month 5" dataDxfId="1143" totalsRowDxfId="1142"/>
    <tableColumn id="8" xr3:uid="{AA989BEC-4F5D-4D56-8FE1-7E04F254E6C5}" name="Year 5_x000a_Month 6" dataDxfId="1141" totalsRowDxfId="1140"/>
    <tableColumn id="9" xr3:uid="{9CFF3D9B-9DE7-4D2E-8BD6-3BAAE1501312}" name="Year 5_x000a_Month 7" dataDxfId="1139" totalsRowDxfId="1138"/>
    <tableColumn id="10" xr3:uid="{5C040B70-C859-4DD7-88E3-636F0AF0FF86}" name="Year 5_x000a_Month 8" dataDxfId="1137" totalsRowDxfId="1136"/>
    <tableColumn id="11" xr3:uid="{8FF3BCAA-0973-4060-8C51-B521A7FA5CE8}" name="Year 5_x000a_Month 9" dataDxfId="1135" totalsRowDxfId="1134"/>
    <tableColumn id="12" xr3:uid="{5B527A83-3897-4C1C-88E8-2D1C98F158A2}" name="Year 5_x000a_Month 10" dataDxfId="1133" totalsRowDxfId="1132"/>
    <tableColumn id="13" xr3:uid="{303F9922-1AE4-43FE-98C9-824B33557FE2}" name="Year 5_x000a_Month 11" dataDxfId="1131" totalsRowDxfId="1130"/>
    <tableColumn id="14" xr3:uid="{E94DD5EE-4858-4EA0-BE4E-3C773A00B2D3}" name="Year 5_x000a_Month 12" dataDxfId="1129" totalsRowDxfId="1128"/>
    <tableColumn id="15" xr3:uid="{C07FF009-4F65-48BC-A461-FD58A6E896F1}" name="Total _x000a_Year 5" dataDxfId="1127" totalsRowDxfId="1126"/>
  </tableColumns>
  <tableStyleInfo name="TableStyleLight1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3335752F-5AC7-4117-B87E-4B42043972FA}" name="Table4253136153147" displayName="Table4253136153147" ref="BC35:BO60" headerRowDxfId="1125" dataDxfId="1123" totalsRowDxfId="1121" headerRowBorderDxfId="1124" tableBorderDxfId="1122">
  <autoFilter ref="BC35:BO60" xr:uid="{5D458359-5D23-4486-9EA1-57A7EBA1512C}"/>
  <tableColumns count="13">
    <tableColumn id="3" xr3:uid="{A746D859-95F7-49EE-B601-53A66EEFA87F}" name="Year 5_x000a_Month 1" dataDxfId="1120" totalsRowDxfId="1119"/>
    <tableColumn id="4" xr3:uid="{A910D8ED-0098-4C2B-B142-72E541C32762}" name="Year 5_x000a_Month 2" dataDxfId="1118" totalsRowDxfId="1117"/>
    <tableColumn id="5" xr3:uid="{CED8DA9A-7E3D-4787-B4CE-5DB74C7EEEAA}" name="Year 5_x000a_Month 3" dataDxfId="1116" totalsRowDxfId="1115"/>
    <tableColumn id="6" xr3:uid="{18E17E9D-B315-4047-8256-A922AE17BA0C}" name="Year 5_x000a_Month 4" dataDxfId="1114" totalsRowDxfId="1113"/>
    <tableColumn id="7" xr3:uid="{7B0EF4AF-599D-4402-9775-B8C4D545308E}" name="Year 5_x000a_Month 5" dataDxfId="1112" totalsRowDxfId="1111"/>
    <tableColumn id="8" xr3:uid="{24299C10-0E0B-4E9B-BB28-C12051FF1D3D}" name="Year 5_x000a_Month 6" dataDxfId="1110" totalsRowDxfId="1109"/>
    <tableColumn id="9" xr3:uid="{7E874DD0-9BA0-4D52-94B9-C2CA35726822}" name="Year 5_x000a_Month 7" dataDxfId="1108" totalsRowDxfId="1107"/>
    <tableColumn id="10" xr3:uid="{3897BEFE-B4C3-4DF8-AEE9-767C9AB109E4}" name="Year 5_x000a_Month 8" dataDxfId="1106" totalsRowDxfId="1105"/>
    <tableColumn id="11" xr3:uid="{4BA76FC8-6588-4129-8FDE-515DEEE6BC69}" name="Year 5_x000a_Month 9" dataDxfId="1104" totalsRowDxfId="1103"/>
    <tableColumn id="12" xr3:uid="{C907E35C-074B-459E-B5E4-9B9084BD7A67}" name="Year 5_x000a_Month 10" dataDxfId="1102" totalsRowDxfId="1101"/>
    <tableColumn id="13" xr3:uid="{2C24D627-6993-4792-A1E6-F69ADE16CB56}" name="Year 5_x000a_Month 11" dataDxfId="1100" totalsRowDxfId="1099"/>
    <tableColumn id="14" xr3:uid="{8CA885E3-78FE-46A9-B6F6-7159E2EC0947}" name="Year 5_x000a_Month 12" dataDxfId="1098" totalsRowDxfId="1097"/>
    <tableColumn id="15" xr3:uid="{F4764D1E-1C26-45F3-BFF8-89B4301B00FC}" name="Total _x000a_Year 5" dataDxfId="1096" totalsRowDxfId="1095"/>
  </tableColumns>
  <tableStyleInfo name="TableStyleLight1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C50320B4-E8CA-48E1-9B54-879F49D1AF8D}" name="Table425354137154148" displayName="Table425354137154148" ref="BC64:BO89" headerRowDxfId="1094" dataDxfId="1092" totalsRowDxfId="1090" headerRowBorderDxfId="1093" tableBorderDxfId="1091">
  <autoFilter ref="BC64:BO89" xr:uid="{2EDC7F84-95FE-4069-9111-C1BB90921D16}"/>
  <tableColumns count="13">
    <tableColumn id="3" xr3:uid="{3DEC351D-142B-464C-9BB1-AD4349A17BF4}" name="Year 5_x000a_Month 1" dataDxfId="1089" totalsRowDxfId="1088"/>
    <tableColumn id="4" xr3:uid="{FF818987-3CC8-407D-A308-8B1BDF6889FE}" name="Year 5_x000a_Month 2" dataDxfId="1087" totalsRowDxfId="1086"/>
    <tableColumn id="5" xr3:uid="{1C46B76B-C152-4A3B-A93C-6D56ACF40413}" name="Year 5_x000a_Month 3" dataDxfId="1085" totalsRowDxfId="1084"/>
    <tableColumn id="6" xr3:uid="{CBEC33A8-6CD5-41DE-8447-0C7B30E22DBA}" name="Year 5_x000a_Month 4" dataDxfId="1083" totalsRowDxfId="1082"/>
    <tableColumn id="7" xr3:uid="{E0E89C9E-A178-41BC-9B91-F7ADCAC40056}" name="Year 5_x000a_Month 5" dataDxfId="1081" totalsRowDxfId="1080"/>
    <tableColumn id="8" xr3:uid="{6A892905-D190-4FE4-ABC4-6D3327D24CE4}" name="Year 5_x000a_Month 6" dataDxfId="1079" totalsRowDxfId="1078"/>
    <tableColumn id="9" xr3:uid="{8E4D4F68-12EF-46E7-A5C1-1DA97C9B2F0B}" name="Year 5_x000a_Month 7" dataDxfId="1077" totalsRowDxfId="1076"/>
    <tableColumn id="10" xr3:uid="{BA857556-478E-4E66-8189-4EF42FE1CC44}" name="Year 5_x000a_Month 8" dataDxfId="1075" totalsRowDxfId="1074"/>
    <tableColumn id="11" xr3:uid="{B2C57956-C5E2-437A-B9AB-4ECBA5A229AD}" name="Year 5_x000a_Month 9" dataDxfId="1073" totalsRowDxfId="1072"/>
    <tableColumn id="12" xr3:uid="{62B8F497-C5EB-478A-AA18-D51C59DB9F74}" name="Year 5_x000a_Month 10" dataDxfId="1071" totalsRowDxfId="1070"/>
    <tableColumn id="13" xr3:uid="{FB5363FD-4ED1-4B98-B00A-CAC1E4753E55}" name="Year 5_x000a_Month 11" dataDxfId="1069" totalsRowDxfId="1068"/>
    <tableColumn id="14" xr3:uid="{7F7CC762-0428-4E87-9EAF-639A58EC4931}" name="Year 5_x000a_Month 12" dataDxfId="1067" totalsRowDxfId="1066"/>
    <tableColumn id="15" xr3:uid="{17D8A64F-A7B0-4485-ACF2-2D5ADFCF198D}" name="Total _x000a_Year 5" dataDxfId="1065" totalsRowDxfId="1064"/>
  </tableColumns>
  <tableStyleInfo name="TableStyleLight1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3E6D7C2C-FE12-4D9D-ABEB-3A161A48CB35}" name="Table42135150146161" displayName="Table42135150146161" ref="BP5:CB30" headerRowDxfId="1063" dataDxfId="1061" totalsRowDxfId="1059" headerRowBorderDxfId="1062" tableBorderDxfId="1060">
  <autoFilter ref="BP5:CB30" xr:uid="{549636D9-67BF-4D7E-A962-BAE83A1AA6B2}"/>
  <tableColumns count="13">
    <tableColumn id="3" xr3:uid="{E3255357-6A3C-4B05-8B91-16FBF00697FD}" name="Year 6_x000a_Month 1" dataDxfId="1058" totalsRowDxfId="1057"/>
    <tableColumn id="4" xr3:uid="{5255074E-D45E-4012-83B9-6CEFA64751AE}" name="Year 6_x000a_Month 2" dataDxfId="1056" totalsRowDxfId="1055"/>
    <tableColumn id="5" xr3:uid="{6C6C3DC1-9E57-4BC0-A62F-E072AC7D06BA}" name="Year 6_x000a_Month 3" dataDxfId="1054" totalsRowDxfId="1053"/>
    <tableColumn id="6" xr3:uid="{1C36D944-237C-4A01-A9DA-EFFC82EDE861}" name="Year 6_x000a_Month 4" dataDxfId="1052" totalsRowDxfId="1051"/>
    <tableColumn id="7" xr3:uid="{26E42843-5F48-45FB-B6FB-A17B4E3F2C67}" name="Year 6_x000a_Month 5" dataDxfId="1050" totalsRowDxfId="1049"/>
    <tableColumn id="8" xr3:uid="{8C35C4B9-C509-4BED-962C-AE10295B331B}" name="Year 6_x000a_Month 6" dataDxfId="1048" totalsRowDxfId="1047"/>
    <tableColumn id="9" xr3:uid="{CCA9767E-4D09-4EDD-942E-DABD79247755}" name="Year 6_x000a_Month 7" dataDxfId="1046" totalsRowDxfId="1045"/>
    <tableColumn id="10" xr3:uid="{BC63A339-9F1B-4A34-9369-78FB0AF59D12}" name="Year 6_x000a_Month 8" dataDxfId="1044" totalsRowDxfId="1043"/>
    <tableColumn id="11" xr3:uid="{4771568A-FACE-45D4-9CB0-A1348AA6C29A}" name="Year 6_x000a_Month 9" dataDxfId="1042" totalsRowDxfId="1041"/>
    <tableColumn id="12" xr3:uid="{D69C795D-4166-4193-AE97-8A4BFB4CBF2F}" name="Year 6_x000a_Month 10" dataDxfId="1040" totalsRowDxfId="1039"/>
    <tableColumn id="13" xr3:uid="{AA80B196-0891-44C3-B3FE-63EE621F368F}" name="Year 6_x000a_Month 11" dataDxfId="1038" totalsRowDxfId="1037"/>
    <tableColumn id="14" xr3:uid="{693FED01-5B0A-4756-8709-F35EE7FCFFFE}" name="Year 6_x000a_Month 12" dataDxfId="1036" totalsRowDxfId="1035"/>
    <tableColumn id="15" xr3:uid="{D4C32001-7CE7-455B-BE95-281D1F3F5175}" name="Total _x000a_Year 6" dataDxfId="1034" totalsRowDxfId="1033"/>
  </tableColumns>
  <tableStyleInfo name="TableStyleLight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E2789500-B875-46AE-B105-B35F72CC8905}" name="Table4253136153147162" displayName="Table4253136153147162" ref="BP35:CB60" headerRowDxfId="1032" dataDxfId="1030" totalsRowDxfId="1028" headerRowBorderDxfId="1031" tableBorderDxfId="1029">
  <autoFilter ref="BP35:CB60" xr:uid="{DF482947-2356-437F-8005-EF3B33F55058}"/>
  <tableColumns count="13">
    <tableColumn id="3" xr3:uid="{59843739-92EA-416F-BF4B-4F8B0FCD9B38}" name="Year 6_x000a_Month 1" dataDxfId="1027" totalsRowDxfId="1026"/>
    <tableColumn id="4" xr3:uid="{C4055CFC-095A-4738-9072-0DB57752DD34}" name="Year 6_x000a_Month 2" dataDxfId="1025" totalsRowDxfId="1024"/>
    <tableColumn id="5" xr3:uid="{E5F4CE9C-4353-4E7C-96C8-31C0158B41D1}" name="Year 6_x000a_Month 3" dataDxfId="1023" totalsRowDxfId="1022"/>
    <tableColumn id="6" xr3:uid="{C8BF43D5-9170-40BA-98D0-FBB92C72195A}" name="Year 6_x000a_Month 4" dataDxfId="1021" totalsRowDxfId="1020"/>
    <tableColumn id="7" xr3:uid="{F8A35DBD-7EF3-4AF6-9755-714B5F6B1D61}" name="Year 6_x000a_Month 5" dataDxfId="1019" totalsRowDxfId="1018"/>
    <tableColumn id="8" xr3:uid="{F2088867-657C-43A2-834B-2842592665D9}" name="Year 6_x000a_Month 6" dataDxfId="1017" totalsRowDxfId="1016"/>
    <tableColumn id="9" xr3:uid="{063A5AC9-CC12-460D-95DC-5CC49D7C0F08}" name="Year 6_x000a_Month 7" dataDxfId="1015" totalsRowDxfId="1014"/>
    <tableColumn id="10" xr3:uid="{99EA390B-EB5B-435D-91AA-09D38511E27E}" name="Year 6_x000a_Month 8" dataDxfId="1013" totalsRowDxfId="1012"/>
    <tableColumn id="11" xr3:uid="{E3985674-B92B-4BAF-A157-ACB67E93DB38}" name="Year 6_x000a_Month 9" dataDxfId="1011" totalsRowDxfId="1010"/>
    <tableColumn id="12" xr3:uid="{C0D6EEEA-8522-42AE-9BF6-FDAF81147AE1}" name="Year 6_x000a_Month 10" dataDxfId="1009" totalsRowDxfId="1008"/>
    <tableColumn id="13" xr3:uid="{1A95E60A-0A3D-4145-A183-458C53C49E26}" name="Year 6_x000a_Month 11" dataDxfId="1007" totalsRowDxfId="1006"/>
    <tableColumn id="14" xr3:uid="{134A9632-03F1-4D0A-8C74-4F0B2909641F}" name="Year 6_x000a_Month 12" dataDxfId="1005" totalsRowDxfId="1004"/>
    <tableColumn id="15" xr3:uid="{04810D42-7D12-4CA9-9916-5778F0453DFC}" name="Total _x000a_Year 6" dataDxfId="1003" totalsRowDxfId="1002"/>
  </tableColumns>
  <tableStyleInfo name="TableStyleLight1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EF056D0-176E-4155-BC07-09D522309D49}" name="Table425354137154148163" displayName="Table425354137154148163" ref="BP64:CB89" headerRowDxfId="1001" dataDxfId="999" totalsRowDxfId="997" headerRowBorderDxfId="1000" tableBorderDxfId="998">
  <autoFilter ref="BP64:CB89" xr:uid="{EF5BD043-8A51-4B8D-AC7A-195424F43006}"/>
  <tableColumns count="13">
    <tableColumn id="3" xr3:uid="{14C930C7-82E5-4BEE-AD82-1D2F7EEE562E}" name="Year 6_x000a_Month 1" dataDxfId="996" totalsRowDxfId="995"/>
    <tableColumn id="4" xr3:uid="{AB33D081-567D-441A-978D-C8F060087F16}" name="Year 6_x000a_Month 2" dataDxfId="994" totalsRowDxfId="993"/>
    <tableColumn id="5" xr3:uid="{130C8F1F-313C-4217-A408-A64319CB496E}" name="Year 6_x000a_Month 3" dataDxfId="992" totalsRowDxfId="991"/>
    <tableColumn id="6" xr3:uid="{A5D6AE38-D4D9-4381-8CDE-9E2F7F136EBF}" name="Year 6_x000a_Month 4" dataDxfId="990" totalsRowDxfId="989"/>
    <tableColumn id="7" xr3:uid="{FDAF6FAD-8705-48A4-9261-2D0848B19E57}" name="Year 6_x000a_Month 5" dataDxfId="988" totalsRowDxfId="987"/>
    <tableColumn id="8" xr3:uid="{703F1FD4-F7C1-488D-99EB-D8DCC1CFD6A0}" name="Year 6_x000a_Month 6" dataDxfId="986" totalsRowDxfId="985"/>
    <tableColumn id="9" xr3:uid="{4758855C-133E-46CE-8A79-539416368398}" name="Year 6_x000a_Month 7" dataDxfId="984" totalsRowDxfId="983"/>
    <tableColumn id="10" xr3:uid="{A3E4E9C7-60E9-4ED4-8F28-D3A402386240}" name="Year 6_x000a_Month 8" dataDxfId="982" totalsRowDxfId="981"/>
    <tableColumn id="11" xr3:uid="{421DBED7-65FC-4E74-AF1D-F5A1846311EA}" name="Year 6_x000a_Month 9" dataDxfId="980" totalsRowDxfId="979"/>
    <tableColumn id="12" xr3:uid="{70350E13-2FA1-434D-A838-EF445CBB4135}" name="Year 6_x000a_Month 10" dataDxfId="978" totalsRowDxfId="977"/>
    <tableColumn id="13" xr3:uid="{B5F1C78B-E394-49B2-90BC-773720AADB74}" name="Year 6_x000a_Month 11" dataDxfId="976" totalsRowDxfId="975"/>
    <tableColumn id="14" xr3:uid="{7F8E3BBE-418D-4326-8D7B-FF97226D8BBD}" name="Year 6_x000a_Month 12" dataDxfId="974" totalsRowDxfId="973"/>
    <tableColumn id="15" xr3:uid="{6DF56EC2-9DDF-4F12-B2E9-7B1B871AB215}" name="Total _x000a_Year 6" dataDxfId="972" totalsRowDxfId="971"/>
  </tableColumns>
  <tableStyleInfo name="TableStyleLight1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FA757AE1-2022-4F8B-B748-577156AC5556}" name="Table42135150146164" displayName="Table42135150146164" ref="CC5:CO30" headerRowDxfId="970" dataDxfId="968" totalsRowDxfId="966" headerRowBorderDxfId="969" tableBorderDxfId="967">
  <autoFilter ref="CC5:CO30" xr:uid="{E09718B4-D777-477D-BB9B-4BF241B28204}"/>
  <tableColumns count="13">
    <tableColumn id="3" xr3:uid="{C201193E-31D4-4A0F-8F93-D8B088C52F26}" name="Year 7_x000a_Month 1" dataDxfId="965" totalsRowDxfId="964"/>
    <tableColumn id="4" xr3:uid="{1AA932CB-C6EB-4136-971C-2B2D6411E78B}" name="Year 7_x000a_Month 2" dataDxfId="963" totalsRowDxfId="962"/>
    <tableColumn id="5" xr3:uid="{4ACBDBEE-7CDE-42D5-8EE4-51E603BD626A}" name="Year 7_x000a_Month 3" dataDxfId="961" totalsRowDxfId="960"/>
    <tableColumn id="6" xr3:uid="{CB791386-8887-48E4-AA54-A558561EA621}" name="Year 7_x000a_Month 4" dataDxfId="959" totalsRowDxfId="958"/>
    <tableColumn id="7" xr3:uid="{1E26AC6B-D1A1-4818-9259-178F24CC608B}" name="Year 7_x000a_Month 5" dataDxfId="957" totalsRowDxfId="956"/>
    <tableColumn id="8" xr3:uid="{57A83354-76A3-42CD-8B5A-AADEC6A9F29F}" name="Year 7_x000a_Month 6" dataDxfId="955" totalsRowDxfId="954"/>
    <tableColumn id="9" xr3:uid="{0924B829-44C1-4743-855F-2F6EBECE14E5}" name="Year 7_x000a_Month 7" dataDxfId="953" totalsRowDxfId="952"/>
    <tableColumn id="10" xr3:uid="{94CCA16E-DA83-44E7-B9AB-38C1D518AD95}" name="Year 7_x000a_Month 8" dataDxfId="951" totalsRowDxfId="950"/>
    <tableColumn id="11" xr3:uid="{2B0D9863-635A-4AD9-9960-F206E8B5B9B3}" name="Year 7_x000a_Month 9" dataDxfId="949" totalsRowDxfId="948"/>
    <tableColumn id="12" xr3:uid="{E634555E-B840-4D61-9D36-B435FA674276}" name="Year 7_x000a_Month 10" dataDxfId="947" totalsRowDxfId="946"/>
    <tableColumn id="13" xr3:uid="{FAC26F7B-0488-4E1C-B875-1E2C26A3D489}" name="Year 7_x000a_Month 11" dataDxfId="945" totalsRowDxfId="944"/>
    <tableColumn id="14" xr3:uid="{04790BAF-1AB1-4AF9-AAA6-A63181F4E51A}" name="Year 7_x000a_Month 12" dataDxfId="943" totalsRowDxfId="942"/>
    <tableColumn id="15" xr3:uid="{5C90B003-9D2E-4E3D-967D-9F2676794C05}" name="Total _x000a_Year 7" dataDxfId="941" totalsRowDxfId="940"/>
  </tableColumns>
  <tableStyleInfo name="TableStyleLight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99DA5471-6B36-4AA3-A63A-B0F59C10ADF7}" name="Table4253136153147165" displayName="Table4253136153147165" ref="CC35:CO60" headerRowDxfId="939" dataDxfId="937" totalsRowDxfId="935" headerRowBorderDxfId="938" tableBorderDxfId="936">
  <autoFilter ref="CC35:CO60" xr:uid="{1862EF0F-27AB-4026-8134-02C52231BA9C}"/>
  <tableColumns count="13">
    <tableColumn id="3" xr3:uid="{7C2F176B-213F-4111-A6E6-9B51C7854EA6}" name="Year 7_x000a_Month 1" dataDxfId="934" totalsRowDxfId="933"/>
    <tableColumn id="4" xr3:uid="{FB21CB1B-95AC-44AE-A60A-B74CC9748188}" name="Year 7_x000a_Month 2" dataDxfId="932" totalsRowDxfId="931"/>
    <tableColumn id="5" xr3:uid="{2A543874-04B1-4663-842D-E440A45A8CFE}" name="Year 7_x000a_Month 3" dataDxfId="930" totalsRowDxfId="929"/>
    <tableColumn id="6" xr3:uid="{060EF57C-3174-4F5D-A256-D1E4F0DC3A15}" name="Year 7_x000a_Month 4" dataDxfId="928" totalsRowDxfId="927"/>
    <tableColumn id="7" xr3:uid="{5A8899C9-692E-4B57-8BC8-52430F8F05D5}" name="Year 7_x000a_Month 5" dataDxfId="926" totalsRowDxfId="925"/>
    <tableColumn id="8" xr3:uid="{BA9CFAD5-0166-4EEB-9FB2-B3CA135C19DF}" name="Year 7_x000a_Month 6" dataDxfId="924" totalsRowDxfId="923"/>
    <tableColumn id="9" xr3:uid="{EE5749D4-904C-4BA7-8B73-64EB57C37C68}" name="Year 7_x000a_Month 7" dataDxfId="922" totalsRowDxfId="921"/>
    <tableColumn id="10" xr3:uid="{69651930-A5E8-41A2-B832-B6E6CDFA516E}" name="Year 7_x000a_Month 8" dataDxfId="920" totalsRowDxfId="919"/>
    <tableColumn id="11" xr3:uid="{7216F365-FABE-4177-90F2-35AB66E069FD}" name="Year 7_x000a_Month 9" dataDxfId="918" totalsRowDxfId="917"/>
    <tableColumn id="12" xr3:uid="{4D649352-791C-4A79-BCA1-299FA36C6DF8}" name="Year 7_x000a_Month 10" dataDxfId="916" totalsRowDxfId="915"/>
    <tableColumn id="13" xr3:uid="{3227F57C-C713-4FBE-B097-A0AD6F03C746}" name="Year 7_x000a_Month 11" dataDxfId="914" totalsRowDxfId="913"/>
    <tableColumn id="14" xr3:uid="{9159AEF0-A978-483C-9A03-B15D002FCB5A}" name="Year 7_x000a_Month 12" dataDxfId="912" totalsRowDxfId="911"/>
    <tableColumn id="15" xr3:uid="{4FFEA678-9B7D-4D6D-8350-CD1627B87204}" name="Total _x000a_Year 7" dataDxfId="910" totalsRowDxfId="909"/>
  </tableColumns>
  <tableStyleInfo name="TableStyleLight1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80CC5695-E08A-4AF3-BCD3-22B1DB4E845B}" name="Table425354137154148166" displayName="Table425354137154148166" ref="CC64:CO89" headerRowDxfId="908" dataDxfId="906" totalsRowDxfId="904" headerRowBorderDxfId="907" tableBorderDxfId="905">
  <autoFilter ref="CC64:CO89" xr:uid="{9912A719-85E4-4B15-AE35-288D637CB5DF}"/>
  <tableColumns count="13">
    <tableColumn id="3" xr3:uid="{99FD2492-CACC-4BED-A67D-49B2933D9C8C}" name="Year 7_x000a_Month 1" dataDxfId="903" totalsRowDxfId="902"/>
    <tableColumn id="4" xr3:uid="{079FC317-02E8-463D-8AAB-E3421A7725DD}" name="Year 7_x000a_Month 2" dataDxfId="901" totalsRowDxfId="900"/>
    <tableColumn id="5" xr3:uid="{B9653F16-6A5F-43CF-B46E-F1C6122C7788}" name="Year 7_x000a_Month 3" dataDxfId="899" totalsRowDxfId="898"/>
    <tableColumn id="6" xr3:uid="{1DB49D8F-ECDC-4659-852F-DFF23966F263}" name="Year 7_x000a_Month 4" dataDxfId="897" totalsRowDxfId="896"/>
    <tableColumn id="7" xr3:uid="{2227BC5B-A831-4832-BC24-656C9202B638}" name="Year 7_x000a_Month 5" dataDxfId="895" totalsRowDxfId="894"/>
    <tableColumn id="8" xr3:uid="{257C3182-71BB-4EE7-AB06-54C3CB17FDF7}" name="Year 7_x000a_Month 6" dataDxfId="893" totalsRowDxfId="892"/>
    <tableColumn id="9" xr3:uid="{BB504352-EFD9-4ED5-81F8-3A545DBC35E8}" name="Year 7_x000a_Month 7" dataDxfId="891" totalsRowDxfId="890"/>
    <tableColumn id="10" xr3:uid="{37FF3E63-6DD4-4894-AEC7-F0992C61D94D}" name="Year 7_x000a_Month 8" dataDxfId="889" totalsRowDxfId="888"/>
    <tableColumn id="11" xr3:uid="{00114BBB-6A08-46D5-A63B-56ECAFA86862}" name="Year 7_x000a_Month 9" dataDxfId="887" totalsRowDxfId="886"/>
    <tableColumn id="12" xr3:uid="{C3E891B6-E970-47E0-A2FC-3EE583F3DE0D}" name="Year 7_x000a_Month 10" dataDxfId="885" totalsRowDxfId="884"/>
    <tableColumn id="13" xr3:uid="{C7D5ED18-FDF8-4906-A79E-B0B5A0764DD7}" name="Year 7_x000a_Month 11" dataDxfId="883" totalsRowDxfId="882"/>
    <tableColumn id="14" xr3:uid="{82733873-5C22-4DD7-B449-56732F31024B}" name="Year 7_x000a_Month 12" dataDxfId="881" totalsRowDxfId="880"/>
    <tableColumn id="15" xr3:uid="{D8A17FE2-78C8-4434-AE6A-8D686EFA59C9}" name="Total _x000a_Year 7" dataDxfId="879" totalsRowDxfId="878"/>
  </tableColumns>
  <tableStyleInfo name="TableStyleLight1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5B0C1671-C2C0-4410-B067-5CC903DC8E30}" name="Table2" displayName="Table2" ref="A1:A5" totalsRowShown="0">
  <autoFilter ref="A1:A5" xr:uid="{74FE9439-733C-410D-9D29-427EE61190A0}"/>
  <tableColumns count="1">
    <tableColumn id="1" xr3:uid="{01E9E416-4C44-4A18-9BAB-A342486B13C5}" name="Category"/>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FE0546BA-EFE4-4F5A-8D3A-684C0DCF438F}" name="Table3157" displayName="Table3157" ref="B1:B5" totalsRowShown="0">
  <autoFilter ref="B1:B5" xr:uid="{128E76CE-07EA-492D-A427-C157387C1328}"/>
  <tableColumns count="1">
    <tableColumn id="1" xr3:uid="{5F62E372-E320-4F24-8778-8B7CE76E24D2}" name="Method"/>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E4506A58-0D3C-43F3-AA0A-E2D5918E57F1}" name="Table4158" displayName="Table4158" ref="C1:C3" totalsRowShown="0">
  <autoFilter ref="C1:C3" xr:uid="{7111B20D-03CF-4141-8B5D-2894519BAC7D}"/>
  <tableColumns count="1">
    <tableColumn id="1" xr3:uid="{D65911A7-EF2B-426D-BFE2-2D2204D16C21}" name="World Bank Review"/>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4B72A3BE-EB9A-4242-B44C-DC6946FB5FCD}" name="Table5159" displayName="Table5159" ref="D1:D3" totalsRowShown="0">
  <autoFilter ref="D1:D3" xr:uid="{F0338307-E2CA-44EF-904C-78093D6E253E}"/>
  <tableColumns count="1">
    <tableColumn id="1" xr3:uid="{C428158A-E24D-4FB5-AF65-D52E7F11CD7A}" name="Prequalification"/>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BEAD915D-7377-4035-99ED-149EECF5846D}" name="Table6" displayName="Table6" ref="E1:E8" totalsRowShown="0" dataDxfId="877" tableBorderDxfId="876">
  <autoFilter ref="E1:E8" xr:uid="{B4325ADC-3640-4B66-81A1-6272E4BF29A0}"/>
  <tableColumns count="1">
    <tableColumn id="1" xr3:uid="{0561209A-6F69-427F-B5C0-AF7B53902637}" name="ESTIMATED / ACTUAL DATES" dataDxfId="875"/>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09AAD3A2-ED65-4CD0-9C50-F92D8A2F3617}" name="Table42189" displayName="Table42189" ref="A5:F30" headerRowDxfId="874" dataDxfId="872" totalsRowDxfId="870" headerRowBorderDxfId="873" tableBorderDxfId="871">
  <autoFilter ref="A5:F30" xr:uid="{2A2E029D-D0C3-4EAC-8241-DD1C01395C29}"/>
  <tableColumns count="6">
    <tableColumn id="1" xr3:uid="{57A5A4A1-7A98-4342-8997-6487E20DA44D}" name="Description" totalsRowLabel="Total" dataDxfId="869" totalsRowDxfId="868"/>
    <tableColumn id="2" xr3:uid="{E192B371-E288-4A61-81F5-D47FB4E5C704}" name="Pre-Operation" dataDxfId="867" totalsRowDxfId="866"/>
    <tableColumn id="5" xr3:uid="{CE7CA930-3A8D-420B-AB08-F8943609F2AA}" name="Year 1_x000a_Q 1" dataDxfId="865" totalsRowDxfId="864"/>
    <tableColumn id="8" xr3:uid="{25844FF9-D6C9-4517-91C9-B1DE34AE21C0}" name="Year 1_x000a_Q 2" dataDxfId="863" totalsRowDxfId="862"/>
    <tableColumn id="11" xr3:uid="{F7395BE7-FF5D-4543-8A5F-D5F9CA2B42B6}" name="Year 1_x000a_Q 3" dataDxfId="861" totalsRowDxfId="860"/>
    <tableColumn id="14" xr3:uid="{ABDAA546-4123-4D07-B7DC-1F81A22BBB69}" name="Year 1_x000a_Q 4" dataDxfId="859" totalsRowDxfId="858"/>
  </tableColumns>
  <tableStyleInfo name="TableStyleLight1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1F9123D8-ABF7-4185-B865-A401890036C1}" name="Table4253190" displayName="Table4253190" ref="A35:F60" headerRowDxfId="857" dataDxfId="855" totalsRowDxfId="853" headerRowBorderDxfId="856" tableBorderDxfId="854">
  <autoFilter ref="A35:F60" xr:uid="{349D86A3-96A4-467B-8DA1-9FDE2F1C9ADB}"/>
  <tableColumns count="6">
    <tableColumn id="1" xr3:uid="{83094A2E-BB82-490D-B52C-723A45C648E2}" name="Description" totalsRowLabel="Total" dataDxfId="852" totalsRowDxfId="851"/>
    <tableColumn id="2" xr3:uid="{1892C521-1B90-4F03-B987-9AF2B3283D3E}" name="Pre-Operation" dataDxfId="850" totalsRowDxfId="849"/>
    <tableColumn id="5" xr3:uid="{B1800807-7B68-4BCB-AF0E-33319EFA5BDF}" name="Year 1_x000a_Q 1" dataDxfId="848" totalsRowDxfId="847"/>
    <tableColumn id="8" xr3:uid="{17976CE7-6505-40B6-B62C-C3580C62FC91}" name="Year 1_x000a_Q 2" dataDxfId="846" totalsRowDxfId="845"/>
    <tableColumn id="11" xr3:uid="{27B6F847-5855-422A-85A9-2D3BF8586E66}" name="Year 1_x000a_Q 3" dataDxfId="844" totalsRowDxfId="843"/>
    <tableColumn id="14" xr3:uid="{3B4F0743-AD25-4E3D-BA45-83D8C42F41EF}" name="Year 1_x000a_Q 4" dataDxfId="842" totalsRowDxfId="841"/>
  </tableColumns>
  <tableStyleInfo name="TableStyleLight1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0C544C1D-36F2-4842-BCA9-385C942AEBA9}" name="Table425354191" displayName="Table425354191" ref="A64:F89" headerRowDxfId="840" dataDxfId="838" totalsRowDxfId="836" headerRowBorderDxfId="839" tableBorderDxfId="837">
  <autoFilter ref="A64:F89" xr:uid="{395B5128-E7BB-4669-9EAE-8C24DD120CE2}"/>
  <tableColumns count="6">
    <tableColumn id="1" xr3:uid="{F0D2D8D7-E944-4038-B8E2-67298DB2B04F}" name="Description" totalsRowLabel="Total" dataDxfId="835" totalsRowDxfId="834"/>
    <tableColumn id="2" xr3:uid="{1A31B5BF-64A6-433D-A6E6-C65792EBC965}" name="Pre-Operation" dataDxfId="833" totalsRowDxfId="832"/>
    <tableColumn id="5" xr3:uid="{3A8C36F9-FF46-4898-92A2-090CF4410FDC}" name="Year 1_x000a_Q 1" dataDxfId="831" totalsRowDxfId="830"/>
    <tableColumn id="8" xr3:uid="{816560BD-6D60-4766-8172-61C8BAB13CEA}" name="Year 1_x000a_Q 2" dataDxfId="829" totalsRowDxfId="828"/>
    <tableColumn id="11" xr3:uid="{CE078F96-9B67-46A4-A691-DE696D646FD2}" name="Year 1_x000a_Q 3" dataDxfId="827" totalsRowDxfId="826"/>
    <tableColumn id="14" xr3:uid="{9F85B88C-85CC-4DC5-B492-9635108D0C7F}" name="Year 1_x000a_Q 4" dataDxfId="825" totalsRowDxfId="824"/>
  </tableColumns>
  <tableStyleInfo name="TableStyleLight1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AB47364B-7FF7-4EBA-AF65-B63996313A2D}" name="Table42135192" displayName="Table42135192" ref="G5:J30" headerRowDxfId="823" dataDxfId="821" totalsRowDxfId="819" headerRowBorderDxfId="822" tableBorderDxfId="820">
  <autoFilter ref="G5:J30" xr:uid="{7676DCE2-F235-4121-A8AA-D9D9C440DBFD}"/>
  <tableColumns count="4">
    <tableColumn id="5" xr3:uid="{61C1EB73-B6A5-4EC8-9DC9-F8342D2BAC13}" name="Year 2_x000a_Q 1" dataDxfId="818" totalsRowDxfId="817"/>
    <tableColumn id="8" xr3:uid="{1DA04D15-FD23-443C-8460-CE2129C8024C}" name="Year 2_x000a_Q 2" dataDxfId="816" totalsRowDxfId="815"/>
    <tableColumn id="11" xr3:uid="{BA8FFC78-6D9D-4D08-9EB8-618E61DABF4E}" name="Year 2_x000a_Q 3" dataDxfId="814" totalsRowDxfId="813"/>
    <tableColumn id="14" xr3:uid="{E8A2B73C-51F7-47C9-85ED-E90FB5E2332E}" name="Year 2_x000a_Q 4" dataDxfId="812" totalsRowDxfId="811"/>
  </tableColumns>
  <tableStyleInfo name="TableStyleLight1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9FEFB39E-15F3-4E91-9900-893FF389385C}" name="Table4253136193" displayName="Table4253136193" ref="G35:J60" headerRowDxfId="810" dataDxfId="808" totalsRowDxfId="806" headerRowBorderDxfId="809" tableBorderDxfId="807">
  <autoFilter ref="G35:J60" xr:uid="{049FDC6F-9D13-4669-BB65-6F57F6113F7B}"/>
  <tableColumns count="4">
    <tableColumn id="5" xr3:uid="{C88E98CE-61F9-4576-9AF8-EE0317FD4A8D}" name="Year 2_x000a_Q 1" dataDxfId="805" totalsRowDxfId="804"/>
    <tableColumn id="8" xr3:uid="{92B9345B-F822-4AB3-AF50-31E1F2631AC5}" name="Year 2_x000a_Q 2" dataDxfId="803" totalsRowDxfId="802"/>
    <tableColumn id="11" xr3:uid="{B2500147-F880-441B-A14E-D61397DC07AF}" name="Year 2_x000a_Q 3" dataDxfId="801" totalsRowDxfId="800"/>
    <tableColumn id="14" xr3:uid="{D389F89B-3CB8-41A9-8B45-11297ECF27B8}" name="Year 2_x000a_Q 4" dataDxfId="799" totalsRowDxfId="798"/>
  </tableColumns>
  <tableStyleInfo name="TableStyleLight1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8D258A26-90F2-4613-B4E5-C6A3AF044EE5}" name="Table425354137194" displayName="Table425354137194" ref="G64:J89" headerRowDxfId="797" dataDxfId="795" totalsRowDxfId="793" headerRowBorderDxfId="796" tableBorderDxfId="794">
  <autoFilter ref="G64:J89" xr:uid="{5C9C4049-D474-478A-A3C1-9D268DE56083}"/>
  <tableColumns count="4">
    <tableColumn id="5" xr3:uid="{76C70173-BDF3-42C2-8968-808EAEB68B99}" name="Year 2_x000a_Q 1" dataDxfId="792" totalsRowDxfId="791"/>
    <tableColumn id="8" xr3:uid="{7C54FF45-2B46-4163-A2B0-D25E63C79DA8}" name="Year 2_x000a_Q 2" dataDxfId="790" totalsRowDxfId="789"/>
    <tableColumn id="11" xr3:uid="{2B8413DF-E50E-435A-97CA-07C03D5E6E5F}" name="Year 2_x000a_Q 3" dataDxfId="788" totalsRowDxfId="787"/>
    <tableColumn id="14" xr3:uid="{11B90F5C-0275-45AF-90A8-D3DC021ECD3E}" name="Year 2_x000a_Q 4" dataDxfId="786" totalsRowDxfId="785"/>
  </tableColumns>
  <tableStyleInfo name="TableStyleLight1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353E45F3-658F-4894-81E1-E43DF8BD6EDD}" name="Table42135149195" displayName="Table42135149195" ref="K5:N30" headerRowDxfId="784" dataDxfId="782" totalsRowDxfId="780" headerRowBorderDxfId="783" tableBorderDxfId="781">
  <autoFilter ref="K5:N30" xr:uid="{224EE91A-CDC4-4D01-A65B-DA5B7B7DEB42}"/>
  <tableColumns count="4">
    <tableColumn id="5" xr3:uid="{47091172-5D29-4C5F-91B8-EBF999ECC82C}" name="Year 3_x000a_Q 1" dataDxfId="779" totalsRowDxfId="778"/>
    <tableColumn id="8" xr3:uid="{37EF438D-2354-46F9-A9AC-ADFCB2388F92}" name="Year 3_x000a_Q 2" dataDxfId="777" totalsRowDxfId="776"/>
    <tableColumn id="11" xr3:uid="{C6AE3839-361C-4DAD-8DF6-4862D0BD580B}" name="Year 3_x000a_Q 3" dataDxfId="775" totalsRowDxfId="774"/>
    <tableColumn id="14" xr3:uid="{2146930D-210E-4E81-A6E1-CFBE001E0881}" name="Year 3_x000a_Q 4" dataDxfId="773" totalsRowDxfId="772"/>
  </tableColumns>
  <tableStyleInfo name="TableStyleLight1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FB369AED-3D0D-431F-83D2-BFCC3DFD8E9B}" name="Table42135150196" displayName="Table42135150196" ref="O5:R30" headerRowDxfId="771" dataDxfId="769" totalsRowDxfId="767" headerRowBorderDxfId="770" tableBorderDxfId="768">
  <autoFilter ref="O5:R30" xr:uid="{81230BC4-58DC-4A87-A60A-CC61CEBECF30}"/>
  <tableColumns count="4">
    <tableColumn id="5" xr3:uid="{00D162C2-2B65-4AF4-B76F-6968D78F7096}" name="Year 4_x000a_Q 1" dataDxfId="766" totalsRowDxfId="765"/>
    <tableColumn id="8" xr3:uid="{B40A05D4-F94A-4860-A480-37249CE78B60}" name="Year 4_x000a_Q 2" dataDxfId="764" totalsRowDxfId="763"/>
    <tableColumn id="11" xr3:uid="{C72FAEE4-A4BC-4BB5-B48A-DF09C6F9340C}" name="Year 4_x000a_Q 3" dataDxfId="762" totalsRowDxfId="761"/>
    <tableColumn id="14" xr3:uid="{A0BD4568-5BA2-4303-8642-838F57DDE094}" name="Year 4_x000a_Q 4" dataDxfId="760" totalsRowDxfId="759"/>
  </tableColumns>
  <tableStyleInfo name="TableStyleLight1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C5D5FE7F-F396-47E9-BB57-EC534A069A02}" name="Table4253136151197" displayName="Table4253136151197" ref="K35:N60" headerRowDxfId="758" dataDxfId="756" totalsRowDxfId="754" headerRowBorderDxfId="757" tableBorderDxfId="755">
  <autoFilter ref="K35:N60" xr:uid="{F682842B-7F6D-4607-A2DF-805392DDE972}"/>
  <tableColumns count="4">
    <tableColumn id="5" xr3:uid="{9A31022D-9217-4D1E-AAB2-0E7F25966E54}" name="Year 3_x000a_Q 1" dataDxfId="753" totalsRowDxfId="752"/>
    <tableColumn id="8" xr3:uid="{62A498D0-960E-42DA-AC3D-9BD1BD9ABA9B}" name="Year 3_x000a_Q 2" dataDxfId="751" totalsRowDxfId="750"/>
    <tableColumn id="11" xr3:uid="{6086B2E8-018C-458A-9ADB-FE235F0DBD8C}" name="Year 3_x000a_Q 3" dataDxfId="749" totalsRowDxfId="748"/>
    <tableColumn id="14" xr3:uid="{249E47D0-8295-4C08-A7D1-1E8272AB3310}" name="Year 3_x000a_Q 4" dataDxfId="747" totalsRowDxfId="746"/>
  </tableColumns>
  <tableStyleInfo name="TableStyleLight1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DCFE78A3-5B1B-48E0-91AE-58B772C28F03}" name="Table425354137152198" displayName="Table425354137152198" ref="K64:N89" headerRowDxfId="745" dataDxfId="743" totalsRowDxfId="741" headerRowBorderDxfId="744" tableBorderDxfId="742">
  <autoFilter ref="K64:N89" xr:uid="{1B09B04A-A87C-4EEA-880E-C244552694E9}"/>
  <tableColumns count="4">
    <tableColumn id="5" xr3:uid="{039C9008-0E50-4FA3-B91E-460B462389FB}" name="Year 3_x000a_Q 1" dataDxfId="740" totalsRowDxfId="739"/>
    <tableColumn id="8" xr3:uid="{280103EB-F5EC-412F-8B2E-44A8A5B3DDDF}" name="Year 3_x000a_Q 2" dataDxfId="738" totalsRowDxfId="737"/>
    <tableColumn id="11" xr3:uid="{5C9B59E8-4E98-431E-8B39-0A62E5003290}" name="Year 3_x000a_Q 3" dataDxfId="736" totalsRowDxfId="735"/>
    <tableColumn id="14" xr3:uid="{4EE31151-AEC8-4F07-93AB-CE28341AE813}" name="Year 3_x000a_Q 4" dataDxfId="734" totalsRowDxfId="733"/>
  </tableColumns>
  <tableStyleInfo name="TableStyleLight1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90F94D95-493A-4AA1-8D90-FD3D7D1D58B0}" name="Table4253136153199" displayName="Table4253136153199" ref="O35:R60" headerRowDxfId="732" dataDxfId="730" totalsRowDxfId="728" headerRowBorderDxfId="731" tableBorderDxfId="729">
  <autoFilter ref="O35:R60" xr:uid="{7EE06EB4-34CC-4374-B764-DE3F27231305}"/>
  <tableColumns count="4">
    <tableColumn id="5" xr3:uid="{6363BAE0-E374-4F0E-8F74-06F180EF90D1}" name="Year 4_x000a_Q 1" dataDxfId="727" totalsRowDxfId="726"/>
    <tableColumn id="8" xr3:uid="{29DEBC97-8EFE-4106-8099-62105334195C}" name="Year 4_x000a_Q 2" dataDxfId="725" totalsRowDxfId="724"/>
    <tableColumn id="11" xr3:uid="{57FF5134-1A75-4FCC-9016-C28743CE1701}" name="Year 4_x000a_Q 3" dataDxfId="723" totalsRowDxfId="722"/>
    <tableColumn id="14" xr3:uid="{E3A6E1E1-7C46-4014-9BEE-E5414C56D79E}" name="Year 4_x000a_Q 4" dataDxfId="721" totalsRowDxfId="720"/>
  </tableColumns>
  <tableStyleInfo name="TableStyleLight1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5A88DE97-5E35-4251-BD99-C6E439560E3E}" name="Table425354137154200" displayName="Table425354137154200" ref="O64:R89" headerRowDxfId="719" dataDxfId="717" totalsRowDxfId="715" headerRowBorderDxfId="718" tableBorderDxfId="716">
  <autoFilter ref="O64:R89" xr:uid="{13157A10-2C09-46C4-AB62-46153A791AF7}"/>
  <tableColumns count="4">
    <tableColumn id="5" xr3:uid="{FB3C2161-232B-4E95-B112-DCB4C03A0F2F}" name="Year 4_x000a_Q 1" dataDxfId="714" totalsRowDxfId="713"/>
    <tableColumn id="8" xr3:uid="{48684742-1DD6-40AD-9881-2420B6355FF5}" name="Year 4_x000a_Q 2" dataDxfId="712" totalsRowDxfId="711"/>
    <tableColumn id="11" xr3:uid="{5D50D0B9-43DC-47D2-A956-79D822EE8AC1}" name="Year 4_x000a_Q 3" dataDxfId="710" totalsRowDxfId="709"/>
    <tableColumn id="14" xr3:uid="{AB4AE3C1-7E49-407A-AE2C-0C7745405F9B}" name="Year 4_x000a_Q 4" dataDxfId="708" totalsRowDxfId="707"/>
  </tableColumns>
  <tableStyleInfo name="TableStyleLight1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CAB0B561-C99E-4EFB-982F-54341B75D2EE}" name="Table42135150146201" displayName="Table42135150146201" ref="S5:V30" headerRowDxfId="706" dataDxfId="704" totalsRowDxfId="702" headerRowBorderDxfId="705" tableBorderDxfId="703">
  <autoFilter ref="S5:V30" xr:uid="{01138812-7554-4CFD-8672-F718636BDFE2}"/>
  <tableColumns count="4">
    <tableColumn id="5" xr3:uid="{EC97788B-4799-4DB9-BC02-FDE89A52CEF2}" name="Year 5_x000a_Q 1" dataDxfId="701" totalsRowDxfId="700"/>
    <tableColumn id="8" xr3:uid="{238E6C2A-5970-4618-997E-336CAB5B6B6D}" name="Year 5_x000a_Q 2" dataDxfId="699" totalsRowDxfId="698"/>
    <tableColumn id="11" xr3:uid="{529E4D43-17E4-421A-92D2-6F1E93CF62AE}" name="Year 5_x000a_Q 3" dataDxfId="697" totalsRowDxfId="696"/>
    <tableColumn id="14" xr3:uid="{241D219F-F922-4672-828E-6EA8648188CF}" name="Year 5_x000a_Q 4" dataDxfId="695" totalsRowDxfId="694"/>
  </tableColumns>
  <tableStyleInfo name="TableStyleLight1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E3E492C2-F41F-42CE-931B-3C5F2E48914C}" name="Table4253136153147202" displayName="Table4253136153147202" ref="S35:V60" headerRowDxfId="693" dataDxfId="691" totalsRowDxfId="689" headerRowBorderDxfId="692" tableBorderDxfId="690">
  <autoFilter ref="S35:V60" xr:uid="{1EEC829C-A1EE-4746-8591-2229A95A72F3}"/>
  <tableColumns count="4">
    <tableColumn id="5" xr3:uid="{BD5979E2-89FE-409D-87FE-4C8E4D606816}" name="Year 5_x000a_Q 1" dataDxfId="688" totalsRowDxfId="687"/>
    <tableColumn id="8" xr3:uid="{67A92456-5B83-4E2A-9361-F7E6902762B5}" name="Year 5_x000a_Q 2" dataDxfId="686" totalsRowDxfId="685"/>
    <tableColumn id="11" xr3:uid="{E0DE47BB-24D0-4DA6-9A3B-D37E56556B2E}" name="Year 5_x000a_Q 3" dataDxfId="684" totalsRowDxfId="683"/>
    <tableColumn id="14" xr3:uid="{8639D49B-459B-4D6E-B22B-D36C7381DB5A}" name="Year 5_x000a_Q 4" dataDxfId="682" totalsRowDxfId="681"/>
  </tableColumns>
  <tableStyleInfo name="TableStyleLight1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FA211376-5DF1-4D1A-BAE1-B1D4DF7DB30E}" name="Table425354137154148203" displayName="Table425354137154148203" ref="S64:V89" headerRowDxfId="680" dataDxfId="678" totalsRowDxfId="676" headerRowBorderDxfId="679" tableBorderDxfId="677">
  <autoFilter ref="S64:V89" xr:uid="{43F68310-8DBE-456C-9A71-9342C8D9C77D}"/>
  <tableColumns count="4">
    <tableColumn id="5" xr3:uid="{7D85D05E-DC44-45B0-9626-CCE224EAED8C}" name="Year 5_x000a_Q 1" dataDxfId="675" totalsRowDxfId="674"/>
    <tableColumn id="8" xr3:uid="{23A54AC5-E9D1-4E11-9CB8-67E18DB8BCB4}" name="Year 5_x000a_Q 2" dataDxfId="673" totalsRowDxfId="672"/>
    <tableColumn id="11" xr3:uid="{AE1E446F-C105-4627-827D-160A5C6FD478}" name="Year 5_x000a_Q 3" dataDxfId="671" totalsRowDxfId="670"/>
    <tableColumn id="14" xr3:uid="{16F895F9-B506-4E7C-9B49-467BD27CB67C}" name="Year 5_x000a_Q 4" dataDxfId="669" totalsRowDxfId="668"/>
  </tableColumns>
  <tableStyleInfo name="TableStyleLight1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9B839F75-BB40-4897-8874-573DA2392942}" name="Table42135150146161204" displayName="Table42135150146161204" ref="W5:Z30" headerRowDxfId="667" dataDxfId="665" totalsRowDxfId="663" headerRowBorderDxfId="666" tableBorderDxfId="664">
  <autoFilter ref="W5:Z30" xr:uid="{0FCF6CE7-7E66-4B21-A7D2-184590EF7AF0}"/>
  <tableColumns count="4">
    <tableColumn id="5" xr3:uid="{BB952827-489F-42BF-94BE-7FF5582FB6AD}" name="Year 6_x000a_Q 1" dataDxfId="662" totalsRowDxfId="661"/>
    <tableColumn id="8" xr3:uid="{FE31F268-C864-492F-8E70-F6CF751A0845}" name="Year 6_x000a_Q 2" dataDxfId="660" totalsRowDxfId="659"/>
    <tableColumn id="11" xr3:uid="{3ACC6880-3085-4DC0-866C-6FA405FD80E1}" name="Year 6_x000a_Q 3" dataDxfId="658" totalsRowDxfId="657"/>
    <tableColumn id="14" xr3:uid="{30F3E881-1591-46DF-87FB-0B05CC43D4AA}" name="Year 6_x000a_Q 4" dataDxfId="656" totalsRowDxfId="655"/>
  </tableColumns>
  <tableStyleInfo name="TableStyleLight1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B92AD2CB-751F-4DFE-97B0-A888047E1CC0}" name="Table4253136153147162205" displayName="Table4253136153147162205" ref="W35:Z60" headerRowDxfId="654" dataDxfId="652" totalsRowDxfId="650" headerRowBorderDxfId="653" tableBorderDxfId="651">
  <autoFilter ref="W35:Z60" xr:uid="{E97CBB09-6C40-44F3-BF0E-75990701B00B}"/>
  <tableColumns count="4">
    <tableColumn id="5" xr3:uid="{CAC8B956-297F-4C81-88EC-D6FC61BA5602}" name="Year 6_x000a_Q 1" dataDxfId="649" totalsRowDxfId="648"/>
    <tableColumn id="8" xr3:uid="{D845870B-2301-416F-81E3-3EBA1280B458}" name="Year 6_x000a_Q 2" dataDxfId="647" totalsRowDxfId="646"/>
    <tableColumn id="11" xr3:uid="{215F919A-86B9-4592-A77B-858AB11146CD}" name="Year 6_x000a_Q 3" dataDxfId="645" totalsRowDxfId="644"/>
    <tableColumn id="14" xr3:uid="{E4A6325D-40FB-4D84-8F5B-1997A8F4F753}" name="Year 6_x000a_Q 4" dataDxfId="643" totalsRowDxfId="642"/>
  </tableColumns>
  <tableStyleInfo name="TableStyleLight1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D1E73409-C491-4A32-BD96-F0D29013B638}" name="Table425354137154148163206" displayName="Table425354137154148163206" ref="W64:Z89" headerRowDxfId="641" dataDxfId="639" totalsRowDxfId="637" headerRowBorderDxfId="640" tableBorderDxfId="638">
  <autoFilter ref="W64:Z89" xr:uid="{738423D3-C30F-4C3E-AF3B-68932380F520}"/>
  <tableColumns count="4">
    <tableColumn id="5" xr3:uid="{90DCE48D-BAB2-4B67-A15C-175820F2BA21}" name="Year 6_x000a_Q 1" dataDxfId="636" totalsRowDxfId="635"/>
    <tableColumn id="8" xr3:uid="{60560953-71A6-4A36-B935-2AA4E59D900B}" name="Year 6_x000a_Q 2" dataDxfId="634" totalsRowDxfId="633"/>
    <tableColumn id="11" xr3:uid="{42910C2F-44DD-4B2C-8ADB-8E53ADAB8C00}" name="Year 6_x000a_Q 3" dataDxfId="632" totalsRowDxfId="631"/>
    <tableColumn id="14" xr3:uid="{D3975BD2-E01E-4910-98ED-579AC7B06CB3}" name="Year 6_x000a_Q 4" dataDxfId="630" totalsRowDxfId="629"/>
  </tableColumns>
  <tableStyleInfo name="TableStyleLight1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C02F4038-C15D-4451-AFBA-8BCFE38E5CBD}" name="Table42135150146164207" displayName="Table42135150146164207" ref="AA5:AD30" headerRowDxfId="628" dataDxfId="626" totalsRowDxfId="624" headerRowBorderDxfId="627" tableBorderDxfId="625">
  <autoFilter ref="AA5:AD30" xr:uid="{7B0A3D70-D97C-46DB-8635-C7E12E2FD1A4}"/>
  <tableColumns count="4">
    <tableColumn id="5" xr3:uid="{7703F881-5D72-47E3-BC69-35C5CBA1924D}" name="Year 7_x000a_Q 1" dataDxfId="623" totalsRowDxfId="622"/>
    <tableColumn id="8" xr3:uid="{D8E9F313-E09F-4D5B-A6F3-0A65D178D0AF}" name="Year 7_x000a_Q 2" dataDxfId="621" totalsRowDxfId="620"/>
    <tableColumn id="11" xr3:uid="{ADE0BA5E-6743-4B13-AEF4-12FCC64B3C08}" name="Year 7_x000a_Q 3" dataDxfId="619" totalsRowDxfId="618"/>
    <tableColumn id="14" xr3:uid="{CFA21D41-254D-48ED-B60F-7AD01C3C3EDB}" name="Year 7_x000a_Q 4" dataDxfId="617" totalsRowDxfId="616"/>
  </tableColumns>
  <tableStyleInfo name="TableStyleLight1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48CD25A4-2CFC-4FA7-BA94-8ADEC91241F6}" name="Table4253136153147165208" displayName="Table4253136153147165208" ref="AA35:AD60" headerRowDxfId="615" dataDxfId="613" totalsRowDxfId="611" headerRowBorderDxfId="614" tableBorderDxfId="612">
  <autoFilter ref="AA35:AD60" xr:uid="{97358E83-6C7B-417F-AB4A-E8A934EE3C3C}"/>
  <tableColumns count="4">
    <tableColumn id="5" xr3:uid="{794D776D-4A76-4A5A-B12F-30672870FD6A}" name="Year 7_x000a_Q 1" dataDxfId="610" totalsRowDxfId="609"/>
    <tableColumn id="8" xr3:uid="{E0BBA858-BEAE-4762-AC8E-DCC9EADB73C1}" name="Year 7_x000a_Q 2" dataDxfId="608" totalsRowDxfId="607"/>
    <tableColumn id="11" xr3:uid="{FDA03E5B-4854-44BF-AB65-8B3FA2B3E3C4}" name="Year 7_x000a_Q 3" dataDxfId="606" totalsRowDxfId="605"/>
    <tableColumn id="14" xr3:uid="{BABFE856-EF0B-4692-9C39-D2FD926B69B2}" name="Year 7_x000a_Q 4" dataDxfId="604" totalsRowDxfId="603"/>
  </tableColumns>
  <tableStyleInfo name="TableStyleLight1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255A13CC-3CE7-4618-8055-B474751D306F}" name="Table425354137154148166209" displayName="Table425354137154148166209" ref="AA64:AD89" headerRowDxfId="602" dataDxfId="600" totalsRowDxfId="598" headerRowBorderDxfId="601" tableBorderDxfId="599">
  <autoFilter ref="AA64:AD89" xr:uid="{017950DD-3BA0-4679-8255-8B89DEAE9BEE}"/>
  <tableColumns count="4">
    <tableColumn id="5" xr3:uid="{6E18FE16-6B4B-4BCF-BC1D-807289187679}" name="Year 7_x000a_Q 1" dataDxfId="597" totalsRowDxfId="596"/>
    <tableColumn id="8" xr3:uid="{AB257D04-A388-43AA-BEE1-DEEE19A389C3}" name="Year 7_x000a_Q 2" dataDxfId="595" totalsRowDxfId="594"/>
    <tableColumn id="11" xr3:uid="{3FBD7831-9811-4B69-8259-405E548AD592}" name="Year 7_x000a_Q 3" dataDxfId="593" totalsRowDxfId="592"/>
    <tableColumn id="14" xr3:uid="{A8DB085D-0DEC-43DA-BF90-2F7AA98C2536}" name="Year 7_x000a_Q 4" dataDxfId="591" totalsRowDxfId="590"/>
  </tableColumns>
  <tableStyleInfo name="TableStyleLight1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50D48BB-8AFF-44A7-AD03-916270C34EDC}" name="Table8" displayName="Table8" ref="A5:Q36" totalsRowShown="0" headerRowDxfId="589" dataDxfId="587" totalsRowDxfId="585" headerRowBorderDxfId="588" tableBorderDxfId="586">
  <autoFilter ref="A5:Q36" xr:uid="{52E811B6-0BEE-44C3-BFBD-99A7AEE99B66}"/>
  <tableColumns count="17">
    <tableColumn id="1" xr3:uid="{628BEA87-0204-4695-AE98-DCD48C396D36}" name="Item Name" dataDxfId="584" totalsRowDxfId="583"/>
    <tableColumn id="2" xr3:uid="{86E23C31-7F62-4A9C-8DA1-6F518A990B17}" name="Unit Sales Price" dataDxfId="582" totalsRowDxfId="581" dataCellStyle="Currency"/>
    <tableColumn id="3" xr3:uid="{936A00DB-E843-449E-A6B6-9BFFCFDAF6F2}" name="Unit Direct Cost" dataDxfId="580" totalsRowDxfId="579" dataCellStyle="Currency"/>
    <tableColumn id="4" xr3:uid="{DC309049-F182-40CC-861B-942B912FC6DF}" name="Unit Profit Margin" dataDxfId="578" totalsRowDxfId="577" dataCellStyle="Currency"/>
    <tableColumn id="5" xr3:uid="{47269980-07FA-41D1-981D-5F0547507450}" name="% of profit Margin" dataDxfId="576" totalsRowDxfId="575">
      <calculatedColumnFormula>IFERROR('BEP. &amp; Summary Results'!$D6/'BEP. &amp; Summary Results'!$B6,"")</calculatedColumnFormula>
    </tableColumn>
    <tableColumn id="6" xr3:uid="{4E3784AD-7EE7-43C4-9337-175C5294928B}" name="Projected # of Items sold" dataDxfId="574" totalsRowDxfId="573" dataCellStyle="Currency"/>
    <tableColumn id="7" xr3:uid="{E9B06E1F-78C2-43A4-A4B7-6FC3A0A3B982}" name="Column1" dataDxfId="572" totalsRowDxfId="571" dataCellStyle="Currency"/>
    <tableColumn id="8" xr3:uid="{BE6109BC-DA83-4238-8D05-D4F66451ED20}" name="Item Sales Volume" dataDxfId="570" totalsRowDxfId="569" dataCellStyle="Currency"/>
    <tableColumn id="9" xr3:uid="{3B0C1A06-1378-47C5-8E83-803CFECC262A}" name="Item Cost of Production" dataDxfId="568" totalsRowDxfId="567" dataCellStyle="Currency"/>
    <tableColumn id="10" xr3:uid="{74540F74-B2B8-4AD4-BC78-8E8676B9749B}" name="% of Sales Mix" dataDxfId="566" totalsRowDxfId="565">
      <calculatedColumnFormula>IFERROR(H6/$H$36,0)</calculatedColumnFormula>
    </tableColumn>
    <tableColumn id="11" xr3:uid="{816C1694-0C66-4C0D-A049-0A7F5F1C309C}" name="Item Gross Profit" dataDxfId="564" totalsRowDxfId="563" dataCellStyle="Currency"/>
    <tableColumn id="12" xr3:uid="{7ACDC7A3-4354-4164-B282-F1F7FA5ED060}" name="Item Allocated fixed costs (based on % of sales mix)" dataDxfId="562" totalsRowDxfId="561" dataCellStyle="Currency"/>
    <tableColumn id="13" xr3:uid="{9A79A031-3230-43EB-94E3-463707CBAB11}" name="Item Net Profit" dataDxfId="560" totalsRowDxfId="559" dataCellStyle="Currency"/>
    <tableColumn id="14" xr3:uid="{22200913-3AEC-4B51-92BF-CC1B9F53A48D}" name="BEP In Amounts" dataDxfId="558" totalsRowDxfId="557" dataCellStyle="Currency"/>
    <tableColumn id="15" xr3:uid="{612E078C-986E-4116-8470-7F6A48083A66}" name="BEP Quantity" dataDxfId="556" totalsRowDxfId="555" dataCellStyle="Currency"/>
    <tableColumn id="16" xr3:uid="{F9CE781B-1F60-45FD-BFE8-857BB6EB33E0}" name="Column2" dataDxfId="554" totalsRowDxfId="553" dataCellStyle="Currency"/>
    <tableColumn id="17" xr3:uid="{212150E1-4103-4FAA-9E90-397B0384D731}" name="Validation" dataDxfId="552" totalsRowDxfId="551" dataCellStyle="Currency"/>
  </tableColumns>
  <tableStyleInfo name="TableStyleMedium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E5F516-5435-4BA8-8CE9-03FCC61D87E3}" name="Table82" displayName="Table82" ref="A41:Q72" totalsRowShown="0" headerRowDxfId="550" dataDxfId="548" totalsRowDxfId="546" headerRowBorderDxfId="549" tableBorderDxfId="547">
  <autoFilter ref="A41:Q72" xr:uid="{DFF69745-00AD-4A0D-9A48-5FCFF07F735A}"/>
  <tableColumns count="17">
    <tableColumn id="1" xr3:uid="{5B5F7EBC-7688-40F8-80D9-5D76DF9F4C7A}" name="Item Name" dataDxfId="545" totalsRowDxfId="544">
      <calculatedColumnFormula>'Summary. Assumptions. Inputs'!A46</calculatedColumnFormula>
    </tableColumn>
    <tableColumn id="2" xr3:uid="{8A138F44-9494-4649-923C-897C1AB42F75}" name="Unit Sales Price" dataDxfId="543" totalsRowDxfId="542" dataCellStyle="Currency"/>
    <tableColumn id="3" xr3:uid="{377C8B02-F9AB-4243-843B-7AD3F5317065}" name="Unit Direct Cost" dataDxfId="541" totalsRowDxfId="540" dataCellStyle="Currency"/>
    <tableColumn id="4" xr3:uid="{4BDD1A6F-50B6-40CB-97F5-CB05702BA5AD}" name="Unit Profit Margin" dataDxfId="539" totalsRowDxfId="538" dataCellStyle="Currency"/>
    <tableColumn id="5" xr3:uid="{C3E5F921-44E0-4A34-B21B-1F55E2C516B7}" name="% of profit Margin" dataDxfId="537">
      <calculatedColumnFormula>IFERROR('BEP. &amp; Summary Results'!$D42/'BEP. &amp; Summary Results'!$B42,"")</calculatedColumnFormula>
    </tableColumn>
    <tableColumn id="6" xr3:uid="{F1C9A77B-27F9-417C-85D3-74C8B63DE858}" name="Projected # of Items sold" dataDxfId="536" totalsRowDxfId="535" dataCellStyle="Currency"/>
    <tableColumn id="7" xr3:uid="{9B75FA0D-77BB-4F6D-B584-E88D2CF15F6A}" name="Column1" dataDxfId="534" totalsRowDxfId="533" dataCellStyle="Currency"/>
    <tableColumn id="8" xr3:uid="{2901A21C-DBD0-455E-9835-C045E0A5C533}" name="Item Sales Volume" dataDxfId="532" totalsRowDxfId="531" dataCellStyle="Currency"/>
    <tableColumn id="9" xr3:uid="{2455B639-97FC-45D3-8875-39C78012192D}" name="Item Cost of Production" dataDxfId="530" totalsRowDxfId="529" dataCellStyle="Currency"/>
    <tableColumn id="10" xr3:uid="{05E1CAFC-6548-47C5-B96D-93B167897541}" name="% of Sales Mix" dataDxfId="528" totalsRowDxfId="527">
      <calculatedColumnFormula>IFERROR(H42/$H$72,0)</calculatedColumnFormula>
    </tableColumn>
    <tableColumn id="11" xr3:uid="{F0D94EE8-D3E4-47BA-89AE-273BEFAD1606}" name="Item Gross Profit" dataDxfId="526" totalsRowDxfId="525" dataCellStyle="Currency"/>
    <tableColumn id="12" xr3:uid="{5A284B94-D880-4751-BA31-90E820F3D3C9}" name="Item Allocated fixed costs (based on % of sales mix)" dataDxfId="524" totalsRowDxfId="523" dataCellStyle="Currency"/>
    <tableColumn id="13" xr3:uid="{BF1A2810-1CA1-4458-963A-473EFCB99135}" name="Item Net Profit" dataDxfId="522" totalsRowDxfId="521" dataCellStyle="Currency"/>
    <tableColumn id="14" xr3:uid="{7E22EEAE-5E37-459A-B67B-DFAB73851DA2}" name="BEP In Amounts" dataDxfId="520" totalsRowDxfId="519" dataCellStyle="Currency"/>
    <tableColumn id="15" xr3:uid="{B7BC2920-A6E6-4670-A654-A520E3093575}" name="BEP Quantity" dataDxfId="518" totalsRowDxfId="517" dataCellStyle="Currency"/>
    <tableColumn id="16" xr3:uid="{E1757273-95A5-4A87-A789-20C8FB9B0EE9}" name="Column2" dataDxfId="516" totalsRowDxfId="515" dataCellStyle="Currency"/>
    <tableColumn id="17" xr3:uid="{A870A8E5-61F7-42B2-8062-729FB89EDBD9}" name="Validation" dataDxfId="514" totalsRowDxfId="513" dataCellStyle="Currency"/>
  </tableColumns>
  <tableStyleInfo name="TableStyleMedium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B0BE8B-D09D-4969-A746-CC826EB111E7}" name="Table823" displayName="Table823" ref="A76:Q107" totalsRowShown="0" headerRowDxfId="512" dataDxfId="510" totalsRowDxfId="508" headerRowBorderDxfId="511" tableBorderDxfId="509">
  <autoFilter ref="A76:Q107" xr:uid="{F1887DCD-A5AC-48D1-8CA8-D7F8FD475D91}"/>
  <tableColumns count="17">
    <tableColumn id="1" xr3:uid="{ACC6CDE3-3620-4AA4-BF51-45708AB9F429}" name="Item Name" dataDxfId="507" totalsRowDxfId="506">
      <calculatedColumnFormula>'Summary. Assumptions. Inputs'!A46</calculatedColumnFormula>
    </tableColumn>
    <tableColumn id="2" xr3:uid="{8BA5E8A5-3637-40D9-A870-644DBE4FF802}" name="Unit Sales Price" dataDxfId="505" totalsRowDxfId="504" dataCellStyle="Currency"/>
    <tableColumn id="3" xr3:uid="{DB435866-3E92-4201-BD3C-7FEB55A40A35}" name="Unit Direct Cost" dataDxfId="503" totalsRowDxfId="502" dataCellStyle="Currency"/>
    <tableColumn id="4" xr3:uid="{5CA49FF3-CB37-4E52-99C0-DE32508BBAB9}" name="Unit Profit Margin" dataDxfId="501" totalsRowDxfId="500" dataCellStyle="Currency"/>
    <tableColumn id="5" xr3:uid="{20A901B8-8736-4843-ACAD-A663250FE5C5}" name="% of profit Margin" dataDxfId="499">
      <calculatedColumnFormula>IFERROR('BEP. &amp; Summary Results'!$D77/'BEP. &amp; Summary Results'!$B77,"")</calculatedColumnFormula>
    </tableColumn>
    <tableColumn id="6" xr3:uid="{D8284BB1-3EA7-41F1-90E5-68EB54E726D1}" name="Projected # of Items sold" dataDxfId="498" totalsRowDxfId="497" dataCellStyle="Currency"/>
    <tableColumn id="7" xr3:uid="{C87B6F4C-1689-41B2-BDFF-3A7CE741979F}" name="Column1" dataDxfId="496" totalsRowDxfId="495" dataCellStyle="Currency"/>
    <tableColumn id="8" xr3:uid="{066E3B90-CB2A-4795-8B07-6A644A187656}" name="Item Sales Volume" dataDxfId="494" totalsRowDxfId="493" dataCellStyle="Currency"/>
    <tableColumn id="9" xr3:uid="{D75D6DFD-AAF0-4BDC-8FD9-2D4EE3FA64FF}" name="Item Cost of Production" dataDxfId="492" totalsRowDxfId="491" dataCellStyle="Currency"/>
    <tableColumn id="10" xr3:uid="{81D673F2-7019-4EFD-9948-5D3AA03886CA}" name="% of Sales Mix" dataDxfId="490" totalsRowDxfId="489">
      <calculatedColumnFormula>IFERROR(H77/$H$107,0)</calculatedColumnFormula>
    </tableColumn>
    <tableColumn id="11" xr3:uid="{0F6E39D4-D041-4E6B-AD69-11748EEAD237}" name="Item Gross Profit" dataDxfId="488" totalsRowDxfId="487" dataCellStyle="Currency"/>
    <tableColumn id="12" xr3:uid="{F36A7989-4031-4259-A525-A13DDD58BC66}" name="Item Allocated fixed costs (based on % of sales mix)" dataDxfId="486" totalsRowDxfId="485" dataCellStyle="Currency"/>
    <tableColumn id="13" xr3:uid="{7A1C4BF5-D5D8-4ECB-AED7-7A7A94DD9852}" name="Item Net Profit" dataDxfId="484" totalsRowDxfId="483" dataCellStyle="Currency"/>
    <tableColumn id="14" xr3:uid="{9B00C368-E46D-477B-A5FC-A5D186936061}" name="BEP In Amounts" dataDxfId="482" totalsRowDxfId="481" dataCellStyle="Currency"/>
    <tableColumn id="15" xr3:uid="{4D69B412-70B4-4155-A65F-E10AF9DE6B54}" name="BEP Quantity" dataDxfId="480" totalsRowDxfId="479" dataCellStyle="Currency"/>
    <tableColumn id="16" xr3:uid="{33D3C16C-013B-4D88-90D3-F2697F9D90BE}" name="Column2" dataDxfId="478" totalsRowDxfId="477" dataCellStyle="Currency"/>
    <tableColumn id="17" xr3:uid="{265F5DE9-E209-454E-ACFB-A4B2451A2B3B}" name="Validation" dataDxfId="476" totalsRowDxfId="475" dataCellStyle="Currency"/>
  </tableColumns>
  <tableStyleInfo name="TableStyleMedium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9E7D23D-AA17-43C0-BD5B-49C75FEAD726}" name="Table5" displayName="Table5" ref="A4:K38" totalsRowCount="1" headerRowDxfId="474" dataDxfId="473" totalsRowDxfId="472">
  <autoFilter ref="A4:K37" xr:uid="{F44ED91A-5322-4714-8D79-29248B24B9CA}"/>
  <tableColumns count="11">
    <tableColumn id="1" xr3:uid="{9183FF80-DB7D-4B8F-8F25-B21FA1E38429}" name="Item" totalsRowLabel="Total" dataDxfId="471" totalsRowDxfId="470"/>
    <tableColumn id="8" xr3:uid="{2A62C778-BF24-4634-824B-2DD780816B8B}" name="Source of Finance" dataDxfId="469" totalsRowDxfId="468"/>
    <tableColumn id="11" xr3:uid="{3B4E9FAC-5DBD-447B-8957-B3A3A47A5E61}" name="Type of Fixed Asset" dataDxfId="467" totalsRowDxfId="466"/>
    <tableColumn id="6" xr3:uid="{03FB101C-1B48-4311-9D22-3997814B2443}" name="Description" dataDxfId="465" totalsRowDxfId="464"/>
    <tableColumn id="2" xr3:uid="{E85B3178-8259-4B27-A01B-9B15C45ACE4C}" name="Quantity" dataDxfId="463" totalsRowDxfId="462"/>
    <tableColumn id="7" xr3:uid="{F55C5E27-003D-4AEF-AD15-622440696B80}" name="Cost in ILS" dataDxfId="461" totalsRowDxfId="460"/>
    <tableColumn id="3" xr3:uid="{D3C21353-9655-4D4B-8C1E-59D4A66C69FE}" name="Total Cost in ILS" totalsRowFunction="sum" dataDxfId="459" totalsRowDxfId="458">
      <calculatedColumnFormula>Table5[[#This Row],[Cost in ILS]]*Table5[[#This Row],[Quantity]]</calculatedColumnFormula>
    </tableColumn>
    <tableColumn id="4" xr3:uid="{8E63A2AB-92F7-4280-B0E0-738C06FDAF33}" name="Total Cost in study Currency" totalsRowFunction="sum" dataDxfId="457" totalsRowDxfId="456">
      <calculatedColumnFormula>Table5[[#This Row],[Total Cost in ILS]]/FX_RATE</calculatedColumnFormula>
    </tableColumn>
    <tableColumn id="9" xr3:uid="{1A810972-C16C-43FD-A491-A8AB8FE74003}" name="Depreciation Rate" dataDxfId="455" totalsRowDxfId="454"/>
    <tableColumn id="10" xr3:uid="{53C08E8D-EA20-461A-B130-FDCE56F064F0}" name="Annual Depreciation" totalsRowFunction="sum" dataDxfId="453" totalsRowDxfId="452">
      <calculatedColumnFormula>Table5[[#This Row],[Total Cost in study Currency]]*Table5[[#This Row],[Depreciation Rate]]</calculatedColumnFormula>
    </tableColumn>
    <tableColumn id="5" xr3:uid="{DC18A3D8-5301-46E4-8A54-CBA76B3938F6}" name="Notes" dataDxfId="451" totalsRowDxfId="450"/>
  </tableColumns>
  <tableStyleInfo name="TableStyleMedium18"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2BF58A1-3FAC-4330-84EE-A956D25544CD}" name="Table514" displayName="Table514" ref="A48:K81" totalsRowCount="1" headerRowDxfId="449" dataDxfId="448" totalsRowDxfId="447">
  <autoFilter ref="A48:K80" xr:uid="{E2BF58A1-3FAC-4330-84EE-A956D25544CD}"/>
  <tableColumns count="11">
    <tableColumn id="1" xr3:uid="{279D2CE1-A6BA-4DB9-A01D-1F434087EFDE}" name="Item" totalsRowLabel="Total" dataDxfId="446" totalsRowDxfId="445">
      <calculatedColumnFormula>A5</calculatedColumnFormula>
    </tableColumn>
    <tableColumn id="8" xr3:uid="{4C6BC9C5-8E2B-4956-8648-A8CA622BACAF}" name="Source of Finance" dataDxfId="444" totalsRowDxfId="443"/>
    <tableColumn id="11" xr3:uid="{4561A9C0-F4A6-4EAC-8660-E29FF4CE6ED3}" name="Type of Fixed Asset" dataDxfId="442" totalsRowDxfId="441"/>
    <tableColumn id="6" xr3:uid="{A9F36C0F-89B2-4218-B131-9790D3D9DF51}" name="Description" dataDxfId="440" totalsRowDxfId="439"/>
    <tableColumn id="2" xr3:uid="{59043AF1-4234-4AFF-9760-97FF0D1F2FDF}" name="Quantity" dataDxfId="438" totalsRowDxfId="437"/>
    <tableColumn id="7" xr3:uid="{B2D8DE5F-A275-444B-A1D2-125B0022993F}" name="Cost in ILS" dataDxfId="436" totalsRowDxfId="435"/>
    <tableColumn id="3" xr3:uid="{0CA3FBD5-F508-4338-ADC4-2D87BE7DC549}" name="Total Cost in ILS" totalsRowFunction="sum" dataDxfId="434" totalsRowDxfId="433"/>
    <tableColumn id="4" xr3:uid="{4D0F4E1A-B564-4901-9AC6-331EA2DA186C}" name="Total Cost in study Currency" totalsRowFunction="sum" dataDxfId="432" totalsRowDxfId="431">
      <calculatedColumnFormula>Table514[[#This Row],[Total Cost in ILS]]/FX_RATE</calculatedColumnFormula>
    </tableColumn>
    <tableColumn id="9" xr3:uid="{971E2618-C7DA-4BF7-A098-C2A0FCA8DAA3}" name="Depreciation Rate" dataDxfId="430" totalsRowDxfId="429"/>
    <tableColumn id="10" xr3:uid="{DE75B13D-EA27-45C4-9C0D-A3E578026FA2}" name="Annual Depreciation" totalsRowFunction="sum" dataDxfId="428" totalsRowDxfId="427">
      <calculatedColumnFormula>Table514[[#This Row],[Total Cost in study Currency]]*Table514[[#This Row],[Depreciation Rate]]</calculatedColumnFormula>
    </tableColumn>
    <tableColumn id="5" xr3:uid="{9746493D-9C05-40E3-B62E-D2F683901B65}" name="Notes" dataDxfId="426" totalsRowDxfId="425"/>
  </tableColumns>
  <tableStyleInfo name="TableStyleMedium18"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0AEE753-1466-44D9-9F9D-AB5263A67267}" name="Table51419" displayName="Table51419" ref="A91:K124" totalsRowCount="1" headerRowDxfId="424" dataDxfId="423" totalsRowDxfId="422">
  <tableColumns count="11">
    <tableColumn id="1" xr3:uid="{F6682C46-C35F-4A6F-8997-B985F9E09943}" name="Item" totalsRowLabel="Total" dataDxfId="421" totalsRowDxfId="420">
      <calculatedColumnFormula>A5</calculatedColumnFormula>
    </tableColumn>
    <tableColumn id="8" xr3:uid="{46E75A97-09DC-4A75-AA9A-6865228CFA7A}" name="Source of Finance" dataDxfId="419" totalsRowDxfId="418"/>
    <tableColumn id="11" xr3:uid="{B6319E38-ACB2-4F50-A51C-67C532F6D20B}" name="Type of Fixed Asset" dataDxfId="417" totalsRowDxfId="416"/>
    <tableColumn id="6" xr3:uid="{EDF22E91-F421-4184-9A7F-52391A4DBCF8}" name="Description" dataDxfId="415" totalsRowDxfId="414">
      <calculatedColumnFormula>D5</calculatedColumnFormula>
    </tableColumn>
    <tableColumn id="2" xr3:uid="{DB84E1B5-CC95-4119-8F23-6CB6C0D73BD2}" name="Quantity" dataDxfId="413" totalsRowDxfId="412">
      <calculatedColumnFormula>E5</calculatedColumnFormula>
    </tableColumn>
    <tableColumn id="7" xr3:uid="{E7EC2319-9B0F-4402-8379-9CF6C33A3902}" name="Cost in ILS" dataDxfId="411" totalsRowDxfId="410">
      <calculatedColumnFormula>F5</calculatedColumnFormula>
    </tableColumn>
    <tableColumn id="3" xr3:uid="{DE5CCB40-509E-47DF-BF61-F95E37A3ADAD}" name="Total Cost in ILS" totalsRowFunction="sum" dataDxfId="409" totalsRowDxfId="408">
      <calculatedColumnFormula>Table51419[[#This Row],[Quantity]]*Table51419[[#This Row],[Cost in ILS]]</calculatedColumnFormula>
    </tableColumn>
    <tableColumn id="4" xr3:uid="{C46E1F19-BD46-49B4-9F15-3041FAD6816D}" name="Total Cost in study Currency" totalsRowFunction="sum" dataDxfId="407" totalsRowDxfId="406">
      <calculatedColumnFormula>Table51419[[#This Row],[Total Cost in ILS]]/FX_RATE</calculatedColumnFormula>
    </tableColumn>
    <tableColumn id="9" xr3:uid="{D57E2D1F-BA0E-4D4D-AB59-3B1C07023756}" name="Depreciation Rate" dataDxfId="405" totalsRowDxfId="404">
      <calculatedColumnFormula>I5</calculatedColumnFormula>
    </tableColumn>
    <tableColumn id="10" xr3:uid="{BB1BA961-69C4-4F45-B8F0-088745693CC9}" name="Annual Depreciation" totalsRowFunction="sum" dataDxfId="403" totalsRowDxfId="402">
      <calculatedColumnFormula>Table51419[[#This Row],[Total Cost in study Currency]]*Table51419[[#This Row],[Depreciation Rate]]</calculatedColumnFormula>
    </tableColumn>
    <tableColumn id="5" xr3:uid="{36492E68-8DC0-4DC4-9B96-02217207BF2F}" name="Notes" dataDxfId="401" totalsRowDxfId="400"/>
  </tableColumns>
  <tableStyleInfo name="TableStyleMedium18"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8EAF6A5-39B7-4F75-8E2B-761F3F995916}" name="Table7" displayName="Table7" ref="A54:AP85" totalsRowCount="1" headerRowDxfId="399" dataDxfId="398" totalsRowDxfId="397">
  <autoFilter ref="A54:AP84" xr:uid="{A9D541DB-BBBA-4ECA-951B-97074905046D}">
    <filterColumn colId="0">
      <customFilters>
        <customFilter operator="notEqual" val=" "/>
      </customFilters>
    </filterColumn>
  </autoFilter>
  <tableColumns count="42">
    <tableColumn id="1" xr3:uid="{24E948AD-7DC3-4077-BC45-06F5763533E3}" name="Products" totalsRowLabel="Total" dataDxfId="396" totalsRowDxfId="395">
      <calculatedColumnFormula>'Summary. Assumptions. Inputs'!A46</calculatedColumnFormula>
    </tableColumn>
    <tableColumn id="16" xr3:uid="{D3C4F3F2-66DD-45EB-AA24-88319B6F69C6}" name="Unit" totalsRowFunction="count" dataDxfId="394" totalsRowDxfId="393">
      <calculatedColumnFormula>'Summary. Assumptions. Inputs'!B46</calculatedColumnFormula>
    </tableColumn>
    <tableColumn id="2" xr3:uid="{4EF6F1F6-CC41-495B-BA3D-E2EBBF0C3813}" name="Pre-Operation" dataDxfId="392" totalsRowDxfId="391">
      <calculatedColumnFormula>D19</calculatedColumnFormula>
    </tableColumn>
    <tableColumn id="3" xr3:uid="{00A7AA2E-3783-4F1F-B497-8815C26BB018}" name="Year 1_x000a_Month 1" dataDxfId="390" totalsRowDxfId="389">
      <calculatedColumnFormula>E19</calculatedColumnFormula>
    </tableColumn>
    <tableColumn id="4" xr3:uid="{21701786-604D-411E-85CA-7B831ED73225}" name="Year 1_x000a_Month 2" dataDxfId="388" totalsRowDxfId="387">
      <calculatedColumnFormula>F19</calculatedColumnFormula>
    </tableColumn>
    <tableColumn id="5" xr3:uid="{A5860743-C8B0-4090-9109-FE01DFE8EE21}" name="Year 1_x000a_Month 3" dataDxfId="386" totalsRowDxfId="385">
      <calculatedColumnFormula>G19</calculatedColumnFormula>
    </tableColumn>
    <tableColumn id="6" xr3:uid="{5507EB8E-E6AB-4521-87DF-D9A7F3E89454}" name="Year 1_x000a_Month 4" dataDxfId="384" totalsRowDxfId="383">
      <calculatedColumnFormula>H19</calculatedColumnFormula>
    </tableColumn>
    <tableColumn id="7" xr3:uid="{C669A8F2-9EF6-4D42-9CF6-DA6FB56EFCFE}" name="Year 1_x000a_Month 5" dataDxfId="382" totalsRowDxfId="381">
      <calculatedColumnFormula>I19</calculatedColumnFormula>
    </tableColumn>
    <tableColumn id="8" xr3:uid="{8BC8494E-BE05-4358-A11F-693CAB6F5C92}" name="Year 1_x000a_Month 6" dataDxfId="380" totalsRowDxfId="379">
      <calculatedColumnFormula>J19</calculatedColumnFormula>
    </tableColumn>
    <tableColumn id="9" xr3:uid="{A0F7A59E-4F27-4C73-8BF3-66CB7F08552D}" name="Year 1_x000a_Month 7" dataDxfId="378" totalsRowDxfId="377">
      <calculatedColumnFormula>K19</calculatedColumnFormula>
    </tableColumn>
    <tableColumn id="10" xr3:uid="{DF9176EA-A301-449A-BF80-4596FEB30AA5}" name="Year 1_x000a_Month 8" dataDxfId="376" totalsRowDxfId="375">
      <calculatedColumnFormula>L19</calculatedColumnFormula>
    </tableColumn>
    <tableColumn id="11" xr3:uid="{C3720A74-4AB6-4ADE-AD2E-603AD02B284E}" name="Year 1_x000a_Month 9" dataDxfId="374" totalsRowDxfId="373">
      <calculatedColumnFormula>M19</calculatedColumnFormula>
    </tableColumn>
    <tableColumn id="12" xr3:uid="{170A14B9-55C8-4F0A-B897-9BF5EBCD8AD7}" name="Year 1_x000a_Month 10" dataDxfId="372" totalsRowDxfId="371">
      <calculatedColumnFormula>N19</calculatedColumnFormula>
    </tableColumn>
    <tableColumn id="13" xr3:uid="{00208B29-FD65-4E9D-A96D-07FF4CF0C40E}" name="Year 1_x000a_Month 11" dataDxfId="370" totalsRowDxfId="369">
      <calculatedColumnFormula>O19</calculatedColumnFormula>
    </tableColumn>
    <tableColumn id="14" xr3:uid="{32DC92F7-D5AA-443C-BE8F-CB1E6FB638DE}" name="Year 1_x000a_Month 12" dataDxfId="368" totalsRowDxfId="367">
      <calculatedColumnFormula>#REF!</calculatedColumnFormula>
    </tableColumn>
    <tableColumn id="15" xr3:uid="{72E43954-A38E-49D6-9343-8AD22D105150}" name="Produce Quantities for 1st Year" dataDxfId="366" totalsRowDxfId="365">
      <calculatedColumnFormula>SUM(C55:O55)</calculatedColumnFormula>
    </tableColumn>
    <tableColumn id="17" xr3:uid="{2B21B451-895D-474B-8C28-D3C3BBAE35EB}" name="Year 2_x000a_Month 1" dataDxfId="364" totalsRowDxfId="363">
      <calculatedColumnFormula>R19</calculatedColumnFormula>
    </tableColumn>
    <tableColumn id="18" xr3:uid="{4EDA7BC1-1806-4FE3-BEB9-E935B79EBAAD}" name="Year 2_x000a_Month 2" dataDxfId="362" totalsRowDxfId="361">
      <calculatedColumnFormula>S19</calculatedColumnFormula>
    </tableColumn>
    <tableColumn id="19" xr3:uid="{50F18F78-7A80-455F-BE77-24EAB6FEB957}" name="Year 2_x000a_Month 3" dataDxfId="360" totalsRowDxfId="359">
      <calculatedColumnFormula>T19</calculatedColumnFormula>
    </tableColumn>
    <tableColumn id="20" xr3:uid="{EDA5F24D-DB04-40D3-AC6E-6C9D28FF7A20}" name="Year 2_x000a_Month 4" dataDxfId="358" totalsRowDxfId="357">
      <calculatedColumnFormula>U19</calculatedColumnFormula>
    </tableColumn>
    <tableColumn id="21" xr3:uid="{6C2D3308-9A74-4CEC-BE49-392508FE8001}" name="Year 2_x000a_Month 5" dataDxfId="356" totalsRowDxfId="355">
      <calculatedColumnFormula>V19</calculatedColumnFormula>
    </tableColumn>
    <tableColumn id="22" xr3:uid="{45F8E175-40D0-4FD6-BF84-DC8E65C7780D}" name="Year 2_x000a_Month 6" dataDxfId="354" totalsRowDxfId="353">
      <calculatedColumnFormula>W19</calculatedColumnFormula>
    </tableColumn>
    <tableColumn id="23" xr3:uid="{104384D3-CCF4-4CF5-A3E4-8A3355DADBA5}" name="Year 2_x000a_Month 7" dataDxfId="352" totalsRowDxfId="351">
      <calculatedColumnFormula>X19</calculatedColumnFormula>
    </tableColumn>
    <tableColumn id="24" xr3:uid="{A8DC947B-40F9-453B-8014-76F1C4623AF9}" name="Year 2_x000a_Month 8" dataDxfId="350" totalsRowDxfId="349">
      <calculatedColumnFormula>Y19</calculatedColumnFormula>
    </tableColumn>
    <tableColumn id="25" xr3:uid="{FE3EF79F-B4E2-4FCF-BA04-A1BCE79E8776}" name="Year 2_x000a_Month 9" dataDxfId="348" totalsRowDxfId="347">
      <calculatedColumnFormula>Z19</calculatedColumnFormula>
    </tableColumn>
    <tableColumn id="26" xr3:uid="{CC807297-974E-4B89-80C6-B8FE56D0E490}" name="Year 2_x000a_Month 10" dataDxfId="346" totalsRowDxfId="345">
      <calculatedColumnFormula>AA19</calculatedColumnFormula>
    </tableColumn>
    <tableColumn id="27" xr3:uid="{3AFCAE8D-8EBF-4125-A861-DC8F6648BB8D}" name="Year 2_x000a_Month 11" dataDxfId="344" totalsRowDxfId="343">
      <calculatedColumnFormula>AB19</calculatedColumnFormula>
    </tableColumn>
    <tableColumn id="28" xr3:uid="{3EFA212C-D4A1-42FF-B9D2-D9F1B8BBD34B}" name="Year 2_x000a_Month 12" dataDxfId="342" totalsRowDxfId="341"/>
    <tableColumn id="29" xr3:uid="{BFEC6392-9E41-4E88-8CDC-C8955DD5E154}" name="Produce Quantities for 2nd Year" dataDxfId="340" totalsRowDxfId="339">
      <calculatedColumnFormula>SUM(Q55:AB55)</calculatedColumnFormula>
    </tableColumn>
    <tableColumn id="30" xr3:uid="{94A90AC5-645E-4A49-B195-93743405DB99}" name="Year 3_x000a_Month 1" dataDxfId="338" totalsRowDxfId="337">
      <calculatedColumnFormula>AE19</calculatedColumnFormula>
    </tableColumn>
    <tableColumn id="31" xr3:uid="{C5612DC3-971C-41D0-85B4-9123BD02A5ED}" name="Year 3_x000a_Month 2" dataDxfId="336" totalsRowDxfId="335">
      <calculatedColumnFormula>AF19</calculatedColumnFormula>
    </tableColumn>
    <tableColumn id="32" xr3:uid="{FF9CB678-6AC5-4179-B908-C8BA76C36C38}" name="Year 3_x000a_Month 3" dataDxfId="334" totalsRowDxfId="333">
      <calculatedColumnFormula>AG19</calculatedColumnFormula>
    </tableColumn>
    <tableColumn id="33" xr3:uid="{72E4498A-BAA7-4C12-984E-6C3B522004EE}" name="Year 3_x000a_Month 4" dataDxfId="332" totalsRowDxfId="331">
      <calculatedColumnFormula>AH19</calculatedColumnFormula>
    </tableColumn>
    <tableColumn id="34" xr3:uid="{4EC79D62-F0D2-4275-9DAD-6AA1210FADB2}" name="Year 3_x000a_Month 5" dataDxfId="330" totalsRowDxfId="329">
      <calculatedColumnFormula>AI19</calculatedColumnFormula>
    </tableColumn>
    <tableColumn id="35" xr3:uid="{D680116E-8F3A-474B-9BB1-1070CD5E8810}" name="Year 3_x000a_Month 6" dataDxfId="328" totalsRowDxfId="327">
      <calculatedColumnFormula>AJ19</calculatedColumnFormula>
    </tableColumn>
    <tableColumn id="36" xr3:uid="{6880630D-9B73-4615-A355-0D541CF55AE9}" name="Year 3_x000a_Month 7" dataDxfId="326" totalsRowDxfId="325">
      <calculatedColumnFormula>AK19</calculatedColumnFormula>
    </tableColumn>
    <tableColumn id="37" xr3:uid="{5E533BFB-7594-40AB-B54D-EEFE808B1746}" name="Year 3_x000a_Month 8" dataDxfId="324" totalsRowDxfId="323">
      <calculatedColumnFormula>AL19</calculatedColumnFormula>
    </tableColumn>
    <tableColumn id="38" xr3:uid="{AB6906BD-865B-4D09-9859-E53A666CB9B7}" name="Year 3_x000a_Month 9" dataDxfId="322" totalsRowDxfId="321">
      <calculatedColumnFormula>AM19</calculatedColumnFormula>
    </tableColumn>
    <tableColumn id="39" xr3:uid="{2DD6AB21-8188-4174-941F-6525354ACE7A}" name="Year 3_x000a_Month 10" dataDxfId="320" totalsRowDxfId="319">
      <calculatedColumnFormula>AN19</calculatedColumnFormula>
    </tableColumn>
    <tableColumn id="40" xr3:uid="{FFAA8C29-797F-4055-A8D7-7DA098EAADB8}" name="Year 3_x000a_Month 11" dataDxfId="318" totalsRowDxfId="317">
      <calculatedColumnFormula>AO19</calculatedColumnFormula>
    </tableColumn>
    <tableColumn id="41" xr3:uid="{F199A0D1-2809-4FD5-A85C-822820004B2C}" name="Year 3_x000a_Month 12" dataDxfId="316" totalsRowDxfId="315"/>
    <tableColumn id="42" xr3:uid="{09F7121E-04C7-49B6-A96B-7C81DF82EA6E}" name="Produce Quantities for 3rd Year" dataDxfId="314" totalsRowDxfId="313">
      <calculatedColumnFormula>SUM(AD55:AO55)</calculatedColumnFormula>
    </tableColumn>
  </tableColumns>
  <tableStyleInfo name="TableStyleMedium20"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C794EEE9-326A-48FF-BB11-798216A0F516}" name="Table154" displayName="Table154" ref="AQ54:BP84" totalsRowShown="0" headerRowDxfId="312" dataDxfId="311">
  <autoFilter ref="AQ54:BP84" xr:uid="{FA8C852F-D568-468B-A675-6527C1599EC2}"/>
  <tableColumns count="26">
    <tableColumn id="1" xr3:uid="{0D3EBE41-494D-486E-B950-781FE1C74174}" name="Year 4_x000a_Month 1" dataDxfId="310">
      <calculatedColumnFormula>AR19</calculatedColumnFormula>
    </tableColumn>
    <tableColumn id="2" xr3:uid="{87F2478A-7FFB-4840-BACB-6CE49ACD155D}" name="Year 4_x000a_Month 2" dataDxfId="309">
      <calculatedColumnFormula>AS19</calculatedColumnFormula>
    </tableColumn>
    <tableColumn id="3" xr3:uid="{5C484C73-3FAB-4C17-A6FC-4E5E43AF0D41}" name="Year 4_x000a_Month 3" dataDxfId="308">
      <calculatedColumnFormula>AT19</calculatedColumnFormula>
    </tableColumn>
    <tableColumn id="4" xr3:uid="{18ABF429-451F-4A4E-993B-7E21AF860222}" name="Year 4_x000a_Month 4" dataDxfId="307">
      <calculatedColumnFormula>AU19</calculatedColumnFormula>
    </tableColumn>
    <tableColumn id="5" xr3:uid="{54B0C4CC-5EFD-4F99-9C53-4872BE44F10E}" name="Year 4_x000a_Month 5" dataDxfId="306">
      <calculatedColumnFormula>AV19</calculatedColumnFormula>
    </tableColumn>
    <tableColumn id="6" xr3:uid="{9598A814-64DD-4E7B-B99C-B3A71E515DB7}" name="Year 4_x000a_Month 6" dataDxfId="305">
      <calculatedColumnFormula>AW19</calculatedColumnFormula>
    </tableColumn>
    <tableColumn id="7" xr3:uid="{BCE22053-773A-45E1-BC43-79841E491F91}" name="Year 4_x000a_Month 7" dataDxfId="304">
      <calculatedColumnFormula>AX19</calculatedColumnFormula>
    </tableColumn>
    <tableColumn id="8" xr3:uid="{FBDD634E-AF09-402B-967B-7ACAF7C23A05}" name="Year 4_x000a_Month 8" dataDxfId="303">
      <calculatedColumnFormula>AY19</calculatedColumnFormula>
    </tableColumn>
    <tableColumn id="9" xr3:uid="{3B0B1D44-16B9-48DE-A658-868E09C41792}" name="Year 4_x000a_Month 9" dataDxfId="302">
      <calculatedColumnFormula>AZ19</calculatedColumnFormula>
    </tableColumn>
    <tableColumn id="10" xr3:uid="{1ECD2DE3-21EE-419B-B5CF-8DD1360FABF5}" name="Year 4_x000a_Month 10" dataDxfId="301">
      <calculatedColumnFormula>BA19</calculatedColumnFormula>
    </tableColumn>
    <tableColumn id="11" xr3:uid="{7B9BE5BB-CDC3-44B1-9FDA-BFCDF3DEB532}" name="Year 4_x000a_Month 11" dataDxfId="300">
      <calculatedColumnFormula>BB19</calculatedColumnFormula>
    </tableColumn>
    <tableColumn id="12" xr3:uid="{444539F3-3BED-40F1-935F-9C7CFAD76A4F}" name="Year 4_x000a_Month 12" dataDxfId="299"/>
    <tableColumn id="13" xr3:uid="{E47DB9C5-5DD4-46CF-9DA6-74629E735C57}" name="Produce Quantities for 4thYear" dataDxfId="298">
      <calculatedColumnFormula>SUM(AQ55:BB55)</calculatedColumnFormula>
    </tableColumn>
    <tableColumn id="14" xr3:uid="{7FDB3962-10E2-4898-9831-15E190FF13D5}" name="Year 5_x000a_Month 1" dataDxfId="297">
      <calculatedColumnFormula>BE19</calculatedColumnFormula>
    </tableColumn>
    <tableColumn id="15" xr3:uid="{6D48EA9B-8AC9-400F-9EF4-A4C5797B77BF}" name="Year 5_x000a_Month 2" dataDxfId="296">
      <calculatedColumnFormula>BF19</calculatedColumnFormula>
    </tableColumn>
    <tableColumn id="16" xr3:uid="{2D9071F6-0353-4821-A7BC-3BB6847CA103}" name="Year 5_x000a_Month 3" dataDxfId="295">
      <calculatedColumnFormula>BG19</calculatedColumnFormula>
    </tableColumn>
    <tableColumn id="17" xr3:uid="{3325E8F8-CE99-445F-AC7C-C04F0994F419}" name="Year 5_x000a_Month 4" dataDxfId="294">
      <calculatedColumnFormula>BH19</calculatedColumnFormula>
    </tableColumn>
    <tableColumn id="18" xr3:uid="{3336D6C0-5141-4CD4-9B81-A472D4506F6F}" name="Year 5_x000a_Month 5" dataDxfId="293">
      <calculatedColumnFormula>BI19</calculatedColumnFormula>
    </tableColumn>
    <tableColumn id="19" xr3:uid="{E1C87A58-02AA-4C34-8E6E-ADAD71C1CAB5}" name="Year 5_x000a_Month 6" dataDxfId="292">
      <calculatedColumnFormula>BJ19</calculatedColumnFormula>
    </tableColumn>
    <tableColumn id="20" xr3:uid="{1899C296-91C3-4D51-9C63-F29DD07517A6}" name="Year 5_x000a_Month 7" dataDxfId="291">
      <calculatedColumnFormula>BK19</calculatedColumnFormula>
    </tableColumn>
    <tableColumn id="21" xr3:uid="{6492815B-490D-4363-AD34-FAFAF40DE7B0}" name="Year 5_x000a_Month 8" dataDxfId="290">
      <calculatedColumnFormula>BL19</calculatedColumnFormula>
    </tableColumn>
    <tableColumn id="22" xr3:uid="{078E674B-F00C-4BBA-A6BB-539A2B7D538F}" name="Year 5_x000a_Month 9" dataDxfId="289">
      <calculatedColumnFormula>BM19</calculatedColumnFormula>
    </tableColumn>
    <tableColumn id="23" xr3:uid="{63F5D1DD-7EBF-405F-9357-2D34B2AF1328}" name="Year 5_x000a_Month 10" dataDxfId="288">
      <calculatedColumnFormula>BN19</calculatedColumnFormula>
    </tableColumn>
    <tableColumn id="24" xr3:uid="{4F5BBBF9-BE8D-41CF-B5EF-5DFE7E73CADA}" name="Year 5_x000a_Month 11" dataDxfId="287">
      <calculatedColumnFormula>BO19</calculatedColumnFormula>
    </tableColumn>
    <tableColumn id="25" xr3:uid="{6B60AE10-8823-4404-AD90-2E462410322D}" name="Year 5_x000a_Month 12" dataDxfId="286"/>
    <tableColumn id="26" xr3:uid="{6F3D182D-0AA7-4BE6-8A14-D67C66174130}" name="Produce Quantities for 5th Year" dataDxfId="285">
      <calculatedColumnFormula>SUM(BD55:BO55)</calculatedColumnFormula>
    </tableColumn>
  </tableColumns>
  <tableStyleInfo name="TableStyleLight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8CD8544B-AF67-4483-8CC9-8CA0FC517F27}" name="Table166" displayName="Table166" ref="BQ54:CP84" totalsRowShown="0" headerRowDxfId="284" dataDxfId="283">
  <autoFilter ref="BQ54:CP84" xr:uid="{7C8F360F-D3F5-4D30-9537-5E8E0CC21F4D}"/>
  <tableColumns count="26">
    <tableColumn id="1" xr3:uid="{94CD3EE0-9050-4637-9BF8-ABEC8258279D}" name="Year 6_x000a_Month 1" dataDxfId="282">
      <calculatedColumnFormula>BR19</calculatedColumnFormula>
    </tableColumn>
    <tableColumn id="2" xr3:uid="{454DF348-AEF1-4828-81CE-BF9ABFC0BF6D}" name="Year 6_x000a_Month 2" dataDxfId="281">
      <calculatedColumnFormula>BS19</calculatedColumnFormula>
    </tableColumn>
    <tableColumn id="3" xr3:uid="{4EB322BA-DD27-4F3A-976E-462A7FD96E2B}" name="Year 6_x000a_Month 3" dataDxfId="280">
      <calculatedColumnFormula>BT19</calculatedColumnFormula>
    </tableColumn>
    <tableColumn id="4" xr3:uid="{A95CE50C-3D75-41D3-8FCB-C2339B530614}" name="Year 6_x000a_Month 4" dataDxfId="279">
      <calculatedColumnFormula>BU19</calculatedColumnFormula>
    </tableColumn>
    <tableColumn id="5" xr3:uid="{0E714A0F-7763-4339-AB79-3487B632CA60}" name="Year 6_x000a_Month 5" dataDxfId="278">
      <calculatedColumnFormula>BV19</calculatedColumnFormula>
    </tableColumn>
    <tableColumn id="6" xr3:uid="{2104EA37-FC16-45AF-AABD-2114A8A89FC6}" name="Year 6_x000a_Month 6" dataDxfId="277">
      <calculatedColumnFormula>BW19</calculatedColumnFormula>
    </tableColumn>
    <tableColumn id="7" xr3:uid="{6F71167E-A7FE-4ACF-A3D6-6952A3082815}" name="Year 6_x000a_Month 7" dataDxfId="276">
      <calculatedColumnFormula>BX19</calculatedColumnFormula>
    </tableColumn>
    <tableColumn id="8" xr3:uid="{DDF987E3-6267-4AD4-BFD0-BD747515C599}" name="Year 6_x000a_Month 8" dataDxfId="275">
      <calculatedColumnFormula>BY19</calculatedColumnFormula>
    </tableColumn>
    <tableColumn id="9" xr3:uid="{CD0FB0C0-142B-42AD-B38C-B8A6940BC69C}" name="Year 6_x000a_Month 9" dataDxfId="274">
      <calculatedColumnFormula>BZ19</calculatedColumnFormula>
    </tableColumn>
    <tableColumn id="10" xr3:uid="{1F54A1F9-1F0B-455B-A938-D05584B74408}" name="Year 6_x000a_Month 10" dataDxfId="273">
      <calculatedColumnFormula>CA19</calculatedColumnFormula>
    </tableColumn>
    <tableColumn id="11" xr3:uid="{795535FD-826C-4DCB-876F-49A096F8EDE2}" name="Year 6_x000a_Month 11" dataDxfId="272">
      <calculatedColumnFormula>CB19</calculatedColumnFormula>
    </tableColumn>
    <tableColumn id="12" xr3:uid="{A2FD1CB6-E935-480A-9BC7-C9E87EAB35DF}" name="Year 6_x000a_Month 12" dataDxfId="271"/>
    <tableColumn id="13" xr3:uid="{57BB23E0-5B78-428E-AEDA-99AD6C3ABA05}" name="Produce Quantities for 6th Year" dataDxfId="270">
      <calculatedColumnFormula>SUM(BQ55:CB55)</calculatedColumnFormula>
    </tableColumn>
    <tableColumn id="14" xr3:uid="{9AA85122-9488-4D78-AC18-C09ABA95F8FB}" name="Year 7_x000a_Month 1" dataDxfId="269">
      <calculatedColumnFormula>CE19</calculatedColumnFormula>
    </tableColumn>
    <tableColumn id="15" xr3:uid="{D537FDDE-39ED-41AF-87BF-03ED7B98CEFD}" name="Year 7_x000a_Month 2" dataDxfId="268">
      <calculatedColumnFormula>CF19</calculatedColumnFormula>
    </tableColumn>
    <tableColumn id="16" xr3:uid="{F68EB75F-F3B7-405A-BE29-10915D4DC208}" name="Year 7_x000a_Month 3" dataDxfId="267">
      <calculatedColumnFormula>CG19</calculatedColumnFormula>
    </tableColumn>
    <tableColumn id="17" xr3:uid="{3EC97A01-4231-4387-8878-CAA05A74C115}" name="Year 7_x000a_Month 4" dataDxfId="266">
      <calculatedColumnFormula>CH19</calculatedColumnFormula>
    </tableColumn>
    <tableColumn id="18" xr3:uid="{7ECC5928-CC4F-40B5-9279-0499768855F0}" name="Year 7_x000a_Month 5" dataDxfId="265">
      <calculatedColumnFormula>CI19</calculatedColumnFormula>
    </tableColumn>
    <tableColumn id="19" xr3:uid="{A7FC4EFA-EB40-41ED-A10C-98D78F1D0D8D}" name="Year 7_x000a_Month 6" dataDxfId="264">
      <calculatedColumnFormula>CJ19</calculatedColumnFormula>
    </tableColumn>
    <tableColumn id="20" xr3:uid="{C061BB7E-59AD-4196-B7E0-3520DD171EE4}" name="Year 7_x000a_Month 7" dataDxfId="263">
      <calculatedColumnFormula>CK19</calculatedColumnFormula>
    </tableColumn>
    <tableColumn id="21" xr3:uid="{65ADC0D7-81E2-46E1-9D94-4E6029071DB9}" name="Year 7_x000a_Month 8" dataDxfId="262">
      <calculatedColumnFormula>CL19</calculatedColumnFormula>
    </tableColumn>
    <tableColumn id="22" xr3:uid="{B5B53389-F85E-49F9-9DFE-135A53D1A750}" name="Year 7_x000a_Month 9" dataDxfId="261">
      <calculatedColumnFormula>CM19</calculatedColumnFormula>
    </tableColumn>
    <tableColumn id="23" xr3:uid="{DF0045B4-3A8D-4555-9132-FBEC8939C29A}" name="Year 7_x000a_Month 10" dataDxfId="260">
      <calculatedColumnFormula>CN19</calculatedColumnFormula>
    </tableColumn>
    <tableColumn id="24" xr3:uid="{541D465C-F949-4D3E-82C5-E3F4037C9F58}" name="Year 7_x000a_Month 11" dataDxfId="259">
      <calculatedColumnFormula>CO19</calculatedColumnFormula>
    </tableColumn>
    <tableColumn id="25" xr3:uid="{B5380809-4131-40CB-8B0B-782073364AA8}" name="Year 7_x000a_Month 12" dataDxfId="258"/>
    <tableColumn id="26" xr3:uid="{9CE09CE4-C484-47F1-8131-D48E167DB551}" name="Produce Quantities for 7th Year" dataDxfId="257">
      <calculatedColumnFormula>SUM(CD55:CO55)</calculatedColumnFormula>
    </tableColumn>
  </tableColumns>
  <tableStyleInfo name="TableStyleLight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85B00DC2-C4E4-4223-9623-F63D7598BAE6}" name="Table167" displayName="Table167" ref="G3:H7" totalsRowCount="1" headerRowDxfId="256" dataDxfId="255" tableBorderDxfId="254">
  <autoFilter ref="G3:H6" xr:uid="{85B00DC2-C4E4-4223-9623-F63D7598BAE6}"/>
  <tableColumns count="2">
    <tableColumn id="1" xr3:uid="{77A9A364-E37C-462D-8660-2FFA82BCF700}" name="Type" totalsRowLabel="Total" dataDxfId="253" totalsRowDxfId="252"/>
    <tableColumn id="2" xr3:uid="{54BC29C0-A45C-41AA-AEE5-8885FF54879C}" name="Needed for each Donum (KG)" totalsRowFunction="sum" dataDxfId="251" totalsRowDxfId="250"/>
  </tableColumns>
  <tableStyleInfo name="TableStyleMedium2"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3457C37-5F58-4506-8288-D061EE9CD0F9}" name="Table21" displayName="Table21" ref="A4:L5" totalsRowShown="0" headerRowDxfId="249" dataDxfId="247" headerRowBorderDxfId="248" tableBorderDxfId="246" totalsRowBorderDxfId="245" dataCellStyle="Normal 2">
  <autoFilter ref="A4:L5" xr:uid="{8CA6EA86-DC3D-4909-A464-C1843909F2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4445A49-7359-49E4-9573-E316065553B8}" name="Product Name" dataDxfId="244" dataCellStyle="Normal 2"/>
    <tableColumn id="2" xr3:uid="{AAEBFFCA-62BD-4A4F-9415-F8B600102730}" name="Product Unit" dataDxfId="243" dataCellStyle="Normal 2">
      <calculatedColumnFormula>IFERROR(VLOOKUP(A5,Table17[#All],2,0),"")</calculatedColumnFormula>
    </tableColumn>
    <tableColumn id="3" xr3:uid="{FFB43BAD-6215-4E34-ACE7-29FCF49025F3}" name="Batch Unit" dataDxfId="242" dataCellStyle="Normal 2">
      <calculatedColumnFormula>IFERROR(VLOOKUP(Table21[[#This Row],[Product Name]],Table17[#All],3,0),"")</calculatedColumnFormula>
    </tableColumn>
    <tableColumn id="4" xr3:uid="{FD62FBD8-CDDA-4FF2-8ACD-5DEA358A9EF0}" name="No. of Units in One Batch" dataDxfId="241" dataCellStyle="Normal 2">
      <calculatedColumnFormula>IFERROR(VLOOKUP(Table21[[#This Row],[Product Name]],Table17[#All],4,0),"")</calculatedColumnFormula>
    </tableColumn>
    <tableColumn id="5" xr3:uid="{31C86234-0092-44C3-85CF-5465E37B9795}" name="Batch Direct Cost" dataDxfId="240" dataCellStyle="Normal 2">
      <calculatedColumnFormula>SUM(Table71[Cost of Raw Material Per Batch])</calculatedColumnFormula>
    </tableColumn>
    <tableColumn id="6" xr3:uid="{8FBFC894-FF14-41B1-80BB-4F860FCB9806}" name="Unit Sale Price" dataDxfId="239" dataCellStyle="Normal 2">
      <calculatedColumnFormula>IFERROR(VLOOKUP(A5,Table17[#All],6,0),0)</calculatedColumnFormula>
    </tableColumn>
    <tableColumn id="7" xr3:uid="{7AB84661-A66B-4868-9299-949C36ED6B23}" name="Currency" dataDxfId="238" dataCellStyle="Normal 2">
      <calculatedColumnFormula>'Summary. Assumptions. Inputs'!$J$7</calculatedColumnFormula>
    </tableColumn>
    <tableColumn id="8" xr3:uid="{6A2AB3D1-A520-4F25-9C51-5561CA229254}" name="Product Direct Cost / Unit" dataDxfId="237" dataCellStyle="Normal 2">
      <calculatedColumnFormula>SUBTOTAL(109,Table71[[#All],[Cost of Raw Material Per Unit]])</calculatedColumnFormula>
    </tableColumn>
    <tableColumn id="9" xr3:uid="{015C450D-4DCC-4753-940B-538A47F212C1}" name="Product Gross Profit / Unit" dataDxfId="236" dataCellStyle="Normal 2">
      <calculatedColumnFormula>Table21[[#This Row],[Unit Sale Price]]-Table21[[#This Row],[Product Direct Cost / Unit]]</calculatedColumnFormula>
    </tableColumn>
    <tableColumn id="10" xr3:uid="{5A757BBD-F0EB-4B35-9EE7-AC7587795328}" name="Product Fixed Cost / Unit" dataDxfId="235" dataCellStyle="Normal 2">
      <calculatedColumnFormula>IFERROR(($I8/$A8),"")</calculatedColumnFormula>
    </tableColumn>
    <tableColumn id="11" xr3:uid="{DDF69A4C-9993-4816-AB9D-FAAC9222CBFF}" name="Product Net Profit / Unit" dataDxfId="234" dataCellStyle="Normal 2">
      <calculatedColumnFormula>IFERROR((I5-J5),"")</calculatedColumnFormula>
    </tableColumn>
    <tableColumn id="12" xr3:uid="{61B0D6F4-C511-4DF6-82D6-21F1C4140D82}" name="% of Gross Profit" dataDxfId="233" dataCellStyle="Normal 2">
      <calculatedColumnFormula>IFERROR((F5-H5)/F5,"")</calculatedColumnFormula>
    </tableColumn>
  </tableColumns>
  <tableStyleInfo name="TableStyleMedium6"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1033F36-CE66-4DBB-A87C-D79BDA20B929}" name="Table23" displayName="Table23" ref="A7:K8" totalsRowShown="0" headerRowDxfId="232" dataDxfId="230" headerRowBorderDxfId="231" tableBorderDxfId="229" totalsRowBorderDxfId="228" headerRowCellStyle="Normal 2" dataCellStyle="Normal 2">
  <autoFilter ref="A7:K8" xr:uid="{E50CCD30-3287-469B-9555-9D7D8CC6A3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65F026E-3D38-4D99-9ADE-94942C88E22B}" name="No of Products Produced" dataDxfId="227" dataCellStyle="Normal 2">
      <calculatedColumnFormula>IFERROR(VLOOKUP(A5,Table7[#All],16,0),0)*Capacity</calculatedColumnFormula>
    </tableColumn>
    <tableColumn id="2" xr3:uid="{E8E7FE4B-B8B8-489A-9EFB-94A154C0D2E0}" name="No of Products Sold" dataDxfId="226" dataCellStyle="Normal 2">
      <calculatedColumnFormula>IFERROR(VLOOKUP(A5,'Sales, Production, &amp; Other Assu'!$A$18:$P$49,16,0),0)*Capacity</calculatedColumnFormula>
    </tableColumn>
    <tableColumn id="3" xr3:uid="{A81B8811-0D84-448C-90D2-B1E13278C30C}" name="Amount of Products in Stock" dataDxfId="225" dataCellStyle="Normal 2">
      <calculatedColumnFormula>IFERROR((A8-B8),0)</calculatedColumnFormula>
    </tableColumn>
    <tableColumn id="4" xr3:uid="{C1514AE1-7220-4384-9D01-6811283D4BCD}" name="Product Sales Volume" dataDxfId="224" dataCellStyle="Normal 2">
      <calculatedColumnFormula>B8*F5</calculatedColumnFormula>
    </tableColumn>
    <tableColumn id="5" xr3:uid="{AD2D191D-ABF6-4912-B659-9330A8EB05D1}" name="Product Production Direct Cost" dataDxfId="223" dataCellStyle="Normal 2">
      <calculatedColumnFormula>A8*H5</calculatedColumnFormula>
    </tableColumn>
    <tableColumn id="6" xr3:uid="{FD393643-D84E-438E-BF65-B4E829E871C4}" name="Product Stock Value" dataDxfId="222" dataCellStyle="Normal 2">
      <calculatedColumnFormula>C8*H5</calculatedColumnFormula>
    </tableColumn>
    <tableColumn id="7" xr3:uid="{435E572B-A1EF-41E3-B407-5B6050FC511C}" name="Product Gross Profit" dataDxfId="221" dataCellStyle="Normal 2">
      <calculatedColumnFormula>D8-E8+F8</calculatedColumnFormula>
    </tableColumn>
    <tableColumn id="8" xr3:uid="{3113C4F7-06D1-45C2-A5A1-7BCB695B499F}" name="Product Sales Mix (%)" dataDxfId="220">
      <calculatedColumnFormula>IFERROR(VLOOKUP(A5,'BEP. &amp; Summary Results'!$A$5:$Q$108,10,0),0)</calculatedColumnFormula>
    </tableColumn>
    <tableColumn id="9" xr3:uid="{DF1240F6-290A-4A94-B605-2DF5CB0EF588}" name="Fixed Cost Product Allocation " dataDxfId="219" dataCellStyle="Normal 2">
      <calculatedColumnFormula>'BEP. &amp; Summary Results'!$L$37*'Production Matrix'!$H8</calculatedColumnFormula>
    </tableColumn>
    <tableColumn id="10" xr3:uid="{A33D0E83-A6C9-4F46-9CE1-5ADEFA97E4EC}" name="Product Net Profit" dataDxfId="218" dataCellStyle="Normal 2">
      <calculatedColumnFormula>G8-I8</calculatedColumnFormula>
    </tableColumn>
    <tableColumn id="11" xr3:uid="{97222E7F-92F6-4687-BAFF-3AACC614F71E}" name="% of Net Profit" dataDxfId="217" dataCellStyle="Normal 2">
      <calculatedColumnFormula>IFERROR((K5)/F5,"")</calculatedColumnFormula>
    </tableColumn>
  </tableColumns>
  <tableStyleInfo name="TableStyleMedium4"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888BB56-330F-4048-B492-EE5209F48273}" name="Table24" displayName="Table24" ref="A10:B11" totalsRowShown="0" headerRowDxfId="216" dataDxfId="214" headerRowBorderDxfId="215" tableBorderDxfId="213" totalsRowBorderDxfId="212" headerRowCellStyle="Normal 2">
  <autoFilter ref="A10:B11" xr:uid="{9FB691A9-D979-42A9-826C-6A3FD79BAAB5}">
    <filterColumn colId="0" hiddenButton="1"/>
    <filterColumn colId="1" hiddenButton="1"/>
  </autoFilter>
  <tableColumns count="2">
    <tableColumn id="1" xr3:uid="{201B1483-91EB-462B-851D-BE874646F442}" name="BEP In Units" dataDxfId="211">
      <calculatedColumnFormula array="1">IFERROR(Table24[[#This Row],[BEP In Value]]/Table21[Batch Unit],0)</calculatedColumnFormula>
    </tableColumn>
    <tableColumn id="2" xr3:uid="{A3A92344-2DE2-41C6-9B05-38DE50D71B08}" name="BEP In Value" dataDxfId="210">
      <calculatedColumnFormula>IFERROR(($I8/$L5),"")</calculatedColumnFormula>
    </tableColumn>
  </tableColumns>
  <tableStyleInfo name="TableStyleLight1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E8E16EB7-A288-4542-AB1E-3ED55A3362F9}" name="Table71" displayName="Table71" ref="A14:L46" totalsRowShown="0" headerRowDxfId="209" dataDxfId="208">
  <autoFilter ref="A14:L46" xr:uid="{2FE6E292-5C1E-455D-8F7A-4A0D9857B223}">
    <filterColumn colId="0">
      <customFilters>
        <customFilter operator="notEqual" val=" "/>
      </customFilters>
    </filterColumn>
  </autoFilter>
  <tableColumns count="12">
    <tableColumn id="1" xr3:uid="{57428FBB-5E9B-48F1-8AA2-ADC2B1BF8FCB}" name="Material Name" dataDxfId="207"/>
    <tableColumn id="2" xr3:uid="{E1E95175-71E5-4086-8A61-4F7E946268C2}" name="Procurement Unit" dataDxfId="206">
      <calculatedColumnFormula>IFERROR(VLOOKUP($A15,Table16[#All],2,0),0)</calculatedColumnFormula>
    </tableColumn>
    <tableColumn id="3" xr3:uid="{15E4A6DC-49D1-41C3-BC07-3722AC459752}" name="Procurement Unit Price" dataDxfId="205" dataCellStyle="Comma">
      <calculatedColumnFormula>IFERROR(VLOOKUP($A15,Table16[#All],5,0),0)</calculatedColumnFormula>
    </tableColumn>
    <tableColumn id="4" xr3:uid="{20FC076C-0AF4-4DC4-80A6-48B04990D6BB}" name="Procurement to Production Fraction" dataDxfId="204"/>
    <tableColumn id="5" xr3:uid="{C41067EC-9499-4160-ABE8-D509CB7CAFA4}" name="Production Unit" dataDxfId="203"/>
    <tableColumn id="6" xr3:uid="{2A42E9EA-AAE4-4EF6-8F43-9B6513C6964B}" name="Production Unit Cost" dataDxfId="202">
      <calculatedColumnFormula>IFERROR(C15/D15,"")</calculatedColumnFormula>
    </tableColumn>
    <tableColumn id="12" xr3:uid="{1CE59F15-465B-43AD-B132-949FF888D636}" name="Batch Required Quantity using manufacturing unit (per unit)" dataDxfId="201"/>
    <tableColumn id="7" xr3:uid="{A3557A10-1293-41A6-8BCF-B25098FCEB52}" name="Product Required Quantity using manufacturing unit (per unit)" dataDxfId="200">
      <calculatedColumnFormula>IFERROR(Table71[[#This Row],[Batch Required Quantity using manufacturing unit (per unit)]]/Table21[No. of Units in One Batch],0)</calculatedColumnFormula>
    </tableColumn>
    <tableColumn id="8" xr3:uid="{1F0879FD-181D-4721-97EC-1A88F4A072ED}" name="Total quantity required (Procurement Unit)" dataDxfId="199">
      <calculatedColumnFormula>IFERROR(H15*Table23[No of Products Produced]/$D15,"")</calculatedColumnFormula>
    </tableColumn>
    <tableColumn id="9" xr3:uid="{2AD7487B-D6FD-40AC-A0DC-A602C2D02C6C}" name="Cost of Raw Material Per Unit" dataDxfId="198">
      <calculatedColumnFormula>IFERROR($H15*$F15,"")</calculatedColumnFormula>
    </tableColumn>
    <tableColumn id="10" xr3:uid="{D8ADD024-5C6E-4C71-8B83-FFA45A81227B}" name="Cost of Raw Material Per Batch" dataDxfId="197">
      <calculatedColumnFormula>IFERROR(Table71[[#This Row],[Cost of Raw Material Per Unit]]*Table21[No. of Units in One Batch],0)</calculatedColumnFormula>
    </tableColumn>
    <tableColumn id="11" xr3:uid="{47840616-5E24-44DC-8DEA-ADF8F02C53DB}" name="Notes" dataDxfId="196"/>
  </tableColumns>
  <tableStyleInfo name="TableStyleLight11"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3C75EAD5-93EF-4D51-A51E-E6FB65E56285}" name="Table2163" displayName="Table2163" ref="A48:L49" totalsRowShown="0" headerRowDxfId="195" dataDxfId="193" headerRowBorderDxfId="194" tableBorderDxfId="192" totalsRowBorderDxfId="191" dataCellStyle="Normal 2">
  <autoFilter ref="A48:L49" xr:uid="{2FB615E9-F440-432C-93A2-6DDD1066BDF6}"/>
  <tableColumns count="12">
    <tableColumn id="1" xr3:uid="{1A7F993F-969D-4FB1-B26A-C814924C5300}" name="Product Name" dataDxfId="190" dataCellStyle="Normal 2"/>
    <tableColumn id="2" xr3:uid="{205E8FA2-FDD9-4672-9C1F-DF6A4FB17015}" name="Product Unit" dataDxfId="189" dataCellStyle="Normal 2">
      <calculatedColumnFormula>IFERROR(VLOOKUP(A49,Table17[#All],2,0),"")</calculatedColumnFormula>
    </tableColumn>
    <tableColumn id="3" xr3:uid="{E1A52646-3532-4EC2-8123-AC52B16B0C09}" name="Batch Unit" dataDxfId="188" dataCellStyle="Normal 2">
      <calculatedColumnFormula>IFERROR(VLOOKUP(Table2163[[#This Row],[Product Name]],Table17[#All],3,0),"")</calculatedColumnFormula>
    </tableColumn>
    <tableColumn id="4" xr3:uid="{A925642E-BE6E-452F-B211-C18AEF4D0EF9}" name="No. of Units in One Batch" dataDxfId="187" dataCellStyle="Normal 2">
      <calculatedColumnFormula>IFERROR(VLOOKUP(Table2163[[#This Row],[Product Name]],Table17[#All],4,0),"")</calculatedColumnFormula>
    </tableColumn>
    <tableColumn id="5" xr3:uid="{76DC311C-9B87-4AEB-9E3E-C94936888337}" name="Batch Direct Cost" dataDxfId="186" dataCellStyle="Normal 2">
      <calculatedColumnFormula>SUM(Table7166[Cost of Raw Material Per Batch])</calculatedColumnFormula>
    </tableColumn>
    <tableColumn id="6" xr3:uid="{498585D0-30D9-4F32-925B-8CAF68AF6B39}" name="Unit Sale Price" dataDxfId="185" dataCellStyle="Normal 2">
      <calculatedColumnFormula>IFERROR(VLOOKUP(A49,Table17[#All],6,0),0)</calculatedColumnFormula>
    </tableColumn>
    <tableColumn id="7" xr3:uid="{9D422412-BAF9-4CAD-865C-5D3A24F92D0C}" name="Currency" dataDxfId="184" dataCellStyle="Normal 2">
      <calculatedColumnFormula>'Summary. Assumptions. Inputs'!$J$7</calculatedColumnFormula>
    </tableColumn>
    <tableColumn id="8" xr3:uid="{7FC2E8EF-D5D3-4935-B644-6ED0819B2657}" name="Product Direct Cost / Unit" dataDxfId="183" dataCellStyle="Normal 2">
      <calculatedColumnFormula>SUBTOTAL(109,Table7166[[#All],[Cost of Raw Material Per Unit]])</calculatedColumnFormula>
    </tableColumn>
    <tableColumn id="9" xr3:uid="{D5E03898-D324-49CF-9818-17A129E205B8}" name="Product Gross Profit / Unit" dataDxfId="182" dataCellStyle="Normal 2">
      <calculatedColumnFormula>Table2163[[#This Row],[Unit Sale Price]]-Table2163[[#This Row],[Product Direct Cost / Unit]]</calculatedColumnFormula>
    </tableColumn>
    <tableColumn id="10" xr3:uid="{FF32F494-21B0-499B-B3DC-2440D3C9AEA8}" name="Product Fixed Cost / Unit" dataDxfId="181" dataCellStyle="Normal 2">
      <calculatedColumnFormula>IFERROR(($I52/$A52),"")</calculatedColumnFormula>
    </tableColumn>
    <tableColumn id="11" xr3:uid="{77BB9F9A-29A7-4486-86AC-A5CD0B7F9E25}" name="Product Net Profit / Unit" dataDxfId="180" dataCellStyle="Normal 2">
      <calculatedColumnFormula>IFERROR((I49-J49),"")</calculatedColumnFormula>
    </tableColumn>
    <tableColumn id="12" xr3:uid="{48A06CDF-4D8B-45A8-AE54-FDFA448C2C4C}" name="% of Gross Profit" dataDxfId="179" dataCellStyle="Normal 2">
      <calculatedColumnFormula>IFERROR((F49-H49)/F49,"")</calculatedColumnFormula>
    </tableColumn>
  </tableColumns>
  <tableStyleInfo name="TableStyleMedium6"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55F54C48-D7A8-4BA8-8716-1C591F378B1A}" name="Table2364" displayName="Table2364" ref="A51:K52" totalsRowShown="0" headerRowDxfId="178" dataDxfId="176" headerRowBorderDxfId="177" tableBorderDxfId="175" totalsRowBorderDxfId="174" headerRowCellStyle="Normal 2" dataCellStyle="Normal 2">
  <autoFilter ref="A51:K52" xr:uid="{83A0A169-17DF-4EFE-9017-59C6B2CA7244}"/>
  <tableColumns count="11">
    <tableColumn id="1" xr3:uid="{45CC2EA3-D578-40BC-92D6-2B5522E95B79}" name="No of Products Produced" dataDxfId="173" dataCellStyle="Normal 2">
      <calculatedColumnFormula>IFERROR(VLOOKUP(A49,Table7[#All],16,0),0)*Capacity</calculatedColumnFormula>
    </tableColumn>
    <tableColumn id="2" xr3:uid="{1AD9ABA0-1C0B-4086-9A9C-807AB554A295}" name="No of Products Sold" dataDxfId="172" dataCellStyle="Normal 2">
      <calculatedColumnFormula>IFERROR(VLOOKUP(A49,'Sales, Production, &amp; Other Assu'!$A$18:$P$49,16,0),0)*Capacity</calculatedColumnFormula>
    </tableColumn>
    <tableColumn id="3" xr3:uid="{B5D59383-0E52-4AA3-A7CF-6CB07A857C85}" name="Amount of Products in Stock" dataDxfId="171" dataCellStyle="Normal 2">
      <calculatedColumnFormula>IFERROR((A52-B52),0)</calculatedColumnFormula>
    </tableColumn>
    <tableColumn id="4" xr3:uid="{4353D227-6767-42F4-8EF8-0122D7C6967A}" name="Product Sales Volume" dataDxfId="170" dataCellStyle="Normal 2">
      <calculatedColumnFormula>B52*F49</calculatedColumnFormula>
    </tableColumn>
    <tableColumn id="5" xr3:uid="{81AA4DC3-5278-4702-B04A-C2399D0427FA}" name="Product Production Direct Cost" dataDxfId="169" dataCellStyle="Normal 2">
      <calculatedColumnFormula>A52*H49</calculatedColumnFormula>
    </tableColumn>
    <tableColumn id="6" xr3:uid="{A5416228-0226-4AF4-B7B7-C7929B2EBAE1}" name="Product Stock Value" dataDxfId="168" dataCellStyle="Normal 2">
      <calculatedColumnFormula>C52*H49</calculatedColumnFormula>
    </tableColumn>
    <tableColumn id="7" xr3:uid="{2E70B3F7-07DB-408B-AE42-814CF561D6E9}" name="Product Gross Profit" dataDxfId="167" dataCellStyle="Normal 2">
      <calculatedColumnFormula>D52-E52+F52</calculatedColumnFormula>
    </tableColumn>
    <tableColumn id="8" xr3:uid="{52D0C14C-BE93-47EE-BB8E-0A48C4B2AA0C}" name="Product Sales Mix (%)" dataDxfId="166">
      <calculatedColumnFormula>IFERROR(VLOOKUP(A49,'BEP. &amp; Summary Results'!$A$5:$Q$108,10,0),0)</calculatedColumnFormula>
    </tableColumn>
    <tableColumn id="9" xr3:uid="{E18C38E1-17C8-454B-B321-E524F1970CB9}" name="Fixed Cost Product Allocation " dataDxfId="165" dataCellStyle="Normal 2">
      <calculatedColumnFormula>'BEP. &amp; Summary Results'!$L$37*'Production Matrix'!$H52</calculatedColumnFormula>
    </tableColumn>
    <tableColumn id="10" xr3:uid="{F6439609-A775-4ADD-9724-FE7B2A1A06BD}" name="Product Net Profit" dataDxfId="164" dataCellStyle="Normal 2">
      <calculatedColumnFormula>G52-I52</calculatedColumnFormula>
    </tableColumn>
    <tableColumn id="11" xr3:uid="{BCE2FAE8-2471-4A18-B46C-A7E9828C66A1}" name="% of Net Profit" dataDxfId="163" dataCellStyle="Normal 2">
      <calculatedColumnFormula>IFERROR((K49)/F49,"")</calculatedColumnFormula>
    </tableColumn>
  </tableColumns>
  <tableStyleInfo name="TableStyleMedium4"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D3D0E6FA-8B67-4850-8D88-3796F5B43C3F}" name="Table2465" displayName="Table2465" ref="A54:B55" totalsRowShown="0" headerRowDxfId="162" dataDxfId="160" headerRowBorderDxfId="161" tableBorderDxfId="159" totalsRowBorderDxfId="158" headerRowCellStyle="Normal 2">
  <autoFilter ref="A54:B55" xr:uid="{D1DF5D93-02BC-43D0-8A6F-23365CAF25F8}"/>
  <tableColumns count="2">
    <tableColumn id="1" xr3:uid="{E494ADCA-E95D-4B44-901B-AC48DE7C87F2}" name="BEP In Units" dataDxfId="157">
      <calculatedColumnFormula array="1">IFERROR(Table2465[[#This Row],[BEP In Value]]/Table2163[Batch Unit],0)</calculatedColumnFormula>
    </tableColumn>
    <tableColumn id="2" xr3:uid="{8F112317-3CAA-47E0-88BE-E02C4E13A9FC}" name="BEP In Value" dataDxfId="156">
      <calculatedColumnFormula>IFERROR(($I52/$L49),"")</calculatedColumnFormula>
    </tableColumn>
  </tableColumns>
  <tableStyleInfo name="TableStyleLight1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2956836-99E8-4CBD-948A-F6470882B5AE}" name="Table7166" displayName="Table7166" ref="A58:L88" totalsRowShown="0" headerRowDxfId="155" dataDxfId="154">
  <autoFilter ref="A58:L88" xr:uid="{221A4FF3-97FB-4671-9A08-12B5CB10E6EE}">
    <filterColumn colId="0">
      <customFilters>
        <customFilter operator="notEqual" val=" "/>
      </customFilters>
    </filterColumn>
  </autoFilter>
  <tableColumns count="12">
    <tableColumn id="1" xr3:uid="{5F99CBCC-05CB-41A5-94BF-29FAC0F0A281}" name="Material Name" dataDxfId="153"/>
    <tableColumn id="2" xr3:uid="{283A01AB-81DB-4D6A-B5E8-701E15522DA7}" name="Procurement Unit" dataDxfId="152">
      <calculatedColumnFormula>IFERROR(VLOOKUP($A59,Table16[#All],2,0),0)</calculatedColumnFormula>
    </tableColumn>
    <tableColumn id="3" xr3:uid="{54D8706F-0DDB-4D43-9079-C51428264418}" name="Procurement Unit Price" dataDxfId="151" dataCellStyle="Comma">
      <calculatedColumnFormula>IFERROR(VLOOKUP($A59,Table16[#All],5,0),0)</calculatedColumnFormula>
    </tableColumn>
    <tableColumn id="4" xr3:uid="{F89E0701-2910-4F72-83BB-74F09463625F}" name="Procurement to Production Fraction" dataDxfId="150"/>
    <tableColumn id="5" xr3:uid="{4791C74B-5350-4098-B6E6-6BA8681C19AC}" name="Production Unit" dataDxfId="149"/>
    <tableColumn id="6" xr3:uid="{366ADE2B-E2C8-45D3-BE32-8CD6A88CB30F}" name="Production Unit Cost" dataDxfId="148">
      <calculatedColumnFormula>IFERROR(C59/D59,"")</calculatedColumnFormula>
    </tableColumn>
    <tableColumn id="12" xr3:uid="{3E9C8DCC-76D1-4326-AB64-A9D34FC1BD99}" name="Batch Required Quantity using manufacturing unit (per unit)" dataDxfId="147"/>
    <tableColumn id="7" xr3:uid="{00A276B6-F905-43B5-BF75-0A0D61642F31}" name="Product Required Quantity using manufacturing unit (per unit)" dataDxfId="146">
      <calculatedColumnFormula>IFERROR(Table7166[[#This Row],[Batch Required Quantity using manufacturing unit (per unit)]]/Table2163[No. of Units in One Batch],0)</calculatedColumnFormula>
    </tableColumn>
    <tableColumn id="8" xr3:uid="{FED1BB0C-4D6F-491A-98BF-B9CDBB092D8A}" name="Total quantity required (Procurement Unit)" dataDxfId="145">
      <calculatedColumnFormula>IFERROR(H59*Table2364[No of Products Produced]/$D59,"")</calculatedColumnFormula>
    </tableColumn>
    <tableColumn id="9" xr3:uid="{45DB190C-EF31-4C19-9DB6-5BE163F4B8A6}" name="Cost of Raw Material Per Unit" dataDxfId="144">
      <calculatedColumnFormula>IFERROR($H59*$F59,"")</calculatedColumnFormula>
    </tableColumn>
    <tableColumn id="10" xr3:uid="{B24CB782-30A4-4BEA-9212-08FEC3A10B08}" name="Cost of Raw Material Per Batch" dataDxfId="143">
      <calculatedColumnFormula>IFERROR(Table7166[[#This Row],[Cost of Raw Material Per Unit]]*Table2163[No. of Units in One Batch],0)</calculatedColumnFormula>
    </tableColumn>
    <tableColumn id="11" xr3:uid="{CAAC6F79-142C-4AF1-A28B-6EF921D68D7D}" name="Notes" dataDxfId="142"/>
  </tableColumns>
  <tableStyleInfo name="TableStyleLight11"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1C45D312-D0B4-4DB4-A007-6CF71ADA37A1}" name="Table216367" displayName="Table216367" ref="A90:L91" totalsRowShown="0" headerRowDxfId="141" dataDxfId="139" headerRowBorderDxfId="140" tableBorderDxfId="138" totalsRowBorderDxfId="137" dataCellStyle="Normal 2">
  <autoFilter ref="A90:L91" xr:uid="{4237A3A0-C626-47C8-BA57-BA1A94E20F61}"/>
  <tableColumns count="12">
    <tableColumn id="1" xr3:uid="{75B17C8C-8837-438C-AED4-9AD6A7B12293}" name="Product Name" dataDxfId="136" dataCellStyle="Normal 2"/>
    <tableColumn id="2" xr3:uid="{4E6B5C23-896F-4DD0-8DC1-782A645A7B42}" name="Product Unit" dataDxfId="135" dataCellStyle="Normal 2">
      <calculatedColumnFormula>IFERROR(VLOOKUP(A91,Table17[#All],2,0),"")</calculatedColumnFormula>
    </tableColumn>
    <tableColumn id="3" xr3:uid="{23EA087D-BDF3-40A1-AC8B-EB1C6B39DFDD}" name="Batch Unit" dataDxfId="134" dataCellStyle="Normal 2">
      <calculatedColumnFormula>IFERROR(VLOOKUP(Table216367[[#This Row],[Product Name]],Table17[#All],3,0),"")</calculatedColumnFormula>
    </tableColumn>
    <tableColumn id="4" xr3:uid="{63BD97B8-A414-4F47-A768-95B02E70EE3B}" name="No. of Units in One Batch" dataDxfId="133" dataCellStyle="Normal 2">
      <calculatedColumnFormula>IFERROR(VLOOKUP(Table216367[[#This Row],[Product Name]],Table17[#All],4,0),"")</calculatedColumnFormula>
    </tableColumn>
    <tableColumn id="5" xr3:uid="{7DB77BE0-C838-4ACB-844D-440938DE0E0A}" name="Batch Direct Cost" dataDxfId="132" dataCellStyle="Normal 2">
      <calculatedColumnFormula>SUM(Table716670[Cost of Raw Material Per Batch])</calculatedColumnFormula>
    </tableColumn>
    <tableColumn id="6" xr3:uid="{B011887F-55DF-473A-A6DD-2122019A3C90}" name="Unit Sale Price" dataDxfId="131" dataCellStyle="Normal 2">
      <calculatedColumnFormula>IFERROR(VLOOKUP(A91,Table17[#All],6,0),0)</calculatedColumnFormula>
    </tableColumn>
    <tableColumn id="7" xr3:uid="{FA053E1D-7C41-4AD7-948F-6113771F2D03}" name="Currency" dataDxfId="130" dataCellStyle="Normal 2">
      <calculatedColumnFormula>'Summary. Assumptions. Inputs'!$J$7</calculatedColumnFormula>
    </tableColumn>
    <tableColumn id="8" xr3:uid="{BFD6D7C2-CE89-4329-90AA-17BBDBD305F1}" name="Product Direct Cost / Unit" dataDxfId="129" dataCellStyle="Normal 2">
      <calculatedColumnFormula>SUBTOTAL(109,Table716670[[#All],[Cost of Raw Material Per Unit]])</calculatedColumnFormula>
    </tableColumn>
    <tableColumn id="9" xr3:uid="{B3299C61-9A1E-44BF-A4A5-CE7D044EA175}" name="Product Gross Profit / Unit" dataDxfId="128" dataCellStyle="Normal 2">
      <calculatedColumnFormula>Table216367[[#This Row],[Unit Sale Price]]-Table216367[[#This Row],[Product Direct Cost / Unit]]</calculatedColumnFormula>
    </tableColumn>
    <tableColumn id="10" xr3:uid="{86D83F94-7ED6-421C-AC11-04CFC9C26A52}" name="Product Fixed Cost / Unit" dataDxfId="127" dataCellStyle="Normal 2">
      <calculatedColumnFormula>IFERROR(($I94/$A94),"")</calculatedColumnFormula>
    </tableColumn>
    <tableColumn id="11" xr3:uid="{2E071E1F-8642-4044-8589-3A55F26D1AEB}" name="Product Net Profit / Unit" dataDxfId="126" dataCellStyle="Normal 2">
      <calculatedColumnFormula>IFERROR((I91-J91),"")</calculatedColumnFormula>
    </tableColumn>
    <tableColumn id="12" xr3:uid="{8FB61FE7-23EC-4EBA-B2F0-38F6B6FE9D38}" name="% of Gross Profit" dataDxfId="125" dataCellStyle="Normal 2">
      <calculatedColumnFormula>IFERROR((F91-H91)/F91,"")</calculatedColumnFormula>
    </tableColumn>
  </tableColumns>
  <tableStyleInfo name="TableStyleMedium6"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AB1D5CBF-784E-4FE1-8717-1AE9A86590FB}" name="Table236468" displayName="Table236468" ref="A93:K94" totalsRowShown="0" headerRowDxfId="124" dataDxfId="122" headerRowBorderDxfId="123" tableBorderDxfId="121" totalsRowBorderDxfId="120" headerRowCellStyle="Normal 2" dataCellStyle="Normal 2">
  <autoFilter ref="A93:K94" xr:uid="{125EF45E-67BD-4DF3-BED2-1B2B797ACB57}"/>
  <tableColumns count="11">
    <tableColumn id="1" xr3:uid="{3FE12A01-F757-4810-96AC-6CF8642A72EF}" name="No of Products Produced" dataDxfId="119" dataCellStyle="Normal 2">
      <calculatedColumnFormula>IFERROR(VLOOKUP(A91,Table7[#All],16,0),0)*Capacity</calculatedColumnFormula>
    </tableColumn>
    <tableColumn id="2" xr3:uid="{BA13D4CE-13DA-4D23-95D7-5B29A7EEE31D}" name="No of Products Sold" dataDxfId="118" dataCellStyle="Normal 2">
      <calculatedColumnFormula>IFERROR(VLOOKUP(A91,'Sales, Production, &amp; Other Assu'!$A$18:$P$49,16,0),0)*Capacity</calculatedColumnFormula>
    </tableColumn>
    <tableColumn id="3" xr3:uid="{3B67E851-69B9-4AF3-A7D2-52C3CE1748EB}" name="Amount of Products in Stock" dataDxfId="117" dataCellStyle="Normal 2">
      <calculatedColumnFormula>IFERROR((A94-B94),0)</calculatedColumnFormula>
    </tableColumn>
    <tableColumn id="4" xr3:uid="{74DBE4F4-A4B0-453C-A0D3-9C97A98318BB}" name="Product Sales Volume" dataDxfId="116" dataCellStyle="Normal 2">
      <calculatedColumnFormula>B94*F91</calculatedColumnFormula>
    </tableColumn>
    <tableColumn id="5" xr3:uid="{5ACE4DBE-9706-4E30-9FF7-039ACC01FD6D}" name="Product Production Direct Cost" dataDxfId="115" dataCellStyle="Normal 2">
      <calculatedColumnFormula>A94*H91</calculatedColumnFormula>
    </tableColumn>
    <tableColumn id="6" xr3:uid="{6103811F-0FD2-4772-A4D4-66EDFA05B6AD}" name="Product Stock Value" dataDxfId="114" dataCellStyle="Normal 2">
      <calculatedColumnFormula>C94*H91</calculatedColumnFormula>
    </tableColumn>
    <tableColumn id="7" xr3:uid="{6149F300-6FDE-4539-B706-16AE11077A51}" name="Product Gross Profit" dataDxfId="113" dataCellStyle="Normal 2">
      <calculatedColumnFormula>D94-E94+F94</calculatedColumnFormula>
    </tableColumn>
    <tableColumn id="8" xr3:uid="{0619C56A-DD30-47EE-B421-1F2F6129E595}" name="Product Sales Mix (%)" dataDxfId="112">
      <calculatedColumnFormula>IFERROR(VLOOKUP(A91,'BEP. &amp; Summary Results'!$A$5:$Q$108,10,0),0)</calculatedColumnFormula>
    </tableColumn>
    <tableColumn id="9" xr3:uid="{0F6580C6-5946-4197-BBEB-02FDB06378C5}" name="Fixed Cost Product Allocation " dataDxfId="111" dataCellStyle="Normal 2">
      <calculatedColumnFormula>'BEP. &amp; Summary Results'!$L$37*'Production Matrix'!$H94</calculatedColumnFormula>
    </tableColumn>
    <tableColumn id="10" xr3:uid="{E5E47B86-152C-40A4-8080-917CE794DF86}" name="Product Net Profit" dataDxfId="110" dataCellStyle="Normal 2">
      <calculatedColumnFormula>G94-I94</calculatedColumnFormula>
    </tableColumn>
    <tableColumn id="11" xr3:uid="{E1A4F14D-EFB4-47EA-B9B4-28986475ECAD}" name="% of Net Profit" dataDxfId="109" dataCellStyle="Normal 2">
      <calculatedColumnFormula>IFERROR((K91)/F91,"")</calculatedColumnFormula>
    </tableColumn>
  </tableColumns>
  <tableStyleInfo name="TableStyleMedium4"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BFBDD23-BBF6-4314-AA52-C22E9BAFB140}" name="Table246569" displayName="Table246569" ref="A96:B97" totalsRowShown="0" headerRowDxfId="108" dataDxfId="106" headerRowBorderDxfId="107" tableBorderDxfId="105" totalsRowBorderDxfId="104" headerRowCellStyle="Normal 2">
  <autoFilter ref="A96:B97" xr:uid="{1DCA5119-363B-4C30-9246-7960183BA73D}"/>
  <tableColumns count="2">
    <tableColumn id="1" xr3:uid="{FFB3479D-A151-4AAD-BFA4-86BA04DFE234}" name="BEP In Units" dataDxfId="103">
      <calculatedColumnFormula array="1">IFERROR(Table246569[[#This Row],[BEP In Value]]/Table216367[Batch Unit],0)</calculatedColumnFormula>
    </tableColumn>
    <tableColumn id="2" xr3:uid="{D21D7A79-816A-4FC2-8550-27C8EFE9C327}" name="BEP In Value" dataDxfId="102">
      <calculatedColumnFormula>IFERROR(($I94/$L91),"")</calculatedColumnFormula>
    </tableColumn>
  </tableColumns>
  <tableStyleInfo name="TableStyleLight11"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C111106-8576-41B2-B33C-1FF757D94E6B}" name="Table716670" displayName="Table716670" ref="A100:L130" totalsRowShown="0" headerRowDxfId="101" dataDxfId="100">
  <autoFilter ref="A100:L130" xr:uid="{349E1638-D002-4FF4-8048-0FCC3DBDEBA9}"/>
  <tableColumns count="12">
    <tableColumn id="1" xr3:uid="{3A0F82BC-DB79-4BB7-BED1-BF7938E4AF46}" name="Material Name" dataDxfId="99"/>
    <tableColumn id="2" xr3:uid="{27446CF8-CA7D-47B9-985B-C2BB773402B1}" name="Procurement Unit" dataDxfId="98">
      <calculatedColumnFormula>IFERROR(VLOOKUP($A101,Table16[#All],2,0),0)</calculatedColumnFormula>
    </tableColumn>
    <tableColumn id="3" xr3:uid="{D32D176B-872A-45B2-93D4-C5C9F8A16B66}" name="Procurement Unit Price" dataDxfId="97" dataCellStyle="Comma">
      <calculatedColumnFormula>IFERROR(VLOOKUP($A101,Table16[#All],5,0),0)</calculatedColumnFormula>
    </tableColumn>
    <tableColumn id="4" xr3:uid="{59B7391A-4B3D-4C5B-9D19-287A520DCD27}" name="Procurement to Production Fraction" dataDxfId="96"/>
    <tableColumn id="5" xr3:uid="{65CF3682-D5DB-44F9-89FE-CEE574F523DF}" name="Production Unit" dataDxfId="95"/>
    <tableColumn id="6" xr3:uid="{1FA85514-5A4A-4187-9812-73DE1FBD1387}" name="Production Unit Cost" dataDxfId="94">
      <calculatedColumnFormula>IFERROR(C101/D101,"")</calculatedColumnFormula>
    </tableColumn>
    <tableColumn id="12" xr3:uid="{C7E06D92-13B2-438D-9D75-B204C7E622A7}" name="Batch Required Quantity using manufacturing unit (per unit)" dataDxfId="93"/>
    <tableColumn id="7" xr3:uid="{0DC8C2A0-E6CE-4010-BD98-AE5219CE5AD9}" name="Product Required Quantity using manufacturing unit (per unit)" dataDxfId="92">
      <calculatedColumnFormula>IFERROR(Table716670[[#This Row],[Batch Required Quantity using manufacturing unit (per unit)]]/Table216367[No. of Units in One Batch],0)</calculatedColumnFormula>
    </tableColumn>
    <tableColumn id="8" xr3:uid="{70F631DD-B3F7-4814-BB13-ED362E87D5FF}" name="Total quantity required (Procurement Unit)" dataDxfId="91">
      <calculatedColumnFormula>IFERROR(H101*Table236468[No of Products Produced]/$D101,"")</calculatedColumnFormula>
    </tableColumn>
    <tableColumn id="9" xr3:uid="{81AAB578-BE04-43AC-B374-7B9E09FDEDDD}" name="Cost of Raw Material Per Unit" dataDxfId="90">
      <calculatedColumnFormula>IFERROR($H101*$F101,"")</calculatedColumnFormula>
    </tableColumn>
    <tableColumn id="10" xr3:uid="{19C37CB8-87DB-46BE-8A0C-9CFB5B57D334}" name="Cost of Raw Material Per Batch" dataDxfId="89">
      <calculatedColumnFormula>IFERROR(Table716670[[#This Row],[Cost of Raw Material Per Unit]]*Table216367[No. of Units in One Batch],0)</calculatedColumnFormula>
    </tableColumn>
    <tableColumn id="11" xr3:uid="{E90CDF24-3715-4260-9EF2-B4716FF7F702}" name="Notes" dataDxfId="88"/>
  </tableColumns>
  <tableStyleInfo name="TableStyleLight11"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635E49CC-ADC7-4373-99E6-8A51658C19BF}" name="Table43" displayName="Table43" ref="A15:K376" totalsRowShown="0" headerRowDxfId="78" dataDxfId="77" headerRowCellStyle="Normal 3" dataCellStyle="Currency 3">
  <autoFilter ref="A15:K376" xr:uid="{FA14C4DF-A586-4DF0-B61F-4EEE4DF235C3}"/>
  <tableColumns count="11">
    <tableColumn id="1" xr3:uid="{5534921D-E737-4FEF-BB0E-F0288181F62A}" name="PmtNo." dataDxfId="76" dataCellStyle="Normal 3">
      <calculatedColumnFormula>IF(Values_Entered,A15+1,"")</calculatedColumnFormula>
    </tableColumn>
    <tableColumn id="11" xr3:uid="{C1416B90-E859-4020-AF48-830B64175AB6}" name="Month" dataDxfId="75" dataCellStyle="Normal 3"/>
    <tableColumn id="2" xr3:uid="{ECF3952E-2143-4830-B0AD-4C28FC661890}" name="Payment Date" dataDxfId="74" dataCellStyle="Normal 3">
      <calculatedColumnFormula>IF(Pay_Num&lt;&gt;"",DATE(YEAR(Loan_Start),MONTH(Loan_Start)+(Pay_Num)*12/Num_Pmt_Per_Year,DAY(Loan_Start)),"")</calculatedColumnFormula>
    </tableColumn>
    <tableColumn id="3" xr3:uid="{46BD5C99-58E1-42F2-BB51-02554E577C79}" name="Beginning Balance" dataDxfId="73" dataCellStyle="Currency 3">
      <calculatedColumnFormula>IF(Pay_Num&lt;&gt;"",J15,"")</calculatedColumnFormula>
    </tableColumn>
    <tableColumn id="4" xr3:uid="{FE9EE77C-11AD-426D-8C79-414D9440D66C}" name="Scheduled Payment" dataDxfId="72" dataCellStyle="Currency 3">
      <calculatedColumnFormula>IF(Pay_Num&lt;&gt;"",Scheduled_Monthly_Payment,"")</calculatedColumnFormula>
    </tableColumn>
    <tableColumn id="5" xr3:uid="{A6FDF314-BF7C-4486-A008-F461A8C93A7F}" name="Extra Payment" dataDxfId="71" dataCellStyle="Currency 3">
      <calculatedColumnFormula>IF(AND(Pay_Num&lt;&gt;"",Sched_Pay+Scheduled_Extra_Payments&lt;Beg_Bal),Scheduled_Extra_Payments,IF(AND(Pay_Num&lt;&gt;"",Beg_Bal-Sched_Pay&gt;0),Beg_Bal-Sched_Pay,IF(Pay_Num&lt;&gt;"",0,"")))</calculatedColumnFormula>
    </tableColumn>
    <tableColumn id="6" xr3:uid="{1D6C13C2-1142-4663-8009-B936900866F0}" name="Total Payment" dataDxfId="70" dataCellStyle="Currency 3">
      <calculatedColumnFormula>IF(AND(Pay_Num&lt;&gt;"",Sched_Pay+Extra_Pay&lt;Beg_Bal),Sched_Pay+Extra_Pay,IF(Pay_Num&lt;&gt;"",Beg_Bal,""))</calculatedColumnFormula>
    </tableColumn>
    <tableColumn id="7" xr3:uid="{45302002-3690-4B5B-959E-6E8915C9139A}" name="Principal" dataDxfId="69" dataCellStyle="Currency 3">
      <calculatedColumnFormula>IF(Pay_Num&lt;&gt;"",Total_Pay-Int,"")</calculatedColumnFormula>
    </tableColumn>
    <tableColumn id="8" xr3:uid="{A35A3EFC-72AF-4078-B62D-22B19039E300}" name="Interest" dataDxfId="68" dataCellStyle="Currency 3">
      <calculatedColumnFormula>IF(Pay_Num&lt;&gt;"",Beg_Bal*Interest_Rate/Num_Pmt_Per_Year,"")</calculatedColumnFormula>
    </tableColumn>
    <tableColumn id="9" xr3:uid="{06A6A1B4-99F2-45D7-A2F9-9985EDD60CF1}" name="Ending Balance" dataDxfId="67" dataCellStyle="Currency 3">
      <calculatedColumnFormula>IF(AND(Pay_Num&lt;&gt;"",Sched_Pay+Extra_Pay&lt;Beg_Bal),Beg_Bal-Princ,IF(Pay_Num&lt;&gt;"",0,""))</calculatedColumnFormula>
    </tableColumn>
    <tableColumn id="10" xr3:uid="{4F05A266-3301-4EFB-A0C2-9AB4149BCA02}" name="Cumulative Interest" dataDxfId="66" dataCellStyle="Currency 3">
      <calculatedColumnFormula>SUM($I$16:$I17)</calculatedColumnFormula>
    </tableColumn>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42FD2C1-92E2-4E9C-988E-596F2E6B2CB8}" name="Table4356" displayName="Table4356" ref="A15:K376" totalsRowShown="0" headerRowDxfId="56" dataDxfId="55" headerRowCellStyle="Normal 3" dataCellStyle="Currency 3">
  <autoFilter ref="A15:K376" xr:uid="{FA14C4DF-A586-4DF0-B61F-4EEE4DF235C3}"/>
  <tableColumns count="11">
    <tableColumn id="1" xr3:uid="{E71972CF-EC7F-4C8A-9EFE-46B97E063A20}" name="PmtNo." dataDxfId="54" dataCellStyle="Normal 3">
      <calculatedColumnFormula>IF(Values_Entered,A15+1,"")</calculatedColumnFormula>
    </tableColumn>
    <tableColumn id="11" xr3:uid="{A0F967BA-14C8-4C83-AF75-EBA0D6F85DB1}" name="Month" dataDxfId="53" dataCellStyle="Normal 3"/>
    <tableColumn id="2" xr3:uid="{8CC2E281-CAD4-4B93-9C63-D3DEE04D6673}" name="Payment Date" dataDxfId="52" dataCellStyle="Normal 3">
      <calculatedColumnFormula>IF(Pay_Num&lt;&gt;"",DATE(YEAR(Loan_Start),MONTH(Loan_Start)+(Pay_Num)*12/Num_Pmt_Per_Year,DAY(Loan_Start)),"")</calculatedColumnFormula>
    </tableColumn>
    <tableColumn id="3" xr3:uid="{9C065B44-4C45-45B2-A01C-9212A0513EC3}" name="Beginning Balance" dataDxfId="51" dataCellStyle="Currency 3">
      <calculatedColumnFormula>IF(Pay_Num&lt;&gt;"",J15,"")</calculatedColumnFormula>
    </tableColumn>
    <tableColumn id="4" xr3:uid="{330A9907-BD40-4840-B4CB-9EF001389357}" name="Scheduled Payment" dataDxfId="50" dataCellStyle="Currency 3">
      <calculatedColumnFormula>IF(Pay_Num&lt;&gt;"",Scheduled_Monthly_Payment,"")</calculatedColumnFormula>
    </tableColumn>
    <tableColumn id="5" xr3:uid="{48024AFE-2C3C-4068-9DE4-A29D07C38EBF}" name="Extra Payment" dataDxfId="49" dataCellStyle="Currency 3">
      <calculatedColumnFormula>IF(AND(Pay_Num&lt;&gt;"",Sched_Pay+Scheduled_Extra_Payments&lt;Beg_Bal),Scheduled_Extra_Payments,IF(AND(Pay_Num&lt;&gt;"",Beg_Bal-Sched_Pay&gt;0),Beg_Bal-Sched_Pay,IF(Pay_Num&lt;&gt;"",0,"")))</calculatedColumnFormula>
    </tableColumn>
    <tableColumn id="6" xr3:uid="{1710FF49-B30A-4A0B-A64B-29E14BC234F7}" name="Total Payment" dataDxfId="48" dataCellStyle="Currency 3">
      <calculatedColumnFormula>IF(AND(Pay_Num&lt;&gt;"",Sched_Pay+Extra_Pay&lt;Beg_Bal),Sched_Pay+Extra_Pay,IF(Pay_Num&lt;&gt;"",Beg_Bal,""))</calculatedColumnFormula>
    </tableColumn>
    <tableColumn id="7" xr3:uid="{D93C1771-E6A8-4163-BE9F-2DAA8D66308E}" name="Principal" dataDxfId="47" dataCellStyle="Currency 3">
      <calculatedColumnFormula>IF(Pay_Num&lt;&gt;"",Total_Pay-Int,"")</calculatedColumnFormula>
    </tableColumn>
    <tableColumn id="8" xr3:uid="{B59ADD52-D34C-4BA8-A5D4-C7784E05958A}" name="Interest" dataDxfId="46" dataCellStyle="Currency 3">
      <calculatedColumnFormula>IF(Pay_Num&lt;&gt;"",Beg_Bal*Interest_Rate/Num_Pmt_Per_Year,"")</calculatedColumnFormula>
    </tableColumn>
    <tableColumn id="9" xr3:uid="{358277BA-E8CF-4A9D-801A-847AA629E8FB}" name="Ending Balance" dataDxfId="45" dataCellStyle="Currency 3">
      <calculatedColumnFormula>IF(AND(Pay_Num&lt;&gt;"",Sched_Pay+Extra_Pay&lt;Beg_Bal),Beg_Bal-Princ,IF(Pay_Num&lt;&gt;"",0,""))</calculatedColumnFormula>
    </tableColumn>
    <tableColumn id="10" xr3:uid="{EF0DBF36-C851-4AED-B465-49BD97E376B7}" name="Cumulative Interest" dataDxfId="44" dataCellStyle="Currency 3">
      <calculatedColumnFormula>SUM($I$16:$I17)</calculatedColumnFormula>
    </tableColumn>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E18002AA-0EBB-474A-A3A3-89A80990BD0E}" name="Table435657" displayName="Table435657" ref="A15:K376" totalsRowShown="0" headerRowDxfId="34" dataDxfId="33" headerRowCellStyle="Normal 3" dataCellStyle="Currency 3">
  <autoFilter ref="A15:K376" xr:uid="{FA14C4DF-A586-4DF0-B61F-4EEE4DF235C3}"/>
  <tableColumns count="11">
    <tableColumn id="1" xr3:uid="{9A5A427E-B89E-4E6D-9762-2CAE066834DB}" name="PmtNo." dataDxfId="32" dataCellStyle="Normal 3">
      <calculatedColumnFormula>IF(Values_Entered,A15+1,"")</calculatedColumnFormula>
    </tableColumn>
    <tableColumn id="11" xr3:uid="{8CC380C6-E6D0-4D3A-9DB6-01A445EF148E}" name="Month" dataDxfId="31" dataCellStyle="Normal 3"/>
    <tableColumn id="2" xr3:uid="{0C09F880-B5E3-459F-AB4C-610D272EC7B6}" name="Payment Date" dataDxfId="30" dataCellStyle="Normal 3">
      <calculatedColumnFormula>IF(Pay_Num&lt;&gt;"",DATE(YEAR(Loan_Start),MONTH(Loan_Start)+(Pay_Num)*12/Num_Pmt_Per_Year,DAY(Loan_Start)),"")</calculatedColumnFormula>
    </tableColumn>
    <tableColumn id="3" xr3:uid="{C71EB734-A02C-4A20-91B6-61547BB17AF9}" name="Beginning Balance" dataDxfId="29" dataCellStyle="Currency 3">
      <calculatedColumnFormula>IF(Pay_Num&lt;&gt;"",J15,"")</calculatedColumnFormula>
    </tableColumn>
    <tableColumn id="4" xr3:uid="{442108C7-06C4-47FE-91D6-B1C0490A6034}" name="Scheduled Payment" dataDxfId="28" dataCellStyle="Currency 3">
      <calculatedColumnFormula>IF(Pay_Num&lt;&gt;"",Scheduled_Monthly_Payment,"")</calculatedColumnFormula>
    </tableColumn>
    <tableColumn id="5" xr3:uid="{80EC4822-AE05-4199-8245-417E4752B0FA}" name="Extra Payment" dataDxfId="27" dataCellStyle="Currency 3">
      <calculatedColumnFormula>IF(AND(Pay_Num&lt;&gt;"",Sched_Pay+Scheduled_Extra_Payments&lt;Beg_Bal),Scheduled_Extra_Payments,IF(AND(Pay_Num&lt;&gt;"",Beg_Bal-Sched_Pay&gt;0),Beg_Bal-Sched_Pay,IF(Pay_Num&lt;&gt;"",0,"")))</calculatedColumnFormula>
    </tableColumn>
    <tableColumn id="6" xr3:uid="{9B52991B-3823-4E13-84BA-A42DAF195DF0}" name="Total Payment" dataDxfId="26" dataCellStyle="Currency 3">
      <calculatedColumnFormula>IF(AND(Pay_Num&lt;&gt;"",Sched_Pay+Extra_Pay&lt;Beg_Bal),Sched_Pay+Extra_Pay,IF(Pay_Num&lt;&gt;"",Beg_Bal,""))</calculatedColumnFormula>
    </tableColumn>
    <tableColumn id="7" xr3:uid="{41323FA2-DB0C-4576-8FCD-28D810226C84}" name="Principal" dataDxfId="25" dataCellStyle="Currency 3">
      <calculatedColumnFormula>IF(Pay_Num&lt;&gt;"",Total_Pay-Int,"")</calculatedColumnFormula>
    </tableColumn>
    <tableColumn id="8" xr3:uid="{B9994CE6-49F1-41B2-8BDF-955D734E09CD}" name="Interest" dataDxfId="24" dataCellStyle="Currency 3">
      <calculatedColumnFormula>IF(Pay_Num&lt;&gt;"",Beg_Bal*Interest_Rate/Num_Pmt_Per_Year,"")</calculatedColumnFormula>
    </tableColumn>
    <tableColumn id="9" xr3:uid="{4B2E039A-0139-4130-A494-A3C53A11522C}" name="Ending Balance" dataDxfId="23" dataCellStyle="Currency 3">
      <calculatedColumnFormula>IF(AND(Pay_Num&lt;&gt;"",Sched_Pay+Extra_Pay&lt;Beg_Bal),Beg_Bal-Princ,IF(Pay_Num&lt;&gt;"",0,""))</calculatedColumnFormula>
    </tableColumn>
    <tableColumn id="10" xr3:uid="{001E129E-F65E-4B91-84C8-64EDB9FF80CC}" name="Cumulative Interest" dataDxfId="22" dataCellStyle="Currency 3">
      <calculatedColumnFormula>SUM($I$16:$I17)</calculatedColumnFormula>
    </tableColumn>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C50E42E5-42C4-40C8-B3A9-687E696EBC91}" name="Table43565758" displayName="Table43565758" ref="A15:K376" totalsRowShown="0" headerRowDxfId="12" dataDxfId="11" headerRowCellStyle="Normal 3" dataCellStyle="Currency 3">
  <autoFilter ref="A15:K376" xr:uid="{FA14C4DF-A586-4DF0-B61F-4EEE4DF235C3}"/>
  <tableColumns count="11">
    <tableColumn id="1" xr3:uid="{71D2FE82-300B-4ECE-B505-E98F0453CE53}" name="PmtNo." dataDxfId="10" dataCellStyle="Normal 3">
      <calculatedColumnFormula>IF(Values_Entered,A15+1,"")</calculatedColumnFormula>
    </tableColumn>
    <tableColumn id="11" xr3:uid="{232FAF24-C31C-4627-BF66-C6A3BEFA87ED}" name="Month" dataDxfId="9" dataCellStyle="Normal 3"/>
    <tableColumn id="2" xr3:uid="{08829FEC-3CA6-4E70-9799-0D39972938E5}" name="Payment Date" dataDxfId="8" dataCellStyle="Normal 3">
      <calculatedColumnFormula>IF(Pay_Num&lt;&gt;"",DATE(YEAR(Loan_Start),MONTH(Loan_Start)+(Pay_Num)*12/Num_Pmt_Per_Year,DAY(Loan_Start)),"")</calculatedColumnFormula>
    </tableColumn>
    <tableColumn id="3" xr3:uid="{A6BE1CA8-D454-4B1A-B6F3-6A6099F8ADFE}" name="Beginning Balance" dataDxfId="7" dataCellStyle="Currency 3">
      <calculatedColumnFormula>IF(Pay_Num&lt;&gt;"",J15,"")</calculatedColumnFormula>
    </tableColumn>
    <tableColumn id="4" xr3:uid="{C2C14C06-3438-4FE1-A711-C6AEAC0EF1CF}" name="Scheduled Payment" dataDxfId="6" dataCellStyle="Currency 3">
      <calculatedColumnFormula>IF(Pay_Num&lt;&gt;"",Scheduled_Monthly_Payment,"")</calculatedColumnFormula>
    </tableColumn>
    <tableColumn id="5" xr3:uid="{7A4BB4AD-26F9-4361-8E6B-BDAAA12FCE38}" name="Extra Payment" dataDxfId="5" dataCellStyle="Currency 3">
      <calculatedColumnFormula>IF(AND(Pay_Num&lt;&gt;"",Sched_Pay+Scheduled_Extra_Payments&lt;Beg_Bal),Scheduled_Extra_Payments,IF(AND(Pay_Num&lt;&gt;"",Beg_Bal-Sched_Pay&gt;0),Beg_Bal-Sched_Pay,IF(Pay_Num&lt;&gt;"",0,"")))</calculatedColumnFormula>
    </tableColumn>
    <tableColumn id="6" xr3:uid="{7B20B481-65AD-4877-98FD-1A7D866B81A9}" name="Total Payment" dataDxfId="4" dataCellStyle="Currency 3">
      <calculatedColumnFormula>IF(AND(Pay_Num&lt;&gt;"",Sched_Pay+Extra_Pay&lt;Beg_Bal),Sched_Pay+Extra_Pay,IF(Pay_Num&lt;&gt;"",Beg_Bal,""))</calculatedColumnFormula>
    </tableColumn>
    <tableColumn id="7" xr3:uid="{F8A0DCE8-57C4-4459-8B74-B02763F2732D}" name="Principal" dataDxfId="3" dataCellStyle="Currency 3">
      <calculatedColumnFormula>IF(Pay_Num&lt;&gt;"",Total_Pay-Int,"")</calculatedColumnFormula>
    </tableColumn>
    <tableColumn id="8" xr3:uid="{2F7D2877-3A98-45A1-859A-885B9D48E027}" name="Interest" dataDxfId="2" dataCellStyle="Currency 3">
      <calculatedColumnFormula>IF(Pay_Num&lt;&gt;"",Beg_Bal*Interest_Rate/Num_Pmt_Per_Year,"")</calculatedColumnFormula>
    </tableColumn>
    <tableColumn id="9" xr3:uid="{84484B6E-BD19-44B4-A1FA-938CB4EF5395}" name="Ending Balance" dataDxfId="1" dataCellStyle="Currency 3">
      <calculatedColumnFormula>IF(AND(Pay_Num&lt;&gt;"",Sched_Pay+Extra_Pay&lt;Beg_Bal),Beg_Bal-Princ,IF(Pay_Num&lt;&gt;"",0,""))</calculatedColumnFormula>
    </tableColumn>
    <tableColumn id="10" xr3:uid="{99955E43-C590-4814-9D8A-3A57AA0DF763}" name="Cumulative Interest" dataDxfId="0" dataCellStyle="Currency 3">
      <calculatedColumnFormula>SUM($I$16:$I17)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4" dT="2021-05-20T17:11:00.69" personId="{186D5915-F0D5-47B3-AE00-21E0EFA91507}" id="{C8C01B20-236A-44E6-A7A5-68AA59A2E999}">
    <text>IFRS 20</text>
  </threadedComment>
  <threadedComment ref="A45" dT="2021-05-20T17:11:16.20" personId="{186D5915-F0D5-47B3-AE00-21E0EFA91507}" id="{51E39C36-BB99-4750-B383-F74684794A45}">
    <text>IFRS 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externalLinkPath" Target="Financial%20Model%20Al%20Bawader%20Final%20-%20Copy.xlsx" TargetMode="External"/><Relationship Id="rId5" Type="http://schemas.openxmlformats.org/officeDocument/2006/relationships/table" Target="../tables/table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vmlDrawing" Target="../drawings/vmlDrawing1.vml"/><Relationship Id="rId7" Type="http://schemas.openxmlformats.org/officeDocument/2006/relationships/table" Target="../tables/table7.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6.xml"/><Relationship Id="rId5" Type="http://schemas.openxmlformats.org/officeDocument/2006/relationships/table" Target="../tables/table5.xml"/><Relationship Id="rId10" Type="http://schemas.microsoft.com/office/2017/10/relationships/threadedComment" Target="../threadedComments/threadedComment1.xml"/><Relationship Id="rId4" Type="http://schemas.openxmlformats.org/officeDocument/2006/relationships/vmlDrawing" Target="../drawings/vmlDrawing2.vm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5" Type="http://schemas.openxmlformats.org/officeDocument/2006/relationships/table" Target="../tables/table11.xml"/><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5.xml"/><Relationship Id="rId13" Type="http://schemas.openxmlformats.org/officeDocument/2006/relationships/table" Target="../tables/table20.xml"/><Relationship Id="rId18" Type="http://schemas.openxmlformats.org/officeDocument/2006/relationships/table" Target="../tables/table25.xml"/><Relationship Id="rId26" Type="http://schemas.openxmlformats.org/officeDocument/2006/relationships/comments" Target="../comments2.xml"/><Relationship Id="rId3" Type="http://schemas.openxmlformats.org/officeDocument/2006/relationships/vmlDrawing" Target="../drawings/vmlDrawing4.vml"/><Relationship Id="rId21" Type="http://schemas.openxmlformats.org/officeDocument/2006/relationships/table" Target="../tables/table28.xml"/><Relationship Id="rId7" Type="http://schemas.openxmlformats.org/officeDocument/2006/relationships/table" Target="../tables/table14.xml"/><Relationship Id="rId12" Type="http://schemas.openxmlformats.org/officeDocument/2006/relationships/table" Target="../tables/table19.xml"/><Relationship Id="rId17" Type="http://schemas.openxmlformats.org/officeDocument/2006/relationships/table" Target="../tables/table24.xml"/><Relationship Id="rId25" Type="http://schemas.openxmlformats.org/officeDocument/2006/relationships/table" Target="../tables/table32.xml"/><Relationship Id="rId2" Type="http://schemas.openxmlformats.org/officeDocument/2006/relationships/drawing" Target="../drawings/drawing4.xml"/><Relationship Id="rId16" Type="http://schemas.openxmlformats.org/officeDocument/2006/relationships/table" Target="../tables/table23.xml"/><Relationship Id="rId20" Type="http://schemas.openxmlformats.org/officeDocument/2006/relationships/table" Target="../tables/table27.xml"/><Relationship Id="rId1" Type="http://schemas.openxmlformats.org/officeDocument/2006/relationships/printerSettings" Target="../printerSettings/printerSettings6.bin"/><Relationship Id="rId6" Type="http://schemas.openxmlformats.org/officeDocument/2006/relationships/table" Target="../tables/table13.xml"/><Relationship Id="rId11" Type="http://schemas.openxmlformats.org/officeDocument/2006/relationships/table" Target="../tables/table18.xml"/><Relationship Id="rId24" Type="http://schemas.openxmlformats.org/officeDocument/2006/relationships/table" Target="../tables/table31.xml"/><Relationship Id="rId5" Type="http://schemas.openxmlformats.org/officeDocument/2006/relationships/table" Target="../tables/table12.xml"/><Relationship Id="rId15" Type="http://schemas.openxmlformats.org/officeDocument/2006/relationships/table" Target="../tables/table22.xml"/><Relationship Id="rId23" Type="http://schemas.openxmlformats.org/officeDocument/2006/relationships/table" Target="../tables/table30.xml"/><Relationship Id="rId10" Type="http://schemas.openxmlformats.org/officeDocument/2006/relationships/table" Target="../tables/table17.xml"/><Relationship Id="rId19" Type="http://schemas.openxmlformats.org/officeDocument/2006/relationships/table" Target="../tables/table26.xml"/><Relationship Id="rId4" Type="http://schemas.openxmlformats.org/officeDocument/2006/relationships/vmlDrawing" Target="../drawings/vmlDrawing5.vml"/><Relationship Id="rId9" Type="http://schemas.openxmlformats.org/officeDocument/2006/relationships/table" Target="../tables/table16.xml"/><Relationship Id="rId14" Type="http://schemas.openxmlformats.org/officeDocument/2006/relationships/table" Target="../tables/table21.xml"/><Relationship Id="rId22" Type="http://schemas.openxmlformats.org/officeDocument/2006/relationships/table" Target="../tables/table2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table" Target="../tables/table33.xml"/><Relationship Id="rId5" Type="http://schemas.openxmlformats.org/officeDocument/2006/relationships/table" Target="../tables/table37.xml"/><Relationship Id="rId4" Type="http://schemas.openxmlformats.org/officeDocument/2006/relationships/table" Target="../tables/table36.xml"/></Relationships>
</file>

<file path=xl/worksheets/_rels/sheet9.xml.rels><?xml version="1.0" encoding="UTF-8" standalone="yes"?>
<Relationships xmlns="http://schemas.openxmlformats.org/package/2006/relationships"><Relationship Id="rId8" Type="http://schemas.openxmlformats.org/officeDocument/2006/relationships/table" Target="../tables/table44.xml"/><Relationship Id="rId13" Type="http://schemas.openxmlformats.org/officeDocument/2006/relationships/table" Target="../tables/table49.xml"/><Relationship Id="rId18" Type="http://schemas.openxmlformats.org/officeDocument/2006/relationships/table" Target="../tables/table54.xml"/><Relationship Id="rId3" Type="http://schemas.openxmlformats.org/officeDocument/2006/relationships/table" Target="../tables/table39.xml"/><Relationship Id="rId21" Type="http://schemas.openxmlformats.org/officeDocument/2006/relationships/table" Target="../tables/table57.xml"/><Relationship Id="rId7" Type="http://schemas.openxmlformats.org/officeDocument/2006/relationships/table" Target="../tables/table43.xml"/><Relationship Id="rId12" Type="http://schemas.openxmlformats.org/officeDocument/2006/relationships/table" Target="../tables/table48.xml"/><Relationship Id="rId17" Type="http://schemas.openxmlformats.org/officeDocument/2006/relationships/table" Target="../tables/table53.xml"/><Relationship Id="rId2" Type="http://schemas.openxmlformats.org/officeDocument/2006/relationships/table" Target="../tables/table38.xml"/><Relationship Id="rId16" Type="http://schemas.openxmlformats.org/officeDocument/2006/relationships/table" Target="../tables/table52.xml"/><Relationship Id="rId20" Type="http://schemas.openxmlformats.org/officeDocument/2006/relationships/table" Target="../tables/table56.xml"/><Relationship Id="rId1" Type="http://schemas.openxmlformats.org/officeDocument/2006/relationships/drawing" Target="../drawings/drawing5.xml"/><Relationship Id="rId6" Type="http://schemas.openxmlformats.org/officeDocument/2006/relationships/table" Target="../tables/table42.xml"/><Relationship Id="rId11" Type="http://schemas.openxmlformats.org/officeDocument/2006/relationships/table" Target="../tables/table47.xml"/><Relationship Id="rId5" Type="http://schemas.openxmlformats.org/officeDocument/2006/relationships/table" Target="../tables/table41.xml"/><Relationship Id="rId15" Type="http://schemas.openxmlformats.org/officeDocument/2006/relationships/table" Target="../tables/table51.xml"/><Relationship Id="rId10" Type="http://schemas.openxmlformats.org/officeDocument/2006/relationships/table" Target="../tables/table46.xml"/><Relationship Id="rId19" Type="http://schemas.openxmlformats.org/officeDocument/2006/relationships/table" Target="../tables/table55.xml"/><Relationship Id="rId4" Type="http://schemas.openxmlformats.org/officeDocument/2006/relationships/table" Target="../tables/table40.xml"/><Relationship Id="rId9" Type="http://schemas.openxmlformats.org/officeDocument/2006/relationships/table" Target="../tables/table45.xml"/><Relationship Id="rId14" Type="http://schemas.openxmlformats.org/officeDocument/2006/relationships/table" Target="../tables/table50.xml"/><Relationship Id="rId22" Type="http://schemas.openxmlformats.org/officeDocument/2006/relationships/table" Target="../tables/table5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table" Target="../tables/table61.xml"/><Relationship Id="rId5" Type="http://schemas.openxmlformats.org/officeDocument/2006/relationships/table" Target="../tables/table60.xml"/><Relationship Id="rId4" Type="http://schemas.openxmlformats.org/officeDocument/2006/relationships/table" Target="../tables/table5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table" Target="../tables/table64.xml"/><Relationship Id="rId5" Type="http://schemas.openxmlformats.org/officeDocument/2006/relationships/table" Target="../tables/table63.xml"/><Relationship Id="rId4" Type="http://schemas.openxmlformats.org/officeDocument/2006/relationships/table" Target="../tables/table6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openxmlformats.org/officeDocument/2006/relationships/table" Target="../tables/table68.x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openxmlformats.org/officeDocument/2006/relationships/table" Target="../tables/table67.xml"/><Relationship Id="rId5" Type="http://schemas.openxmlformats.org/officeDocument/2006/relationships/table" Target="../tables/table66.xml"/><Relationship Id="rId4" Type="http://schemas.openxmlformats.org/officeDocument/2006/relationships/table" Target="../tables/table65.xml"/></Relationships>
</file>

<file path=xl/worksheets/_rels/sheet15.xml.rels><?xml version="1.0" encoding="UTF-8" standalone="yes"?>
<Relationships xmlns="http://schemas.openxmlformats.org/package/2006/relationships"><Relationship Id="rId8" Type="http://schemas.openxmlformats.org/officeDocument/2006/relationships/table" Target="../tables/table73.xml"/><Relationship Id="rId13" Type="http://schemas.openxmlformats.org/officeDocument/2006/relationships/table" Target="../tables/table78.xml"/><Relationship Id="rId3" Type="http://schemas.openxmlformats.org/officeDocument/2006/relationships/vmlDrawing" Target="../drawings/vmlDrawing11.vml"/><Relationship Id="rId7" Type="http://schemas.openxmlformats.org/officeDocument/2006/relationships/table" Target="../tables/table72.xml"/><Relationship Id="rId12" Type="http://schemas.openxmlformats.org/officeDocument/2006/relationships/table" Target="../tables/table77.xml"/><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table" Target="../tables/table71.xml"/><Relationship Id="rId11" Type="http://schemas.openxmlformats.org/officeDocument/2006/relationships/table" Target="../tables/table76.xml"/><Relationship Id="rId5" Type="http://schemas.openxmlformats.org/officeDocument/2006/relationships/table" Target="../tables/table70.xml"/><Relationship Id="rId15" Type="http://schemas.openxmlformats.org/officeDocument/2006/relationships/table" Target="../tables/table80.xml"/><Relationship Id="rId10" Type="http://schemas.openxmlformats.org/officeDocument/2006/relationships/table" Target="../tables/table75.xml"/><Relationship Id="rId4" Type="http://schemas.openxmlformats.org/officeDocument/2006/relationships/table" Target="../tables/table69.xml"/><Relationship Id="rId9" Type="http://schemas.openxmlformats.org/officeDocument/2006/relationships/table" Target="../tables/table74.xml"/><Relationship Id="rId14" Type="http://schemas.openxmlformats.org/officeDocument/2006/relationships/table" Target="../tables/table7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82.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84.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0F886-7CCB-4B93-9C1F-390AFADB6ACA}">
  <sheetPr codeName="Sheet11">
    <tabColor theme="9" tint="-0.249977111117893"/>
    <pageSetUpPr fitToPage="1"/>
  </sheetPr>
  <dimension ref="A1:A14"/>
  <sheetViews>
    <sheetView workbookViewId="0">
      <selection activeCell="A7" sqref="A7"/>
    </sheetView>
  </sheetViews>
  <sheetFormatPr defaultColWidth="60.33203125" defaultRowHeight="15"/>
  <cols>
    <col min="1" max="1" width="65.6640625" customWidth="1"/>
  </cols>
  <sheetData>
    <row r="1" spans="1:1" ht="24">
      <c r="A1" s="25" t="s">
        <v>0</v>
      </c>
    </row>
    <row r="2" spans="1:1" ht="27" customHeight="1">
      <c r="A2" s="26" t="s">
        <v>1</v>
      </c>
    </row>
    <row r="3" spans="1:1" ht="27" customHeight="1">
      <c r="A3" s="26" t="s">
        <v>2</v>
      </c>
    </row>
    <row r="4" spans="1:1" ht="27" customHeight="1">
      <c r="A4" s="26" t="s">
        <v>3</v>
      </c>
    </row>
    <row r="5" spans="1:1" ht="27" customHeight="1">
      <c r="A5" s="26" t="s">
        <v>4</v>
      </c>
    </row>
    <row r="6" spans="1:1" ht="27" customHeight="1">
      <c r="A6" s="26" t="s">
        <v>5</v>
      </c>
    </row>
    <row r="7" spans="1:1" ht="27" customHeight="1">
      <c r="A7" s="26" t="s">
        <v>6</v>
      </c>
    </row>
    <row r="8" spans="1:1" ht="27" customHeight="1">
      <c r="A8" s="26" t="s">
        <v>7</v>
      </c>
    </row>
    <row r="9" spans="1:1" ht="27" customHeight="1">
      <c r="A9" s="26" t="s">
        <v>8</v>
      </c>
    </row>
    <row r="10" spans="1:1" ht="27" customHeight="1">
      <c r="A10" s="26" t="s">
        <v>9</v>
      </c>
    </row>
    <row r="11" spans="1:1" ht="27" customHeight="1">
      <c r="A11" s="26" t="s">
        <v>10</v>
      </c>
    </row>
    <row r="12" spans="1:1" ht="23.25">
      <c r="A12" s="26" t="s">
        <v>11</v>
      </c>
    </row>
    <row r="13" spans="1:1" ht="23.25">
      <c r="A13" s="26" t="s">
        <v>12</v>
      </c>
    </row>
    <row r="14" spans="1:1" ht="23.25">
      <c r="A14" s="26" t="s">
        <v>13</v>
      </c>
    </row>
  </sheetData>
  <sheetProtection algorithmName="SHA-512" hashValue="2GyCuPz1gQw/P8cxtdw5YXVJESdvq/0lTYX+uNVTUas0Wpt3If+H7FdpaXMb1miF2+KRxgBrXghgRDyV7NtLkA==" saltValue="3vXyXgMaoH0+DbKTPZEGyw==" spinCount="100000" sheet="1" objects="1" scenarios="1"/>
  <hyperlinks>
    <hyperlink ref="A3" location="'Projected FS'!A1" display="Projected Financial Statements" xr:uid="{E942CB1A-87FF-40D9-9270-598443FFCF61}"/>
    <hyperlink ref="A4" location="'Ratio Analysis'!A1" display="Ratio Analysis" xr:uid="{CF471188-B780-4ABC-987A-70DDD05D62DB}"/>
    <hyperlink ref="A9" location="'Sales, Production, &amp; Other Assu'!A1" display="Sales, Production, &amp; Other Assumptions" xr:uid="{FE0AE797-5EA1-40B5-A029-8B693DEA00B3}"/>
    <hyperlink ref="A10" location="'Sales Volume, Cost of Productio'!A1" display="Sales Volume, Cost of Production Projections" xr:uid="{C6714D17-08F6-4022-B0B5-60054F233699}"/>
    <hyperlink ref="A8" location="'OPEREX, PAYROL'!A1" display="Operating Expenditures, Payroll" xr:uid="{DD39D312-D825-4295-B686-6BF45CCE00D7}"/>
    <hyperlink ref="A6" location="'Cashflow Projection &amp; Investme'!A1" display="Cashflow Estimation, &amp; Investment" xr:uid="{BFC6EA3A-8B3B-4CA4-B2A2-0137AEA32CC7}"/>
    <hyperlink ref="A5" location="'BEP, &amp; Summary Results'!A1" display="BEP, &amp; Summary Results" xr:uid="{25ED0106-795D-4DD2-BE22-8CCDF5BD809D}"/>
    <hyperlink ref="A7" location="'Capital Expenditures'!A1" display="Capital Expenditures" xr:uid="{95A83C10-F547-4154-9C91-3125FD60557B}"/>
    <hyperlink ref="A2" location="'Summary. Assumptions. Inputs'!A1" display="Summary, Assumptions, Inputs" xr:uid="{65250459-8D6E-4D93-86A4-E847FD9CE659}"/>
    <hyperlink ref="A11" location="'Production Matrix'!A1" display="Production Matrix" xr:uid="{CFF0FA45-8F94-43BF-ACFA-9F9DDBFEF66F}"/>
    <hyperlink ref="A12" location="'Disbursement Plan'!A1" display="Disbursement Plan" xr:uid="{65189FD4-7F74-48D0-862D-46D4BBA0DFE9}"/>
    <hyperlink ref="A13" location="'Implemnation Plan'!A1" display="Implemenation Plan" xr:uid="{9114D78A-5307-4369-BAC1-1930A1C9EF8D}"/>
    <hyperlink ref="A14" location="'Procurement Plan'!A1" display="Procurement Plan" xr:uid="{9A91BBDD-3619-41FD-8523-9263C878A604}"/>
  </hyperlinks>
  <printOptions horizontalCentered="1"/>
  <pageMargins left="0.9055118110236221" right="0.70866141732283472" top="0.74803149606299213" bottom="0.74803149606299213" header="0.31496062992125984" footer="0.31496062992125984"/>
  <pageSetup paperSize="9" fitToHeight="0" orientation="portrait" errors="blank" r:id="rId1"/>
  <headerFooter>
    <oddFooter>&amp;L&amp;"-,Bold Italic"&amp;8&amp;K01+027Developed By: MAIUMAS Consulting
Hani Omar Skaik&amp;C&amp;A&amp;R&amp;D / &amp;T</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EACB0-E7FC-4A6C-ABC8-7B368478FCAB}">
  <sheetPr codeName="Sheet1">
    <tabColor rgb="FF7030A0"/>
    <pageSetUpPr fitToPage="1"/>
  </sheetPr>
  <dimension ref="A1:L214"/>
  <sheetViews>
    <sheetView showGridLines="0" tabSelected="1" topLeftCell="B1" zoomScale="85" zoomScaleNormal="85" workbookViewId="0">
      <selection activeCell="I28" sqref="I28"/>
    </sheetView>
  </sheetViews>
  <sheetFormatPr defaultColWidth="9.33203125" defaultRowHeight="14.25" customHeight="1"/>
  <cols>
    <col min="1" max="1" width="32.77734375" style="28" customWidth="1"/>
    <col min="2" max="2" width="8" style="28" bestFit="1" customWidth="1"/>
    <col min="3" max="9" width="16.77734375" style="28" customWidth="1"/>
    <col min="10" max="10" width="16.6640625" style="28" customWidth="1"/>
    <col min="11" max="11" width="9.33203125" style="28"/>
    <col min="12" max="12" width="17.21875" style="28" bestFit="1" customWidth="1"/>
    <col min="13" max="16384" width="9.33203125" style="28"/>
  </cols>
  <sheetData>
    <row r="1" spans="1:10" ht="30.75" customHeight="1" thickBot="1">
      <c r="A1" s="734" t="s">
        <v>14</v>
      </c>
      <c r="B1" s="734"/>
      <c r="C1" s="734"/>
      <c r="D1" s="734"/>
      <c r="E1" s="734"/>
      <c r="F1" s="734"/>
      <c r="G1" s="734"/>
      <c r="H1" s="734"/>
    </row>
    <row r="2" spans="1:10" ht="20.25" customHeight="1" thickTop="1" thickBot="1">
      <c r="A2" s="735" t="s">
        <v>15</v>
      </c>
      <c r="B2" s="735"/>
      <c r="C2" s="735"/>
      <c r="D2" s="735"/>
      <c r="E2" s="735"/>
      <c r="F2" s="735"/>
      <c r="G2" s="735"/>
      <c r="H2" s="735"/>
    </row>
    <row r="3" spans="1:10" ht="21.75" thickTop="1" thickBot="1">
      <c r="A3" s="204" t="s">
        <v>16</v>
      </c>
      <c r="B3" s="204"/>
      <c r="C3" s="694"/>
      <c r="D3" s="736"/>
      <c r="E3" s="736"/>
      <c r="F3" s="736"/>
      <c r="G3" s="689"/>
      <c r="H3" s="205"/>
    </row>
    <row r="4" spans="1:10" ht="21" thickBot="1">
      <c r="A4" s="204" t="s">
        <v>17</v>
      </c>
      <c r="B4" s="206"/>
      <c r="C4" s="207"/>
      <c r="D4" s="736"/>
      <c r="E4" s="736"/>
      <c r="F4" s="736"/>
      <c r="G4" s="689"/>
      <c r="H4" s="205"/>
    </row>
    <row r="5" spans="1:10" ht="86.25" customHeight="1">
      <c r="A5" s="740" t="s">
        <v>18</v>
      </c>
      <c r="B5" s="740"/>
      <c r="C5" s="740"/>
      <c r="D5" s="740"/>
      <c r="E5" s="740"/>
      <c r="F5" s="740"/>
      <c r="G5" s="740"/>
      <c r="H5" s="740"/>
      <c r="I5" s="740"/>
      <c r="J5" s="740"/>
    </row>
    <row r="6" spans="1:10" ht="21" thickBot="1">
      <c r="A6" s="204" t="s">
        <v>19</v>
      </c>
      <c r="B6" s="207"/>
      <c r="C6" s="207"/>
      <c r="D6" s="736"/>
      <c r="E6" s="736"/>
      <c r="F6" s="736"/>
      <c r="G6" s="689"/>
      <c r="H6" s="205"/>
    </row>
    <row r="7" spans="1:10" ht="15.75">
      <c r="A7" s="742" t="s">
        <v>20</v>
      </c>
      <c r="B7" s="743"/>
      <c r="C7" s="695"/>
      <c r="D7" s="695"/>
      <c r="E7" s="695"/>
      <c r="F7" s="695"/>
      <c r="G7" s="695"/>
      <c r="H7" s="695"/>
      <c r="I7" s="695"/>
      <c r="J7" s="695" t="s">
        <v>21</v>
      </c>
    </row>
    <row r="8" spans="1:10" ht="5.0999999999999996" customHeight="1">
      <c r="A8" s="87"/>
      <c r="C8" s="696"/>
      <c r="D8" s="696"/>
      <c r="E8" s="696"/>
      <c r="F8" s="696"/>
      <c r="G8" s="696"/>
      <c r="J8" s="87"/>
    </row>
    <row r="9" spans="1:10" ht="17.45" customHeight="1">
      <c r="A9" s="697" t="s">
        <v>22</v>
      </c>
      <c r="C9" s="741" t="s">
        <v>23</v>
      </c>
      <c r="D9" s="741"/>
      <c r="E9" s="741"/>
      <c r="F9" s="741"/>
      <c r="G9" s="741"/>
      <c r="H9" s="741"/>
      <c r="I9" s="741"/>
      <c r="J9" s="697">
        <f ca="1">IFERROR('Projected FS'!B50+'Projected FS'!B44+'Projected FS'!B45+'Projected FS'!B43,"")</f>
        <v>9889013.0144736785</v>
      </c>
    </row>
    <row r="10" spans="1:10" ht="5.0999999999999996" customHeight="1">
      <c r="A10" s="87"/>
      <c r="C10" s="696"/>
      <c r="D10" s="696"/>
      <c r="E10" s="696"/>
      <c r="F10" s="696"/>
      <c r="G10" s="696"/>
      <c r="J10" s="87"/>
    </row>
    <row r="11" spans="1:10" ht="45" customHeight="1">
      <c r="A11" s="697" t="s">
        <v>24</v>
      </c>
      <c r="C11" s="741" t="s">
        <v>25</v>
      </c>
      <c r="D11" s="741"/>
      <c r="E11" s="741"/>
      <c r="F11" s="741"/>
      <c r="G11" s="741"/>
      <c r="H11" s="741"/>
      <c r="I11" s="741"/>
      <c r="J11" s="23">
        <f ca="1">IFERROR(IRR('Projected FS'!B81:I81,0),"")</f>
        <v>0.11889327991794296</v>
      </c>
    </row>
    <row r="12" spans="1:10" ht="5.0999999999999996" customHeight="1">
      <c r="A12" s="697"/>
      <c r="C12" s="696"/>
      <c r="D12" s="696"/>
      <c r="E12" s="696"/>
      <c r="F12" s="696"/>
      <c r="G12" s="696"/>
      <c r="J12" s="23"/>
    </row>
    <row r="13" spans="1:10" ht="30" customHeight="1">
      <c r="A13" s="697" t="s">
        <v>26</v>
      </c>
      <c r="B13" s="233">
        <f ca="1">'WACC Calculation'!C19</f>
        <v>9.3088760475103935E-2</v>
      </c>
      <c r="C13" s="741" t="s">
        <v>27</v>
      </c>
      <c r="D13" s="741"/>
      <c r="E13" s="741"/>
      <c r="F13" s="741"/>
      <c r="G13" s="741"/>
      <c r="H13" s="741"/>
      <c r="I13" s="741"/>
      <c r="J13" s="697">
        <f ca="1">IFERROR(NPV($B$13,'Projected FS'!B81:I81),"")</f>
        <v>957486.23444663605</v>
      </c>
    </row>
    <row r="14" spans="1:10" ht="5.0999999999999996" customHeight="1">
      <c r="A14" s="697"/>
      <c r="B14" s="22"/>
      <c r="C14" s="696"/>
      <c r="D14" s="696"/>
      <c r="E14" s="696"/>
      <c r="F14" s="696"/>
      <c r="G14" s="696"/>
      <c r="J14" s="697"/>
    </row>
    <row r="15" spans="1:10" ht="35.1" customHeight="1">
      <c r="A15" s="697" t="s">
        <v>28</v>
      </c>
      <c r="B15" s="698" t="s">
        <v>29</v>
      </c>
      <c r="C15" s="741" t="s">
        <v>30</v>
      </c>
      <c r="D15" s="741"/>
      <c r="E15" s="741"/>
      <c r="F15" s="741"/>
      <c r="G15" s="741"/>
      <c r="H15" s="741"/>
      <c r="I15" s="741"/>
      <c r="J15" s="699">
        <f ca="1">'Projected FS'!J83</f>
        <v>5.1650774238824493</v>
      </c>
    </row>
    <row r="16" spans="1:10" ht="5.0999999999999996" customHeight="1">
      <c r="A16" s="697"/>
      <c r="B16" s="697"/>
      <c r="C16" s="696"/>
      <c r="D16" s="696"/>
      <c r="E16" s="696"/>
      <c r="F16" s="696"/>
      <c r="G16" s="696"/>
      <c r="J16" s="697"/>
    </row>
    <row r="17" spans="1:10" ht="30" customHeight="1">
      <c r="A17" s="697" t="s">
        <v>31</v>
      </c>
      <c r="B17" s="698" t="s">
        <v>32</v>
      </c>
      <c r="C17" s="741" t="s">
        <v>33</v>
      </c>
      <c r="D17" s="741"/>
      <c r="E17" s="741"/>
      <c r="F17" s="741"/>
      <c r="G17" s="741"/>
      <c r="H17" s="741"/>
      <c r="I17" s="741"/>
      <c r="J17" s="697">
        <f ca="1">IFERROR(AVERAGE('Projected FS'!C27:I27),0)</f>
        <v>1852665.6308391381</v>
      </c>
    </row>
    <row r="18" spans="1:10" ht="5.0999999999999996" customHeight="1">
      <c r="A18" s="697"/>
      <c r="B18" s="698"/>
      <c r="C18" s="209"/>
      <c r="D18" s="209"/>
      <c r="E18" s="209"/>
      <c r="F18" s="209"/>
      <c r="G18" s="209"/>
      <c r="J18" s="697"/>
    </row>
    <row r="19" spans="1:10" ht="30" customHeight="1">
      <c r="A19" s="697" t="s">
        <v>34</v>
      </c>
      <c r="B19" s="210"/>
      <c r="C19" s="741" t="s">
        <v>35</v>
      </c>
      <c r="D19" s="741"/>
      <c r="E19" s="741"/>
      <c r="F19" s="741"/>
      <c r="G19" s="741"/>
      <c r="H19" s="741"/>
      <c r="I19" s="741"/>
      <c r="J19" s="23">
        <f ca="1">IFERROR(J17/J30,"")</f>
        <v>0.34951385144930802</v>
      </c>
    </row>
    <row r="20" spans="1:10" ht="5.0999999999999996" customHeight="1">
      <c r="A20" s="697"/>
      <c r="B20" s="698"/>
      <c r="C20" s="209"/>
      <c r="D20" s="209"/>
      <c r="E20" s="209"/>
      <c r="F20" s="209"/>
      <c r="G20" s="209"/>
      <c r="J20" s="697"/>
    </row>
    <row r="21" spans="1:10" ht="15" customHeight="1">
      <c r="A21" s="697" t="s">
        <v>36</v>
      </c>
      <c r="B21" s="211"/>
      <c r="C21" s="741" t="s">
        <v>37</v>
      </c>
      <c r="D21" s="741"/>
      <c r="E21" s="741"/>
      <c r="F21" s="741"/>
      <c r="G21" s="741"/>
      <c r="H21" s="741"/>
      <c r="I21" s="741"/>
      <c r="J21" s="23">
        <f ca="1">IFERROR(J17/J25,"")</f>
        <v>0.22012775546071656</v>
      </c>
    </row>
    <row r="22" spans="1:10" ht="5.0999999999999996" customHeight="1">
      <c r="A22" s="697"/>
      <c r="B22" s="698"/>
      <c r="C22" s="209"/>
      <c r="D22" s="209"/>
      <c r="E22" s="209"/>
      <c r="F22" s="209"/>
      <c r="G22" s="209"/>
      <c r="J22" s="697"/>
    </row>
    <row r="23" spans="1:10" ht="30" customHeight="1">
      <c r="A23" s="697" t="s">
        <v>38</v>
      </c>
      <c r="B23" s="210"/>
      <c r="C23" s="741" t="s">
        <v>39</v>
      </c>
      <c r="D23" s="741"/>
      <c r="E23" s="741"/>
      <c r="F23" s="741"/>
      <c r="G23" s="741"/>
      <c r="H23" s="741"/>
      <c r="I23" s="741"/>
      <c r="J23" s="697">
        <f ca="1">IFERROR(J9-J25,"")</f>
        <v>1472693.0144736785</v>
      </c>
    </row>
    <row r="24" spans="1:10" ht="5.0999999999999996" customHeight="1">
      <c r="A24" s="697"/>
      <c r="B24" s="698"/>
      <c r="C24" s="209"/>
      <c r="D24" s="209"/>
      <c r="E24" s="209"/>
      <c r="F24" s="209"/>
      <c r="G24" s="209"/>
      <c r="J24" s="697"/>
    </row>
    <row r="25" spans="1:10" ht="15" customHeight="1">
      <c r="A25" s="697" t="s">
        <v>40</v>
      </c>
      <c r="B25" s="211"/>
      <c r="C25" s="741" t="s">
        <v>41</v>
      </c>
      <c r="D25" s="741"/>
      <c r="E25" s="741"/>
      <c r="F25" s="741"/>
      <c r="G25" s="741"/>
      <c r="H25" s="741"/>
      <c r="I25" s="741"/>
      <c r="J25" s="697">
        <f>IFERROR('Cashflow Projection &amp; Investme'!B18,"")</f>
        <v>8416320</v>
      </c>
    </row>
    <row r="26" spans="1:10" ht="5.0999999999999996" customHeight="1">
      <c r="A26" s="697"/>
      <c r="B26" s="211"/>
      <c r="C26" s="700"/>
      <c r="D26" s="700"/>
      <c r="E26" s="700"/>
      <c r="F26" s="700"/>
      <c r="G26" s="697"/>
    </row>
    <row r="27" spans="1:10" ht="23.25" customHeight="1" thickBot="1">
      <c r="A27" s="204" t="s">
        <v>42</v>
      </c>
      <c r="B27" s="204"/>
      <c r="C27" s="204"/>
      <c r="D27" s="207" t="s">
        <v>43</v>
      </c>
      <c r="E27" s="207"/>
      <c r="G27" s="204" t="s">
        <v>44</v>
      </c>
      <c r="H27" s="204"/>
    </row>
    <row r="28" spans="1:10" ht="15.75">
      <c r="A28" s="701" t="s">
        <v>45</v>
      </c>
      <c r="B28" s="702"/>
      <c r="C28" s="657">
        <v>0.05</v>
      </c>
      <c r="D28" s="737" t="s">
        <v>46</v>
      </c>
      <c r="E28" s="737"/>
      <c r="F28" s="703" t="s">
        <v>47</v>
      </c>
      <c r="G28" s="758" t="s">
        <v>48</v>
      </c>
      <c r="H28" s="759"/>
      <c r="I28" s="212">
        <v>0.9</v>
      </c>
      <c r="J28" s="704" t="s">
        <v>49</v>
      </c>
    </row>
    <row r="29" spans="1:10" ht="15.75">
      <c r="A29" s="705" t="s">
        <v>50</v>
      </c>
      <c r="B29" s="706"/>
      <c r="C29" s="658">
        <v>0.1</v>
      </c>
      <c r="D29" s="738" t="s">
        <v>51</v>
      </c>
      <c r="E29" s="739"/>
      <c r="F29" s="707">
        <v>3.2</v>
      </c>
      <c r="G29" s="708" t="s">
        <v>52</v>
      </c>
      <c r="H29" s="709"/>
      <c r="J29" s="710"/>
    </row>
    <row r="30" spans="1:10" ht="15.75">
      <c r="A30" s="705" t="s">
        <v>53</v>
      </c>
      <c r="B30" s="706"/>
      <c r="C30" s="658">
        <v>0.05</v>
      </c>
      <c r="D30" s="738" t="s">
        <v>54</v>
      </c>
      <c r="E30" s="739"/>
      <c r="F30" s="707">
        <v>3.7</v>
      </c>
      <c r="G30" s="711" t="s">
        <v>55</v>
      </c>
      <c r="H30" s="712"/>
      <c r="I30" s="213">
        <f ca="1">IFERROR(J30/SUM($J$30,$J$31,$J$38,$J$39),0)</f>
        <v>0.53601840817840163</v>
      </c>
      <c r="J30" s="713">
        <f ca="1">'Projected FS'!B50</f>
        <v>5300693.0144736785</v>
      </c>
    </row>
    <row r="31" spans="1:10" ht="15.75">
      <c r="A31" s="705"/>
      <c r="B31" s="706"/>
      <c r="C31" s="658"/>
      <c r="D31" s="738" t="s">
        <v>56</v>
      </c>
      <c r="E31" s="739"/>
      <c r="F31" s="714">
        <f>IF(J7="USD",F29,IF(J7="ILS",F28,IF(J7="EURO",F30,"")))</f>
        <v>3.2</v>
      </c>
      <c r="G31" s="715" t="s">
        <v>57</v>
      </c>
      <c r="H31" s="712"/>
      <c r="I31" s="213">
        <f ca="1">IFERROR(J31/SUM($J$30,$J$31,$J$38,$J$39),0)</f>
        <v>0.46398159182159832</v>
      </c>
      <c r="J31" s="713">
        <f>'Capital Expenditures'!H42</f>
        <v>4588320</v>
      </c>
    </row>
    <row r="32" spans="1:10" ht="18" customHeight="1" thickBot="1">
      <c r="A32" s="716" t="s">
        <v>58</v>
      </c>
      <c r="B32" s="748" t="s">
        <v>59</v>
      </c>
      <c r="C32" s="658">
        <v>0</v>
      </c>
      <c r="D32" s="207" t="s">
        <v>60</v>
      </c>
      <c r="E32" s="207"/>
      <c r="F32" s="661"/>
      <c r="G32" s="756" t="s">
        <v>61</v>
      </c>
      <c r="H32" s="757"/>
      <c r="I32" s="662">
        <f>J31</f>
        <v>4588320</v>
      </c>
      <c r="J32" s="751" t="s">
        <v>62</v>
      </c>
    </row>
    <row r="33" spans="1:10" ht="16.5">
      <c r="A33" s="716" t="s">
        <v>63</v>
      </c>
      <c r="B33" s="749"/>
      <c r="C33" s="658">
        <v>0.5</v>
      </c>
      <c r="D33" s="737" t="s">
        <v>64</v>
      </c>
      <c r="E33" s="737"/>
      <c r="F33" s="717" t="s">
        <v>65</v>
      </c>
      <c r="G33" s="752" t="s">
        <v>66</v>
      </c>
      <c r="H33" s="753"/>
      <c r="I33" s="663">
        <v>7.0000000000000007E-2</v>
      </c>
      <c r="J33" s="751"/>
    </row>
    <row r="34" spans="1:10" ht="16.5">
      <c r="A34" s="716" t="s">
        <v>67</v>
      </c>
      <c r="B34" s="749"/>
      <c r="C34" s="658">
        <v>0.5</v>
      </c>
      <c r="D34" s="738" t="s">
        <v>68</v>
      </c>
      <c r="E34" s="739"/>
      <c r="F34" s="717" t="s">
        <v>69</v>
      </c>
      <c r="G34" s="752" t="s">
        <v>70</v>
      </c>
      <c r="H34" s="753"/>
      <c r="I34" s="664">
        <v>10</v>
      </c>
      <c r="J34" s="751"/>
    </row>
    <row r="35" spans="1:10" ht="17.25" thickBot="1">
      <c r="A35" s="716" t="s">
        <v>71</v>
      </c>
      <c r="B35" s="749"/>
      <c r="C35" s="658">
        <v>0</v>
      </c>
      <c r="D35" s="207" t="s">
        <v>72</v>
      </c>
      <c r="E35" s="207"/>
      <c r="F35" s="661"/>
      <c r="G35" s="752" t="s">
        <v>73</v>
      </c>
      <c r="H35" s="753"/>
      <c r="I35" s="664">
        <v>12</v>
      </c>
      <c r="J35" s="751"/>
    </row>
    <row r="36" spans="1:10" ht="16.5">
      <c r="A36" s="716" t="s">
        <v>74</v>
      </c>
      <c r="B36" s="749"/>
      <c r="C36" s="658">
        <v>0</v>
      </c>
      <c r="D36" s="737" t="s">
        <v>75</v>
      </c>
      <c r="E36" s="737"/>
      <c r="F36" s="718">
        <v>0.05</v>
      </c>
      <c r="G36" s="752" t="s">
        <v>76</v>
      </c>
      <c r="H36" s="753"/>
      <c r="I36" s="665">
        <f>I34*I35</f>
        <v>120</v>
      </c>
      <c r="J36" s="751"/>
    </row>
    <row r="37" spans="1:10" ht="16.5">
      <c r="A37" s="716" t="s">
        <v>77</v>
      </c>
      <c r="B37" s="750"/>
      <c r="C37" s="659">
        <f>1-C32-C33-C34-C35-C36</f>
        <v>0</v>
      </c>
      <c r="D37" s="747" t="s">
        <v>78</v>
      </c>
      <c r="E37" s="747"/>
      <c r="F37" s="718">
        <v>0.03</v>
      </c>
      <c r="G37" s="754" t="s">
        <v>79</v>
      </c>
      <c r="H37" s="755"/>
      <c r="I37" s="719">
        <v>44713</v>
      </c>
      <c r="J37" s="751"/>
    </row>
    <row r="38" spans="1:10" ht="16.5" customHeight="1">
      <c r="A38" s="720" t="s">
        <v>80</v>
      </c>
      <c r="B38" s="744" t="s">
        <v>81</v>
      </c>
      <c r="C38" s="658">
        <v>1</v>
      </c>
      <c r="D38" s="747" t="s">
        <v>82</v>
      </c>
      <c r="E38" s="747"/>
      <c r="F38" s="721">
        <v>5000</v>
      </c>
      <c r="G38" s="711" t="s">
        <v>83</v>
      </c>
      <c r="H38" s="234">
        <f>IFERROR('Capital Expenditures'!G43,0)</f>
        <v>0</v>
      </c>
      <c r="I38" s="213">
        <f ca="1">IFERROR(J38/SUM($J$30,$J$31,$J$38,$J$39),0)</f>
        <v>0</v>
      </c>
      <c r="J38" s="713">
        <f>IFERROR(H38/FX_RATE,0)</f>
        <v>0</v>
      </c>
    </row>
    <row r="39" spans="1:10" ht="16.5" thickBot="1">
      <c r="A39" s="720" t="s">
        <v>84</v>
      </c>
      <c r="B39" s="745"/>
      <c r="C39" s="658">
        <v>0</v>
      </c>
      <c r="D39" s="747" t="s">
        <v>85</v>
      </c>
      <c r="E39" s="747"/>
      <c r="F39" s="722">
        <f>'OPEREX, PAYROL'!B29</f>
        <v>64</v>
      </c>
      <c r="G39" s="723" t="s">
        <v>86</v>
      </c>
      <c r="H39" s="235">
        <f>'OPEREX, PAYROL'!R90*FX_RATE</f>
        <v>0</v>
      </c>
      <c r="I39" s="283">
        <f ca="1">IFERROR(J39/SUM($J$30,$J$31,$J$38,$J$39),0)</f>
        <v>0</v>
      </c>
      <c r="J39" s="724">
        <f>IFERROR(H39/FX_RATE,0)</f>
        <v>0</v>
      </c>
    </row>
    <row r="40" spans="1:10" ht="15.75">
      <c r="A40" s="720" t="s">
        <v>87</v>
      </c>
      <c r="B40" s="745"/>
      <c r="C40" s="658">
        <v>0</v>
      </c>
      <c r="D40" s="725" t="s">
        <v>88</v>
      </c>
      <c r="E40" s="726"/>
      <c r="F40" s="727"/>
      <c r="G40" s="728"/>
    </row>
    <row r="41" spans="1:10" ht="15.75">
      <c r="A41" s="720" t="s">
        <v>89</v>
      </c>
      <c r="B41" s="745"/>
      <c r="C41" s="658">
        <v>0</v>
      </c>
      <c r="D41" s="725" t="s">
        <v>90</v>
      </c>
      <c r="E41" s="726"/>
      <c r="F41" s="727"/>
    </row>
    <row r="42" spans="1:10" ht="15.75">
      <c r="A42" s="720" t="s">
        <v>91</v>
      </c>
      <c r="B42" s="745"/>
      <c r="C42" s="658">
        <v>0</v>
      </c>
      <c r="D42" s="725" t="s">
        <v>92</v>
      </c>
      <c r="E42" s="726"/>
      <c r="F42" s="727"/>
    </row>
    <row r="43" spans="1:10" ht="15.75">
      <c r="A43" s="720" t="s">
        <v>93</v>
      </c>
      <c r="B43" s="746"/>
      <c r="C43" s="660">
        <f t="array" ref="C43">1-C38-C39-C40-C41-C42</f>
        <v>0</v>
      </c>
      <c r="D43" s="725" t="s">
        <v>94</v>
      </c>
      <c r="E43" s="726"/>
      <c r="F43" s="727"/>
    </row>
    <row r="44" spans="1:10" ht="23.25" customHeight="1" thickBot="1">
      <c r="A44" s="204" t="s">
        <v>95</v>
      </c>
      <c r="B44" s="204"/>
      <c r="C44" s="204"/>
    </row>
    <row r="45" spans="1:10" ht="39" customHeight="1">
      <c r="A45" s="200" t="s">
        <v>96</v>
      </c>
      <c r="B45" s="200" t="s">
        <v>97</v>
      </c>
      <c r="C45" s="200" t="s">
        <v>98</v>
      </c>
      <c r="D45" s="200" t="s">
        <v>99</v>
      </c>
      <c r="E45" s="200" t="s">
        <v>100</v>
      </c>
      <c r="F45" s="200" t="s">
        <v>101</v>
      </c>
      <c r="G45" s="200" t="s">
        <v>102</v>
      </c>
      <c r="H45" s="200" t="s">
        <v>103</v>
      </c>
      <c r="I45" s="200" t="s">
        <v>104</v>
      </c>
      <c r="J45" s="200" t="s">
        <v>105</v>
      </c>
    </row>
    <row r="46" spans="1:10" ht="20.100000000000001" customHeight="1">
      <c r="A46" s="280" t="s">
        <v>106</v>
      </c>
      <c r="B46" s="301" t="s">
        <v>107</v>
      </c>
      <c r="C46" s="301" t="s">
        <v>107</v>
      </c>
      <c r="D46" s="301">
        <v>1</v>
      </c>
      <c r="E46" s="281">
        <v>10.5</v>
      </c>
      <c r="F46" s="214">
        <f>IFERROR(Table17[[#This Row],[Unit Price in LC]]/FX_RATE,0)</f>
        <v>3.28125</v>
      </c>
      <c r="G46" s="215">
        <f>'Sales, Production, &amp; Other Assu'!P19*Capacity</f>
        <v>1723680</v>
      </c>
      <c r="H46" s="216">
        <f>Table17[[#This Row],[Unit Price in Study Currency]]*Table17[[#This Row],[Projected Sales Qt - Year 1]]</f>
        <v>5655825</v>
      </c>
      <c r="I46" s="216">
        <f>Table17[[#This Row],[BEP in Quantities]]*Table17[[#This Row],[Unit Price in Study Currency]]</f>
        <v>5262244.8517211648</v>
      </c>
      <c r="J46" s="28">
        <f>'BEP. &amp; Summary Results'!O6</f>
        <v>1603731.7643340693</v>
      </c>
    </row>
    <row r="47" spans="1:10" ht="20.100000000000001" customHeight="1">
      <c r="A47" s="280" t="s">
        <v>108</v>
      </c>
      <c r="B47" s="301" t="s">
        <v>107</v>
      </c>
      <c r="C47" s="301" t="s">
        <v>107</v>
      </c>
      <c r="D47" s="301">
        <v>1</v>
      </c>
      <c r="E47" s="281">
        <v>10.5</v>
      </c>
      <c r="F47" s="214">
        <f>IFERROR(Table17[[#This Row],[Unit Price in LC]]/FX_RATE,0)</f>
        <v>3.28125</v>
      </c>
      <c r="G47" s="215">
        <f>'Sales, Production, &amp; Other Assu'!P20*Capacity</f>
        <v>648000</v>
      </c>
      <c r="H47" s="216">
        <f>Table17[[#This Row],[Unit Price in Study Currency]]*Table17[[#This Row],[Projected Sales Qt - Year 1]]</f>
        <v>2126250</v>
      </c>
      <c r="I47" s="216">
        <f>Table17[[#This Row],[BEP in Quantities]]*Table17[[#This Row],[Unit Price in Study Currency]]</f>
        <v>1978287.5382410393</v>
      </c>
      <c r="J47" s="28">
        <f>'BEP. &amp; Summary Results'!O7</f>
        <v>602906.67832107865</v>
      </c>
    </row>
    <row r="48" spans="1:10" ht="20.100000000000001" customHeight="1">
      <c r="A48" s="280" t="s">
        <v>109</v>
      </c>
      <c r="B48" s="301" t="s">
        <v>107</v>
      </c>
      <c r="C48" s="301" t="s">
        <v>107</v>
      </c>
      <c r="D48" s="301">
        <v>1</v>
      </c>
      <c r="E48" s="281">
        <v>2.4</v>
      </c>
      <c r="F48" s="214">
        <f>IFERROR(Table17[[#This Row],[Unit Price in LC]]/FX_RATE,0)</f>
        <v>0.74999999999999989</v>
      </c>
      <c r="G48" s="215">
        <f>'Sales, Production, &amp; Other Assu'!P21*Capacity</f>
        <v>738720</v>
      </c>
      <c r="H48" s="216">
        <f>Table17[[#This Row],[Unit Price in Study Currency]]*Table17[[#This Row],[Projected Sales Qt - Year 1]]</f>
        <v>554039.99999999988</v>
      </c>
      <c r="I48" s="216">
        <f>Table17[[#This Row],[BEP in Quantities]]*Table17[[#This Row],[Unit Price in Study Currency]]</f>
        <v>280316.22833192389</v>
      </c>
      <c r="J48" s="28">
        <f>'BEP. &amp; Summary Results'!O8</f>
        <v>373754.97110923193</v>
      </c>
    </row>
    <row r="49" spans="1:10" ht="20.100000000000001" hidden="1" customHeight="1">
      <c r="A49" s="280"/>
      <c r="B49" s="301"/>
      <c r="C49" s="301"/>
      <c r="D49" s="301"/>
      <c r="E49" s="281"/>
      <c r="F49" s="214">
        <f>IFERROR(Table17[[#This Row],[Unit Price in LC]]/FX_RATE,0)</f>
        <v>0</v>
      </c>
      <c r="G49" s="215">
        <f>'Sales, Production, &amp; Other Assu'!P22*Capacity</f>
        <v>0</v>
      </c>
      <c r="H49" s="216">
        <f>Table17[[#This Row],[Unit Price in Study Currency]]*Table17[[#This Row],[Projected Sales Qt - Year 1]]</f>
        <v>0</v>
      </c>
      <c r="I49" s="216">
        <f>Table17[[#This Row],[BEP in Quantities]]*Table17[[#This Row],[Unit Price in Study Currency]]</f>
        <v>0</v>
      </c>
      <c r="J49" s="28">
        <f>'BEP. &amp; Summary Results'!O9</f>
        <v>0</v>
      </c>
    </row>
    <row r="50" spans="1:10" ht="20.100000000000001" hidden="1" customHeight="1">
      <c r="A50" s="280"/>
      <c r="B50" s="301"/>
      <c r="C50" s="301"/>
      <c r="D50" s="301"/>
      <c r="E50" s="281"/>
      <c r="F50" s="214">
        <f>IFERROR(Table17[[#This Row],[Unit Price in LC]]/FX_RATE,0)</f>
        <v>0</v>
      </c>
      <c r="G50" s="215">
        <f>'Sales, Production, &amp; Other Assu'!P23*Capacity</f>
        <v>0</v>
      </c>
      <c r="H50" s="216">
        <f>Table17[[#This Row],[Unit Price in Study Currency]]*Table17[[#This Row],[Projected Sales Qt - Year 1]]</f>
        <v>0</v>
      </c>
      <c r="I50" s="216">
        <f>Table17[[#This Row],[BEP in Quantities]]*Table17[[#This Row],[Unit Price in Study Currency]]</f>
        <v>0</v>
      </c>
      <c r="J50" s="28">
        <f>'BEP. &amp; Summary Results'!O10</f>
        <v>0</v>
      </c>
    </row>
    <row r="51" spans="1:10" ht="20.100000000000001" hidden="1" customHeight="1">
      <c r="A51" s="280"/>
      <c r="B51" s="301"/>
      <c r="C51" s="301"/>
      <c r="D51" s="301"/>
      <c r="E51" s="281"/>
      <c r="F51" s="214">
        <f>IFERROR(Table17[[#This Row],[Unit Price in LC]]/FX_RATE,0)</f>
        <v>0</v>
      </c>
      <c r="G51" s="215">
        <f>'Sales, Production, &amp; Other Assu'!P24*Capacity</f>
        <v>0</v>
      </c>
      <c r="H51" s="216">
        <f>Table17[[#This Row],[Unit Price in Study Currency]]*Table17[[#This Row],[Projected Sales Qt - Year 1]]</f>
        <v>0</v>
      </c>
      <c r="I51" s="216">
        <f>Table17[[#This Row],[BEP in Quantities]]*Table17[[#This Row],[Unit Price in Study Currency]]</f>
        <v>0</v>
      </c>
      <c r="J51" s="28">
        <f>'BEP. &amp; Summary Results'!O11</f>
        <v>0</v>
      </c>
    </row>
    <row r="52" spans="1:10" ht="20.100000000000001" hidden="1" customHeight="1">
      <c r="A52" s="280"/>
      <c r="B52" s="301"/>
      <c r="C52" s="301"/>
      <c r="D52" s="301"/>
      <c r="E52" s="281"/>
      <c r="F52" s="214">
        <f>IFERROR(Table17[[#This Row],[Unit Price in LC]]/FX_RATE,0)</f>
        <v>0</v>
      </c>
      <c r="G52" s="215">
        <f>'Sales, Production, &amp; Other Assu'!P25*Capacity</f>
        <v>0</v>
      </c>
      <c r="H52" s="216">
        <f>Table17[[#This Row],[Unit Price in Study Currency]]*Table17[[#This Row],[Projected Sales Qt - Year 1]]</f>
        <v>0</v>
      </c>
      <c r="I52" s="216">
        <f>Table17[[#This Row],[BEP in Quantities]]*Table17[[#This Row],[Unit Price in Study Currency]]</f>
        <v>0</v>
      </c>
      <c r="J52" s="28">
        <f>'BEP. &amp; Summary Results'!O12</f>
        <v>0</v>
      </c>
    </row>
    <row r="53" spans="1:10" ht="20.100000000000001" hidden="1" customHeight="1">
      <c r="A53" s="280"/>
      <c r="B53" s="301"/>
      <c r="C53" s="301"/>
      <c r="D53" s="301"/>
      <c r="E53" s="281"/>
      <c r="F53" s="214">
        <f>IFERROR(Table17[[#This Row],[Unit Price in LC]]/FX_RATE,0)</f>
        <v>0</v>
      </c>
      <c r="G53" s="215">
        <f>'Sales, Production, &amp; Other Assu'!P26*Capacity</f>
        <v>0</v>
      </c>
      <c r="H53" s="216">
        <f>Table17[[#This Row],[Unit Price in Study Currency]]*Table17[[#This Row],[Projected Sales Qt - Year 1]]</f>
        <v>0</v>
      </c>
      <c r="I53" s="216">
        <f>Table17[[#This Row],[BEP in Quantities]]*Table17[[#This Row],[Unit Price in Study Currency]]</f>
        <v>0</v>
      </c>
      <c r="J53" s="28">
        <f>'BEP. &amp; Summary Results'!O13</f>
        <v>0</v>
      </c>
    </row>
    <row r="54" spans="1:10" ht="20.100000000000001" hidden="1" customHeight="1">
      <c r="A54" s="280"/>
      <c r="B54" s="301"/>
      <c r="C54" s="301"/>
      <c r="D54" s="301"/>
      <c r="E54" s="281"/>
      <c r="F54" s="214">
        <f>IFERROR(Table17[[#This Row],[Unit Price in LC]]/FX_RATE,0)</f>
        <v>0</v>
      </c>
      <c r="G54" s="215">
        <f>'Sales, Production, &amp; Other Assu'!P27*Capacity</f>
        <v>0</v>
      </c>
      <c r="H54" s="216">
        <f>Table17[[#This Row],[Unit Price in Study Currency]]*Table17[[#This Row],[Projected Sales Qt - Year 1]]</f>
        <v>0</v>
      </c>
      <c r="I54" s="216">
        <f>Table17[[#This Row],[BEP in Quantities]]*Table17[[#This Row],[Unit Price in Study Currency]]</f>
        <v>0</v>
      </c>
      <c r="J54" s="28">
        <f>'BEP. &amp; Summary Results'!O14</f>
        <v>0</v>
      </c>
    </row>
    <row r="55" spans="1:10" ht="20.100000000000001" hidden="1" customHeight="1">
      <c r="A55" s="280"/>
      <c r="B55" s="301"/>
      <c r="C55" s="301"/>
      <c r="D55" s="301"/>
      <c r="E55" s="281"/>
      <c r="F55" s="214">
        <f>IFERROR(Table17[[#This Row],[Unit Price in LC]]/FX_RATE,0)</f>
        <v>0</v>
      </c>
      <c r="G55" s="215">
        <f>'Sales, Production, &amp; Other Assu'!P28*Capacity</f>
        <v>0</v>
      </c>
      <c r="H55" s="216">
        <f>Table17[[#This Row],[Unit Price in Study Currency]]*Table17[[#This Row],[Projected Sales Qt - Year 1]]</f>
        <v>0</v>
      </c>
      <c r="I55" s="216">
        <f>Table17[[#This Row],[BEP in Quantities]]*Table17[[#This Row],[Unit Price in Study Currency]]</f>
        <v>0</v>
      </c>
      <c r="J55" s="28">
        <f>'BEP. &amp; Summary Results'!O15</f>
        <v>0</v>
      </c>
    </row>
    <row r="56" spans="1:10" ht="20.100000000000001" hidden="1" customHeight="1">
      <c r="A56" s="280"/>
      <c r="B56" s="301"/>
      <c r="C56" s="301"/>
      <c r="D56" s="301"/>
      <c r="E56" s="281"/>
      <c r="F56" s="214">
        <f>IFERROR(Table17[[#This Row],[Unit Price in LC]]/FX_RATE,0)</f>
        <v>0</v>
      </c>
      <c r="G56" s="215">
        <f>'Sales, Production, &amp; Other Assu'!P29*Capacity</f>
        <v>0</v>
      </c>
      <c r="H56" s="216">
        <f>Table17[[#This Row],[Unit Price in Study Currency]]*Table17[[#This Row],[Projected Sales Qt - Year 1]]</f>
        <v>0</v>
      </c>
      <c r="I56" s="216">
        <f>Table17[[#This Row],[BEP in Quantities]]*Table17[[#This Row],[Unit Price in Study Currency]]</f>
        <v>0</v>
      </c>
      <c r="J56" s="28">
        <f>'BEP. &amp; Summary Results'!O16</f>
        <v>0</v>
      </c>
    </row>
    <row r="57" spans="1:10" ht="20.100000000000001" hidden="1" customHeight="1">
      <c r="A57" s="280"/>
      <c r="B57" s="301"/>
      <c r="C57" s="301"/>
      <c r="D57" s="301"/>
      <c r="E57" s="281"/>
      <c r="F57" s="214">
        <f>IFERROR(Table17[[#This Row],[Unit Price in LC]]/FX_RATE,0)</f>
        <v>0</v>
      </c>
      <c r="G57" s="215">
        <f>'Sales, Production, &amp; Other Assu'!P30*Capacity</f>
        <v>0</v>
      </c>
      <c r="H57" s="216">
        <f>Table17[[#This Row],[Unit Price in Study Currency]]*Table17[[#This Row],[Projected Sales Qt - Year 1]]</f>
        <v>0</v>
      </c>
      <c r="I57" s="216">
        <f>Table17[[#This Row],[BEP in Quantities]]*Table17[[#This Row],[Unit Price in Study Currency]]</f>
        <v>0</v>
      </c>
      <c r="J57" s="28">
        <f>'BEP. &amp; Summary Results'!O17</f>
        <v>0</v>
      </c>
    </row>
    <row r="58" spans="1:10" ht="20.100000000000001" hidden="1" customHeight="1">
      <c r="A58" s="280"/>
      <c r="B58" s="301"/>
      <c r="C58" s="301"/>
      <c r="D58" s="301"/>
      <c r="E58" s="281"/>
      <c r="F58" s="214">
        <f>IFERROR(Table17[[#This Row],[Unit Price in LC]]/FX_RATE,0)</f>
        <v>0</v>
      </c>
      <c r="G58" s="215">
        <f>'Sales, Production, &amp; Other Assu'!P31*Capacity</f>
        <v>0</v>
      </c>
      <c r="H58" s="216">
        <f>Table17[[#This Row],[Unit Price in Study Currency]]*Table17[[#This Row],[Projected Sales Qt - Year 1]]</f>
        <v>0</v>
      </c>
      <c r="I58" s="216">
        <f>Table17[[#This Row],[BEP in Quantities]]*Table17[[#This Row],[Unit Price in Study Currency]]</f>
        <v>0</v>
      </c>
      <c r="J58" s="28">
        <f>'BEP. &amp; Summary Results'!O18</f>
        <v>0</v>
      </c>
    </row>
    <row r="59" spans="1:10" ht="20.100000000000001" hidden="1" customHeight="1">
      <c r="A59" s="280"/>
      <c r="B59" s="301"/>
      <c r="C59" s="301"/>
      <c r="D59" s="301"/>
      <c r="E59" s="281"/>
      <c r="F59" s="214">
        <f>IFERROR(Table17[[#This Row],[Unit Price in LC]]/FX_RATE,0)</f>
        <v>0</v>
      </c>
      <c r="G59" s="215">
        <f>'Sales, Production, &amp; Other Assu'!P32*Capacity</f>
        <v>0</v>
      </c>
      <c r="H59" s="216">
        <f>Table17[[#This Row],[Unit Price in Study Currency]]*Table17[[#This Row],[Projected Sales Qt - Year 1]]</f>
        <v>0</v>
      </c>
      <c r="I59" s="216">
        <f>Table17[[#This Row],[BEP in Quantities]]*Table17[[#This Row],[Unit Price in Study Currency]]</f>
        <v>0</v>
      </c>
      <c r="J59" s="28">
        <f>'BEP. &amp; Summary Results'!O19</f>
        <v>0</v>
      </c>
    </row>
    <row r="60" spans="1:10" ht="20.100000000000001" hidden="1" customHeight="1">
      <c r="A60" s="280"/>
      <c r="B60" s="301"/>
      <c r="C60" s="301"/>
      <c r="D60" s="301"/>
      <c r="E60" s="281"/>
      <c r="F60" s="214">
        <f>IFERROR(Table17[[#This Row],[Unit Price in LC]]/FX_RATE,0)</f>
        <v>0</v>
      </c>
      <c r="G60" s="215">
        <f>'Sales, Production, &amp; Other Assu'!P33*Capacity</f>
        <v>0</v>
      </c>
      <c r="H60" s="216">
        <f>Table17[[#This Row],[Unit Price in Study Currency]]*Table17[[#This Row],[Projected Sales Qt - Year 1]]</f>
        <v>0</v>
      </c>
      <c r="I60" s="216">
        <f>Table17[[#This Row],[BEP in Quantities]]*Table17[[#This Row],[Unit Price in Study Currency]]</f>
        <v>0</v>
      </c>
      <c r="J60" s="28">
        <f>'BEP. &amp; Summary Results'!O20</f>
        <v>0</v>
      </c>
    </row>
    <row r="61" spans="1:10" ht="20.100000000000001" hidden="1" customHeight="1">
      <c r="A61" s="280"/>
      <c r="B61" s="301"/>
      <c r="C61" s="301"/>
      <c r="D61" s="301"/>
      <c r="E61" s="281"/>
      <c r="F61" s="214">
        <f>IFERROR(Table17[[#This Row],[Unit Price in LC]]/FX_RATE,0)</f>
        <v>0</v>
      </c>
      <c r="G61" s="215">
        <f>'Sales, Production, &amp; Other Assu'!P34*Capacity</f>
        <v>0</v>
      </c>
      <c r="H61" s="216">
        <f>Table17[[#This Row],[Unit Price in Study Currency]]*Table17[[#This Row],[Projected Sales Qt - Year 1]]</f>
        <v>0</v>
      </c>
      <c r="I61" s="216">
        <f>Table17[[#This Row],[BEP in Quantities]]*Table17[[#This Row],[Unit Price in Study Currency]]</f>
        <v>0</v>
      </c>
      <c r="J61" s="28">
        <f>'BEP. &amp; Summary Results'!O21</f>
        <v>0</v>
      </c>
    </row>
    <row r="62" spans="1:10" ht="20.100000000000001" hidden="1" customHeight="1">
      <c r="A62" s="280"/>
      <c r="B62" s="301"/>
      <c r="C62" s="301"/>
      <c r="D62" s="301"/>
      <c r="E62" s="281"/>
      <c r="F62" s="214">
        <f>IFERROR(Table17[[#This Row],[Unit Price in LC]]/FX_RATE,0)</f>
        <v>0</v>
      </c>
      <c r="G62" s="215">
        <f>'Sales, Production, &amp; Other Assu'!P35*Capacity</f>
        <v>0</v>
      </c>
      <c r="H62" s="216">
        <f>Table17[[#This Row],[Unit Price in Study Currency]]*Table17[[#This Row],[Projected Sales Qt - Year 1]]</f>
        <v>0</v>
      </c>
      <c r="I62" s="216">
        <f>Table17[[#This Row],[BEP in Quantities]]*Table17[[#This Row],[Unit Price in Study Currency]]</f>
        <v>0</v>
      </c>
      <c r="J62" s="28">
        <f>'BEP. &amp; Summary Results'!O22</f>
        <v>0</v>
      </c>
    </row>
    <row r="63" spans="1:10" ht="20.100000000000001" hidden="1" customHeight="1">
      <c r="A63" s="280"/>
      <c r="B63" s="301"/>
      <c r="C63" s="301"/>
      <c r="D63" s="301"/>
      <c r="E63" s="281"/>
      <c r="F63" s="214">
        <f>IFERROR(Table17[[#This Row],[Unit Price in LC]]/FX_RATE,0)</f>
        <v>0</v>
      </c>
      <c r="G63" s="215">
        <f>'Sales, Production, &amp; Other Assu'!P36*Capacity</f>
        <v>0</v>
      </c>
      <c r="H63" s="216">
        <f>Table17[[#This Row],[Unit Price in Study Currency]]*Table17[[#This Row],[Projected Sales Qt - Year 1]]</f>
        <v>0</v>
      </c>
      <c r="I63" s="216">
        <f>Table17[[#This Row],[BEP in Quantities]]*Table17[[#This Row],[Unit Price in Study Currency]]</f>
        <v>0</v>
      </c>
      <c r="J63" s="28">
        <f>'BEP. &amp; Summary Results'!O23</f>
        <v>0</v>
      </c>
    </row>
    <row r="64" spans="1:10" ht="20.100000000000001" hidden="1" customHeight="1">
      <c r="A64" s="280"/>
      <c r="B64" s="301"/>
      <c r="C64" s="301"/>
      <c r="D64" s="301"/>
      <c r="E64" s="281"/>
      <c r="F64" s="214">
        <f>IFERROR(Table17[[#This Row],[Unit Price in LC]]/FX_RATE,0)</f>
        <v>0</v>
      </c>
      <c r="G64" s="215">
        <f>'Sales, Production, &amp; Other Assu'!P37*Capacity</f>
        <v>0</v>
      </c>
      <c r="H64" s="216">
        <f>Table17[[#This Row],[Unit Price in Study Currency]]*Table17[[#This Row],[Projected Sales Qt - Year 1]]</f>
        <v>0</v>
      </c>
      <c r="I64" s="216">
        <f>Table17[[#This Row],[BEP in Quantities]]*Table17[[#This Row],[Unit Price in Study Currency]]</f>
        <v>0</v>
      </c>
      <c r="J64" s="28">
        <f>'BEP. &amp; Summary Results'!O24</f>
        <v>0</v>
      </c>
    </row>
    <row r="65" spans="1:12" ht="20.100000000000001" hidden="1" customHeight="1">
      <c r="A65" s="280"/>
      <c r="B65" s="301"/>
      <c r="C65" s="301"/>
      <c r="D65" s="301"/>
      <c r="E65" s="281"/>
      <c r="F65" s="214">
        <f>IFERROR(Table17[[#This Row],[Unit Price in LC]]/FX_RATE,0)</f>
        <v>0</v>
      </c>
      <c r="G65" s="215">
        <f>'Sales, Production, &amp; Other Assu'!P38*Capacity</f>
        <v>0</v>
      </c>
      <c r="H65" s="216">
        <f>Table17[[#This Row],[Unit Price in Study Currency]]*Table17[[#This Row],[Projected Sales Qt - Year 1]]</f>
        <v>0</v>
      </c>
      <c r="I65" s="216">
        <f>Table17[[#This Row],[BEP in Quantities]]*Table17[[#This Row],[Unit Price in Study Currency]]</f>
        <v>0</v>
      </c>
      <c r="J65" s="28">
        <f>'BEP. &amp; Summary Results'!O25</f>
        <v>0</v>
      </c>
    </row>
    <row r="66" spans="1:12" ht="20.100000000000001" hidden="1" customHeight="1">
      <c r="A66" s="280"/>
      <c r="B66" s="301"/>
      <c r="C66" s="301"/>
      <c r="D66" s="301"/>
      <c r="E66" s="281"/>
      <c r="F66" s="214">
        <f>IFERROR(Table17[[#This Row],[Unit Price in LC]]/FX_RATE,0)</f>
        <v>0</v>
      </c>
      <c r="G66" s="215">
        <f>'Sales, Production, &amp; Other Assu'!P39*Capacity</f>
        <v>0</v>
      </c>
      <c r="H66" s="216">
        <f>Table17[[#This Row],[Unit Price in Study Currency]]*Table17[[#This Row],[Projected Sales Qt - Year 1]]</f>
        <v>0</v>
      </c>
      <c r="I66" s="216">
        <f>Table17[[#This Row],[BEP in Quantities]]*Table17[[#This Row],[Unit Price in Study Currency]]</f>
        <v>0</v>
      </c>
      <c r="J66" s="28">
        <f>'BEP. &amp; Summary Results'!O26</f>
        <v>0</v>
      </c>
    </row>
    <row r="67" spans="1:12" ht="20.100000000000001" hidden="1" customHeight="1">
      <c r="A67" s="280"/>
      <c r="B67" s="301"/>
      <c r="C67" s="301"/>
      <c r="D67" s="301"/>
      <c r="E67" s="281"/>
      <c r="F67" s="214">
        <f>IFERROR(Table17[[#This Row],[Unit Price in LC]]/FX_RATE,0)</f>
        <v>0</v>
      </c>
      <c r="G67" s="215">
        <f>'Sales, Production, &amp; Other Assu'!P40*Capacity</f>
        <v>0</v>
      </c>
      <c r="H67" s="216">
        <f>Table17[[#This Row],[Unit Price in Study Currency]]*Table17[[#This Row],[Projected Sales Qt - Year 1]]</f>
        <v>0</v>
      </c>
      <c r="I67" s="216">
        <f>Table17[[#This Row],[BEP in Quantities]]*Table17[[#This Row],[Unit Price in Study Currency]]</f>
        <v>0</v>
      </c>
      <c r="J67" s="28">
        <f>'BEP. &amp; Summary Results'!O27</f>
        <v>0</v>
      </c>
    </row>
    <row r="68" spans="1:12" ht="20.100000000000001" hidden="1" customHeight="1">
      <c r="A68" s="280"/>
      <c r="B68" s="301"/>
      <c r="C68" s="301"/>
      <c r="D68" s="301"/>
      <c r="E68" s="281"/>
      <c r="F68" s="214">
        <f>IFERROR(Table17[[#This Row],[Unit Price in LC]]/FX_RATE,0)</f>
        <v>0</v>
      </c>
      <c r="G68" s="215">
        <f>'Sales, Production, &amp; Other Assu'!P41*Capacity</f>
        <v>0</v>
      </c>
      <c r="H68" s="216">
        <f>Table17[[#This Row],[Unit Price in Study Currency]]*Table17[[#This Row],[Projected Sales Qt - Year 1]]</f>
        <v>0</v>
      </c>
      <c r="I68" s="216">
        <f>Table17[[#This Row],[BEP in Quantities]]*Table17[[#This Row],[Unit Price in Study Currency]]</f>
        <v>0</v>
      </c>
      <c r="J68" s="28">
        <f>'BEP. &amp; Summary Results'!O28</f>
        <v>0</v>
      </c>
      <c r="L68" s="1"/>
    </row>
    <row r="69" spans="1:12" ht="20.100000000000001" hidden="1" customHeight="1">
      <c r="A69" s="280"/>
      <c r="B69" s="301"/>
      <c r="C69" s="301"/>
      <c r="D69" s="301"/>
      <c r="E69" s="281"/>
      <c r="F69" s="214">
        <f>IFERROR(Table17[[#This Row],[Unit Price in LC]]/FX_RATE,0)</f>
        <v>0</v>
      </c>
      <c r="G69" s="215">
        <f>'Sales, Production, &amp; Other Assu'!P42*Capacity</f>
        <v>0</v>
      </c>
      <c r="H69" s="216">
        <f>Table17[[#This Row],[Unit Price in Study Currency]]*Table17[[#This Row],[Projected Sales Qt - Year 1]]</f>
        <v>0</v>
      </c>
      <c r="I69" s="216">
        <f>Table17[[#This Row],[BEP in Quantities]]*Table17[[#This Row],[Unit Price in Study Currency]]</f>
        <v>0</v>
      </c>
      <c r="J69" s="28">
        <f>'BEP. &amp; Summary Results'!O29</f>
        <v>0</v>
      </c>
      <c r="L69" s="1"/>
    </row>
    <row r="70" spans="1:12" ht="20.100000000000001" hidden="1" customHeight="1">
      <c r="A70" s="280"/>
      <c r="B70" s="301"/>
      <c r="C70" s="301"/>
      <c r="D70" s="301"/>
      <c r="E70" s="281"/>
      <c r="F70" s="214">
        <f>IFERROR(Table17[[#This Row],[Unit Price in LC]]/FX_RATE,0)</f>
        <v>0</v>
      </c>
      <c r="G70" s="215">
        <f>'Sales, Production, &amp; Other Assu'!P43*Capacity</f>
        <v>0</v>
      </c>
      <c r="H70" s="216">
        <f>Table17[[#This Row],[Unit Price in Study Currency]]*Table17[[#This Row],[Projected Sales Qt - Year 1]]</f>
        <v>0</v>
      </c>
      <c r="I70" s="216">
        <f>Table17[[#This Row],[BEP in Quantities]]*Table17[[#This Row],[Unit Price in Study Currency]]</f>
        <v>0</v>
      </c>
      <c r="J70" s="28">
        <f>'BEP. &amp; Summary Results'!O30</f>
        <v>0</v>
      </c>
      <c r="L70" s="1"/>
    </row>
    <row r="71" spans="1:12" ht="20.100000000000001" hidden="1" customHeight="1">
      <c r="A71" s="280"/>
      <c r="B71" s="301"/>
      <c r="C71" s="301"/>
      <c r="D71" s="301"/>
      <c r="E71" s="281"/>
      <c r="F71" s="214">
        <f>IFERROR(Table17[[#This Row],[Unit Price in LC]]/FX_RATE,0)</f>
        <v>0</v>
      </c>
      <c r="G71" s="215">
        <f>'Sales, Production, &amp; Other Assu'!P44*Capacity</f>
        <v>0</v>
      </c>
      <c r="H71" s="216">
        <f>Table17[[#This Row],[Unit Price in Study Currency]]*Table17[[#This Row],[Projected Sales Qt - Year 1]]</f>
        <v>0</v>
      </c>
      <c r="I71" s="216">
        <f>Table17[[#This Row],[BEP in Quantities]]*Table17[[#This Row],[Unit Price in Study Currency]]</f>
        <v>0</v>
      </c>
      <c r="J71" s="28">
        <f>'BEP. &amp; Summary Results'!O31</f>
        <v>0</v>
      </c>
      <c r="L71" s="1"/>
    </row>
    <row r="72" spans="1:12" ht="20.100000000000001" hidden="1" customHeight="1">
      <c r="A72" s="280"/>
      <c r="B72" s="301"/>
      <c r="C72" s="301"/>
      <c r="D72" s="301"/>
      <c r="E72" s="281"/>
      <c r="F72" s="214">
        <f>IFERROR(Table17[[#This Row],[Unit Price in LC]]/FX_RATE,0)</f>
        <v>0</v>
      </c>
      <c r="G72" s="215">
        <f>'Sales, Production, &amp; Other Assu'!P45*Capacity</f>
        <v>0</v>
      </c>
      <c r="H72" s="216">
        <f>Table17[[#This Row],[Unit Price in Study Currency]]*Table17[[#This Row],[Projected Sales Qt - Year 1]]</f>
        <v>0</v>
      </c>
      <c r="I72" s="216">
        <f>Table17[[#This Row],[BEP in Quantities]]*Table17[[#This Row],[Unit Price in Study Currency]]</f>
        <v>0</v>
      </c>
      <c r="J72" s="28">
        <f>'BEP. &amp; Summary Results'!O32</f>
        <v>0</v>
      </c>
    </row>
    <row r="73" spans="1:12" ht="20.100000000000001" hidden="1" customHeight="1">
      <c r="A73" s="280"/>
      <c r="B73" s="301"/>
      <c r="C73" s="301"/>
      <c r="D73" s="301"/>
      <c r="E73" s="281"/>
      <c r="F73" s="214">
        <f>IFERROR(Table17[[#This Row],[Unit Price in LC]]/FX_RATE,0)</f>
        <v>0</v>
      </c>
      <c r="G73" s="215">
        <f>'Sales, Production, &amp; Other Assu'!P46*Capacity</f>
        <v>0</v>
      </c>
      <c r="H73" s="216">
        <f>Table17[[#This Row],[Unit Price in Study Currency]]*Table17[[#This Row],[Projected Sales Qt - Year 1]]</f>
        <v>0</v>
      </c>
      <c r="I73" s="216">
        <f>Table17[[#This Row],[BEP in Quantities]]*Table17[[#This Row],[Unit Price in Study Currency]]</f>
        <v>0</v>
      </c>
      <c r="J73" s="28">
        <f>'BEP. &amp; Summary Results'!O33</f>
        <v>0</v>
      </c>
    </row>
    <row r="74" spans="1:12" ht="20.100000000000001" hidden="1" customHeight="1">
      <c r="A74" s="280"/>
      <c r="B74" s="301"/>
      <c r="C74" s="301"/>
      <c r="D74" s="301"/>
      <c r="E74" s="281"/>
      <c r="F74" s="214">
        <f>IFERROR(Table17[[#This Row],[Unit Price in LC]]/FX_RATE,0)</f>
        <v>0</v>
      </c>
      <c r="G74" s="215">
        <f>'Sales, Production, &amp; Other Assu'!P47*Capacity</f>
        <v>0</v>
      </c>
      <c r="H74" s="216">
        <f>Table17[[#This Row],[Unit Price in Study Currency]]*Table17[[#This Row],[Projected Sales Qt - Year 1]]</f>
        <v>0</v>
      </c>
      <c r="I74" s="216">
        <f>Table17[[#This Row],[BEP in Quantities]]*Table17[[#This Row],[Unit Price in Study Currency]]</f>
        <v>0</v>
      </c>
      <c r="J74" s="28">
        <f>'BEP. &amp; Summary Results'!O34</f>
        <v>0</v>
      </c>
    </row>
    <row r="75" spans="1:12" ht="20.100000000000001" hidden="1" customHeight="1">
      <c r="A75" s="280"/>
      <c r="B75" s="301"/>
      <c r="C75" s="301"/>
      <c r="D75" s="301"/>
      <c r="E75" s="281"/>
      <c r="F75" s="214">
        <f>IFERROR(Table17[[#This Row],[Unit Price in LC]]/FX_RATE,0)</f>
        <v>0</v>
      </c>
      <c r="G75" s="215">
        <f>'Sales, Production, &amp; Other Assu'!P48*Capacity</f>
        <v>0</v>
      </c>
      <c r="H75" s="216">
        <f>Table17[[#This Row],[Unit Price in Study Currency]]*Table17[[#This Row],[Projected Sales Qt - Year 1]]</f>
        <v>0</v>
      </c>
      <c r="I75" s="216">
        <f>Table17[[#This Row],[BEP in Quantities]]*Table17[[#This Row],[Unit Price in Study Currency]]</f>
        <v>0</v>
      </c>
      <c r="J75" s="28">
        <f>'BEP. &amp; Summary Results'!O35</f>
        <v>0</v>
      </c>
    </row>
    <row r="76" spans="1:12" ht="20.100000000000001" customHeight="1">
      <c r="A76" s="729" t="s">
        <v>110</v>
      </c>
      <c r="B76" s="729">
        <f>SUBTOTAL(103,Table17[Product Unit])</f>
        <v>3</v>
      </c>
      <c r="C76" s="729"/>
      <c r="D76" s="729"/>
      <c r="E76" s="729"/>
      <c r="F76" s="729"/>
      <c r="G76" s="1"/>
      <c r="H76" s="1">
        <f>SUBTOTAL(109,Table17[Sales Volume in Study Currency])</f>
        <v>8336115</v>
      </c>
      <c r="I76" s="1"/>
      <c r="J76" s="1"/>
    </row>
    <row r="77" spans="1:12" ht="23.25" customHeight="1" thickBot="1">
      <c r="A77" s="204" t="s">
        <v>111</v>
      </c>
      <c r="B77" s="204"/>
      <c r="C77" s="204"/>
    </row>
    <row r="78" spans="1:12" ht="45" customHeight="1" thickBot="1">
      <c r="A78" s="24" t="s">
        <v>112</v>
      </c>
      <c r="B78" s="24" t="s">
        <v>113</v>
      </c>
      <c r="C78" s="692" t="s">
        <v>114</v>
      </c>
      <c r="D78" s="24" t="s">
        <v>115</v>
      </c>
      <c r="E78" s="24" t="s">
        <v>101</v>
      </c>
      <c r="F78" s="24" t="s">
        <v>116</v>
      </c>
      <c r="G78" s="24" t="s">
        <v>117</v>
      </c>
      <c r="H78" s="24" t="s">
        <v>118</v>
      </c>
    </row>
    <row r="79" spans="1:12" ht="20.100000000000001" customHeight="1">
      <c r="A79" s="236" t="s">
        <v>119</v>
      </c>
      <c r="B79" s="236" t="s">
        <v>120</v>
      </c>
      <c r="C79" s="202" t="s">
        <v>121</v>
      </c>
      <c r="D79" s="238">
        <v>2.048</v>
      </c>
      <c r="E79" s="412">
        <f>Table16[[#This Row],[Unit Price in LC 
(ILS)]]/FX_RATE</f>
        <v>0.64</v>
      </c>
      <c r="F79" s="217">
        <f>SUMIF('Production Matrix'!A:A,Table16[[#This Row],[Raw Material Used]],'Production Matrix'!I:I)</f>
        <v>25693.200000000001</v>
      </c>
      <c r="G79" s="416">
        <f>IFERROR(Table16[[#This Row],[Cost Of Production Cost in Study Cur]]/Table16[[#Totals],[Cost Of Production Cost in Study Cur]],0)</f>
        <v>2.737691433283848E-3</v>
      </c>
      <c r="H79" s="417">
        <f>Table16[[#This Row],[Unit Price in Study Currency]]*Table16[[#This Row],[Quantity Needed]]</f>
        <v>16443.648000000001</v>
      </c>
      <c r="J79" s="106"/>
    </row>
    <row r="80" spans="1:12" ht="20.100000000000001" customHeight="1">
      <c r="A80" s="236" t="s">
        <v>122</v>
      </c>
      <c r="B80" s="236" t="s">
        <v>120</v>
      </c>
      <c r="C80" s="202" t="s">
        <v>121</v>
      </c>
      <c r="D80" s="238">
        <v>6.1217391304347828</v>
      </c>
      <c r="E80" s="50">
        <f>Table16[[#This Row],[Unit Price in LC 
(ILS)]]/FX_RATE</f>
        <v>1.9130434782608696</v>
      </c>
      <c r="F80" s="217">
        <f>SUMIF('Production Matrix'!A:A,Table16[[#This Row],[Raw Material Used]],'Production Matrix'!I:I)</f>
        <v>590943.60000000009</v>
      </c>
      <c r="G80" s="218">
        <f>IFERROR(Table16[[#This Row],[Cost Of Production Cost in Study Cur]]/Table16[[#Totals],[Cost Of Production Cost in Study Cur]],0)</f>
        <v>0.1882162860382646</v>
      </c>
      <c r="H80" s="219">
        <f>Table16[[#This Row],[Unit Price in Study Currency]]*Table16[[#This Row],[Quantity Needed]]</f>
        <v>1130500.8000000003</v>
      </c>
      <c r="J80" s="106"/>
    </row>
    <row r="81" spans="1:10" ht="20.100000000000001" customHeight="1">
      <c r="A81" s="236" t="s">
        <v>123</v>
      </c>
      <c r="B81" s="236" t="s">
        <v>120</v>
      </c>
      <c r="C81" s="202" t="s">
        <v>121</v>
      </c>
      <c r="D81" s="238">
        <v>5.12</v>
      </c>
      <c r="E81" s="50">
        <f>Table16[[#This Row],[Unit Price in LC 
(ILS)]]/FX_RATE</f>
        <v>1.5999999999999999</v>
      </c>
      <c r="F81" s="217">
        <f>SUMIF('Production Matrix'!A:A,Table16[[#This Row],[Raw Material Used]],'Production Matrix'!I:I)</f>
        <v>513864</v>
      </c>
      <c r="G81" s="218">
        <f>IFERROR(Table16[[#This Row],[Cost Of Production Cost in Study Cur]]/Table16[[#Totals],[Cost Of Production Cost in Study Cur]],0)</f>
        <v>0.13688457166419238</v>
      </c>
      <c r="H81" s="219">
        <f>Table16[[#This Row],[Unit Price in Study Currency]]*Table16[[#This Row],[Quantity Needed]]</f>
        <v>822182.39999999991</v>
      </c>
      <c r="J81" s="106"/>
    </row>
    <row r="82" spans="1:10" ht="20.100000000000001" customHeight="1">
      <c r="A82" s="236" t="s">
        <v>124</v>
      </c>
      <c r="B82" s="236" t="s">
        <v>120</v>
      </c>
      <c r="C82" s="202" t="s">
        <v>121</v>
      </c>
      <c r="D82" s="238">
        <v>6.1538461538461533</v>
      </c>
      <c r="E82" s="412">
        <f>Table16[[#This Row],[Unit Price in LC 
(ILS)]]/FX_RATE</f>
        <v>1.9230769230769229</v>
      </c>
      <c r="F82" s="217">
        <f>SUMIF('Production Matrix'!A:A,Table16[[#This Row],[Raw Material Used]],'Production Matrix'!I:I)</f>
        <v>801627.84</v>
      </c>
      <c r="G82" s="416">
        <f>IFERROR(Table16[[#This Row],[Cost Of Production Cost in Study Cur]]/Table16[[#Totals],[Cost Of Production Cost in Study Cur]],0)</f>
        <v>0.25665857187036067</v>
      </c>
      <c r="H82" s="417">
        <f>Table16[[#This Row],[Unit Price in Study Currency]]*Table16[[#This Row],[Quantity Needed]]</f>
        <v>1541591.9999999998</v>
      </c>
      <c r="J82" s="106"/>
    </row>
    <row r="83" spans="1:10" ht="20.100000000000001" customHeight="1">
      <c r="A83" s="236" t="s">
        <v>125</v>
      </c>
      <c r="B83" s="236" t="s">
        <v>120</v>
      </c>
      <c r="C83" s="202" t="s">
        <v>121</v>
      </c>
      <c r="D83" s="238">
        <v>8.6399999999999988</v>
      </c>
      <c r="E83" s="412">
        <f>Table16[[#This Row],[Unit Price in LC 
(ILS)]]/FX_RATE</f>
        <v>2.6999999999999993</v>
      </c>
      <c r="F83" s="217">
        <f>SUMIF('Production Matrix'!A:A,Table16[[#This Row],[Raw Material Used]],'Production Matrix'!I:I)</f>
        <v>205545.60000000001</v>
      </c>
      <c r="G83" s="416">
        <f>IFERROR(Table16[[#This Row],[Cost Of Production Cost in Study Cur]]/Table16[[#Totals],[Cost Of Production Cost in Study Cur]],0)</f>
        <v>9.2397085873329843E-2</v>
      </c>
      <c r="H83" s="417">
        <f>Table16[[#This Row],[Unit Price in Study Currency]]*Table16[[#This Row],[Quantity Needed]]</f>
        <v>554973.11999999988</v>
      </c>
      <c r="J83" s="106"/>
    </row>
    <row r="84" spans="1:10" ht="20.100000000000001" customHeight="1">
      <c r="A84" s="236" t="s">
        <v>126</v>
      </c>
      <c r="B84" s="236" t="s">
        <v>120</v>
      </c>
      <c r="C84" s="202" t="s">
        <v>121</v>
      </c>
      <c r="D84" s="238">
        <v>14.095238095238095</v>
      </c>
      <c r="E84" s="50">
        <f>Table16[[#This Row],[Unit Price in LC 
(ILS)]]/FX_RATE</f>
        <v>4.4047619047619042</v>
      </c>
      <c r="F84" s="217">
        <f>SUMIF('Production Matrix'!A:A,Table16[[#This Row],[Raw Material Used]],'Production Matrix'!I:I)</f>
        <v>107911.44</v>
      </c>
      <c r="G84" s="218">
        <f>IFERROR(Table16[[#This Row],[Cost Of Production Cost in Study Cur]]/Table16[[#Totals],[Cost Of Production Cost in Study Cur]],0)</f>
        <v>7.9136392993361213E-2</v>
      </c>
      <c r="H84" s="219">
        <f>Table16[[#This Row],[Unit Price in Study Currency]]*Table16[[#This Row],[Quantity Needed]]</f>
        <v>475324.19999999995</v>
      </c>
      <c r="J84" s="106"/>
    </row>
    <row r="85" spans="1:10" ht="20.100000000000001" customHeight="1">
      <c r="A85" s="236" t="s">
        <v>127</v>
      </c>
      <c r="B85" s="236" t="s">
        <v>120</v>
      </c>
      <c r="C85" s="202" t="s">
        <v>121</v>
      </c>
      <c r="D85" s="238">
        <v>6.2528735632183921</v>
      </c>
      <c r="E85" s="50">
        <f>Table16[[#This Row],[Unit Price in LC 
(ILS)]]/FX_RATE</f>
        <v>1.9540229885057474</v>
      </c>
      <c r="F85" s="217">
        <f>SUMIF('Production Matrix'!A:A,Table16[[#This Row],[Raw Material Used]],'Production Matrix'!I:I)</f>
        <v>223530.84</v>
      </c>
      <c r="G85" s="218">
        <f>IFERROR(Table16[[#This Row],[Cost Of Production Cost in Study Cur]]/Table16[[#Totals],[Cost Of Production Cost in Study Cur]],0)</f>
        <v>7.2719928696602223E-2</v>
      </c>
      <c r="H85" s="219">
        <f>Table16[[#This Row],[Unit Price in Study Currency]]*Table16[[#This Row],[Quantity Needed]]</f>
        <v>436784.40000000008</v>
      </c>
      <c r="J85" s="106"/>
    </row>
    <row r="86" spans="1:10" ht="20.100000000000001" customHeight="1">
      <c r="A86" s="236" t="s">
        <v>128</v>
      </c>
      <c r="B86" s="236" t="s">
        <v>120</v>
      </c>
      <c r="C86" s="202" t="s">
        <v>121</v>
      </c>
      <c r="D86" s="238">
        <v>22.874074074074077</v>
      </c>
      <c r="E86" s="50">
        <f>Table16[[#This Row],[Unit Price in LC 
(ILS)]]/FX_RATE</f>
        <v>7.1481481481481488</v>
      </c>
      <c r="F86" s="217">
        <f>SUMIF('Production Matrix'!A:A,Table16[[#This Row],[Raw Material Used]],'Production Matrix'!I:I)</f>
        <v>69371.64</v>
      </c>
      <c r="G86" s="218">
        <f>IFERROR(Table16[[#This Row],[Cost Of Production Cost in Study Cur]]/Table16[[#Totals],[Cost Of Production Cost in Study Cur]],0)</f>
        <v>8.2558507284966054E-2</v>
      </c>
      <c r="H86" s="219">
        <f>Table16[[#This Row],[Unit Price in Study Currency]]*Table16[[#This Row],[Quantity Needed]]</f>
        <v>495878.76000000007</v>
      </c>
      <c r="J86" s="106"/>
    </row>
    <row r="87" spans="1:10" ht="20.100000000000001" customHeight="1">
      <c r="A87" s="236" t="s">
        <v>129</v>
      </c>
      <c r="B87" s="236" t="s">
        <v>120</v>
      </c>
      <c r="C87" s="202" t="s">
        <v>121</v>
      </c>
      <c r="D87" s="238">
        <v>29.333333333333332</v>
      </c>
      <c r="E87" s="412">
        <f>Table16[[#This Row],[Unit Price in LC 
(ILS)]]/FX_RATE</f>
        <v>9.1666666666666661</v>
      </c>
      <c r="F87" s="217">
        <f>SUMIF('Production Matrix'!A:A,Table16[[#This Row],[Raw Material Used]],'Production Matrix'!I:I)</f>
        <v>30831.84</v>
      </c>
      <c r="G87" s="416">
        <f>IFERROR(Table16[[#This Row],[Cost Of Production Cost in Study Cur]]/Table16[[#Totals],[Cost Of Production Cost in Study Cur]],0)</f>
        <v>4.7054071509566135E-2</v>
      </c>
      <c r="H87" s="417">
        <f>Table16[[#This Row],[Unit Price in Study Currency]]*Table16[[#This Row],[Quantity Needed]]</f>
        <v>282625.2</v>
      </c>
      <c r="I87" s="220"/>
      <c r="J87" s="106"/>
    </row>
    <row r="88" spans="1:10" ht="20.100000000000001" customHeight="1">
      <c r="A88" s="236" t="s">
        <v>130</v>
      </c>
      <c r="B88" s="236" t="s">
        <v>120</v>
      </c>
      <c r="C88" s="202" t="s">
        <v>131</v>
      </c>
      <c r="D88" s="238">
        <v>1</v>
      </c>
      <c r="E88" s="412">
        <f>Table16[[#This Row],[Unit Price in LC 
(ILS)]]/FX_RATE</f>
        <v>0.3125</v>
      </c>
      <c r="F88" s="217">
        <f>SUMIF('Production Matrix'!A:A,Table16[[#This Row],[Raw Material Used]],'Production Matrix'!I:I)</f>
        <v>800280</v>
      </c>
      <c r="G88" s="416">
        <f>IFERROR(Table16[[#This Row],[Cost Of Production Cost in Study Cur]]/Table16[[#Totals],[Cost Of Production Cost in Study Cur]],0)</f>
        <v>4.1636892636072863E-2</v>
      </c>
      <c r="H88" s="417">
        <f>Table16[[#This Row],[Unit Price in Study Currency]]*Table16[[#This Row],[Quantity Needed]]</f>
        <v>250087.5</v>
      </c>
      <c r="I88" s="221"/>
    </row>
    <row r="89" spans="1:10" ht="20.100000000000001" hidden="1" customHeight="1">
      <c r="A89" s="236"/>
      <c r="B89" s="236"/>
      <c r="C89" s="202"/>
      <c r="D89" s="238"/>
      <c r="E89" s="412">
        <f>Table16[[#This Row],[Unit Price in LC 
(ILS)]]/FX_RATE</f>
        <v>0</v>
      </c>
      <c r="F89" s="217">
        <f>SUMIF('Production Matrix'!A:A,Table16[[#This Row],[Raw Material Used]],'Production Matrix'!I:I)</f>
        <v>0</v>
      </c>
      <c r="G89" s="416">
        <f>IFERROR(Table16[[#This Row],[Cost Of Production Cost in Study Cur]]/Table16[[#Totals],[Cost Of Production Cost in Study Cur]],0)</f>
        <v>0</v>
      </c>
      <c r="H89" s="417">
        <f>Table16[[#This Row],[Unit Price in Study Currency]]*Table16[[#This Row],[Quantity Needed]]</f>
        <v>0</v>
      </c>
    </row>
    <row r="90" spans="1:10" ht="20.100000000000001" hidden="1" customHeight="1">
      <c r="A90" s="236"/>
      <c r="B90" s="236"/>
      <c r="C90" s="202"/>
      <c r="D90" s="238"/>
      <c r="E90" s="412">
        <f>Table16[[#This Row],[Unit Price in LC 
(ILS)]]/FX_RATE</f>
        <v>0</v>
      </c>
      <c r="F90" s="217">
        <f>SUMIF('Production Matrix'!A:A,Table16[[#This Row],[Raw Material Used]],'Production Matrix'!I:I)</f>
        <v>0</v>
      </c>
      <c r="G90" s="416">
        <f>IFERROR(Table16[[#This Row],[Cost Of Production Cost in Study Cur]]/Table16[[#Totals],[Cost Of Production Cost in Study Cur]],0)</f>
        <v>0</v>
      </c>
      <c r="H90" s="417">
        <f>Table16[[#This Row],[Unit Price in Study Currency]]*Table16[[#This Row],[Quantity Needed]]</f>
        <v>0</v>
      </c>
    </row>
    <row r="91" spans="1:10" ht="20.100000000000001" hidden="1" customHeight="1">
      <c r="A91" s="236"/>
      <c r="B91" s="236"/>
      <c r="C91" s="202"/>
      <c r="D91" s="238"/>
      <c r="E91" s="412">
        <f>Table16[[#This Row],[Unit Price in LC 
(ILS)]]/FX_RATE</f>
        <v>0</v>
      </c>
      <c r="F91" s="217">
        <f>SUMIF('Production Matrix'!A:A,Table16[[#This Row],[Raw Material Used]],'Production Matrix'!I:I)</f>
        <v>0</v>
      </c>
      <c r="G91" s="416">
        <f>IFERROR(Table16[[#This Row],[Cost Of Production Cost in Study Cur]]/Table16[[#Totals],[Cost Of Production Cost in Study Cur]],0)</f>
        <v>0</v>
      </c>
      <c r="H91" s="417">
        <f>Table16[[#This Row],[Unit Price in Study Currency]]*Table16[[#This Row],[Quantity Needed]]</f>
        <v>0</v>
      </c>
    </row>
    <row r="92" spans="1:10" ht="20.100000000000001" hidden="1" customHeight="1">
      <c r="A92" s="236"/>
      <c r="B92" s="236"/>
      <c r="C92" s="202"/>
      <c r="D92" s="238"/>
      <c r="E92" s="412">
        <f>Table16[[#This Row],[Unit Price in LC 
(ILS)]]/FX_RATE</f>
        <v>0</v>
      </c>
      <c r="F92" s="217">
        <f>SUMIF('Production Matrix'!A:A,Table16[[#This Row],[Raw Material Used]],'Production Matrix'!I:I)</f>
        <v>0</v>
      </c>
      <c r="G92" s="416">
        <f>IFERROR(Table16[[#This Row],[Cost Of Production Cost in Study Cur]]/Table16[[#Totals],[Cost Of Production Cost in Study Cur]],0)</f>
        <v>0</v>
      </c>
      <c r="H92" s="417">
        <f>Table16[[#This Row],[Unit Price in Study Currency]]*Table16[[#This Row],[Quantity Needed]]</f>
        <v>0</v>
      </c>
    </row>
    <row r="93" spans="1:10" ht="20.100000000000001" hidden="1" customHeight="1">
      <c r="A93" s="236"/>
      <c r="B93" s="236"/>
      <c r="C93" s="202"/>
      <c r="D93" s="238"/>
      <c r="E93" s="412">
        <f>Table16[[#This Row],[Unit Price in LC 
(ILS)]]/FX_RATE</f>
        <v>0</v>
      </c>
      <c r="F93" s="217">
        <f>SUMIF('Production Matrix'!A:A,Table16[[#This Row],[Raw Material Used]],'Production Matrix'!I:I)</f>
        <v>0</v>
      </c>
      <c r="G93" s="416">
        <f>IFERROR(Table16[[#This Row],[Cost Of Production Cost in Study Cur]]/Table16[[#Totals],[Cost Of Production Cost in Study Cur]],0)</f>
        <v>0</v>
      </c>
      <c r="H93" s="417">
        <f>Table16[[#This Row],[Unit Price in Study Currency]]*Table16[[#This Row],[Quantity Needed]]</f>
        <v>0</v>
      </c>
    </row>
    <row r="94" spans="1:10" ht="20.100000000000001" hidden="1" customHeight="1">
      <c r="A94" s="236"/>
      <c r="B94" s="236"/>
      <c r="C94" s="202"/>
      <c r="D94" s="238"/>
      <c r="E94" s="412">
        <f>Table16[[#This Row],[Unit Price in LC 
(ILS)]]/FX_RATE</f>
        <v>0</v>
      </c>
      <c r="F94" s="217">
        <f>SUMIF('Production Matrix'!A:A,Table16[[#This Row],[Raw Material Used]],'Production Matrix'!I:I)</f>
        <v>0</v>
      </c>
      <c r="G94" s="416">
        <f>IFERROR(Table16[[#This Row],[Cost Of Production Cost in Study Cur]]/Table16[[#Totals],[Cost Of Production Cost in Study Cur]],0)</f>
        <v>0</v>
      </c>
      <c r="H94" s="417">
        <f>Table16[[#This Row],[Unit Price in Study Currency]]*Table16[[#This Row],[Quantity Needed]]</f>
        <v>0</v>
      </c>
    </row>
    <row r="95" spans="1:10" ht="20.100000000000001" hidden="1" customHeight="1">
      <c r="A95" s="236"/>
      <c r="B95" s="236"/>
      <c r="C95" s="202"/>
      <c r="D95" s="238"/>
      <c r="E95" s="412">
        <f>Table16[[#This Row],[Unit Price in LC 
(ILS)]]/FX_RATE</f>
        <v>0</v>
      </c>
      <c r="F95" s="217">
        <f>SUMIF('Production Matrix'!A:A,Table16[[#This Row],[Raw Material Used]],'Production Matrix'!I:I)</f>
        <v>0</v>
      </c>
      <c r="G95" s="416">
        <f>IFERROR(Table16[[#This Row],[Cost Of Production Cost in Study Cur]]/Table16[[#Totals],[Cost Of Production Cost in Study Cur]],0)</f>
        <v>0</v>
      </c>
      <c r="H95" s="417">
        <f>Table16[[#This Row],[Unit Price in Study Currency]]*Table16[[#This Row],[Quantity Needed]]</f>
        <v>0</v>
      </c>
    </row>
    <row r="96" spans="1:10" ht="20.100000000000001" hidden="1" customHeight="1">
      <c r="A96" s="236"/>
      <c r="B96" s="236"/>
      <c r="C96" s="202"/>
      <c r="D96" s="238"/>
      <c r="E96" s="412">
        <f>Table16[[#This Row],[Unit Price in LC 
(ILS)]]/FX_RATE</f>
        <v>0</v>
      </c>
      <c r="F96" s="217">
        <f>SUMIF('Production Matrix'!A:A,Table16[[#This Row],[Raw Material Used]],'Production Matrix'!I:I)</f>
        <v>0</v>
      </c>
      <c r="G96" s="416">
        <f>IFERROR(Table16[[#This Row],[Cost Of Production Cost in Study Cur]]/Table16[[#Totals],[Cost Of Production Cost in Study Cur]],0)</f>
        <v>0</v>
      </c>
      <c r="H96" s="417">
        <f>Table16[[#This Row],[Unit Price in Study Currency]]*Table16[[#This Row],[Quantity Needed]]</f>
        <v>0</v>
      </c>
    </row>
    <row r="97" spans="1:8" ht="20.100000000000001" hidden="1" customHeight="1">
      <c r="A97" s="236"/>
      <c r="B97" s="236"/>
      <c r="C97" s="202"/>
      <c r="D97" s="238"/>
      <c r="E97" s="412">
        <f>Table16[[#This Row],[Unit Price in LC 
(ILS)]]/FX_RATE</f>
        <v>0</v>
      </c>
      <c r="F97" s="217">
        <f>SUMIF('Production Matrix'!A:A,Table16[[#This Row],[Raw Material Used]],'Production Matrix'!I:I)</f>
        <v>0</v>
      </c>
      <c r="G97" s="416">
        <f>IFERROR(Table16[[#This Row],[Cost Of Production Cost in Study Cur]]/Table16[[#Totals],[Cost Of Production Cost in Study Cur]],0)</f>
        <v>0</v>
      </c>
      <c r="H97" s="417">
        <f>Table16[[#This Row],[Unit Price in Study Currency]]*Table16[[#This Row],[Quantity Needed]]</f>
        <v>0</v>
      </c>
    </row>
    <row r="98" spans="1:8" ht="20.100000000000001" hidden="1" customHeight="1">
      <c r="A98" s="236"/>
      <c r="B98" s="236"/>
      <c r="C98" s="202"/>
      <c r="D98" s="238"/>
      <c r="E98" s="50">
        <f>Table16[[#This Row],[Unit Price in LC 
(ILS)]]/FX_RATE</f>
        <v>0</v>
      </c>
      <c r="F98" s="217">
        <f>SUMIF('Production Matrix'!A:A,Table16[[#This Row],[Raw Material Used]],'Production Matrix'!I:I)</f>
        <v>0</v>
      </c>
      <c r="G98" s="218">
        <f>IFERROR(Table16[[#This Row],[Cost Of Production Cost in Study Cur]]/Table16[[#Totals],[Cost Of Production Cost in Study Cur]],0)</f>
        <v>0</v>
      </c>
      <c r="H98" s="219">
        <f>Table16[[#This Row],[Unit Price in Study Currency]]*Table16[[#This Row],[Quantity Needed]]</f>
        <v>0</v>
      </c>
    </row>
    <row r="99" spans="1:8" ht="20.100000000000001" hidden="1" customHeight="1">
      <c r="A99" s="236"/>
      <c r="B99" s="236"/>
      <c r="C99" s="202"/>
      <c r="D99" s="238"/>
      <c r="E99" s="50">
        <f>Table16[[#This Row],[Unit Price in LC 
(ILS)]]/FX_RATE</f>
        <v>0</v>
      </c>
      <c r="F99" s="217">
        <f>SUMIF('Production Matrix'!A:A,Table16[[#This Row],[Raw Material Used]],'Production Matrix'!I:I)</f>
        <v>0</v>
      </c>
      <c r="G99" s="218">
        <f>IFERROR(Table16[[#This Row],[Cost Of Production Cost in Study Cur]]/Table16[[#Totals],[Cost Of Production Cost in Study Cur]],0)</f>
        <v>0</v>
      </c>
      <c r="H99" s="219">
        <f>Table16[[#This Row],[Unit Price in Study Currency]]*Table16[[#This Row],[Quantity Needed]]</f>
        <v>0</v>
      </c>
    </row>
    <row r="100" spans="1:8" ht="20.100000000000001" hidden="1" customHeight="1">
      <c r="A100" s="236"/>
      <c r="B100" s="236"/>
      <c r="C100" s="202"/>
      <c r="D100" s="730"/>
      <c r="E100" s="50">
        <f>Table16[[#This Row],[Unit Price in LC 
(ILS)]]/FX_RATE</f>
        <v>0</v>
      </c>
      <c r="F100" s="217">
        <f>SUMIF('Production Matrix'!A:A,Table16[[#This Row],[Raw Material Used]],'Production Matrix'!I:I)</f>
        <v>0</v>
      </c>
      <c r="G100" s="218">
        <f>IFERROR(Table16[[#This Row],[Cost Of Production Cost in Study Cur]]/Table16[[#Totals],[Cost Of Production Cost in Study Cur]],0)</f>
        <v>0</v>
      </c>
      <c r="H100" s="219">
        <f>Table16[[#This Row],[Unit Price in Study Currency]]*Table16[[#This Row],[Quantity Needed]]</f>
        <v>0</v>
      </c>
    </row>
    <row r="101" spans="1:8" ht="20.100000000000001" hidden="1" customHeight="1">
      <c r="A101" s="236"/>
      <c r="B101" s="236"/>
      <c r="C101" s="202"/>
      <c r="D101" s="238"/>
      <c r="E101" s="412">
        <f>Table16[[#This Row],[Unit Price in LC 
(ILS)]]/FX_RATE</f>
        <v>0</v>
      </c>
      <c r="F101" s="217">
        <f>SUMIF('Production Matrix'!A:A,Table16[[#This Row],[Raw Material Used]],'Production Matrix'!I:I)</f>
        <v>0</v>
      </c>
      <c r="G101" s="416">
        <f>IFERROR(Table16[[#This Row],[Cost Of Production Cost in Study Cur]]/Table16[[#Totals],[Cost Of Production Cost in Study Cur]],0)</f>
        <v>0</v>
      </c>
      <c r="H101" s="417">
        <f>Table16[[#This Row],[Unit Price in Study Currency]]*Table16[[#This Row],[Quantity Needed]]</f>
        <v>0</v>
      </c>
    </row>
    <row r="102" spans="1:8" ht="20.100000000000001" hidden="1" customHeight="1">
      <c r="A102" s="236"/>
      <c r="B102" s="236"/>
      <c r="C102" s="202"/>
      <c r="D102" s="238"/>
      <c r="E102" s="412">
        <f>Table16[[#This Row],[Unit Price in LC 
(ILS)]]/FX_RATE</f>
        <v>0</v>
      </c>
      <c r="F102" s="217">
        <f>SUMIF('Production Matrix'!A:A,Table16[[#This Row],[Raw Material Used]],'Production Matrix'!I:I)</f>
        <v>0</v>
      </c>
      <c r="G102" s="416">
        <f>IFERROR(Table16[[#This Row],[Cost Of Production Cost in Study Cur]]/Table16[[#Totals],[Cost Of Production Cost in Study Cur]],0)</f>
        <v>0</v>
      </c>
      <c r="H102" s="417">
        <f>Table16[[#This Row],[Unit Price in Study Currency]]*Table16[[#This Row],[Quantity Needed]]</f>
        <v>0</v>
      </c>
    </row>
    <row r="103" spans="1:8" ht="20.100000000000001" hidden="1" customHeight="1">
      <c r="A103" s="236"/>
      <c r="B103" s="236"/>
      <c r="C103" s="202"/>
      <c r="D103" s="238"/>
      <c r="E103" s="50">
        <f>Table16[[#This Row],[Unit Price in LC 
(ILS)]]/FX_RATE</f>
        <v>0</v>
      </c>
      <c r="F103" s="217">
        <f>SUMIF('Production Matrix'!A:A,Table16[[#This Row],[Raw Material Used]],'Production Matrix'!I:I)</f>
        <v>0</v>
      </c>
      <c r="G103" s="218">
        <f>IFERROR(Table16[[#This Row],[Cost Of Production Cost in Study Cur]]/Table16[[#Totals],[Cost Of Production Cost in Study Cur]],0)</f>
        <v>0</v>
      </c>
      <c r="H103" s="219">
        <f>Table16[[#This Row],[Unit Price in Study Currency]]*Table16[[#This Row],[Quantity Needed]]</f>
        <v>0</v>
      </c>
    </row>
    <row r="104" spans="1:8" ht="20.100000000000001" hidden="1" customHeight="1">
      <c r="A104" s="236"/>
      <c r="B104" s="236"/>
      <c r="C104" s="202"/>
      <c r="D104" s="238"/>
      <c r="E104" s="412">
        <f>Table16[[#This Row],[Unit Price in LC 
(ILS)]]/FX_RATE</f>
        <v>0</v>
      </c>
      <c r="F104" s="217">
        <f>SUMIF('Production Matrix'!A:A,Table16[[#This Row],[Raw Material Used]],'Production Matrix'!I:I)</f>
        <v>0</v>
      </c>
      <c r="G104" s="416">
        <f>IFERROR(Table16[[#This Row],[Cost Of Production Cost in Study Cur]]/Table16[[#Totals],[Cost Of Production Cost in Study Cur]],0)</f>
        <v>0</v>
      </c>
      <c r="H104" s="417">
        <f>Table16[[#This Row],[Unit Price in Study Currency]]*Table16[[#This Row],[Quantity Needed]]</f>
        <v>0</v>
      </c>
    </row>
    <row r="105" spans="1:8" ht="20.100000000000001" hidden="1" customHeight="1">
      <c r="A105" s="236"/>
      <c r="B105" s="236"/>
      <c r="C105" s="202"/>
      <c r="D105" s="238"/>
      <c r="E105" s="412">
        <f>Table16[[#This Row],[Unit Price in LC 
(ILS)]]/FX_RATE</f>
        <v>0</v>
      </c>
      <c r="F105" s="217">
        <f>SUMIF('Production Matrix'!A:A,Table16[[#This Row],[Raw Material Used]],'Production Matrix'!I:I)</f>
        <v>0</v>
      </c>
      <c r="G105" s="416">
        <f>IFERROR(Table16[[#This Row],[Cost Of Production Cost in Study Cur]]/Table16[[#Totals],[Cost Of Production Cost in Study Cur]],0)</f>
        <v>0</v>
      </c>
      <c r="H105" s="417">
        <f>Table16[[#This Row],[Unit Price in Study Currency]]*Table16[[#This Row],[Quantity Needed]]</f>
        <v>0</v>
      </c>
    </row>
    <row r="106" spans="1:8" ht="20.100000000000001" hidden="1" customHeight="1">
      <c r="A106" s="236"/>
      <c r="B106" s="236"/>
      <c r="C106" s="202"/>
      <c r="D106" s="238"/>
      <c r="E106" s="412">
        <f>Table16[[#This Row],[Unit Price in LC 
(ILS)]]/FX_RATE</f>
        <v>0</v>
      </c>
      <c r="F106" s="217">
        <f>SUMIF('Production Matrix'!A:A,Table16[[#This Row],[Raw Material Used]],'Production Matrix'!I:I)</f>
        <v>0</v>
      </c>
      <c r="G106" s="416">
        <f>IFERROR(Table16[[#This Row],[Cost Of Production Cost in Study Cur]]/Table16[[#Totals],[Cost Of Production Cost in Study Cur]],0)</f>
        <v>0</v>
      </c>
      <c r="H106" s="417">
        <f>Table16[[#This Row],[Unit Price in Study Currency]]*Table16[[#This Row],[Quantity Needed]]</f>
        <v>0</v>
      </c>
    </row>
    <row r="107" spans="1:8" ht="20.100000000000001" hidden="1" customHeight="1">
      <c r="A107" s="236"/>
      <c r="B107" s="236"/>
      <c r="C107" s="202"/>
      <c r="D107" s="238"/>
      <c r="E107" s="412">
        <f>Table16[[#This Row],[Unit Price in LC 
(ILS)]]/FX_RATE</f>
        <v>0</v>
      </c>
      <c r="F107" s="217">
        <f>SUMIF('Production Matrix'!A:A,Table16[[#This Row],[Raw Material Used]],'Production Matrix'!I:I)</f>
        <v>0</v>
      </c>
      <c r="G107" s="416">
        <f>IFERROR(Table16[[#This Row],[Cost Of Production Cost in Study Cur]]/Table16[[#Totals],[Cost Of Production Cost in Study Cur]],0)</f>
        <v>0</v>
      </c>
      <c r="H107" s="417">
        <f>Table16[[#This Row],[Unit Price in Study Currency]]*Table16[[#This Row],[Quantity Needed]]</f>
        <v>0</v>
      </c>
    </row>
    <row r="108" spans="1:8" ht="20.100000000000001" hidden="1" customHeight="1">
      <c r="A108" s="236"/>
      <c r="B108" s="236"/>
      <c r="C108" s="202"/>
      <c r="D108" s="238"/>
      <c r="E108" s="412">
        <f>Table16[[#This Row],[Unit Price in LC 
(ILS)]]/FX_RATE</f>
        <v>0</v>
      </c>
      <c r="F108" s="217">
        <f>SUMIF('Production Matrix'!A:A,Table16[[#This Row],[Raw Material Used]],'Production Matrix'!I:I)</f>
        <v>0</v>
      </c>
      <c r="G108" s="416">
        <f>IFERROR(Table16[[#This Row],[Cost Of Production Cost in Study Cur]]/Table16[[#Totals],[Cost Of Production Cost in Study Cur]],0)</f>
        <v>0</v>
      </c>
      <c r="H108" s="417">
        <f>Table16[[#This Row],[Unit Price in Study Currency]]*Table16[[#This Row],[Quantity Needed]]</f>
        <v>0</v>
      </c>
    </row>
    <row r="109" spans="1:8" ht="20.100000000000001" hidden="1" customHeight="1">
      <c r="A109" s="236"/>
      <c r="B109" s="236"/>
      <c r="C109" s="202"/>
      <c r="D109" s="238"/>
      <c r="E109" s="412">
        <f>Table16[[#This Row],[Unit Price in LC 
(ILS)]]/FX_RATE</f>
        <v>0</v>
      </c>
      <c r="F109" s="217">
        <f>SUMIF('Production Matrix'!A:A,Table16[[#This Row],[Raw Material Used]],'Production Matrix'!I:I)</f>
        <v>0</v>
      </c>
      <c r="G109" s="416">
        <f>IFERROR(Table16[[#This Row],[Cost Of Production Cost in Study Cur]]/Table16[[#Totals],[Cost Of Production Cost in Study Cur]],0)</f>
        <v>0</v>
      </c>
      <c r="H109" s="417">
        <f>Table16[[#This Row],[Unit Price in Study Currency]]*Table16[[#This Row],[Quantity Needed]]</f>
        <v>0</v>
      </c>
    </row>
    <row r="110" spans="1:8" ht="20.100000000000001" hidden="1" customHeight="1">
      <c r="A110" s="236"/>
      <c r="B110" s="236"/>
      <c r="C110" s="202"/>
      <c r="D110" s="238"/>
      <c r="E110" s="412">
        <f>Table16[[#This Row],[Unit Price in LC 
(ILS)]]/FX_RATE</f>
        <v>0</v>
      </c>
      <c r="F110" s="217">
        <f>SUMIF('Production Matrix'!A:A,Table16[[#This Row],[Raw Material Used]],'Production Matrix'!I:I)</f>
        <v>0</v>
      </c>
      <c r="G110" s="416">
        <f>IFERROR(Table16[[#This Row],[Cost Of Production Cost in Study Cur]]/Table16[[#Totals],[Cost Of Production Cost in Study Cur]],0)</f>
        <v>0</v>
      </c>
      <c r="H110" s="417">
        <f>Table16[[#This Row],[Unit Price in Study Currency]]*Table16[[#This Row],[Quantity Needed]]</f>
        <v>0</v>
      </c>
    </row>
    <row r="111" spans="1:8" ht="20.100000000000001" hidden="1" customHeight="1">
      <c r="A111" s="236"/>
      <c r="B111" s="236"/>
      <c r="C111" s="202"/>
      <c r="D111" s="238"/>
      <c r="E111" s="412">
        <f>Table16[[#This Row],[Unit Price in LC 
(ILS)]]/FX_RATE</f>
        <v>0</v>
      </c>
      <c r="F111" s="217">
        <f>SUMIF('Production Matrix'!A:A,Table16[[#This Row],[Raw Material Used]],'Production Matrix'!I:I)</f>
        <v>0</v>
      </c>
      <c r="G111" s="416">
        <f>IFERROR(Table16[[#This Row],[Cost Of Production Cost in Study Cur]]/Table16[[#Totals],[Cost Of Production Cost in Study Cur]],0)</f>
        <v>0</v>
      </c>
      <c r="H111" s="417">
        <f>Table16[[#This Row],[Unit Price in Study Currency]]*Table16[[#This Row],[Quantity Needed]]</f>
        <v>0</v>
      </c>
    </row>
    <row r="112" spans="1:8" ht="20.100000000000001" hidden="1" customHeight="1">
      <c r="A112" s="236"/>
      <c r="B112" s="236"/>
      <c r="C112" s="202"/>
      <c r="D112" s="238"/>
      <c r="E112" s="412">
        <f>Table16[[#This Row],[Unit Price in LC 
(ILS)]]/FX_RATE</f>
        <v>0</v>
      </c>
      <c r="F112" s="217">
        <f>SUMIF('Production Matrix'!A:A,Table16[[#This Row],[Raw Material Used]],'Production Matrix'!I:I)</f>
        <v>0</v>
      </c>
      <c r="G112" s="416">
        <f>IFERROR(Table16[[#This Row],[Cost Of Production Cost in Study Cur]]/Table16[[#Totals],[Cost Of Production Cost in Study Cur]],0)</f>
        <v>0</v>
      </c>
      <c r="H112" s="417">
        <f>Table16[[#This Row],[Unit Price in Study Currency]]*Table16[[#This Row],[Quantity Needed]]</f>
        <v>0</v>
      </c>
    </row>
    <row r="113" spans="1:8" ht="20.100000000000001" hidden="1" customHeight="1">
      <c r="A113" s="236"/>
      <c r="B113" s="236"/>
      <c r="C113" s="202"/>
      <c r="D113" s="238"/>
      <c r="E113" s="412">
        <f>Table16[[#This Row],[Unit Price in LC 
(ILS)]]/FX_RATE</f>
        <v>0</v>
      </c>
      <c r="F113" s="217">
        <f>SUMIF('Production Matrix'!A:A,Table16[[#This Row],[Raw Material Used]],'Production Matrix'!I:I)</f>
        <v>0</v>
      </c>
      <c r="G113" s="416">
        <f>IFERROR(Table16[[#This Row],[Cost Of Production Cost in Study Cur]]/Table16[[#Totals],[Cost Of Production Cost in Study Cur]],0)</f>
        <v>0</v>
      </c>
      <c r="H113" s="417">
        <f>Table16[[#This Row],[Unit Price in Study Currency]]*Table16[[#This Row],[Quantity Needed]]</f>
        <v>0</v>
      </c>
    </row>
    <row r="114" spans="1:8" ht="20.100000000000001" hidden="1" customHeight="1">
      <c r="A114" s="236"/>
      <c r="B114" s="236"/>
      <c r="C114" s="202"/>
      <c r="D114" s="238"/>
      <c r="E114" s="412">
        <f>Table16[[#This Row],[Unit Price in LC 
(ILS)]]/FX_RATE</f>
        <v>0</v>
      </c>
      <c r="F114" s="217">
        <f>SUMIF('Production Matrix'!A:A,Table16[[#This Row],[Raw Material Used]],'Production Matrix'!I:I)</f>
        <v>0</v>
      </c>
      <c r="G114" s="416">
        <f>IFERROR(Table16[[#This Row],[Cost Of Production Cost in Study Cur]]/Table16[[#Totals],[Cost Of Production Cost in Study Cur]],0)</f>
        <v>0</v>
      </c>
      <c r="H114" s="417">
        <f>Table16[[#This Row],[Unit Price in Study Currency]]*Table16[[#This Row],[Quantity Needed]]</f>
        <v>0</v>
      </c>
    </row>
    <row r="115" spans="1:8" ht="20.100000000000001" hidden="1" customHeight="1">
      <c r="A115" s="236"/>
      <c r="B115" s="236"/>
      <c r="C115" s="202"/>
      <c r="D115" s="238"/>
      <c r="E115" s="412">
        <f>Table16[[#This Row],[Unit Price in LC 
(ILS)]]/FX_RATE</f>
        <v>0</v>
      </c>
      <c r="F115" s="217">
        <f>SUMIF('Production Matrix'!A:A,Table16[[#This Row],[Raw Material Used]],'Production Matrix'!I:I)</f>
        <v>0</v>
      </c>
      <c r="G115" s="416">
        <f>IFERROR(Table16[[#This Row],[Cost Of Production Cost in Study Cur]]/Table16[[#Totals],[Cost Of Production Cost in Study Cur]],0)</f>
        <v>0</v>
      </c>
      <c r="H115" s="417">
        <f>Table16[[#This Row],[Unit Price in Study Currency]]*Table16[[#This Row],[Quantity Needed]]</f>
        <v>0</v>
      </c>
    </row>
    <row r="116" spans="1:8" ht="20.100000000000001" hidden="1" customHeight="1">
      <c r="A116" s="236"/>
      <c r="B116" s="236"/>
      <c r="C116" s="202"/>
      <c r="D116" s="238"/>
      <c r="E116" s="412">
        <f>Table16[[#This Row],[Unit Price in LC 
(ILS)]]/FX_RATE</f>
        <v>0</v>
      </c>
      <c r="F116" s="217">
        <f>SUMIF('Production Matrix'!A:A,Table16[[#This Row],[Raw Material Used]],'Production Matrix'!I:I)</f>
        <v>0</v>
      </c>
      <c r="G116" s="416">
        <f>IFERROR(Table16[[#This Row],[Cost Of Production Cost in Study Cur]]/Table16[[#Totals],[Cost Of Production Cost in Study Cur]],0)</f>
        <v>0</v>
      </c>
      <c r="H116" s="417">
        <f>Table16[[#This Row],[Unit Price in Study Currency]]*Table16[[#This Row],[Quantity Needed]]</f>
        <v>0</v>
      </c>
    </row>
    <row r="117" spans="1:8" ht="15" hidden="1">
      <c r="A117" s="236"/>
      <c r="B117" s="236"/>
      <c r="C117" s="202"/>
      <c r="D117" s="730"/>
      <c r="E117" s="50">
        <f>Table16[[#This Row],[Unit Price in LC 
(ILS)]]/FX_RATE</f>
        <v>0</v>
      </c>
      <c r="F117" s="217">
        <f>SUMIF('Production Matrix'!A:A,Table16[[#This Row],[Raw Material Used]],'Production Matrix'!I:I)</f>
        <v>0</v>
      </c>
      <c r="G117" s="218">
        <f>IFERROR(Table16[[#This Row],[Cost Of Production Cost in Study Cur]]/Table16[[#Totals],[Cost Of Production Cost in Study Cur]],0)</f>
        <v>0</v>
      </c>
      <c r="H117" s="219">
        <f>Table16[[#This Row],[Unit Price in Study Currency]]*Table16[[#This Row],[Quantity Needed]]</f>
        <v>0</v>
      </c>
    </row>
    <row r="118" spans="1:8" ht="14.25" hidden="1" customHeight="1">
      <c r="A118" s="236"/>
      <c r="B118" s="236"/>
      <c r="C118" s="202"/>
      <c r="D118" s="238"/>
      <c r="E118" s="412">
        <f>Table16[[#This Row],[Unit Price in LC 
(ILS)]]/FX_RATE</f>
        <v>0</v>
      </c>
      <c r="F118" s="217">
        <f>SUMIF('Production Matrix'!A:A,Table16[[#This Row],[Raw Material Used]],'Production Matrix'!I:I)</f>
        <v>0</v>
      </c>
      <c r="G118" s="416">
        <f>IFERROR(Table16[[#This Row],[Cost Of Production Cost in Study Cur]]/Table16[[#Totals],[Cost Of Production Cost in Study Cur]],0)</f>
        <v>0</v>
      </c>
      <c r="H118" s="417">
        <f>Table16[[#This Row],[Unit Price in Study Currency]]*Table16[[#This Row],[Quantity Needed]]</f>
        <v>0</v>
      </c>
    </row>
    <row r="119" spans="1:8" ht="14.25" hidden="1" customHeight="1">
      <c r="A119" s="236"/>
      <c r="B119" s="236"/>
      <c r="C119" s="202"/>
      <c r="D119" s="238"/>
      <c r="E119" s="412">
        <f>Table16[[#This Row],[Unit Price in LC 
(ILS)]]/FX_RATE</f>
        <v>0</v>
      </c>
      <c r="F119" s="217">
        <f>SUMIF('Production Matrix'!A:A,Table16[[#This Row],[Raw Material Used]],'Production Matrix'!I:I)</f>
        <v>0</v>
      </c>
      <c r="G119" s="416">
        <f>IFERROR(Table16[[#This Row],[Cost Of Production Cost in Study Cur]]/Table16[[#Totals],[Cost Of Production Cost in Study Cur]],0)</f>
        <v>0</v>
      </c>
      <c r="H119" s="417">
        <f>Table16[[#This Row],[Unit Price in Study Currency]]*Table16[[#This Row],[Quantity Needed]]</f>
        <v>0</v>
      </c>
    </row>
    <row r="120" spans="1:8" ht="14.25" hidden="1" customHeight="1">
      <c r="A120" s="236"/>
      <c r="B120" s="236"/>
      <c r="C120" s="202"/>
      <c r="D120" s="238"/>
      <c r="E120" s="50">
        <f>Table16[[#This Row],[Unit Price in LC 
(ILS)]]/FX_RATE</f>
        <v>0</v>
      </c>
      <c r="F120" s="217">
        <f>SUMIF('Production Matrix'!A:A,Table16[[#This Row],[Raw Material Used]],'Production Matrix'!I:I)</f>
        <v>0</v>
      </c>
      <c r="G120" s="218">
        <f>IFERROR(Table16[[#This Row],[Cost Of Production Cost in Study Cur]]/Table16[[#Totals],[Cost Of Production Cost in Study Cur]],0)</f>
        <v>0</v>
      </c>
      <c r="H120" s="219">
        <f>Table16[[#This Row],[Unit Price in Study Currency]]*Table16[[#This Row],[Quantity Needed]]</f>
        <v>0</v>
      </c>
    </row>
    <row r="121" spans="1:8" ht="14.25" hidden="1" customHeight="1">
      <c r="A121" s="236"/>
      <c r="B121" s="236"/>
      <c r="C121" s="202"/>
      <c r="D121" s="238"/>
      <c r="E121" s="412">
        <f>Table16[[#This Row],[Unit Price in LC 
(ILS)]]/FX_RATE</f>
        <v>0</v>
      </c>
      <c r="F121" s="217">
        <f>SUMIF('Production Matrix'!A:A,Table16[[#This Row],[Raw Material Used]],'Production Matrix'!I:I)</f>
        <v>0</v>
      </c>
      <c r="G121" s="416">
        <f>IFERROR(Table16[[#This Row],[Cost Of Production Cost in Study Cur]]/Table16[[#Totals],[Cost Of Production Cost in Study Cur]],0)</f>
        <v>0</v>
      </c>
      <c r="H121" s="417">
        <f>Table16[[#This Row],[Unit Price in Study Currency]]*Table16[[#This Row],[Quantity Needed]]</f>
        <v>0</v>
      </c>
    </row>
    <row r="122" spans="1:8" ht="14.25" hidden="1" customHeight="1">
      <c r="A122" s="236"/>
      <c r="B122" s="236"/>
      <c r="C122" s="202"/>
      <c r="D122" s="238"/>
      <c r="E122" s="412">
        <f>Table16[[#This Row],[Unit Price in LC 
(ILS)]]/FX_RATE</f>
        <v>0</v>
      </c>
      <c r="F122" s="217">
        <f>SUMIF('Production Matrix'!A:A,Table16[[#This Row],[Raw Material Used]],'Production Matrix'!I:I)</f>
        <v>0</v>
      </c>
      <c r="G122" s="416">
        <f>IFERROR(Table16[[#This Row],[Cost Of Production Cost in Study Cur]]/Table16[[#Totals],[Cost Of Production Cost in Study Cur]],0)</f>
        <v>0</v>
      </c>
      <c r="H122" s="417">
        <f>Table16[[#This Row],[Unit Price in Study Currency]]*Table16[[#This Row],[Quantity Needed]]</f>
        <v>0</v>
      </c>
    </row>
    <row r="123" spans="1:8" ht="14.25" hidden="1" customHeight="1">
      <c r="A123" s="236"/>
      <c r="B123" s="236"/>
      <c r="C123" s="202"/>
      <c r="D123" s="238"/>
      <c r="E123" s="412">
        <f>Table16[[#This Row],[Unit Price in LC 
(ILS)]]/FX_RATE</f>
        <v>0</v>
      </c>
      <c r="F123" s="217">
        <f>SUMIF('Production Matrix'!A:A,Table16[[#This Row],[Raw Material Used]],'Production Matrix'!I:I)</f>
        <v>0</v>
      </c>
      <c r="G123" s="416">
        <f>IFERROR(Table16[[#This Row],[Cost Of Production Cost in Study Cur]]/Table16[[#Totals],[Cost Of Production Cost in Study Cur]],0)</f>
        <v>0</v>
      </c>
      <c r="H123" s="417">
        <f>Table16[[#This Row],[Unit Price in Study Currency]]*Table16[[#This Row],[Quantity Needed]]</f>
        <v>0</v>
      </c>
    </row>
    <row r="124" spans="1:8" ht="14.25" hidden="1" customHeight="1">
      <c r="A124" s="236"/>
      <c r="B124" s="236"/>
      <c r="C124" s="202"/>
      <c r="D124" s="238"/>
      <c r="E124" s="412">
        <f>Table16[[#This Row],[Unit Price in LC 
(ILS)]]/FX_RATE</f>
        <v>0</v>
      </c>
      <c r="F124" s="217">
        <f>SUMIF('Production Matrix'!A:A,Table16[[#This Row],[Raw Material Used]],'Production Matrix'!I:I)</f>
        <v>0</v>
      </c>
      <c r="G124" s="416">
        <f>IFERROR(Table16[[#This Row],[Cost Of Production Cost in Study Cur]]/Table16[[#Totals],[Cost Of Production Cost in Study Cur]],0)</f>
        <v>0</v>
      </c>
      <c r="H124" s="417">
        <f>Table16[[#This Row],[Unit Price in Study Currency]]*Table16[[#This Row],[Quantity Needed]]</f>
        <v>0</v>
      </c>
    </row>
    <row r="125" spans="1:8" ht="14.25" hidden="1" customHeight="1">
      <c r="A125" s="236"/>
      <c r="B125" s="236"/>
      <c r="C125" s="202"/>
      <c r="D125" s="238"/>
      <c r="E125" s="412">
        <f>Table16[[#This Row],[Unit Price in LC 
(ILS)]]/FX_RATE</f>
        <v>0</v>
      </c>
      <c r="F125" s="217">
        <f>SUMIF('Production Matrix'!A:A,Table16[[#This Row],[Raw Material Used]],'Production Matrix'!I:I)</f>
        <v>0</v>
      </c>
      <c r="G125" s="416">
        <f>IFERROR(Table16[[#This Row],[Cost Of Production Cost in Study Cur]]/Table16[[#Totals],[Cost Of Production Cost in Study Cur]],0)</f>
        <v>0</v>
      </c>
      <c r="H125" s="417">
        <f>Table16[[#This Row],[Unit Price in Study Currency]]*Table16[[#This Row],[Quantity Needed]]</f>
        <v>0</v>
      </c>
    </row>
    <row r="126" spans="1:8" ht="14.25" hidden="1" customHeight="1">
      <c r="A126" s="236"/>
      <c r="B126" s="236"/>
      <c r="C126" s="202"/>
      <c r="D126" s="238"/>
      <c r="E126" s="412">
        <f>Table16[[#This Row],[Unit Price in LC 
(ILS)]]/FX_RATE</f>
        <v>0</v>
      </c>
      <c r="F126" s="217">
        <f>SUMIF('Production Matrix'!A:A,Table16[[#This Row],[Raw Material Used]],'Production Matrix'!I:I)</f>
        <v>0</v>
      </c>
      <c r="G126" s="416">
        <f>IFERROR(Table16[[#This Row],[Cost Of Production Cost in Study Cur]]/Table16[[#Totals],[Cost Of Production Cost in Study Cur]],0)</f>
        <v>0</v>
      </c>
      <c r="H126" s="417">
        <f>Table16[[#This Row],[Unit Price in Study Currency]]*Table16[[#This Row],[Quantity Needed]]</f>
        <v>0</v>
      </c>
    </row>
    <row r="127" spans="1:8" ht="14.25" hidden="1" customHeight="1">
      <c r="A127" s="236"/>
      <c r="B127" s="236"/>
      <c r="C127" s="202"/>
      <c r="D127" s="238"/>
      <c r="E127" s="412">
        <f>Table16[[#This Row],[Unit Price in LC 
(ILS)]]/FX_RATE</f>
        <v>0</v>
      </c>
      <c r="F127" s="217">
        <f>SUMIF('Production Matrix'!A:A,Table16[[#This Row],[Raw Material Used]],'Production Matrix'!I:I)</f>
        <v>0</v>
      </c>
      <c r="G127" s="416">
        <f>IFERROR(Table16[[#This Row],[Cost Of Production Cost in Study Cur]]/Table16[[#Totals],[Cost Of Production Cost in Study Cur]],0)</f>
        <v>0</v>
      </c>
      <c r="H127" s="417">
        <f>Table16[[#This Row],[Unit Price in Study Currency]]*Table16[[#This Row],[Quantity Needed]]</f>
        <v>0</v>
      </c>
    </row>
    <row r="128" spans="1:8" ht="14.25" hidden="1" customHeight="1">
      <c r="A128" s="236"/>
      <c r="B128" s="236"/>
      <c r="C128" s="202"/>
      <c r="D128" s="238"/>
      <c r="E128" s="412">
        <f>Table16[[#This Row],[Unit Price in LC 
(ILS)]]/FX_RATE</f>
        <v>0</v>
      </c>
      <c r="F128" s="217">
        <f>SUMIF('Production Matrix'!A:A,Table16[[#This Row],[Raw Material Used]],'Production Matrix'!I:I)</f>
        <v>0</v>
      </c>
      <c r="G128" s="416">
        <f>IFERROR(Table16[[#This Row],[Cost Of Production Cost in Study Cur]]/Table16[[#Totals],[Cost Of Production Cost in Study Cur]],0)</f>
        <v>0</v>
      </c>
      <c r="H128" s="417">
        <f>Table16[[#This Row],[Unit Price in Study Currency]]*Table16[[#This Row],[Quantity Needed]]</f>
        <v>0</v>
      </c>
    </row>
    <row r="129" spans="1:8" ht="14.25" hidden="1" customHeight="1">
      <c r="A129" s="236"/>
      <c r="B129" s="236"/>
      <c r="C129" s="202"/>
      <c r="D129" s="238"/>
      <c r="E129" s="412">
        <f>Table16[[#This Row],[Unit Price in LC 
(ILS)]]/FX_RATE</f>
        <v>0</v>
      </c>
      <c r="F129" s="217">
        <f>SUMIF('Production Matrix'!A:A,Table16[[#This Row],[Raw Material Used]],'Production Matrix'!I:I)</f>
        <v>0</v>
      </c>
      <c r="G129" s="416">
        <f>IFERROR(Table16[[#This Row],[Cost Of Production Cost in Study Cur]]/Table16[[#Totals],[Cost Of Production Cost in Study Cur]],0)</f>
        <v>0</v>
      </c>
      <c r="H129" s="417">
        <f>Table16[[#This Row],[Unit Price in Study Currency]]*Table16[[#This Row],[Quantity Needed]]</f>
        <v>0</v>
      </c>
    </row>
    <row r="130" spans="1:8" ht="14.25" hidden="1" customHeight="1">
      <c r="A130" s="236"/>
      <c r="B130" s="236"/>
      <c r="C130" s="202"/>
      <c r="D130" s="238"/>
      <c r="E130" s="412">
        <f>Table16[[#This Row],[Unit Price in LC 
(ILS)]]/FX_RATE</f>
        <v>0</v>
      </c>
      <c r="F130" s="217">
        <f>SUMIF('Production Matrix'!A:A,Table16[[#This Row],[Raw Material Used]],'Production Matrix'!I:I)</f>
        <v>0</v>
      </c>
      <c r="G130" s="416">
        <f>IFERROR(Table16[[#This Row],[Cost Of Production Cost in Study Cur]]/Table16[[#Totals],[Cost Of Production Cost in Study Cur]],0)</f>
        <v>0</v>
      </c>
      <c r="H130" s="417">
        <f>Table16[[#This Row],[Unit Price in Study Currency]]*Table16[[#This Row],[Quantity Needed]]</f>
        <v>0</v>
      </c>
    </row>
    <row r="131" spans="1:8" ht="14.25" hidden="1" customHeight="1">
      <c r="A131" s="236"/>
      <c r="B131" s="236"/>
      <c r="C131" s="202"/>
      <c r="D131" s="238"/>
      <c r="E131" s="412">
        <f>Table16[[#This Row],[Unit Price in LC 
(ILS)]]/FX_RATE</f>
        <v>0</v>
      </c>
      <c r="F131" s="217">
        <f>SUMIF('Production Matrix'!A:A,Table16[[#This Row],[Raw Material Used]],'Production Matrix'!I:I)</f>
        <v>0</v>
      </c>
      <c r="G131" s="416">
        <f>IFERROR(Table16[[#This Row],[Cost Of Production Cost in Study Cur]]/Table16[[#Totals],[Cost Of Production Cost in Study Cur]],0)</f>
        <v>0</v>
      </c>
      <c r="H131" s="417">
        <f>Table16[[#This Row],[Unit Price in Study Currency]]*Table16[[#This Row],[Quantity Needed]]</f>
        <v>0</v>
      </c>
    </row>
    <row r="132" spans="1:8" ht="14.25" hidden="1" customHeight="1">
      <c r="A132" s="236"/>
      <c r="B132" s="236"/>
      <c r="C132" s="202"/>
      <c r="D132" s="238"/>
      <c r="E132" s="412">
        <f>Table16[[#This Row],[Unit Price in LC 
(ILS)]]/FX_RATE</f>
        <v>0</v>
      </c>
      <c r="F132" s="217">
        <f>SUMIF('Production Matrix'!A:A,Table16[[#This Row],[Raw Material Used]],'Production Matrix'!I:I)</f>
        <v>0</v>
      </c>
      <c r="G132" s="416">
        <f>IFERROR(Table16[[#This Row],[Cost Of Production Cost in Study Cur]]/Table16[[#Totals],[Cost Of Production Cost in Study Cur]],0)</f>
        <v>0</v>
      </c>
      <c r="H132" s="417">
        <f>Table16[[#This Row],[Unit Price in Study Currency]]*Table16[[#This Row],[Quantity Needed]]</f>
        <v>0</v>
      </c>
    </row>
    <row r="133" spans="1:8" ht="14.25" hidden="1" customHeight="1">
      <c r="A133" s="236"/>
      <c r="B133" s="236"/>
      <c r="C133" s="202"/>
      <c r="D133" s="238"/>
      <c r="E133" s="412">
        <f>Table16[[#This Row],[Unit Price in LC 
(ILS)]]/FX_RATE</f>
        <v>0</v>
      </c>
      <c r="F133" s="217">
        <f>SUMIF('Production Matrix'!A:A,Table16[[#This Row],[Raw Material Used]],'Production Matrix'!I:I)</f>
        <v>0</v>
      </c>
      <c r="G133" s="416">
        <f>IFERROR(Table16[[#This Row],[Cost Of Production Cost in Study Cur]]/Table16[[#Totals],[Cost Of Production Cost in Study Cur]],0)</f>
        <v>0</v>
      </c>
      <c r="H133" s="417">
        <f>Table16[[#This Row],[Unit Price in Study Currency]]*Table16[[#This Row],[Quantity Needed]]</f>
        <v>0</v>
      </c>
    </row>
    <row r="134" spans="1:8" ht="14.25" hidden="1" customHeight="1">
      <c r="A134" s="236"/>
      <c r="B134" s="236"/>
      <c r="C134" s="202"/>
      <c r="D134" s="238"/>
      <c r="E134" s="412">
        <f>Table16[[#This Row],[Unit Price in LC 
(ILS)]]/FX_RATE</f>
        <v>0</v>
      </c>
      <c r="F134" s="217">
        <f>SUMIF('Production Matrix'!A:A,Table16[[#This Row],[Raw Material Used]],'Production Matrix'!I:I)</f>
        <v>0</v>
      </c>
      <c r="G134" s="416">
        <f>IFERROR(Table16[[#This Row],[Cost Of Production Cost in Study Cur]]/Table16[[#Totals],[Cost Of Production Cost in Study Cur]],0)</f>
        <v>0</v>
      </c>
      <c r="H134" s="417">
        <f>Table16[[#This Row],[Unit Price in Study Currency]]*Table16[[#This Row],[Quantity Needed]]</f>
        <v>0</v>
      </c>
    </row>
    <row r="135" spans="1:8" ht="14.25" hidden="1" customHeight="1">
      <c r="A135" s="236"/>
      <c r="B135" s="236"/>
      <c r="C135" s="202"/>
      <c r="D135" s="238"/>
      <c r="E135" s="412">
        <f>Table16[[#This Row],[Unit Price in LC 
(ILS)]]/FX_RATE</f>
        <v>0</v>
      </c>
      <c r="F135" s="217">
        <f>SUMIF('Production Matrix'!A:A,Table16[[#This Row],[Raw Material Used]],'Production Matrix'!I:I)</f>
        <v>0</v>
      </c>
      <c r="G135" s="416">
        <f>IFERROR(Table16[[#This Row],[Cost Of Production Cost in Study Cur]]/Table16[[#Totals],[Cost Of Production Cost in Study Cur]],0)</f>
        <v>0</v>
      </c>
      <c r="H135" s="417">
        <f>Table16[[#This Row],[Unit Price in Study Currency]]*Table16[[#This Row],[Quantity Needed]]</f>
        <v>0</v>
      </c>
    </row>
    <row r="136" spans="1:8" ht="14.25" hidden="1" customHeight="1">
      <c r="A136" s="236"/>
      <c r="B136" s="236"/>
      <c r="C136" s="202"/>
      <c r="D136" s="238"/>
      <c r="E136" s="412">
        <f>Table16[[#This Row],[Unit Price in LC 
(ILS)]]/FX_RATE</f>
        <v>0</v>
      </c>
      <c r="F136" s="217">
        <f>SUMIF('Production Matrix'!A:A,Table16[[#This Row],[Raw Material Used]],'Production Matrix'!I:I)</f>
        <v>0</v>
      </c>
      <c r="G136" s="416">
        <f>IFERROR(Table16[[#This Row],[Cost Of Production Cost in Study Cur]]/Table16[[#Totals],[Cost Of Production Cost in Study Cur]],0)</f>
        <v>0</v>
      </c>
      <c r="H136" s="417">
        <f>Table16[[#This Row],[Unit Price in Study Currency]]*Table16[[#This Row],[Quantity Needed]]</f>
        <v>0</v>
      </c>
    </row>
    <row r="137" spans="1:8" ht="14.25" hidden="1" customHeight="1">
      <c r="A137" s="236"/>
      <c r="B137" s="236"/>
      <c r="C137" s="202"/>
      <c r="D137" s="237"/>
      <c r="E137" s="50">
        <f>Table16[[#This Row],[Unit Price in LC 
(ILS)]]/FX_RATE</f>
        <v>0</v>
      </c>
      <c r="F137" s="217">
        <f>SUMIF('Production Matrix'!A:A,Table16[[#This Row],[Raw Material Used]],'Production Matrix'!I:I)</f>
        <v>0</v>
      </c>
      <c r="G137" s="218">
        <f>IFERROR(Table16[[#This Row],[Cost Of Production Cost in Study Cur]]/Table16[[#Totals],[Cost Of Production Cost in Study Cur]],0)</f>
        <v>0</v>
      </c>
      <c r="H137" s="219">
        <f>Table16[[#This Row],[Unit Price in Study Currency]]*Table16[[#This Row],[Quantity Needed]]</f>
        <v>0</v>
      </c>
    </row>
    <row r="138" spans="1:8" ht="14.25" hidden="1" customHeight="1">
      <c r="A138" s="236"/>
      <c r="B138" s="236"/>
      <c r="C138" s="202"/>
      <c r="D138" s="238"/>
      <c r="E138" s="50">
        <f>Table16[[#This Row],[Unit Price in LC 
(ILS)]]/FX_RATE</f>
        <v>0</v>
      </c>
      <c r="F138" s="217">
        <f>SUMIF('Production Matrix'!A:A,Table16[[#This Row],[Raw Material Used]],'Production Matrix'!I:I)</f>
        <v>0</v>
      </c>
      <c r="G138" s="218">
        <f>IFERROR(Table16[[#This Row],[Cost Of Production Cost in Study Cur]]/Table16[[#Totals],[Cost Of Production Cost in Study Cur]],0)</f>
        <v>0</v>
      </c>
      <c r="H138" s="219">
        <f>Table16[[#This Row],[Unit Price in Study Currency]]*Table16[[#This Row],[Quantity Needed]]</f>
        <v>0</v>
      </c>
    </row>
    <row r="139" spans="1:8" ht="14.25" hidden="1" customHeight="1">
      <c r="A139" s="236"/>
      <c r="B139" s="236"/>
      <c r="C139" s="202"/>
      <c r="D139" s="238"/>
      <c r="E139" s="412">
        <f>Table16[[#This Row],[Unit Price in LC 
(ILS)]]/FX_RATE</f>
        <v>0</v>
      </c>
      <c r="F139" s="217">
        <f>SUMIF('Production Matrix'!A:A,Table16[[#This Row],[Raw Material Used]],'Production Matrix'!I:I)</f>
        <v>0</v>
      </c>
      <c r="G139" s="416">
        <f>IFERROR(Table16[[#This Row],[Cost Of Production Cost in Study Cur]]/Table16[[#Totals],[Cost Of Production Cost in Study Cur]],0)</f>
        <v>0</v>
      </c>
      <c r="H139" s="417">
        <f>Table16[[#This Row],[Unit Price in Study Currency]]*Table16[[#This Row],[Quantity Needed]]</f>
        <v>0</v>
      </c>
    </row>
    <row r="140" spans="1:8" ht="14.25" hidden="1" customHeight="1">
      <c r="A140" s="236"/>
      <c r="B140" s="236"/>
      <c r="C140" s="202"/>
      <c r="D140" s="730"/>
      <c r="E140" s="50">
        <f>Table16[[#This Row],[Unit Price in LC 
(ILS)]]/FX_RATE</f>
        <v>0</v>
      </c>
      <c r="F140" s="217">
        <f>SUMIF('Production Matrix'!A:A,Table16[[#This Row],[Raw Material Used]],'Production Matrix'!I:I)</f>
        <v>0</v>
      </c>
      <c r="G140" s="218">
        <f>IFERROR(Table16[[#This Row],[Cost Of Production Cost in Study Cur]]/Table16[[#Totals],[Cost Of Production Cost in Study Cur]],0)</f>
        <v>0</v>
      </c>
      <c r="H140" s="219">
        <f>Table16[[#This Row],[Unit Price in Study Currency]]*Table16[[#This Row],[Quantity Needed]]</f>
        <v>0</v>
      </c>
    </row>
    <row r="141" spans="1:8" ht="14.25" hidden="1" customHeight="1">
      <c r="A141" s="236"/>
      <c r="B141" s="236"/>
      <c r="C141" s="202"/>
      <c r="D141" s="238"/>
      <c r="E141" s="412">
        <f>Table16[[#This Row],[Unit Price in LC 
(ILS)]]/FX_RATE</f>
        <v>0</v>
      </c>
      <c r="F141" s="217">
        <f>SUMIF('Production Matrix'!A:A,Table16[[#This Row],[Raw Material Used]],'Production Matrix'!I:I)</f>
        <v>0</v>
      </c>
      <c r="G141" s="416">
        <f>IFERROR(Table16[[#This Row],[Cost Of Production Cost in Study Cur]]/Table16[[#Totals],[Cost Of Production Cost in Study Cur]],0)</f>
        <v>0</v>
      </c>
      <c r="H141" s="417">
        <f>Table16[[#This Row],[Unit Price in Study Currency]]*Table16[[#This Row],[Quantity Needed]]</f>
        <v>0</v>
      </c>
    </row>
    <row r="142" spans="1:8" ht="14.25" hidden="1" customHeight="1">
      <c r="A142" s="236"/>
      <c r="B142" s="236"/>
      <c r="C142" s="202"/>
      <c r="D142" s="238"/>
      <c r="E142" s="412">
        <f>Table16[[#This Row],[Unit Price in LC 
(ILS)]]/FX_RATE</f>
        <v>0</v>
      </c>
      <c r="F142" s="217">
        <f>SUMIF('Production Matrix'!A:A,Table16[[#This Row],[Raw Material Used]],'Production Matrix'!I:I)</f>
        <v>0</v>
      </c>
      <c r="G142" s="416">
        <f>IFERROR(Table16[[#This Row],[Cost Of Production Cost in Study Cur]]/Table16[[#Totals],[Cost Of Production Cost in Study Cur]],0)</f>
        <v>0</v>
      </c>
      <c r="H142" s="417">
        <f>Table16[[#This Row],[Unit Price in Study Currency]]*Table16[[#This Row],[Quantity Needed]]</f>
        <v>0</v>
      </c>
    </row>
    <row r="143" spans="1:8" ht="14.25" hidden="1" customHeight="1">
      <c r="A143" s="236"/>
      <c r="B143" s="236"/>
      <c r="C143" s="202"/>
      <c r="D143" s="238"/>
      <c r="E143" s="50">
        <f>Table16[[#This Row],[Unit Price in LC 
(ILS)]]/FX_RATE</f>
        <v>0</v>
      </c>
      <c r="F143" s="217">
        <f>SUMIF('Production Matrix'!A:A,Table16[[#This Row],[Raw Material Used]],'Production Matrix'!I:I)</f>
        <v>0</v>
      </c>
      <c r="G143" s="218">
        <f>IFERROR(Table16[[#This Row],[Cost Of Production Cost in Study Cur]]/Table16[[#Totals],[Cost Of Production Cost in Study Cur]],0)</f>
        <v>0</v>
      </c>
      <c r="H143" s="219">
        <f>Table16[[#This Row],[Unit Price in Study Currency]]*Table16[[#This Row],[Quantity Needed]]</f>
        <v>0</v>
      </c>
    </row>
    <row r="144" spans="1:8" ht="14.25" hidden="1" customHeight="1">
      <c r="A144" s="236"/>
      <c r="B144" s="236"/>
      <c r="C144" s="202"/>
      <c r="D144" s="238"/>
      <c r="E144" s="50">
        <f>Table16[[#This Row],[Unit Price in LC 
(ILS)]]/FX_RATE</f>
        <v>0</v>
      </c>
      <c r="F144" s="217">
        <f>SUMIF('Production Matrix'!A:A,Table16[[#This Row],[Raw Material Used]],'Production Matrix'!I:I)</f>
        <v>0</v>
      </c>
      <c r="G144" s="218">
        <f>IFERROR(Table16[[#This Row],[Cost Of Production Cost in Study Cur]]/Table16[[#Totals],[Cost Of Production Cost in Study Cur]],0)</f>
        <v>0</v>
      </c>
      <c r="H144" s="219">
        <f>Table16[[#This Row],[Unit Price in Study Currency]]*Table16[[#This Row],[Quantity Needed]]</f>
        <v>0</v>
      </c>
    </row>
    <row r="145" spans="1:8" ht="14.25" hidden="1" customHeight="1">
      <c r="A145" s="236"/>
      <c r="B145" s="236"/>
      <c r="C145" s="202"/>
      <c r="D145" s="238"/>
      <c r="E145" s="412">
        <f>Table16[[#This Row],[Unit Price in LC 
(ILS)]]/FX_RATE</f>
        <v>0</v>
      </c>
      <c r="F145" s="217">
        <f>SUMIF('Production Matrix'!A:A,Table16[[#This Row],[Raw Material Used]],'Production Matrix'!I:I)</f>
        <v>0</v>
      </c>
      <c r="G145" s="416">
        <f>IFERROR(Table16[[#This Row],[Cost Of Production Cost in Study Cur]]/Table16[[#Totals],[Cost Of Production Cost in Study Cur]],0)</f>
        <v>0</v>
      </c>
      <c r="H145" s="417">
        <f>Table16[[#This Row],[Unit Price in Study Currency]]*Table16[[#This Row],[Quantity Needed]]</f>
        <v>0</v>
      </c>
    </row>
    <row r="146" spans="1:8" ht="14.25" hidden="1" customHeight="1">
      <c r="A146" s="236"/>
      <c r="B146" s="236"/>
      <c r="C146" s="202"/>
      <c r="D146" s="238"/>
      <c r="E146" s="412">
        <f>Table16[[#This Row],[Unit Price in LC 
(ILS)]]/FX_RATE</f>
        <v>0</v>
      </c>
      <c r="F146" s="217">
        <f>SUMIF('Production Matrix'!A:A,Table16[[#This Row],[Raw Material Used]],'Production Matrix'!I:I)</f>
        <v>0</v>
      </c>
      <c r="G146" s="416">
        <f>IFERROR(Table16[[#This Row],[Cost Of Production Cost in Study Cur]]/Table16[[#Totals],[Cost Of Production Cost in Study Cur]],0)</f>
        <v>0</v>
      </c>
      <c r="H146" s="417">
        <f>Table16[[#This Row],[Unit Price in Study Currency]]*Table16[[#This Row],[Quantity Needed]]</f>
        <v>0</v>
      </c>
    </row>
    <row r="147" spans="1:8" ht="14.25" hidden="1" customHeight="1">
      <c r="A147" s="236"/>
      <c r="B147" s="236"/>
      <c r="C147" s="202"/>
      <c r="D147" s="238"/>
      <c r="E147" s="412">
        <f>Table16[[#This Row],[Unit Price in LC 
(ILS)]]/FX_RATE</f>
        <v>0</v>
      </c>
      <c r="F147" s="217">
        <f>SUMIF('Production Matrix'!A:A,Table16[[#This Row],[Raw Material Used]],'Production Matrix'!I:I)</f>
        <v>0</v>
      </c>
      <c r="G147" s="416">
        <f>IFERROR(Table16[[#This Row],[Cost Of Production Cost in Study Cur]]/Table16[[#Totals],[Cost Of Production Cost in Study Cur]],0)</f>
        <v>0</v>
      </c>
      <c r="H147" s="417">
        <f>Table16[[#This Row],[Unit Price in Study Currency]]*Table16[[#This Row],[Quantity Needed]]</f>
        <v>0</v>
      </c>
    </row>
    <row r="148" spans="1:8" ht="14.25" hidden="1" customHeight="1">
      <c r="A148" s="236"/>
      <c r="B148" s="236"/>
      <c r="C148" s="202"/>
      <c r="D148" s="238"/>
      <c r="E148" s="412">
        <f>Table16[[#This Row],[Unit Price in LC 
(ILS)]]/FX_RATE</f>
        <v>0</v>
      </c>
      <c r="F148" s="217">
        <f>SUMIF('Production Matrix'!A:A,Table16[[#This Row],[Raw Material Used]],'Production Matrix'!I:I)</f>
        <v>0</v>
      </c>
      <c r="G148" s="416">
        <f>IFERROR(Table16[[#This Row],[Cost Of Production Cost in Study Cur]]/Table16[[#Totals],[Cost Of Production Cost in Study Cur]],0)</f>
        <v>0</v>
      </c>
      <c r="H148" s="417">
        <f>Table16[[#This Row],[Unit Price in Study Currency]]*Table16[[#This Row],[Quantity Needed]]</f>
        <v>0</v>
      </c>
    </row>
    <row r="149" spans="1:8" ht="14.25" hidden="1" customHeight="1">
      <c r="A149" s="236"/>
      <c r="B149" s="236"/>
      <c r="C149" s="202"/>
      <c r="D149" s="238"/>
      <c r="E149" s="50">
        <f>Table16[[#This Row],[Unit Price in LC 
(ILS)]]/FX_RATE</f>
        <v>0</v>
      </c>
      <c r="F149" s="217">
        <f>SUMIF('Production Matrix'!A:A,Table16[[#This Row],[Raw Material Used]],'Production Matrix'!I:I)</f>
        <v>0</v>
      </c>
      <c r="G149" s="218">
        <f>IFERROR(Table16[[#This Row],[Cost Of Production Cost in Study Cur]]/Table16[[#Totals],[Cost Of Production Cost in Study Cur]],0)</f>
        <v>0</v>
      </c>
      <c r="H149" s="219">
        <f>Table16[[#This Row],[Unit Price in Study Currency]]*Table16[[#This Row],[Quantity Needed]]</f>
        <v>0</v>
      </c>
    </row>
    <row r="150" spans="1:8" ht="14.25" hidden="1" customHeight="1">
      <c r="A150" s="236"/>
      <c r="B150" s="236"/>
      <c r="C150" s="202"/>
      <c r="D150" s="730"/>
      <c r="E150" s="50">
        <f>Table16[[#This Row],[Unit Price in LC 
(ILS)]]/FX_RATE</f>
        <v>0</v>
      </c>
      <c r="F150" s="217">
        <f>SUMIF('Production Matrix'!A:A,Table16[[#This Row],[Raw Material Used]],'Production Matrix'!I:I)</f>
        <v>0</v>
      </c>
      <c r="G150" s="218">
        <f>IFERROR(Table16[[#This Row],[Cost Of Production Cost in Study Cur]]/Table16[[#Totals],[Cost Of Production Cost in Study Cur]],0)</f>
        <v>0</v>
      </c>
      <c r="H150" s="219">
        <f>Table16[[#This Row],[Unit Price in Study Currency]]*Table16[[#This Row],[Quantity Needed]]</f>
        <v>0</v>
      </c>
    </row>
    <row r="151" spans="1:8" ht="14.25" hidden="1" customHeight="1">
      <c r="A151" s="236"/>
      <c r="B151" s="236"/>
      <c r="C151" s="202"/>
      <c r="D151" s="238"/>
      <c r="E151" s="412">
        <f>Table16[[#This Row],[Unit Price in LC 
(ILS)]]/FX_RATE</f>
        <v>0</v>
      </c>
      <c r="F151" s="217">
        <f>SUMIF('Production Matrix'!A:A,Table16[[#This Row],[Raw Material Used]],'Production Matrix'!I:I)</f>
        <v>0</v>
      </c>
      <c r="G151" s="416">
        <f>IFERROR(Table16[[#This Row],[Cost Of Production Cost in Study Cur]]/Table16[[#Totals],[Cost Of Production Cost in Study Cur]],0)</f>
        <v>0</v>
      </c>
      <c r="H151" s="417">
        <f>Table16[[#This Row],[Unit Price in Study Currency]]*Table16[[#This Row],[Quantity Needed]]</f>
        <v>0</v>
      </c>
    </row>
    <row r="152" spans="1:8" ht="14.25" hidden="1" customHeight="1">
      <c r="A152" s="236"/>
      <c r="B152" s="236"/>
      <c r="C152" s="202"/>
      <c r="D152" s="238"/>
      <c r="E152" s="412">
        <f>Table16[[#This Row],[Unit Price in LC 
(ILS)]]/FX_RATE</f>
        <v>0</v>
      </c>
      <c r="F152" s="217">
        <f>SUMIF('Production Matrix'!A:A,Table16[[#This Row],[Raw Material Used]],'Production Matrix'!I:I)</f>
        <v>0</v>
      </c>
      <c r="G152" s="416">
        <f>IFERROR(Table16[[#This Row],[Cost Of Production Cost in Study Cur]]/Table16[[#Totals],[Cost Of Production Cost in Study Cur]],0)</f>
        <v>0</v>
      </c>
      <c r="H152" s="417">
        <f>Table16[[#This Row],[Unit Price in Study Currency]]*Table16[[#This Row],[Quantity Needed]]</f>
        <v>0</v>
      </c>
    </row>
    <row r="153" spans="1:8" ht="14.25" hidden="1" customHeight="1">
      <c r="A153" s="236"/>
      <c r="B153" s="236"/>
      <c r="C153" s="202"/>
      <c r="D153" s="238"/>
      <c r="E153" s="50">
        <f>Table16[[#This Row],[Unit Price in LC 
(ILS)]]/FX_RATE</f>
        <v>0</v>
      </c>
      <c r="F153" s="217">
        <f>SUMIF('Production Matrix'!A:A,Table16[[#This Row],[Raw Material Used]],'Production Matrix'!I:I)</f>
        <v>0</v>
      </c>
      <c r="G153" s="218">
        <f>IFERROR(Table16[[#This Row],[Cost Of Production Cost in Study Cur]]/Table16[[#Totals],[Cost Of Production Cost in Study Cur]],0)</f>
        <v>0</v>
      </c>
      <c r="H153" s="219">
        <f>Table16[[#This Row],[Unit Price in Study Currency]]*Table16[[#This Row],[Quantity Needed]]</f>
        <v>0</v>
      </c>
    </row>
    <row r="154" spans="1:8" ht="14.25" hidden="1" customHeight="1">
      <c r="A154" s="236"/>
      <c r="B154" s="236"/>
      <c r="C154" s="202"/>
      <c r="D154" s="238"/>
      <c r="E154" s="412">
        <f>Table16[[#This Row],[Unit Price in LC 
(ILS)]]/FX_RATE</f>
        <v>0</v>
      </c>
      <c r="F154" s="217">
        <f>SUMIF('Production Matrix'!A:A,Table16[[#This Row],[Raw Material Used]],'Production Matrix'!I:I)</f>
        <v>0</v>
      </c>
      <c r="G154" s="416">
        <f>IFERROR(Table16[[#This Row],[Cost Of Production Cost in Study Cur]]/Table16[[#Totals],[Cost Of Production Cost in Study Cur]],0)</f>
        <v>0</v>
      </c>
      <c r="H154" s="417">
        <f>Table16[[#This Row],[Unit Price in Study Currency]]*Table16[[#This Row],[Quantity Needed]]</f>
        <v>0</v>
      </c>
    </row>
    <row r="155" spans="1:8" ht="14.25" hidden="1" customHeight="1">
      <c r="A155" s="236"/>
      <c r="B155" s="236"/>
      <c r="C155" s="202"/>
      <c r="D155" s="238"/>
      <c r="E155" s="412">
        <f>Table16[[#This Row],[Unit Price in LC 
(ILS)]]/FX_RATE</f>
        <v>0</v>
      </c>
      <c r="F155" s="217">
        <f>SUMIF('Production Matrix'!A:A,Table16[[#This Row],[Raw Material Used]],'Production Matrix'!I:I)</f>
        <v>0</v>
      </c>
      <c r="G155" s="416">
        <f>IFERROR(Table16[[#This Row],[Cost Of Production Cost in Study Cur]]/Table16[[#Totals],[Cost Of Production Cost in Study Cur]],0)</f>
        <v>0</v>
      </c>
      <c r="H155" s="417">
        <f>Table16[[#This Row],[Unit Price in Study Currency]]*Table16[[#This Row],[Quantity Needed]]</f>
        <v>0</v>
      </c>
    </row>
    <row r="156" spans="1:8" ht="14.25" hidden="1" customHeight="1">
      <c r="A156" s="236"/>
      <c r="B156" s="236"/>
      <c r="C156" s="202"/>
      <c r="D156" s="238"/>
      <c r="E156" s="50">
        <f>Table16[[#This Row],[Unit Price in LC 
(ILS)]]/FX_RATE</f>
        <v>0</v>
      </c>
      <c r="F156" s="217">
        <f>SUMIF('Production Matrix'!A:A,Table16[[#This Row],[Raw Material Used]],'Production Matrix'!I:I)</f>
        <v>0</v>
      </c>
      <c r="G156" s="218">
        <f>IFERROR(Table16[[#This Row],[Cost Of Production Cost in Study Cur]]/Table16[[#Totals],[Cost Of Production Cost in Study Cur]],0)</f>
        <v>0</v>
      </c>
      <c r="H156" s="219">
        <f>Table16[[#This Row],[Unit Price in Study Currency]]*Table16[[#This Row],[Quantity Needed]]</f>
        <v>0</v>
      </c>
    </row>
    <row r="157" spans="1:8" ht="14.25" hidden="1" customHeight="1">
      <c r="A157" s="236"/>
      <c r="B157" s="236"/>
      <c r="C157" s="202"/>
      <c r="D157" s="238"/>
      <c r="E157" s="412">
        <f>Table16[[#This Row],[Unit Price in LC 
(ILS)]]/FX_RATE</f>
        <v>0</v>
      </c>
      <c r="F157" s="217">
        <f>SUMIF('Production Matrix'!A:A,Table16[[#This Row],[Raw Material Used]],'Production Matrix'!I:I)</f>
        <v>0</v>
      </c>
      <c r="G157" s="416">
        <f>IFERROR(Table16[[#This Row],[Cost Of Production Cost in Study Cur]]/Table16[[#Totals],[Cost Of Production Cost in Study Cur]],0)</f>
        <v>0</v>
      </c>
      <c r="H157" s="417">
        <f>Table16[[#This Row],[Unit Price in Study Currency]]*Table16[[#This Row],[Quantity Needed]]</f>
        <v>0</v>
      </c>
    </row>
    <row r="158" spans="1:8" ht="14.25" hidden="1" customHeight="1">
      <c r="A158" s="236"/>
      <c r="B158" s="236"/>
      <c r="C158" s="202"/>
      <c r="D158" s="238"/>
      <c r="E158" s="412">
        <f>Table16[[#This Row],[Unit Price in LC 
(ILS)]]/FX_RATE</f>
        <v>0</v>
      </c>
      <c r="F158" s="217">
        <f>SUMIF('Production Matrix'!A:A,Table16[[#This Row],[Raw Material Used]],'Production Matrix'!I:I)</f>
        <v>0</v>
      </c>
      <c r="G158" s="416">
        <f>IFERROR(Table16[[#This Row],[Cost Of Production Cost in Study Cur]]/Table16[[#Totals],[Cost Of Production Cost in Study Cur]],0)</f>
        <v>0</v>
      </c>
      <c r="H158" s="417">
        <f>Table16[[#This Row],[Unit Price in Study Currency]]*Table16[[#This Row],[Quantity Needed]]</f>
        <v>0</v>
      </c>
    </row>
    <row r="159" spans="1:8" ht="14.25" hidden="1" customHeight="1">
      <c r="A159" s="236"/>
      <c r="B159" s="236"/>
      <c r="C159" s="202"/>
      <c r="D159" s="238"/>
      <c r="E159" s="50">
        <f>Table16[[#This Row],[Unit Price in LC 
(ILS)]]/FX_RATE</f>
        <v>0</v>
      </c>
      <c r="F159" s="217">
        <f>SUMIF('Production Matrix'!A:A,Table16[[#This Row],[Raw Material Used]],'Production Matrix'!I:I)</f>
        <v>0</v>
      </c>
      <c r="G159" s="218">
        <f>IFERROR(Table16[[#This Row],[Cost Of Production Cost in Study Cur]]/Table16[[#Totals],[Cost Of Production Cost in Study Cur]],0)</f>
        <v>0</v>
      </c>
      <c r="H159" s="219">
        <f>Table16[[#This Row],[Unit Price in Study Currency]]*Table16[[#This Row],[Quantity Needed]]</f>
        <v>0</v>
      </c>
    </row>
    <row r="160" spans="1:8" ht="14.25" hidden="1" customHeight="1">
      <c r="A160" s="236"/>
      <c r="B160" s="236"/>
      <c r="C160" s="202"/>
      <c r="D160" s="238"/>
      <c r="E160" s="50">
        <f>Table16[[#This Row],[Unit Price in LC 
(ILS)]]/FX_RATE</f>
        <v>0</v>
      </c>
      <c r="F160" s="217">
        <f>SUMIF('Production Matrix'!A:A,Table16[[#This Row],[Raw Material Used]],'Production Matrix'!I:I)</f>
        <v>0</v>
      </c>
      <c r="G160" s="218">
        <f>IFERROR(Table16[[#This Row],[Cost Of Production Cost in Study Cur]]/Table16[[#Totals],[Cost Of Production Cost in Study Cur]],0)</f>
        <v>0</v>
      </c>
      <c r="H160" s="219">
        <f>Table16[[#This Row],[Unit Price in Study Currency]]*Table16[[#This Row],[Quantity Needed]]</f>
        <v>0</v>
      </c>
    </row>
    <row r="161" spans="1:8" ht="14.25" hidden="1" customHeight="1">
      <c r="A161" s="236"/>
      <c r="B161" s="236"/>
      <c r="C161" s="202"/>
      <c r="D161" s="238"/>
      <c r="E161" s="412">
        <f>Table16[[#This Row],[Unit Price in LC 
(ILS)]]/FX_RATE</f>
        <v>0</v>
      </c>
      <c r="F161" s="217">
        <f>SUMIF('Production Matrix'!A:A,Table16[[#This Row],[Raw Material Used]],'Production Matrix'!I:I)</f>
        <v>0</v>
      </c>
      <c r="G161" s="416">
        <f>IFERROR(Table16[[#This Row],[Cost Of Production Cost in Study Cur]]/Table16[[#Totals],[Cost Of Production Cost in Study Cur]],0)</f>
        <v>0</v>
      </c>
      <c r="H161" s="417">
        <f>Table16[[#This Row],[Unit Price in Study Currency]]*Table16[[#This Row],[Quantity Needed]]</f>
        <v>0</v>
      </c>
    </row>
    <row r="162" spans="1:8" ht="14.25" hidden="1" customHeight="1">
      <c r="A162" s="236"/>
      <c r="B162" s="236"/>
      <c r="C162" s="202"/>
      <c r="D162" s="238"/>
      <c r="E162" s="412">
        <f>Table16[[#This Row],[Unit Price in LC 
(ILS)]]/FX_RATE</f>
        <v>0</v>
      </c>
      <c r="F162" s="217">
        <f>SUMIF('Production Matrix'!A:A,Table16[[#This Row],[Raw Material Used]],'Production Matrix'!I:I)</f>
        <v>0</v>
      </c>
      <c r="G162" s="416">
        <f>IFERROR(Table16[[#This Row],[Cost Of Production Cost in Study Cur]]/Table16[[#Totals],[Cost Of Production Cost in Study Cur]],0)</f>
        <v>0</v>
      </c>
      <c r="H162" s="417">
        <f>Table16[[#This Row],[Unit Price in Study Currency]]*Table16[[#This Row],[Quantity Needed]]</f>
        <v>0</v>
      </c>
    </row>
    <row r="163" spans="1:8" ht="14.25" hidden="1" customHeight="1">
      <c r="A163" s="236"/>
      <c r="B163" s="236"/>
      <c r="C163" s="202"/>
      <c r="D163" s="238"/>
      <c r="E163" s="412">
        <f>Table16[[#This Row],[Unit Price in LC 
(ILS)]]/FX_RATE</f>
        <v>0</v>
      </c>
      <c r="F163" s="217">
        <f>SUMIF('Production Matrix'!A:A,Table16[[#This Row],[Raw Material Used]],'Production Matrix'!I:I)</f>
        <v>0</v>
      </c>
      <c r="G163" s="416">
        <f>IFERROR(Table16[[#This Row],[Cost Of Production Cost in Study Cur]]/Table16[[#Totals],[Cost Of Production Cost in Study Cur]],0)</f>
        <v>0</v>
      </c>
      <c r="H163" s="417">
        <f>Table16[[#This Row],[Unit Price in Study Currency]]*Table16[[#This Row],[Quantity Needed]]</f>
        <v>0</v>
      </c>
    </row>
    <row r="164" spans="1:8" ht="14.25" hidden="1" customHeight="1">
      <c r="A164" s="236"/>
      <c r="B164" s="236"/>
      <c r="C164" s="202"/>
      <c r="D164" s="238"/>
      <c r="E164" s="412">
        <f>Table16[[#This Row],[Unit Price in LC 
(ILS)]]/FX_RATE</f>
        <v>0</v>
      </c>
      <c r="F164" s="217">
        <f>SUMIF('Production Matrix'!A:A,Table16[[#This Row],[Raw Material Used]],'Production Matrix'!I:I)</f>
        <v>0</v>
      </c>
      <c r="G164" s="416">
        <f>IFERROR(Table16[[#This Row],[Cost Of Production Cost in Study Cur]]/Table16[[#Totals],[Cost Of Production Cost in Study Cur]],0)</f>
        <v>0</v>
      </c>
      <c r="H164" s="417">
        <f>Table16[[#This Row],[Unit Price in Study Currency]]*Table16[[#This Row],[Quantity Needed]]</f>
        <v>0</v>
      </c>
    </row>
    <row r="165" spans="1:8" ht="14.25" hidden="1" customHeight="1">
      <c r="A165" s="236"/>
      <c r="B165" s="236"/>
      <c r="C165" s="202"/>
      <c r="D165" s="238"/>
      <c r="E165" s="50">
        <f>Table16[[#This Row],[Unit Price in LC 
(ILS)]]/FX_RATE</f>
        <v>0</v>
      </c>
      <c r="F165" s="217">
        <f>SUMIF('Production Matrix'!A:A,Table16[[#This Row],[Raw Material Used]],'Production Matrix'!I:I)</f>
        <v>0</v>
      </c>
      <c r="G165" s="218">
        <f>IFERROR(Table16[[#This Row],[Cost Of Production Cost in Study Cur]]/Table16[[#Totals],[Cost Of Production Cost in Study Cur]],0)</f>
        <v>0</v>
      </c>
      <c r="H165" s="219">
        <f>Table16[[#This Row],[Unit Price in Study Currency]]*Table16[[#This Row],[Quantity Needed]]</f>
        <v>0</v>
      </c>
    </row>
    <row r="166" spans="1:8" ht="14.25" hidden="1" customHeight="1">
      <c r="A166" s="236"/>
      <c r="B166" s="236"/>
      <c r="C166" s="202"/>
      <c r="D166" s="238"/>
      <c r="E166" s="412">
        <f>Table16[[#This Row],[Unit Price in LC 
(ILS)]]/FX_RATE</f>
        <v>0</v>
      </c>
      <c r="F166" s="217">
        <f>SUMIF('Production Matrix'!A:A,Table16[[#This Row],[Raw Material Used]],'Production Matrix'!I:I)</f>
        <v>0</v>
      </c>
      <c r="G166" s="416">
        <f>IFERROR(Table16[[#This Row],[Cost Of Production Cost in Study Cur]]/Table16[[#Totals],[Cost Of Production Cost in Study Cur]],0)</f>
        <v>0</v>
      </c>
      <c r="H166" s="417">
        <f>Table16[[#This Row],[Unit Price in Study Currency]]*Table16[[#This Row],[Quantity Needed]]</f>
        <v>0</v>
      </c>
    </row>
    <row r="167" spans="1:8" ht="14.25" hidden="1" customHeight="1">
      <c r="A167" s="236"/>
      <c r="B167" s="236"/>
      <c r="C167" s="202"/>
      <c r="D167" s="238"/>
      <c r="E167" s="50">
        <f>Table16[[#This Row],[Unit Price in LC 
(ILS)]]/FX_RATE</f>
        <v>0</v>
      </c>
      <c r="F167" s="217">
        <f>SUMIF('Production Matrix'!A:A,Table16[[#This Row],[Raw Material Used]],'Production Matrix'!I:I)</f>
        <v>0</v>
      </c>
      <c r="G167" s="218">
        <f>IFERROR(Table16[[#This Row],[Cost Of Production Cost in Study Cur]]/Table16[[#Totals],[Cost Of Production Cost in Study Cur]],0)</f>
        <v>0</v>
      </c>
      <c r="H167" s="219">
        <f>Table16[[#This Row],[Unit Price in Study Currency]]*Table16[[#This Row],[Quantity Needed]]</f>
        <v>0</v>
      </c>
    </row>
    <row r="168" spans="1:8" ht="14.25" hidden="1" customHeight="1">
      <c r="A168" s="236"/>
      <c r="B168" s="236"/>
      <c r="C168" s="202"/>
      <c r="D168" s="238"/>
      <c r="E168" s="412">
        <f>Table16[[#This Row],[Unit Price in LC 
(ILS)]]/FX_RATE</f>
        <v>0</v>
      </c>
      <c r="F168" s="217">
        <f>SUMIF('Production Matrix'!A:A,Table16[[#This Row],[Raw Material Used]],'Production Matrix'!I:I)</f>
        <v>0</v>
      </c>
      <c r="G168" s="416">
        <f>IFERROR(Table16[[#This Row],[Cost Of Production Cost in Study Cur]]/Table16[[#Totals],[Cost Of Production Cost in Study Cur]],0)</f>
        <v>0</v>
      </c>
      <c r="H168" s="417">
        <f>Table16[[#This Row],[Unit Price in Study Currency]]*Table16[[#This Row],[Quantity Needed]]</f>
        <v>0</v>
      </c>
    </row>
    <row r="169" spans="1:8" ht="14.25" hidden="1" customHeight="1">
      <c r="A169" s="236"/>
      <c r="B169" s="236"/>
      <c r="C169" s="202"/>
      <c r="D169" s="238"/>
      <c r="E169" s="412">
        <f>Table16[[#This Row],[Unit Price in LC 
(ILS)]]/FX_RATE</f>
        <v>0</v>
      </c>
      <c r="F169" s="217">
        <f>SUMIF('Production Matrix'!A:A,Table16[[#This Row],[Raw Material Used]],'Production Matrix'!I:I)</f>
        <v>0</v>
      </c>
      <c r="G169" s="416">
        <f>IFERROR(Table16[[#This Row],[Cost Of Production Cost in Study Cur]]/Table16[[#Totals],[Cost Of Production Cost in Study Cur]],0)</f>
        <v>0</v>
      </c>
      <c r="H169" s="417">
        <f>Table16[[#This Row],[Unit Price in Study Currency]]*Table16[[#This Row],[Quantity Needed]]</f>
        <v>0</v>
      </c>
    </row>
    <row r="170" spans="1:8" ht="14.25" hidden="1" customHeight="1">
      <c r="A170" s="236"/>
      <c r="B170" s="236"/>
      <c r="C170" s="202"/>
      <c r="D170" s="238"/>
      <c r="E170" s="412">
        <f>Table16[[#This Row],[Unit Price in LC 
(ILS)]]/FX_RATE</f>
        <v>0</v>
      </c>
      <c r="F170" s="217">
        <f>SUMIF('Production Matrix'!A:A,Table16[[#This Row],[Raw Material Used]],'Production Matrix'!I:I)</f>
        <v>0</v>
      </c>
      <c r="G170" s="416">
        <f>IFERROR(Table16[[#This Row],[Cost Of Production Cost in Study Cur]]/Table16[[#Totals],[Cost Of Production Cost in Study Cur]],0)</f>
        <v>0</v>
      </c>
      <c r="H170" s="417">
        <f>Table16[[#This Row],[Unit Price in Study Currency]]*Table16[[#This Row],[Quantity Needed]]</f>
        <v>0</v>
      </c>
    </row>
    <row r="171" spans="1:8" ht="14.25" hidden="1" customHeight="1">
      <c r="A171" s="236"/>
      <c r="B171" s="236"/>
      <c r="C171" s="202"/>
      <c r="D171" s="238"/>
      <c r="E171" s="412">
        <f>Table16[[#This Row],[Unit Price in LC 
(ILS)]]/FX_RATE</f>
        <v>0</v>
      </c>
      <c r="F171" s="217">
        <f>SUMIF('Production Matrix'!A:A,Table16[[#This Row],[Raw Material Used]],'Production Matrix'!I:I)</f>
        <v>0</v>
      </c>
      <c r="G171" s="416">
        <f>IFERROR(Table16[[#This Row],[Cost Of Production Cost in Study Cur]]/Table16[[#Totals],[Cost Of Production Cost in Study Cur]],0)</f>
        <v>0</v>
      </c>
      <c r="H171" s="417">
        <f>Table16[[#This Row],[Unit Price in Study Currency]]*Table16[[#This Row],[Quantity Needed]]</f>
        <v>0</v>
      </c>
    </row>
    <row r="172" spans="1:8" ht="14.25" hidden="1" customHeight="1">
      <c r="A172" s="236"/>
      <c r="B172" s="236"/>
      <c r="C172" s="202"/>
      <c r="D172" s="238"/>
      <c r="E172" s="412">
        <f>Table16[[#This Row],[Unit Price in LC 
(ILS)]]/FX_RATE</f>
        <v>0</v>
      </c>
      <c r="F172" s="217">
        <f>SUMIF('Production Matrix'!A:A,Table16[[#This Row],[Raw Material Used]],'Production Matrix'!I:I)</f>
        <v>0</v>
      </c>
      <c r="G172" s="416">
        <f>IFERROR(Table16[[#This Row],[Cost Of Production Cost in Study Cur]]/Table16[[#Totals],[Cost Of Production Cost in Study Cur]],0)</f>
        <v>0</v>
      </c>
      <c r="H172" s="417">
        <f>Table16[[#This Row],[Unit Price in Study Currency]]*Table16[[#This Row],[Quantity Needed]]</f>
        <v>0</v>
      </c>
    </row>
    <row r="173" spans="1:8" ht="14.25" hidden="1" customHeight="1">
      <c r="A173" s="236"/>
      <c r="B173" s="236"/>
      <c r="C173" s="202"/>
      <c r="D173" s="238"/>
      <c r="E173" s="412">
        <f>Table16[[#This Row],[Unit Price in LC 
(ILS)]]/FX_RATE</f>
        <v>0</v>
      </c>
      <c r="F173" s="217">
        <f>SUMIF('Production Matrix'!A:A,Table16[[#This Row],[Raw Material Used]],'Production Matrix'!I:I)</f>
        <v>0</v>
      </c>
      <c r="G173" s="416">
        <f>IFERROR(Table16[[#This Row],[Cost Of Production Cost in Study Cur]]/Table16[[#Totals],[Cost Of Production Cost in Study Cur]],0)</f>
        <v>0</v>
      </c>
      <c r="H173" s="417">
        <f>Table16[[#This Row],[Unit Price in Study Currency]]*Table16[[#This Row],[Quantity Needed]]</f>
        <v>0</v>
      </c>
    </row>
    <row r="174" spans="1:8" ht="14.25" hidden="1" customHeight="1">
      <c r="A174" s="236"/>
      <c r="B174" s="236"/>
      <c r="C174" s="202"/>
      <c r="D174" s="238"/>
      <c r="E174" s="412">
        <f>Table16[[#This Row],[Unit Price in LC 
(ILS)]]/FX_RATE</f>
        <v>0</v>
      </c>
      <c r="F174" s="217">
        <f>SUMIF('Production Matrix'!A:A,Table16[[#This Row],[Raw Material Used]],'Production Matrix'!I:I)</f>
        <v>0</v>
      </c>
      <c r="G174" s="416">
        <f>IFERROR(Table16[[#This Row],[Cost Of Production Cost in Study Cur]]/Table16[[#Totals],[Cost Of Production Cost in Study Cur]],0)</f>
        <v>0</v>
      </c>
      <c r="H174" s="417">
        <f>Table16[[#This Row],[Unit Price in Study Currency]]*Table16[[#This Row],[Quantity Needed]]</f>
        <v>0</v>
      </c>
    </row>
    <row r="175" spans="1:8" ht="14.25" hidden="1" customHeight="1">
      <c r="A175" s="236"/>
      <c r="B175" s="236"/>
      <c r="C175" s="202"/>
      <c r="D175" s="238"/>
      <c r="E175" s="412">
        <f>Table16[[#This Row],[Unit Price in LC 
(ILS)]]/FX_RATE</f>
        <v>0</v>
      </c>
      <c r="F175" s="217">
        <f>SUMIF('Production Matrix'!A:A,Table16[[#This Row],[Raw Material Used]],'Production Matrix'!I:I)</f>
        <v>0</v>
      </c>
      <c r="G175" s="416">
        <f>IFERROR(Table16[[#This Row],[Cost Of Production Cost in Study Cur]]/Table16[[#Totals],[Cost Of Production Cost in Study Cur]],0)</f>
        <v>0</v>
      </c>
      <c r="H175" s="417">
        <f>Table16[[#This Row],[Unit Price in Study Currency]]*Table16[[#This Row],[Quantity Needed]]</f>
        <v>0</v>
      </c>
    </row>
    <row r="176" spans="1:8" ht="14.25" hidden="1" customHeight="1">
      <c r="A176" s="236"/>
      <c r="B176" s="236"/>
      <c r="C176" s="202"/>
      <c r="D176" s="238"/>
      <c r="E176" s="412">
        <f>Table16[[#This Row],[Unit Price in LC 
(ILS)]]/FX_RATE</f>
        <v>0</v>
      </c>
      <c r="F176" s="217">
        <f>SUMIF('Production Matrix'!A:A,Table16[[#This Row],[Raw Material Used]],'Production Matrix'!I:I)</f>
        <v>0</v>
      </c>
      <c r="G176" s="416">
        <f>IFERROR(Table16[[#This Row],[Cost Of Production Cost in Study Cur]]/Table16[[#Totals],[Cost Of Production Cost in Study Cur]],0)</f>
        <v>0</v>
      </c>
      <c r="H176" s="417">
        <f>Table16[[#This Row],[Unit Price in Study Currency]]*Table16[[#This Row],[Quantity Needed]]</f>
        <v>0</v>
      </c>
    </row>
    <row r="177" spans="1:8" ht="14.25" hidden="1" customHeight="1">
      <c r="A177" s="236"/>
      <c r="B177" s="236"/>
      <c r="C177" s="202"/>
      <c r="D177" s="238"/>
      <c r="E177" s="412">
        <f>Table16[[#This Row],[Unit Price in LC 
(ILS)]]/FX_RATE</f>
        <v>0</v>
      </c>
      <c r="F177" s="217">
        <f>SUMIF('Production Matrix'!A:A,Table16[[#This Row],[Raw Material Used]],'Production Matrix'!I:I)</f>
        <v>0</v>
      </c>
      <c r="G177" s="416">
        <f>IFERROR(Table16[[#This Row],[Cost Of Production Cost in Study Cur]]/Table16[[#Totals],[Cost Of Production Cost in Study Cur]],0)</f>
        <v>0</v>
      </c>
      <c r="H177" s="417">
        <f>Table16[[#This Row],[Unit Price in Study Currency]]*Table16[[#This Row],[Quantity Needed]]</f>
        <v>0</v>
      </c>
    </row>
    <row r="178" spans="1:8" ht="14.25" hidden="1" customHeight="1">
      <c r="A178" s="236"/>
      <c r="B178" s="236"/>
      <c r="C178" s="202"/>
      <c r="D178" s="238"/>
      <c r="E178" s="412">
        <f>Table16[[#This Row],[Unit Price in LC 
(ILS)]]/FX_RATE</f>
        <v>0</v>
      </c>
      <c r="F178" s="217">
        <f>SUMIF('Production Matrix'!A:A,Table16[[#This Row],[Raw Material Used]],'Production Matrix'!I:I)</f>
        <v>0</v>
      </c>
      <c r="G178" s="416">
        <f>IFERROR(Table16[[#This Row],[Cost Of Production Cost in Study Cur]]/Table16[[#Totals],[Cost Of Production Cost in Study Cur]],0)</f>
        <v>0</v>
      </c>
      <c r="H178" s="417">
        <f>Table16[[#This Row],[Unit Price in Study Currency]]*Table16[[#This Row],[Quantity Needed]]</f>
        <v>0</v>
      </c>
    </row>
    <row r="179" spans="1:8" ht="14.25" hidden="1" customHeight="1">
      <c r="A179" s="236"/>
      <c r="B179" s="236"/>
      <c r="C179" s="202"/>
      <c r="D179" s="238"/>
      <c r="E179" s="412">
        <f>Table16[[#This Row],[Unit Price in LC 
(ILS)]]/FX_RATE</f>
        <v>0</v>
      </c>
      <c r="F179" s="217">
        <f>SUMIF('Production Matrix'!A:A,Table16[[#This Row],[Raw Material Used]],'Production Matrix'!I:I)</f>
        <v>0</v>
      </c>
      <c r="G179" s="416">
        <f>IFERROR(Table16[[#This Row],[Cost Of Production Cost in Study Cur]]/Table16[[#Totals],[Cost Of Production Cost in Study Cur]],0)</f>
        <v>0</v>
      </c>
      <c r="H179" s="417">
        <f>Table16[[#This Row],[Unit Price in Study Currency]]*Table16[[#This Row],[Quantity Needed]]</f>
        <v>0</v>
      </c>
    </row>
    <row r="180" spans="1:8" ht="14.25" hidden="1" customHeight="1">
      <c r="A180" s="236"/>
      <c r="B180" s="236"/>
      <c r="C180" s="202"/>
      <c r="D180" s="238"/>
      <c r="E180" s="412">
        <f>Table16[[#This Row],[Unit Price in LC 
(ILS)]]/FX_RATE</f>
        <v>0</v>
      </c>
      <c r="F180" s="217">
        <f>SUMIF('Production Matrix'!A:A,Table16[[#This Row],[Raw Material Used]],'Production Matrix'!I:I)</f>
        <v>0</v>
      </c>
      <c r="G180" s="416">
        <f>IFERROR(Table16[[#This Row],[Cost Of Production Cost in Study Cur]]/Table16[[#Totals],[Cost Of Production Cost in Study Cur]],0)</f>
        <v>0</v>
      </c>
      <c r="H180" s="417">
        <f>Table16[[#This Row],[Unit Price in Study Currency]]*Table16[[#This Row],[Quantity Needed]]</f>
        <v>0</v>
      </c>
    </row>
    <row r="181" spans="1:8" ht="14.25" hidden="1" customHeight="1">
      <c r="A181" s="236"/>
      <c r="B181" s="236"/>
      <c r="C181" s="202"/>
      <c r="D181" s="238"/>
      <c r="E181" s="412">
        <f>Table16[[#This Row],[Unit Price in LC 
(ILS)]]/FX_RATE</f>
        <v>0</v>
      </c>
      <c r="F181" s="217">
        <f>SUMIF('Production Matrix'!A:A,Table16[[#This Row],[Raw Material Used]],'Production Matrix'!I:I)</f>
        <v>0</v>
      </c>
      <c r="G181" s="416">
        <f>IFERROR(Table16[[#This Row],[Cost Of Production Cost in Study Cur]]/Table16[[#Totals],[Cost Of Production Cost in Study Cur]],0)</f>
        <v>0</v>
      </c>
      <c r="H181" s="417">
        <f>Table16[[#This Row],[Unit Price in Study Currency]]*Table16[[#This Row],[Quantity Needed]]</f>
        <v>0</v>
      </c>
    </row>
    <row r="182" spans="1:8" ht="14.25" hidden="1" customHeight="1">
      <c r="A182" s="236"/>
      <c r="B182" s="236"/>
      <c r="C182" s="202"/>
      <c r="D182" s="238"/>
      <c r="E182" s="412">
        <f>Table16[[#This Row],[Unit Price in LC 
(ILS)]]/FX_RATE</f>
        <v>0</v>
      </c>
      <c r="F182" s="217">
        <f>SUMIF('Production Matrix'!A:A,Table16[[#This Row],[Raw Material Used]],'Production Matrix'!I:I)</f>
        <v>0</v>
      </c>
      <c r="G182" s="416">
        <f>IFERROR(Table16[[#This Row],[Cost Of Production Cost in Study Cur]]/Table16[[#Totals],[Cost Of Production Cost in Study Cur]],0)</f>
        <v>0</v>
      </c>
      <c r="H182" s="417">
        <f>Table16[[#This Row],[Unit Price in Study Currency]]*Table16[[#This Row],[Quantity Needed]]</f>
        <v>0</v>
      </c>
    </row>
    <row r="183" spans="1:8" ht="14.25" hidden="1" customHeight="1">
      <c r="A183" s="236"/>
      <c r="B183" s="236"/>
      <c r="C183" s="202"/>
      <c r="D183" s="238"/>
      <c r="E183" s="412">
        <f>Table16[[#This Row],[Unit Price in LC 
(ILS)]]/FX_RATE</f>
        <v>0</v>
      </c>
      <c r="F183" s="217">
        <f>SUMIF('Production Matrix'!A:A,Table16[[#This Row],[Raw Material Used]],'Production Matrix'!I:I)</f>
        <v>0</v>
      </c>
      <c r="G183" s="416">
        <f>IFERROR(Table16[[#This Row],[Cost Of Production Cost in Study Cur]]/Table16[[#Totals],[Cost Of Production Cost in Study Cur]],0)</f>
        <v>0</v>
      </c>
      <c r="H183" s="417">
        <f>Table16[[#This Row],[Unit Price in Study Currency]]*Table16[[#This Row],[Quantity Needed]]</f>
        <v>0</v>
      </c>
    </row>
    <row r="184" spans="1:8" ht="14.25" hidden="1" customHeight="1">
      <c r="A184" s="236"/>
      <c r="B184" s="236"/>
      <c r="C184" s="202"/>
      <c r="D184" s="238"/>
      <c r="E184" s="412">
        <f>Table16[[#This Row],[Unit Price in LC 
(ILS)]]/FX_RATE</f>
        <v>0</v>
      </c>
      <c r="F184" s="217">
        <f>SUMIF('Production Matrix'!A:A,Table16[[#This Row],[Raw Material Used]],'Production Matrix'!I:I)</f>
        <v>0</v>
      </c>
      <c r="G184" s="416">
        <f>IFERROR(Table16[[#This Row],[Cost Of Production Cost in Study Cur]]/Table16[[#Totals],[Cost Of Production Cost in Study Cur]],0)</f>
        <v>0</v>
      </c>
      <c r="H184" s="417">
        <f>Table16[[#This Row],[Unit Price in Study Currency]]*Table16[[#This Row],[Quantity Needed]]</f>
        <v>0</v>
      </c>
    </row>
    <row r="185" spans="1:8" ht="14.25" hidden="1" customHeight="1">
      <c r="A185" s="236"/>
      <c r="B185" s="236"/>
      <c r="C185" s="202"/>
      <c r="D185" s="238"/>
      <c r="E185" s="412">
        <f>Table16[[#This Row],[Unit Price in LC 
(ILS)]]/FX_RATE</f>
        <v>0</v>
      </c>
      <c r="F185" s="217">
        <f>SUMIF('Production Matrix'!A:A,Table16[[#This Row],[Raw Material Used]],'Production Matrix'!I:I)</f>
        <v>0</v>
      </c>
      <c r="G185" s="416">
        <f>IFERROR(Table16[[#This Row],[Cost Of Production Cost in Study Cur]]/Table16[[#Totals],[Cost Of Production Cost in Study Cur]],0)</f>
        <v>0</v>
      </c>
      <c r="H185" s="417">
        <f>Table16[[#This Row],[Unit Price in Study Currency]]*Table16[[#This Row],[Quantity Needed]]</f>
        <v>0</v>
      </c>
    </row>
    <row r="186" spans="1:8" ht="14.25" hidden="1" customHeight="1">
      <c r="A186" s="236"/>
      <c r="B186" s="236"/>
      <c r="C186" s="202"/>
      <c r="D186" s="238"/>
      <c r="E186" s="412">
        <f>Table16[[#This Row],[Unit Price in LC 
(ILS)]]/FX_RATE</f>
        <v>0</v>
      </c>
      <c r="F186" s="217">
        <f>SUMIF('Production Matrix'!A:A,Table16[[#This Row],[Raw Material Used]],'Production Matrix'!I:I)</f>
        <v>0</v>
      </c>
      <c r="G186" s="416">
        <f>IFERROR(Table16[[#This Row],[Cost Of Production Cost in Study Cur]]/Table16[[#Totals],[Cost Of Production Cost in Study Cur]],0)</f>
        <v>0</v>
      </c>
      <c r="H186" s="417">
        <f>Table16[[#This Row],[Unit Price in Study Currency]]*Table16[[#This Row],[Quantity Needed]]</f>
        <v>0</v>
      </c>
    </row>
    <row r="187" spans="1:8" ht="14.25" hidden="1" customHeight="1">
      <c r="A187" s="236"/>
      <c r="B187" s="236"/>
      <c r="C187" s="202"/>
      <c r="D187" s="238"/>
      <c r="E187" s="412">
        <f>Table16[[#This Row],[Unit Price in LC 
(ILS)]]/FX_RATE</f>
        <v>0</v>
      </c>
      <c r="F187" s="217">
        <f>SUMIF('Production Matrix'!A:A,Table16[[#This Row],[Raw Material Used]],'Production Matrix'!I:I)</f>
        <v>0</v>
      </c>
      <c r="G187" s="416">
        <f>IFERROR(Table16[[#This Row],[Cost Of Production Cost in Study Cur]]/Table16[[#Totals],[Cost Of Production Cost in Study Cur]],0)</f>
        <v>0</v>
      </c>
      <c r="H187" s="417">
        <f>Table16[[#This Row],[Unit Price in Study Currency]]*Table16[[#This Row],[Quantity Needed]]</f>
        <v>0</v>
      </c>
    </row>
    <row r="188" spans="1:8" ht="14.25" hidden="1" customHeight="1">
      <c r="A188" s="236"/>
      <c r="B188" s="236"/>
      <c r="C188" s="202"/>
      <c r="D188" s="238"/>
      <c r="E188" s="412">
        <f>Table16[[#This Row],[Unit Price in LC 
(ILS)]]/FX_RATE</f>
        <v>0</v>
      </c>
      <c r="F188" s="217">
        <f>SUMIF('Production Matrix'!A:A,Table16[[#This Row],[Raw Material Used]],'Production Matrix'!I:I)</f>
        <v>0</v>
      </c>
      <c r="G188" s="416">
        <f>IFERROR(Table16[[#This Row],[Cost Of Production Cost in Study Cur]]/Table16[[#Totals],[Cost Of Production Cost in Study Cur]],0)</f>
        <v>0</v>
      </c>
      <c r="H188" s="417">
        <f>Table16[[#This Row],[Unit Price in Study Currency]]*Table16[[#This Row],[Quantity Needed]]</f>
        <v>0</v>
      </c>
    </row>
    <row r="189" spans="1:8" ht="14.25" hidden="1" customHeight="1">
      <c r="A189" s="236"/>
      <c r="B189" s="236"/>
      <c r="C189" s="202"/>
      <c r="D189" s="238"/>
      <c r="E189" s="50">
        <f>Table16[[#This Row],[Unit Price in LC 
(ILS)]]/FX_RATE</f>
        <v>0</v>
      </c>
      <c r="F189" s="217">
        <f>SUMIF('Production Matrix'!A:A,Table16[[#This Row],[Raw Material Used]],'Production Matrix'!I:I)</f>
        <v>0</v>
      </c>
      <c r="G189" s="218">
        <f>IFERROR(Table16[[#This Row],[Cost Of Production Cost in Study Cur]]/Table16[[#Totals],[Cost Of Production Cost in Study Cur]],0)</f>
        <v>0</v>
      </c>
      <c r="H189" s="219">
        <f>Table16[[#This Row],[Unit Price in Study Currency]]*Table16[[#This Row],[Quantity Needed]]</f>
        <v>0</v>
      </c>
    </row>
    <row r="190" spans="1:8" ht="14.25" hidden="1" customHeight="1">
      <c r="A190" s="236"/>
      <c r="B190" s="236"/>
      <c r="C190" s="202"/>
      <c r="D190" s="238"/>
      <c r="E190" s="412">
        <f>Table16[[#This Row],[Unit Price in LC 
(ILS)]]/FX_RATE</f>
        <v>0</v>
      </c>
      <c r="F190" s="217">
        <f>SUMIF('Production Matrix'!A:A,Table16[[#This Row],[Raw Material Used]],'Production Matrix'!I:I)</f>
        <v>0</v>
      </c>
      <c r="G190" s="416">
        <f>IFERROR(Table16[[#This Row],[Cost Of Production Cost in Study Cur]]/Table16[[#Totals],[Cost Of Production Cost in Study Cur]],0)</f>
        <v>0</v>
      </c>
      <c r="H190" s="417">
        <f>Table16[[#This Row],[Unit Price in Study Currency]]*Table16[[#This Row],[Quantity Needed]]</f>
        <v>0</v>
      </c>
    </row>
    <row r="191" spans="1:8" ht="14.25" hidden="1" customHeight="1">
      <c r="A191" s="236"/>
      <c r="B191" s="236"/>
      <c r="C191" s="202"/>
      <c r="D191" s="238"/>
      <c r="E191" s="412">
        <f>Table16[[#This Row],[Unit Price in LC 
(ILS)]]/FX_RATE</f>
        <v>0</v>
      </c>
      <c r="F191" s="217">
        <f>SUMIF('Production Matrix'!A:A,Table16[[#This Row],[Raw Material Used]],'Production Matrix'!I:I)</f>
        <v>0</v>
      </c>
      <c r="G191" s="416">
        <f>IFERROR(Table16[[#This Row],[Cost Of Production Cost in Study Cur]]/Table16[[#Totals],[Cost Of Production Cost in Study Cur]],0)</f>
        <v>0</v>
      </c>
      <c r="H191" s="417">
        <f>Table16[[#This Row],[Unit Price in Study Currency]]*Table16[[#This Row],[Quantity Needed]]</f>
        <v>0</v>
      </c>
    </row>
    <row r="192" spans="1:8" ht="14.25" hidden="1" customHeight="1">
      <c r="A192" s="236"/>
      <c r="B192" s="236"/>
      <c r="C192" s="202"/>
      <c r="D192" s="238"/>
      <c r="E192" s="412">
        <f>Table16[[#This Row],[Unit Price in LC 
(ILS)]]/FX_RATE</f>
        <v>0</v>
      </c>
      <c r="F192" s="217">
        <f>SUMIF('Production Matrix'!A:A,Table16[[#This Row],[Raw Material Used]],'Production Matrix'!I:I)</f>
        <v>0</v>
      </c>
      <c r="G192" s="416">
        <f>IFERROR(Table16[[#This Row],[Cost Of Production Cost in Study Cur]]/Table16[[#Totals],[Cost Of Production Cost in Study Cur]],0)</f>
        <v>0</v>
      </c>
      <c r="H192" s="417">
        <f>Table16[[#This Row],[Unit Price in Study Currency]]*Table16[[#This Row],[Quantity Needed]]</f>
        <v>0</v>
      </c>
    </row>
    <row r="193" spans="1:8" ht="14.25" hidden="1" customHeight="1">
      <c r="A193" s="236"/>
      <c r="B193" s="236"/>
      <c r="C193" s="202"/>
      <c r="D193" s="238"/>
      <c r="E193" s="412">
        <f>Table16[[#This Row],[Unit Price in LC 
(ILS)]]/FX_RATE</f>
        <v>0</v>
      </c>
      <c r="F193" s="217">
        <f>SUMIF('Production Matrix'!A:A,Table16[[#This Row],[Raw Material Used]],'Production Matrix'!I:I)</f>
        <v>0</v>
      </c>
      <c r="G193" s="416">
        <f>IFERROR(Table16[[#This Row],[Cost Of Production Cost in Study Cur]]/Table16[[#Totals],[Cost Of Production Cost in Study Cur]],0)</f>
        <v>0</v>
      </c>
      <c r="H193" s="417">
        <f>Table16[[#This Row],[Unit Price in Study Currency]]*Table16[[#This Row],[Quantity Needed]]</f>
        <v>0</v>
      </c>
    </row>
    <row r="194" spans="1:8" ht="14.25" hidden="1" customHeight="1">
      <c r="A194" s="236"/>
      <c r="B194" s="236"/>
      <c r="C194" s="202"/>
      <c r="D194" s="238"/>
      <c r="E194" s="412">
        <f>Table16[[#This Row],[Unit Price in LC 
(ILS)]]/FX_RATE</f>
        <v>0</v>
      </c>
      <c r="F194" s="217">
        <f>SUMIF('Production Matrix'!A:A,Table16[[#This Row],[Raw Material Used]],'Production Matrix'!I:I)</f>
        <v>0</v>
      </c>
      <c r="G194" s="416">
        <f>IFERROR(Table16[[#This Row],[Cost Of Production Cost in Study Cur]]/Table16[[#Totals],[Cost Of Production Cost in Study Cur]],0)</f>
        <v>0</v>
      </c>
      <c r="H194" s="417">
        <f>Table16[[#This Row],[Unit Price in Study Currency]]*Table16[[#This Row],[Quantity Needed]]</f>
        <v>0</v>
      </c>
    </row>
    <row r="195" spans="1:8" ht="14.25" hidden="1" customHeight="1">
      <c r="A195" s="236"/>
      <c r="B195" s="236"/>
      <c r="C195" s="202"/>
      <c r="D195" s="238"/>
      <c r="E195" s="412">
        <f>Table16[[#This Row],[Unit Price in LC 
(ILS)]]/FX_RATE</f>
        <v>0</v>
      </c>
      <c r="F195" s="217">
        <f>SUMIF('Production Matrix'!A:A,Table16[[#This Row],[Raw Material Used]],'Production Matrix'!I:I)</f>
        <v>0</v>
      </c>
      <c r="G195" s="416">
        <f>IFERROR(Table16[[#This Row],[Cost Of Production Cost in Study Cur]]/Table16[[#Totals],[Cost Of Production Cost in Study Cur]],0)</f>
        <v>0</v>
      </c>
      <c r="H195" s="417">
        <f>Table16[[#This Row],[Unit Price in Study Currency]]*Table16[[#This Row],[Quantity Needed]]</f>
        <v>0</v>
      </c>
    </row>
    <row r="196" spans="1:8" ht="14.25" hidden="1" customHeight="1">
      <c r="A196" s="236"/>
      <c r="B196" s="236"/>
      <c r="C196" s="202"/>
      <c r="D196" s="238"/>
      <c r="E196" s="412">
        <f>Table16[[#This Row],[Unit Price in LC 
(ILS)]]/FX_RATE</f>
        <v>0</v>
      </c>
      <c r="F196" s="217">
        <f>SUMIF('Production Matrix'!A:A,Table16[[#This Row],[Raw Material Used]],'Production Matrix'!I:I)</f>
        <v>0</v>
      </c>
      <c r="G196" s="416">
        <f>IFERROR(Table16[[#This Row],[Cost Of Production Cost in Study Cur]]/Table16[[#Totals],[Cost Of Production Cost in Study Cur]],0)</f>
        <v>0</v>
      </c>
      <c r="H196" s="417">
        <f>Table16[[#This Row],[Unit Price in Study Currency]]*Table16[[#This Row],[Quantity Needed]]</f>
        <v>0</v>
      </c>
    </row>
    <row r="197" spans="1:8" ht="14.25" hidden="1" customHeight="1">
      <c r="A197" s="236"/>
      <c r="B197" s="236"/>
      <c r="C197" s="202"/>
      <c r="D197" s="238"/>
      <c r="E197" s="412">
        <f>Table16[[#This Row],[Unit Price in LC 
(ILS)]]/FX_RATE</f>
        <v>0</v>
      </c>
      <c r="F197" s="217">
        <f>SUMIF('Production Matrix'!A:A,Table16[[#This Row],[Raw Material Used]],'Production Matrix'!I:I)</f>
        <v>0</v>
      </c>
      <c r="G197" s="416">
        <f>IFERROR(Table16[[#This Row],[Cost Of Production Cost in Study Cur]]/Table16[[#Totals],[Cost Of Production Cost in Study Cur]],0)</f>
        <v>0</v>
      </c>
      <c r="H197" s="417">
        <f>Table16[[#This Row],[Unit Price in Study Currency]]*Table16[[#This Row],[Quantity Needed]]</f>
        <v>0</v>
      </c>
    </row>
    <row r="198" spans="1:8" ht="14.25" hidden="1" customHeight="1">
      <c r="A198" s="236"/>
      <c r="B198" s="236"/>
      <c r="C198" s="202"/>
      <c r="D198" s="238"/>
      <c r="E198" s="412">
        <f>Table16[[#This Row],[Unit Price in LC 
(ILS)]]/FX_RATE</f>
        <v>0</v>
      </c>
      <c r="F198" s="217">
        <f>SUMIF('Production Matrix'!A:A,Table16[[#This Row],[Raw Material Used]],'Production Matrix'!I:I)</f>
        <v>0</v>
      </c>
      <c r="G198" s="416">
        <f>IFERROR(Table16[[#This Row],[Cost Of Production Cost in Study Cur]]/Table16[[#Totals],[Cost Of Production Cost in Study Cur]],0)</f>
        <v>0</v>
      </c>
      <c r="H198" s="417">
        <f>Table16[[#This Row],[Unit Price in Study Currency]]*Table16[[#This Row],[Quantity Needed]]</f>
        <v>0</v>
      </c>
    </row>
    <row r="199" spans="1:8" ht="14.25" hidden="1" customHeight="1">
      <c r="A199" s="236"/>
      <c r="B199" s="236"/>
      <c r="C199" s="202"/>
      <c r="D199" s="238"/>
      <c r="E199" s="412">
        <f>Table16[[#This Row],[Unit Price in LC 
(ILS)]]/FX_RATE</f>
        <v>0</v>
      </c>
      <c r="F199" s="217">
        <f>SUMIF('Production Matrix'!A:A,Table16[[#This Row],[Raw Material Used]],'Production Matrix'!I:I)</f>
        <v>0</v>
      </c>
      <c r="G199" s="416">
        <f>IFERROR(Table16[[#This Row],[Cost Of Production Cost in Study Cur]]/Table16[[#Totals],[Cost Of Production Cost in Study Cur]],0)</f>
        <v>0</v>
      </c>
      <c r="H199" s="417">
        <f>Table16[[#This Row],[Unit Price in Study Currency]]*Table16[[#This Row],[Quantity Needed]]</f>
        <v>0</v>
      </c>
    </row>
    <row r="200" spans="1:8" ht="14.25" hidden="1" customHeight="1">
      <c r="A200" s="236"/>
      <c r="B200" s="236"/>
      <c r="C200" s="202"/>
      <c r="D200" s="238"/>
      <c r="E200" s="412">
        <f>Table16[[#This Row],[Unit Price in LC 
(ILS)]]/FX_RATE</f>
        <v>0</v>
      </c>
      <c r="F200" s="217">
        <f>SUMIF('Production Matrix'!A:A,Table16[[#This Row],[Raw Material Used]],'Production Matrix'!I:I)</f>
        <v>0</v>
      </c>
      <c r="G200" s="416">
        <f>IFERROR(Table16[[#This Row],[Cost Of Production Cost in Study Cur]]/Table16[[#Totals],[Cost Of Production Cost in Study Cur]],0)</f>
        <v>0</v>
      </c>
      <c r="H200" s="417">
        <f>Table16[[#This Row],[Unit Price in Study Currency]]*Table16[[#This Row],[Quantity Needed]]</f>
        <v>0</v>
      </c>
    </row>
    <row r="201" spans="1:8" ht="14.25" hidden="1" customHeight="1">
      <c r="A201" s="236"/>
      <c r="B201" s="236"/>
      <c r="C201" s="202"/>
      <c r="D201" s="238"/>
      <c r="E201" s="412">
        <f>Table16[[#This Row],[Unit Price in LC 
(ILS)]]/FX_RATE</f>
        <v>0</v>
      </c>
      <c r="F201" s="217">
        <f>SUMIF('Production Matrix'!A:A,Table16[[#This Row],[Raw Material Used]],'Production Matrix'!I:I)</f>
        <v>0</v>
      </c>
      <c r="G201" s="416">
        <f>IFERROR(Table16[[#This Row],[Cost Of Production Cost in Study Cur]]/Table16[[#Totals],[Cost Of Production Cost in Study Cur]],0)</f>
        <v>0</v>
      </c>
      <c r="H201" s="417">
        <f>Table16[[#This Row],[Unit Price in Study Currency]]*Table16[[#This Row],[Quantity Needed]]</f>
        <v>0</v>
      </c>
    </row>
    <row r="202" spans="1:8" ht="14.25" hidden="1" customHeight="1">
      <c r="A202" s="236"/>
      <c r="B202" s="236"/>
      <c r="C202" s="202"/>
      <c r="D202" s="238"/>
      <c r="E202" s="412">
        <f>Table16[[#This Row],[Unit Price in LC 
(ILS)]]/FX_RATE</f>
        <v>0</v>
      </c>
      <c r="F202" s="217">
        <f>SUMIF('Production Matrix'!A:A,Table16[[#This Row],[Raw Material Used]],'Production Matrix'!I:I)</f>
        <v>0</v>
      </c>
      <c r="G202" s="416">
        <f>IFERROR(Table16[[#This Row],[Cost Of Production Cost in Study Cur]]/Table16[[#Totals],[Cost Of Production Cost in Study Cur]],0)</f>
        <v>0</v>
      </c>
      <c r="H202" s="417">
        <f>Table16[[#This Row],[Unit Price in Study Currency]]*Table16[[#This Row],[Quantity Needed]]</f>
        <v>0</v>
      </c>
    </row>
    <row r="203" spans="1:8" ht="14.25" hidden="1" customHeight="1">
      <c r="A203" s="236"/>
      <c r="B203" s="236"/>
      <c r="C203" s="202"/>
      <c r="D203" s="238"/>
      <c r="E203" s="412">
        <f>Table16[[#This Row],[Unit Price in LC 
(ILS)]]/FX_RATE</f>
        <v>0</v>
      </c>
      <c r="F203" s="217">
        <f>SUMIF('Production Matrix'!A:A,Table16[[#This Row],[Raw Material Used]],'Production Matrix'!I:I)</f>
        <v>0</v>
      </c>
      <c r="G203" s="416">
        <f>IFERROR(Table16[[#This Row],[Cost Of Production Cost in Study Cur]]/Table16[[#Totals],[Cost Of Production Cost in Study Cur]],0)</f>
        <v>0</v>
      </c>
      <c r="H203" s="417">
        <f>Table16[[#This Row],[Unit Price in Study Currency]]*Table16[[#This Row],[Quantity Needed]]</f>
        <v>0</v>
      </c>
    </row>
    <row r="204" spans="1:8" ht="14.25" hidden="1" customHeight="1">
      <c r="A204" s="236"/>
      <c r="B204" s="236"/>
      <c r="C204" s="202"/>
      <c r="D204" s="238"/>
      <c r="E204" s="412">
        <f>Table16[[#This Row],[Unit Price in LC 
(ILS)]]/FX_RATE</f>
        <v>0</v>
      </c>
      <c r="F204" s="217">
        <f>SUMIF('Production Matrix'!A:A,Table16[[#This Row],[Raw Material Used]],'Production Matrix'!I:I)</f>
        <v>0</v>
      </c>
      <c r="G204" s="416">
        <f>IFERROR(Table16[[#This Row],[Cost Of Production Cost in Study Cur]]/Table16[[#Totals],[Cost Of Production Cost in Study Cur]],0)</f>
        <v>0</v>
      </c>
      <c r="H204" s="417">
        <f>Table16[[#This Row],[Unit Price in Study Currency]]*Table16[[#This Row],[Quantity Needed]]</f>
        <v>0</v>
      </c>
    </row>
    <row r="205" spans="1:8" ht="14.25" hidden="1" customHeight="1">
      <c r="A205" s="236"/>
      <c r="B205" s="236"/>
      <c r="C205" s="202"/>
      <c r="D205" s="238"/>
      <c r="E205" s="412">
        <f>Table16[[#This Row],[Unit Price in LC 
(ILS)]]/FX_RATE</f>
        <v>0</v>
      </c>
      <c r="F205" s="217">
        <f>SUMIF('Production Matrix'!A:A,Table16[[#This Row],[Raw Material Used]],'Production Matrix'!I:I)</f>
        <v>0</v>
      </c>
      <c r="G205" s="416">
        <f>IFERROR(Table16[[#This Row],[Cost Of Production Cost in Study Cur]]/Table16[[#Totals],[Cost Of Production Cost in Study Cur]],0)</f>
        <v>0</v>
      </c>
      <c r="H205" s="417">
        <f>Table16[[#This Row],[Unit Price in Study Currency]]*Table16[[#This Row],[Quantity Needed]]</f>
        <v>0</v>
      </c>
    </row>
    <row r="206" spans="1:8" ht="14.25" hidden="1" customHeight="1">
      <c r="A206" s="236"/>
      <c r="B206" s="236"/>
      <c r="C206" s="202"/>
      <c r="D206" s="238"/>
      <c r="E206" s="412">
        <f>Table16[[#This Row],[Unit Price in LC 
(ILS)]]/FX_RATE</f>
        <v>0</v>
      </c>
      <c r="F206" s="217">
        <f>SUMIF('Production Matrix'!A:A,Table16[[#This Row],[Raw Material Used]],'Production Matrix'!I:I)</f>
        <v>0</v>
      </c>
      <c r="G206" s="416">
        <f>IFERROR(Table16[[#This Row],[Cost Of Production Cost in Study Cur]]/Table16[[#Totals],[Cost Of Production Cost in Study Cur]],0)</f>
        <v>0</v>
      </c>
      <c r="H206" s="417">
        <f>Table16[[#This Row],[Unit Price in Study Currency]]*Table16[[#This Row],[Quantity Needed]]</f>
        <v>0</v>
      </c>
    </row>
    <row r="207" spans="1:8" ht="14.25" hidden="1" customHeight="1">
      <c r="A207" s="236"/>
      <c r="B207" s="236"/>
      <c r="C207" s="202"/>
      <c r="D207" s="238"/>
      <c r="E207" s="412">
        <f>Table16[[#This Row],[Unit Price in LC 
(ILS)]]/FX_RATE</f>
        <v>0</v>
      </c>
      <c r="F207" s="217">
        <f>SUMIF('Production Matrix'!A:A,Table16[[#This Row],[Raw Material Used]],'Production Matrix'!I:I)</f>
        <v>0</v>
      </c>
      <c r="G207" s="416">
        <f>IFERROR(Table16[[#This Row],[Cost Of Production Cost in Study Cur]]/Table16[[#Totals],[Cost Of Production Cost in Study Cur]],0)</f>
        <v>0</v>
      </c>
      <c r="H207" s="417">
        <f>Table16[[#This Row],[Unit Price in Study Currency]]*Table16[[#This Row],[Quantity Needed]]</f>
        <v>0</v>
      </c>
    </row>
    <row r="208" spans="1:8" ht="14.25" hidden="1" customHeight="1">
      <c r="A208" s="236"/>
      <c r="B208" s="236"/>
      <c r="C208" s="202"/>
      <c r="D208" s="238"/>
      <c r="E208" s="412">
        <f>Table16[[#This Row],[Unit Price in LC 
(ILS)]]/FX_RATE</f>
        <v>0</v>
      </c>
      <c r="F208" s="217">
        <f>SUMIF('Production Matrix'!A:A,Table16[[#This Row],[Raw Material Used]],'Production Matrix'!I:I)</f>
        <v>0</v>
      </c>
      <c r="G208" s="416">
        <f>IFERROR(Table16[[#This Row],[Cost Of Production Cost in Study Cur]]/Table16[[#Totals],[Cost Of Production Cost in Study Cur]],0)</f>
        <v>0</v>
      </c>
      <c r="H208" s="417">
        <f>Table16[[#This Row],[Unit Price in Study Currency]]*Table16[[#This Row],[Quantity Needed]]</f>
        <v>0</v>
      </c>
    </row>
    <row r="209" spans="1:8" ht="14.25" hidden="1" customHeight="1">
      <c r="A209" s="236"/>
      <c r="B209" s="236"/>
      <c r="C209" s="202"/>
      <c r="D209" s="238"/>
      <c r="E209" s="412">
        <f>Table16[[#This Row],[Unit Price in LC 
(ILS)]]/FX_RATE</f>
        <v>0</v>
      </c>
      <c r="F209" s="217">
        <f>SUMIF('Production Matrix'!A:A,Table16[[#This Row],[Raw Material Used]],'Production Matrix'!I:I)</f>
        <v>0</v>
      </c>
      <c r="G209" s="416">
        <f>IFERROR(Table16[[#This Row],[Cost Of Production Cost in Study Cur]]/Table16[[#Totals],[Cost Of Production Cost in Study Cur]],0)</f>
        <v>0</v>
      </c>
      <c r="H209" s="417">
        <f>Table16[[#This Row],[Unit Price in Study Currency]]*Table16[[#This Row],[Quantity Needed]]</f>
        <v>0</v>
      </c>
    </row>
    <row r="210" spans="1:8" ht="14.25" customHeight="1">
      <c r="A210" s="222" t="s">
        <v>110</v>
      </c>
      <c r="B210" s="222">
        <f>SUBTOTAL(103,Table16[Unit])</f>
        <v>10</v>
      </c>
      <c r="C210" s="222"/>
      <c r="D210" s="222"/>
      <c r="E210" s="731"/>
      <c r="F210" s="222"/>
      <c r="G210" s="223">
        <f>SUBTOTAL(109,Table16[% from total cost of production])</f>
        <v>0.99999999999999978</v>
      </c>
      <c r="H210" s="222">
        <f>SUBTOTAL(109,Table16[Cost Of Production Cost in Study Cur])</f>
        <v>6006392.0280000009</v>
      </c>
    </row>
    <row r="211" spans="1:8" ht="14.25" customHeight="1" thickBot="1">
      <c r="A211" s="225" t="s">
        <v>132</v>
      </c>
    </row>
    <row r="212" spans="1:8" ht="14.25" customHeight="1" thickTop="1">
      <c r="A212" s="690" t="s">
        <v>121</v>
      </c>
      <c r="G212" s="691">
        <f>IFERROR(H212/SUM($H$212:$H$214),0)</f>
        <v>0.95836310736392716</v>
      </c>
      <c r="H212" s="732">
        <f>SUMIF(Table16[Material Classifications],A212,Table16[Cost Of Production Cost in Study Cur])</f>
        <v>5756304.5280000009</v>
      </c>
    </row>
    <row r="213" spans="1:8" ht="14.25" customHeight="1">
      <c r="A213" s="690" t="s">
        <v>131</v>
      </c>
      <c r="G213" s="691">
        <f t="shared" ref="G213:G214" si="0">IFERROR(H213/SUM($H$212:$H$214),0)</f>
        <v>4.1636892636072863E-2</v>
      </c>
      <c r="H213" s="732">
        <f>SUMIF(Table16[Material Classifications],A213,Table16[Cost Of Production Cost in Study Cur])</f>
        <v>250087.5</v>
      </c>
    </row>
    <row r="214" spans="1:8" ht="14.25" customHeight="1">
      <c r="A214" s="690" t="s">
        <v>133</v>
      </c>
      <c r="G214" s="691">
        <f t="shared" si="0"/>
        <v>0</v>
      </c>
      <c r="H214" s="732">
        <f>SUMIF(Table16[Material Classifications],A214,Table16[Cost Of Production Cost in Study Cur])</f>
        <v>0</v>
      </c>
    </row>
  </sheetData>
  <sheetProtection formatCells="0" formatColumns="0" formatRows="0" insertColumns="0" insertRows="0" insertHyperlinks="0" autoFilter="0"/>
  <protectedRanges>
    <protectedRange sqref="I32:I36" name="Range9"/>
    <protectedRange sqref="A46:E74" name="Range7"/>
    <protectedRange sqref="C32:C43" name="Range1_3"/>
    <protectedRange sqref="D79:D85" name="Range1_2"/>
    <protectedRange sqref="E46:E48" name="Range1_1"/>
    <protectedRange sqref="H76:I76 B76:D76 B117 B210:C210 G210:H210 G117:H117 G119:H179 B119:B179" name="Range2"/>
    <protectedRange sqref="B13:B14 A2 I28 A5 J7 E49 F28:F31 C28:C31 D86:D103 A88:B103 A49:A52 A75:E75 D50:E52 A53:E53 A54:B74 D54:E74 F38:F39 F34" name="Range1"/>
    <protectedRange sqref="A5:G5 A2" name="Range6"/>
    <protectedRange sqref="A79:D209" name="Range8"/>
    <protectedRange sqref="D40:D43 F40:F43" name="Range1_4"/>
  </protectedRanges>
  <dataConsolidate>
    <dataRefs count="1">
      <dataRef ref="C124" sheet="Summary. Assumptions. Inputs" r:id="rId1"/>
    </dataRefs>
  </dataConsolidate>
  <mergeCells count="36">
    <mergeCell ref="J32:J37"/>
    <mergeCell ref="C15:I15"/>
    <mergeCell ref="C17:I17"/>
    <mergeCell ref="C19:I19"/>
    <mergeCell ref="C21:I21"/>
    <mergeCell ref="C23:I23"/>
    <mergeCell ref="G33:H33"/>
    <mergeCell ref="G34:H34"/>
    <mergeCell ref="G35:H35"/>
    <mergeCell ref="G36:H36"/>
    <mergeCell ref="G37:H37"/>
    <mergeCell ref="G32:H32"/>
    <mergeCell ref="G28:H28"/>
    <mergeCell ref="B38:B43"/>
    <mergeCell ref="D31:E31"/>
    <mergeCell ref="D30:E30"/>
    <mergeCell ref="D33:E33"/>
    <mergeCell ref="D34:E34"/>
    <mergeCell ref="D36:E36"/>
    <mergeCell ref="D37:E37"/>
    <mergeCell ref="D38:E38"/>
    <mergeCell ref="D39:E39"/>
    <mergeCell ref="B32:B37"/>
    <mergeCell ref="A1:H1"/>
    <mergeCell ref="A2:H2"/>
    <mergeCell ref="D3:F3"/>
    <mergeCell ref="D28:E28"/>
    <mergeCell ref="D29:E29"/>
    <mergeCell ref="D4:F4"/>
    <mergeCell ref="D6:F6"/>
    <mergeCell ref="A5:J5"/>
    <mergeCell ref="C9:I9"/>
    <mergeCell ref="A7:B7"/>
    <mergeCell ref="C11:I11"/>
    <mergeCell ref="C13:I13"/>
    <mergeCell ref="C25:I25"/>
  </mergeCells>
  <phoneticPr fontId="49" type="noConversion"/>
  <conditionalFormatting sqref="A79:A80 A83:A209">
    <cfRule type="duplicateValues" dxfId="1701" priority="74"/>
    <cfRule type="duplicateValues" dxfId="1700" priority="75"/>
  </conditionalFormatting>
  <conditionalFormatting sqref="A46 A48:A80 A83:A209">
    <cfRule type="duplicateValues" dxfId="1699" priority="77"/>
  </conditionalFormatting>
  <conditionalFormatting sqref="A47">
    <cfRule type="duplicateValues" dxfId="1698" priority="7"/>
  </conditionalFormatting>
  <conditionalFormatting sqref="A81">
    <cfRule type="duplicateValues" dxfId="1697" priority="4"/>
    <cfRule type="duplicateValues" dxfId="1696" priority="5"/>
  </conditionalFormatting>
  <conditionalFormatting sqref="A81">
    <cfRule type="duplicateValues" dxfId="1695" priority="6"/>
  </conditionalFormatting>
  <conditionalFormatting sqref="A82">
    <cfRule type="duplicateValues" dxfId="1694" priority="1"/>
    <cfRule type="duplicateValues" dxfId="1693" priority="2"/>
  </conditionalFormatting>
  <conditionalFormatting sqref="A82">
    <cfRule type="duplicateValues" dxfId="1692" priority="3"/>
  </conditionalFormatting>
  <dataValidations count="2">
    <dataValidation type="list" allowBlank="1" showInputMessage="1" showErrorMessage="1" sqref="J7" xr:uid="{1868EFC8-909E-4ECF-98D3-3E23286D4EA0}">
      <formula1>"USD, EURO, ILS"</formula1>
    </dataValidation>
    <dataValidation type="list" allowBlank="1" showInputMessage="1" showErrorMessage="1" sqref="A212:A214 C79:C209" xr:uid="{10BA0976-1DAA-4CD6-A606-186701C068C0}">
      <formula1>"Raw Material, Direct Labor, Packaging"</formula1>
    </dataValidation>
  </dataValidations>
  <printOptions horizontalCentered="1"/>
  <pageMargins left="0.90551181102362199" right="0.70866141732283505" top="0.74803149606299202" bottom="0.74803149606299202" header="0.31496062992126" footer="0.31496062992126"/>
  <pageSetup paperSize="9" scale="60" fitToHeight="0" orientation="landscape" errors="blank" r:id="rId2"/>
  <headerFooter>
    <oddFooter>&amp;L&amp;"-,Bold Italic"&amp;8&amp;K01+027Developed By: MAIUMAS Consulting
Hani Omar Skaik&amp;C&amp;A&amp;R&amp;D / &amp;T</oddFooter>
  </headerFooter>
  <rowBreaks count="2" manualBreakCount="2">
    <brk id="43" max="16383" man="1"/>
    <brk id="76" max="16383" man="1"/>
  </rowBreaks>
  <drawing r:id="rId3"/>
  <tableParts count="2">
    <tablePart r:id="rId4"/>
    <tablePart r:id="rId5"/>
  </tableParts>
  <extLst>
    <ext xmlns:x14="http://schemas.microsoft.com/office/spreadsheetml/2009/9/main" uri="{CCE6A557-97BC-4b89-ADB6-D9C93CAAB3DF}">
      <x14:dataValidations xmlns:xm="http://schemas.microsoft.com/office/excel/2006/main" count="2">
        <x14:dataValidation type="list" allowBlank="1" showInputMessage="1" showErrorMessage="1" xr:uid="{CF374419-C09E-40AD-B1E3-A4A0CC5180C3}">
          <x14:formula1>
            <xm:f>Beta!$A$2:$A$95</xm:f>
          </x14:formula1>
          <xm:sqref>F33</xm:sqref>
        </x14:dataValidation>
        <x14:dataValidation type="list" allowBlank="1" showInputMessage="1" showErrorMessage="1" xr:uid="{2650D57A-6E46-4122-B6C8-CF227ABFDEEC}">
          <x14:formula1>
            <xm:f>'Country Risk Premium'!$A:$A</xm:f>
          </x14:formula1>
          <xm:sqref>F34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F0AA-AE25-4F5F-B546-2A722DF30D1E}">
  <sheetPr codeName="Sheet13">
    <tabColor rgb="FF00B0F0"/>
  </sheetPr>
  <dimension ref="A1:Q67"/>
  <sheetViews>
    <sheetView zoomScaleNormal="100" workbookViewId="0">
      <selection activeCell="E4" sqref="E4"/>
    </sheetView>
  </sheetViews>
  <sheetFormatPr defaultColWidth="8.88671875" defaultRowHeight="18"/>
  <cols>
    <col min="1" max="1" width="31.77734375" style="324" customWidth="1"/>
    <col min="2" max="2" width="16.44140625" style="324" customWidth="1"/>
    <col min="3" max="3" width="16" style="324" customWidth="1"/>
    <col min="4" max="4" width="13.77734375" style="324" customWidth="1"/>
    <col min="5" max="6" width="12.6640625" style="324" bestFit="1" customWidth="1"/>
    <col min="7" max="7" width="21.21875" style="324" bestFit="1" customWidth="1"/>
    <col min="8" max="8" width="22.33203125" style="324" bestFit="1" customWidth="1"/>
    <col min="9" max="9" width="17.77734375" style="324" customWidth="1"/>
    <col min="10" max="11" width="8.88671875" style="324"/>
    <col min="12" max="12" width="10.6640625" style="324" bestFit="1" customWidth="1"/>
    <col min="13" max="13" width="11.6640625" style="324" bestFit="1" customWidth="1"/>
    <col min="14" max="16" width="8.88671875" style="324"/>
    <col min="17" max="17" width="22" style="324" customWidth="1"/>
    <col min="18" max="24" width="8.88671875" style="324"/>
    <col min="25" max="25" width="28.21875" style="324" customWidth="1"/>
    <col min="26" max="16384" width="8.88671875" style="324"/>
  </cols>
  <sheetData>
    <row r="1" spans="1:13" ht="21.75">
      <c r="A1" s="767"/>
      <c r="B1" s="768" t="s">
        <v>157</v>
      </c>
      <c r="C1" s="768"/>
      <c r="D1" s="768"/>
      <c r="E1" s="768"/>
      <c r="F1" s="768"/>
      <c r="G1" s="768"/>
      <c r="H1" s="768"/>
      <c r="I1" s="768"/>
      <c r="J1" s="768"/>
      <c r="K1" s="768"/>
      <c r="L1" s="768"/>
      <c r="M1" s="768"/>
    </row>
    <row r="2" spans="1:13" ht="34.5" customHeight="1">
      <c r="A2" s="767"/>
      <c r="B2" s="769" t="s">
        <v>48</v>
      </c>
      <c r="C2" s="769" t="s">
        <v>158</v>
      </c>
      <c r="D2" s="769" t="s">
        <v>159</v>
      </c>
      <c r="E2" s="769" t="s">
        <v>160</v>
      </c>
      <c r="F2" s="769" t="s">
        <v>45</v>
      </c>
      <c r="G2" s="769" t="s">
        <v>50</v>
      </c>
      <c r="H2" s="769" t="s">
        <v>53</v>
      </c>
      <c r="I2" s="769" t="s">
        <v>161</v>
      </c>
      <c r="J2" s="768" t="s">
        <v>162</v>
      </c>
      <c r="K2" s="768"/>
      <c r="L2" s="768"/>
      <c r="M2" s="768"/>
    </row>
    <row r="3" spans="1:13" ht="37.5">
      <c r="A3" s="767"/>
      <c r="B3" s="769"/>
      <c r="C3" s="769"/>
      <c r="D3" s="769"/>
      <c r="E3" s="769"/>
      <c r="F3" s="769"/>
      <c r="G3" s="769"/>
      <c r="H3" s="769"/>
      <c r="I3" s="769"/>
      <c r="J3" s="557" t="s">
        <v>163</v>
      </c>
      <c r="K3" s="557" t="s">
        <v>164</v>
      </c>
      <c r="L3" s="557" t="s">
        <v>165</v>
      </c>
      <c r="M3" s="557" t="s">
        <v>166</v>
      </c>
    </row>
    <row r="4" spans="1:13" ht="21.75">
      <c r="A4" s="409" t="s">
        <v>135</v>
      </c>
      <c r="B4" s="325">
        <f>Capacity</f>
        <v>0.9</v>
      </c>
      <c r="C4" s="325">
        <v>0</v>
      </c>
      <c r="D4" s="325">
        <v>0</v>
      </c>
      <c r="E4" s="325">
        <v>0</v>
      </c>
      <c r="F4" s="325">
        <f>'Summary. Assumptions. Inputs'!C28</f>
        <v>0.05</v>
      </c>
      <c r="G4" s="325">
        <f>'Summary. Assumptions. Inputs'!C29</f>
        <v>0.1</v>
      </c>
      <c r="H4" s="325">
        <f>'Summary. Assumptions. Inputs'!C30</f>
        <v>0.05</v>
      </c>
      <c r="I4" s="325">
        <f ca="1">'Summary. Assumptions. Inputs'!B13</f>
        <v>9.3088760475103935E-2</v>
      </c>
      <c r="J4" s="325">
        <f ca="1">Equity</f>
        <v>0.53601840817840163</v>
      </c>
      <c r="K4" s="325">
        <f ca="1">Debt_Financing</f>
        <v>0.46398159182159832</v>
      </c>
      <c r="L4" s="325">
        <f ca="1">Grant_fixed_assets</f>
        <v>0</v>
      </c>
      <c r="M4" s="333">
        <f ca="1">Grant_opex</f>
        <v>0</v>
      </c>
    </row>
    <row r="5" spans="1:13" ht="21.75">
      <c r="A5" s="409" t="s">
        <v>136</v>
      </c>
      <c r="B5" s="325">
        <f>B4</f>
        <v>0.9</v>
      </c>
      <c r="C5" s="325">
        <v>0</v>
      </c>
      <c r="D5" s="325">
        <v>0</v>
      </c>
      <c r="E5" s="325">
        <v>0</v>
      </c>
      <c r="F5" s="325">
        <f>'Summary. Assumptions. Inputs'!C28</f>
        <v>0.05</v>
      </c>
      <c r="G5" s="325">
        <f>'Summary. Assumptions. Inputs'!C29</f>
        <v>0.1</v>
      </c>
      <c r="H5" s="325">
        <f>'Summary. Assumptions. Inputs'!C30</f>
        <v>0.05</v>
      </c>
      <c r="I5" s="325">
        <f ca="1">'WACC Calculation'!G19</f>
        <v>8.5514412068376705E-2</v>
      </c>
      <c r="J5" s="325">
        <f>'Cashflow Projection &amp; Investme'!O53/'Scenario Analysis'!C41</f>
        <v>1</v>
      </c>
      <c r="K5" s="325">
        <f>'Cashflow Projection &amp; Investme'!O55/'Scenario Analysis'!C41</f>
        <v>0</v>
      </c>
      <c r="L5" s="325">
        <f>'Cashflow Projection &amp; Investme'!O57/'Scenario Analysis'!C41</f>
        <v>0</v>
      </c>
      <c r="M5" s="333">
        <f>'Cashflow Projection &amp; Investme'!O59/'Scenario Analysis'!C41</f>
        <v>0</v>
      </c>
    </row>
    <row r="6" spans="1:13" ht="21.75">
      <c r="A6" s="409" t="s">
        <v>137</v>
      </c>
      <c r="B6" s="325">
        <v>0.8</v>
      </c>
      <c r="C6" s="325">
        <v>0</v>
      </c>
      <c r="D6" s="325">
        <v>0</v>
      </c>
      <c r="E6" s="325">
        <v>0</v>
      </c>
      <c r="F6" s="325">
        <v>0.05</v>
      </c>
      <c r="G6" s="325">
        <v>0</v>
      </c>
      <c r="H6" s="325">
        <f>E10</f>
        <v>0.05</v>
      </c>
      <c r="I6" s="325">
        <f>'WACC Calculation'!K19</f>
        <v>6.9639999999999994E-2</v>
      </c>
      <c r="J6" s="325">
        <f>'Cashflow Projection &amp; Investme'!O82/'Scenario Analysis'!D41</f>
        <v>1</v>
      </c>
      <c r="K6" s="325">
        <f>'Cashflow Projection &amp; Investme'!O84/'Scenario Analysis'!D41</f>
        <v>0</v>
      </c>
      <c r="L6" s="325">
        <f>'Cashflow Projection &amp; Investme'!O86/'Scenario Analysis'!D41</f>
        <v>0</v>
      </c>
      <c r="M6" s="333">
        <f>'Cashflow Projection &amp; Investme'!O88/'Scenario Analysis'!D41</f>
        <v>0</v>
      </c>
    </row>
    <row r="7" spans="1:13">
      <c r="A7" s="327"/>
      <c r="B7" s="327"/>
      <c r="C7" s="327"/>
      <c r="D7" s="327"/>
      <c r="E7" s="327"/>
      <c r="F7" s="327"/>
      <c r="G7" s="327"/>
      <c r="H7" s="327"/>
      <c r="I7" s="327"/>
      <c r="J7" s="327"/>
      <c r="K7" s="327"/>
      <c r="L7" s="327"/>
      <c r="M7" s="327"/>
    </row>
    <row r="8" spans="1:13" ht="19.5" thickBot="1">
      <c r="A8" s="766" t="s">
        <v>167</v>
      </c>
      <c r="B8" s="766"/>
      <c r="C8" s="766"/>
      <c r="D8" s="766"/>
      <c r="E8" s="766"/>
      <c r="F8" s="327"/>
      <c r="G8" s="327"/>
      <c r="H8" s="327"/>
      <c r="I8" s="327"/>
      <c r="J8" s="327"/>
      <c r="K8" s="327"/>
      <c r="L8" s="327"/>
      <c r="M8" s="327"/>
    </row>
    <row r="9" spans="1:13" ht="19.5" thickBot="1">
      <c r="A9" s="597"/>
      <c r="B9" s="598"/>
      <c r="C9" s="410" t="str">
        <f>A4</f>
        <v>Scenario 1</v>
      </c>
      <c r="D9" s="410" t="str">
        <f>A5</f>
        <v>Scenario 2</v>
      </c>
      <c r="E9" s="411" t="str">
        <f>A6</f>
        <v>Scenario 3</v>
      </c>
      <c r="F9" s="327"/>
      <c r="G9" s="327"/>
      <c r="H9" s="327"/>
      <c r="I9" s="327"/>
      <c r="J9" s="327"/>
      <c r="K9" s="327"/>
      <c r="L9" s="327"/>
      <c r="M9" s="327"/>
    </row>
    <row r="10" spans="1:13">
      <c r="A10" s="599" t="s">
        <v>45</v>
      </c>
      <c r="B10" s="600"/>
      <c r="C10" s="601">
        <f>'Summary. Assumptions. Inputs'!C28</f>
        <v>0.05</v>
      </c>
      <c r="D10" s="601">
        <v>0.05</v>
      </c>
      <c r="E10" s="602">
        <v>0.05</v>
      </c>
      <c r="F10" s="327"/>
      <c r="G10" s="327"/>
      <c r="H10" s="327"/>
      <c r="I10" s="327"/>
      <c r="J10" s="327"/>
      <c r="K10" s="327"/>
      <c r="L10" s="327"/>
      <c r="M10" s="327"/>
    </row>
    <row r="11" spans="1:13">
      <c r="A11" s="603" t="s">
        <v>50</v>
      </c>
      <c r="B11" s="604"/>
      <c r="C11" s="605">
        <f>'Summary. Assumptions. Inputs'!C29</f>
        <v>0.1</v>
      </c>
      <c r="D11" s="605">
        <f>G5</f>
        <v>0.1</v>
      </c>
      <c r="E11" s="606">
        <v>0</v>
      </c>
      <c r="F11" s="327"/>
      <c r="G11" s="327"/>
      <c r="H11" s="327"/>
      <c r="I11" s="327"/>
      <c r="J11" s="327"/>
      <c r="K11" s="327"/>
      <c r="L11" s="327"/>
      <c r="M11" s="327"/>
    </row>
    <row r="12" spans="1:13">
      <c r="A12" s="603" t="s">
        <v>53</v>
      </c>
      <c r="B12" s="604"/>
      <c r="C12" s="605">
        <f>'Summary. Assumptions. Inputs'!C30</f>
        <v>0.05</v>
      </c>
      <c r="D12" s="605">
        <v>0.05</v>
      </c>
      <c r="E12" s="606">
        <v>0.05</v>
      </c>
      <c r="F12" s="327"/>
      <c r="G12" s="327"/>
      <c r="H12" s="327"/>
      <c r="I12" s="327"/>
      <c r="J12" s="327"/>
      <c r="K12" s="327"/>
      <c r="L12" s="327"/>
      <c r="M12" s="327"/>
    </row>
    <row r="13" spans="1:13" ht="18.75" thickBot="1">
      <c r="A13" s="607"/>
      <c r="B13" s="608"/>
      <c r="C13" s="609"/>
      <c r="D13" s="609"/>
      <c r="E13" s="610"/>
      <c r="F13" s="327"/>
      <c r="G13" s="327"/>
      <c r="H13" s="327"/>
      <c r="I13" s="327"/>
      <c r="J13" s="327"/>
      <c r="K13" s="327"/>
      <c r="L13" s="327"/>
      <c r="M13" s="327"/>
    </row>
    <row r="14" spans="1:13">
      <c r="A14" s="611" t="s">
        <v>168</v>
      </c>
      <c r="B14" s="760" t="s">
        <v>59</v>
      </c>
      <c r="C14" s="601">
        <f>'Summary. Assumptions. Inputs'!C32</f>
        <v>0</v>
      </c>
      <c r="D14" s="601">
        <f>C14</f>
        <v>0</v>
      </c>
      <c r="E14" s="601">
        <f>D14</f>
        <v>0</v>
      </c>
      <c r="F14" s="327"/>
      <c r="G14" s="327"/>
      <c r="H14" s="327"/>
      <c r="I14" s="327"/>
      <c r="J14" s="327"/>
      <c r="K14" s="327"/>
      <c r="L14" s="327"/>
      <c r="M14" s="327"/>
    </row>
    <row r="15" spans="1:13">
      <c r="A15" s="612" t="s">
        <v>169</v>
      </c>
      <c r="B15" s="761"/>
      <c r="C15" s="605">
        <f>'Summary. Assumptions. Inputs'!C33</f>
        <v>0.5</v>
      </c>
      <c r="D15" s="605">
        <f>C15</f>
        <v>0.5</v>
      </c>
      <c r="E15" s="605">
        <f>D15</f>
        <v>0.5</v>
      </c>
      <c r="F15" s="327"/>
      <c r="G15" s="327"/>
      <c r="H15" s="327"/>
      <c r="I15" s="327"/>
      <c r="J15" s="327"/>
      <c r="K15" s="327"/>
      <c r="L15" s="327"/>
      <c r="M15" s="327"/>
    </row>
    <row r="16" spans="1:13">
      <c r="A16" s="612" t="s">
        <v>170</v>
      </c>
      <c r="B16" s="761"/>
      <c r="C16" s="605">
        <f>'Summary. Assumptions. Inputs'!C34</f>
        <v>0.5</v>
      </c>
      <c r="D16" s="605">
        <f t="shared" ref="D16:E18" si="0">C16</f>
        <v>0.5</v>
      </c>
      <c r="E16" s="605">
        <f t="shared" si="0"/>
        <v>0.5</v>
      </c>
      <c r="F16" s="327"/>
      <c r="G16" s="327"/>
      <c r="H16" s="327"/>
      <c r="I16" s="327"/>
      <c r="J16" s="327"/>
      <c r="K16" s="327"/>
      <c r="L16" s="327"/>
      <c r="M16" s="327"/>
    </row>
    <row r="17" spans="1:17">
      <c r="A17" s="612" t="s">
        <v>171</v>
      </c>
      <c r="B17" s="761"/>
      <c r="C17" s="605">
        <f>'Summary. Assumptions. Inputs'!C35</f>
        <v>0</v>
      </c>
      <c r="D17" s="605">
        <f t="shared" si="0"/>
        <v>0</v>
      </c>
      <c r="E17" s="605">
        <f t="shared" si="0"/>
        <v>0</v>
      </c>
      <c r="F17" s="327"/>
      <c r="G17" s="327"/>
      <c r="H17" s="327"/>
      <c r="I17" s="327"/>
      <c r="J17" s="327"/>
      <c r="K17" s="327"/>
      <c r="L17" s="327"/>
      <c r="M17" s="327"/>
    </row>
    <row r="18" spans="1:17">
      <c r="A18" s="612" t="s">
        <v>172</v>
      </c>
      <c r="B18" s="761"/>
      <c r="C18" s="605">
        <f>'Summary. Assumptions. Inputs'!C36</f>
        <v>0</v>
      </c>
      <c r="D18" s="605">
        <f t="shared" si="0"/>
        <v>0</v>
      </c>
      <c r="E18" s="605">
        <f t="shared" si="0"/>
        <v>0</v>
      </c>
      <c r="F18" s="327"/>
      <c r="G18" s="327"/>
      <c r="H18" s="327"/>
      <c r="I18" s="327"/>
      <c r="J18" s="327"/>
      <c r="K18" s="327"/>
      <c r="L18" s="327"/>
      <c r="M18" s="327"/>
    </row>
    <row r="19" spans="1:17" ht="18.75" thickBot="1">
      <c r="A19" s="613" t="s">
        <v>173</v>
      </c>
      <c r="B19" s="762"/>
      <c r="C19" s="614">
        <f>'Summary. Assumptions. Inputs'!C37</f>
        <v>0</v>
      </c>
      <c r="D19" s="614">
        <f>1-D14-D15-D16-D17-D18</f>
        <v>0</v>
      </c>
      <c r="E19" s="615">
        <f>1-E14-E15-E16-E17-E18</f>
        <v>0</v>
      </c>
      <c r="F19" s="327"/>
      <c r="G19" s="327"/>
      <c r="H19" s="327"/>
      <c r="I19" s="327"/>
      <c r="J19" s="327"/>
      <c r="K19" s="327"/>
      <c r="L19" s="327"/>
      <c r="M19" s="327"/>
    </row>
    <row r="20" spans="1:17">
      <c r="A20" s="616" t="s">
        <v>174</v>
      </c>
      <c r="B20" s="763" t="s">
        <v>81</v>
      </c>
      <c r="C20" s="601">
        <f>'Summary. Assumptions. Inputs'!C38</f>
        <v>1</v>
      </c>
      <c r="D20" s="601">
        <v>1</v>
      </c>
      <c r="E20" s="602">
        <v>1</v>
      </c>
      <c r="F20" s="327"/>
      <c r="G20" s="327"/>
      <c r="H20" s="327"/>
      <c r="I20" s="327"/>
      <c r="J20" s="327"/>
      <c r="K20" s="327"/>
      <c r="L20" s="327"/>
      <c r="M20" s="327"/>
    </row>
    <row r="21" spans="1:17">
      <c r="A21" s="617" t="s">
        <v>84</v>
      </c>
      <c r="B21" s="764"/>
      <c r="C21" s="605">
        <f>'Summary. Assumptions. Inputs'!C39</f>
        <v>0</v>
      </c>
      <c r="D21" s="605">
        <v>0</v>
      </c>
      <c r="E21" s="606">
        <v>0</v>
      </c>
      <c r="F21" s="327"/>
      <c r="G21" s="327"/>
      <c r="H21" s="327"/>
      <c r="I21" s="327"/>
      <c r="J21" s="327"/>
      <c r="K21" s="327"/>
      <c r="L21" s="327"/>
      <c r="M21" s="327"/>
    </row>
    <row r="22" spans="1:17">
      <c r="A22" s="617" t="s">
        <v>87</v>
      </c>
      <c r="B22" s="764"/>
      <c r="C22" s="605">
        <f>'Summary. Assumptions. Inputs'!C40</f>
        <v>0</v>
      </c>
      <c r="D22" s="605">
        <v>0</v>
      </c>
      <c r="E22" s="606">
        <v>0</v>
      </c>
      <c r="F22" s="327"/>
      <c r="G22" s="327"/>
      <c r="H22" s="327"/>
      <c r="I22" s="327"/>
      <c r="J22" s="327"/>
      <c r="K22" s="327"/>
      <c r="L22" s="327"/>
      <c r="M22" s="327"/>
    </row>
    <row r="23" spans="1:17">
      <c r="A23" s="617" t="s">
        <v>89</v>
      </c>
      <c r="B23" s="764"/>
      <c r="C23" s="605">
        <f>'Summary. Assumptions. Inputs'!C41</f>
        <v>0</v>
      </c>
      <c r="D23" s="605">
        <v>0</v>
      </c>
      <c r="E23" s="606">
        <v>0</v>
      </c>
      <c r="F23" s="327"/>
      <c r="G23" s="327"/>
      <c r="H23" s="327"/>
      <c r="I23" s="327"/>
      <c r="J23" s="327"/>
      <c r="K23" s="327"/>
      <c r="L23" s="327"/>
      <c r="M23" s="327"/>
    </row>
    <row r="24" spans="1:17">
      <c r="A24" s="617" t="s">
        <v>91</v>
      </c>
      <c r="B24" s="764"/>
      <c r="C24" s="605">
        <f>'Summary. Assumptions. Inputs'!C42</f>
        <v>0</v>
      </c>
      <c r="D24" s="605">
        <v>0</v>
      </c>
      <c r="E24" s="606">
        <v>0</v>
      </c>
      <c r="F24" s="327"/>
      <c r="G24" s="327"/>
      <c r="H24" s="327"/>
      <c r="I24" s="327"/>
      <c r="J24" s="327"/>
      <c r="K24" s="327"/>
      <c r="L24" s="327"/>
      <c r="M24" s="327"/>
    </row>
    <row r="25" spans="1:17" ht="18.75" thickBot="1">
      <c r="A25" s="618" t="s">
        <v>93</v>
      </c>
      <c r="B25" s="765"/>
      <c r="C25" s="619">
        <f>'Summary. Assumptions. Inputs'!C43</f>
        <v>0</v>
      </c>
      <c r="D25" s="619">
        <f t="array" ref="D25">1-D20-D21-D22-D23-D24</f>
        <v>0</v>
      </c>
      <c r="E25" s="620">
        <f t="array" ref="E25">1-E20-E21-E22-E23-E24</f>
        <v>0</v>
      </c>
      <c r="F25" s="327"/>
      <c r="G25" s="327"/>
      <c r="H25" s="327"/>
      <c r="I25" s="327"/>
      <c r="J25" s="327"/>
      <c r="K25" s="327"/>
      <c r="L25" s="327"/>
      <c r="M25" s="327"/>
    </row>
    <row r="26" spans="1:17" ht="22.5" thickBot="1">
      <c r="A26" s="326"/>
      <c r="B26" s="327"/>
      <c r="C26" s="332"/>
      <c r="D26" s="327"/>
      <c r="E26" s="327"/>
      <c r="F26" s="327"/>
      <c r="G26" s="327"/>
      <c r="H26" s="327"/>
      <c r="I26" s="327"/>
    </row>
    <row r="27" spans="1:17" ht="22.5" thickBot="1">
      <c r="A27" s="334"/>
      <c r="B27" s="335" t="s">
        <v>135</v>
      </c>
      <c r="C27" s="335" t="s">
        <v>136</v>
      </c>
      <c r="D27" s="349" t="s">
        <v>175</v>
      </c>
      <c r="J27" s="621"/>
      <c r="Q27" s="621"/>
    </row>
    <row r="28" spans="1:17" ht="24" customHeight="1">
      <c r="A28" s="336" t="s">
        <v>22</v>
      </c>
      <c r="B28" s="623">
        <f ca="1">IF($B$27=$A$4,INDEX($B$41:$B$50,MATCH(A28,$A$41:$A$50,0)),IF($B$27=$A$5,INDEX($C$41:$C$50,MATCH(A28,$A$41:$A$50,0)),IF($B$27=$A$6,INDEX($D$41:$D$50,MATCH(A28,$A$41:$A$50,0)),0)))</f>
        <v>9889013.0144736785</v>
      </c>
      <c r="C28" s="623">
        <f>IF($C$27=$A$4,INDEX($B$41:$B$50,MATCH(A28,$A$41:$A$50,0)),IF($C$27=$A$5,INDEX($C$41:$C$50,MATCH(A28,$A$41:$A$50,0)),IF($C$27=$A$6,INDEX($D$41:$D$50,MATCH(A28,$A$41:$A$50,0)),0)))</f>
        <v>9782464.443</v>
      </c>
      <c r="D28" s="624">
        <f ca="1">B28-C28</f>
        <v>106548.57147367857</v>
      </c>
      <c r="F28" s="415"/>
    </row>
    <row r="29" spans="1:17" ht="30" customHeight="1">
      <c r="A29" s="337" t="s">
        <v>24</v>
      </c>
      <c r="B29" s="625">
        <f t="shared" ref="B29:B37" ca="1" si="1">IF($B$27=$A$4,INDEX($B$41:$B$50,MATCH(A29,$A$41:$A$50,0)),IF($B$27=$A$5,INDEX($C$41:$C$50,MATCH(A29,$A$41:$A$50,0)),IF($B$27=$A$6,INDEX($D$41:$D$50,MATCH(A29,$A$41:$A$50,0)),0)))</f>
        <v>0.11889327991794296</v>
      </c>
      <c r="C29" s="625">
        <f t="shared" ref="C29:C37" ca="1" si="2">IF($C$27=$A$4,INDEX($B$41:$B$50,MATCH(A29,$A$41:$A$50,0)),IF($C$27=$A$5,INDEX($C$41:$C$50,MATCH(A29,$A$41:$A$50,0)),IF($C$27=$A$6,INDEX($D$41:$D$50,MATCH(A29,$A$41:$A$50,0)),0)))</f>
        <v>0.22322612848837342</v>
      </c>
      <c r="D29" s="626">
        <f ca="1">B29-C29</f>
        <v>-0.10433284857043046</v>
      </c>
      <c r="F29" s="415"/>
    </row>
    <row r="30" spans="1:17" ht="30" customHeight="1">
      <c r="A30" s="337" t="s">
        <v>176</v>
      </c>
      <c r="B30" s="623">
        <f t="shared" ca="1" si="1"/>
        <v>957486.23444663605</v>
      </c>
      <c r="C30" s="623">
        <f t="shared" ca="1" si="2"/>
        <v>4039237.2512113862</v>
      </c>
      <c r="D30" s="624">
        <f ca="1">B30-C30</f>
        <v>-3081751.0167647502</v>
      </c>
      <c r="F30" s="415"/>
    </row>
    <row r="31" spans="1:17" ht="31.5" customHeight="1">
      <c r="A31" s="337" t="s">
        <v>28</v>
      </c>
      <c r="B31" s="627">
        <f t="shared" ca="1" si="1"/>
        <v>5.1650774238824493</v>
      </c>
      <c r="C31" s="627">
        <f t="shared" ca="1" si="2"/>
        <v>4.1234673728061511</v>
      </c>
      <c r="D31" s="628">
        <f ca="1">(B31-C31)*12</f>
        <v>12.499320612915579</v>
      </c>
      <c r="F31" s="415"/>
    </row>
    <row r="32" spans="1:17" ht="21.75">
      <c r="A32" s="337" t="s">
        <v>31</v>
      </c>
      <c r="B32" s="623">
        <f t="shared" ca="1" si="1"/>
        <v>1852665.6308391381</v>
      </c>
      <c r="C32" s="623">
        <f t="shared" ca="1" si="2"/>
        <v>2819433.0969958296</v>
      </c>
      <c r="D32" s="624">
        <f t="shared" ref="D32:D37" ca="1" si="3">B32-C32</f>
        <v>-966767.46615669155</v>
      </c>
      <c r="F32" s="415"/>
    </row>
    <row r="33" spans="1:9" ht="21.75">
      <c r="A33" s="337" t="s">
        <v>34</v>
      </c>
      <c r="B33" s="625">
        <f t="shared" ca="1" si="1"/>
        <v>0.34951385144930802</v>
      </c>
      <c r="C33" s="625">
        <f t="shared" ca="1" si="2"/>
        <v>0.28821296652024331</v>
      </c>
      <c r="D33" s="626">
        <f t="shared" ca="1" si="3"/>
        <v>6.1300884929064714E-2</v>
      </c>
      <c r="F33" s="415"/>
    </row>
    <row r="34" spans="1:9" ht="30" customHeight="1">
      <c r="A34" s="337" t="s">
        <v>36</v>
      </c>
      <c r="B34" s="625">
        <f t="shared" ca="1" si="1"/>
        <v>0.22012775546071656</v>
      </c>
      <c r="C34" s="625">
        <f t="shared" ca="1" si="2"/>
        <v>0.33499594799102572</v>
      </c>
      <c r="D34" s="626">
        <f t="shared" ca="1" si="3"/>
        <v>-0.11486819253030917</v>
      </c>
      <c r="F34" s="415"/>
    </row>
    <row r="35" spans="1:9" ht="30" customHeight="1">
      <c r="A35" s="337" t="s">
        <v>38</v>
      </c>
      <c r="B35" s="623">
        <f t="shared" ca="1" si="1"/>
        <v>1472693.0144736785</v>
      </c>
      <c r="C35" s="623">
        <f t="shared" si="2"/>
        <v>1366144.443</v>
      </c>
      <c r="D35" s="624">
        <f t="shared" ca="1" si="3"/>
        <v>106548.57147367857</v>
      </c>
      <c r="F35" s="415"/>
    </row>
    <row r="36" spans="1:9" ht="21.75">
      <c r="A36" s="337" t="s">
        <v>40</v>
      </c>
      <c r="B36" s="623">
        <f t="shared" si="1"/>
        <v>8416320</v>
      </c>
      <c r="C36" s="623">
        <f t="shared" si="2"/>
        <v>8416320</v>
      </c>
      <c r="D36" s="624">
        <f t="shared" si="3"/>
        <v>0</v>
      </c>
      <c r="F36" s="415"/>
    </row>
    <row r="37" spans="1:9" ht="22.5" thickBot="1">
      <c r="A37" s="338" t="s">
        <v>177</v>
      </c>
      <c r="B37" s="629">
        <f t="shared" si="1"/>
        <v>7520848.6182941273</v>
      </c>
      <c r="C37" s="629">
        <f t="shared" si="2"/>
        <v>4319540.6357696895</v>
      </c>
      <c r="D37" s="630">
        <f t="shared" si="3"/>
        <v>3201307.9825244378</v>
      </c>
      <c r="F37" s="415"/>
    </row>
    <row r="38" spans="1:9" ht="21.75">
      <c r="A38" s="326"/>
      <c r="B38" s="327"/>
      <c r="C38" s="327"/>
      <c r="D38" s="327"/>
      <c r="F38" s="327"/>
      <c r="G38" s="327"/>
      <c r="H38" s="327"/>
      <c r="I38" s="327"/>
    </row>
    <row r="39" spans="1:9" ht="22.5" thickBot="1">
      <c r="A39" s="326"/>
      <c r="B39" s="327"/>
      <c r="C39" s="327"/>
      <c r="D39" s="327"/>
      <c r="E39" s="327"/>
      <c r="F39" s="327"/>
      <c r="G39" s="327"/>
      <c r="H39" s="327"/>
      <c r="I39" s="327"/>
    </row>
    <row r="40" spans="1:9" ht="22.5" thickBot="1">
      <c r="A40" s="334" t="s">
        <v>178</v>
      </c>
      <c r="B40" s="335" t="str">
        <f>A4</f>
        <v>Scenario 1</v>
      </c>
      <c r="C40" s="335" t="str">
        <f>A5</f>
        <v>Scenario 2</v>
      </c>
      <c r="D40" s="349" t="str">
        <f>A6</f>
        <v>Scenario 3</v>
      </c>
      <c r="E40" s="327"/>
      <c r="F40" s="327"/>
      <c r="G40" s="327"/>
      <c r="H40" s="327"/>
      <c r="I40" s="327"/>
    </row>
    <row r="41" spans="1:9" ht="21.75">
      <c r="A41" s="336" t="s">
        <v>22</v>
      </c>
      <c r="B41" s="623">
        <f ca="1">'Summary. Assumptions. Inputs'!J9</f>
        <v>9889013.0144736785</v>
      </c>
      <c r="C41" s="623">
        <f>'Cashflow Projection &amp; Investme'!O53+'Cashflow Projection &amp; Investme'!O55+'Cashflow Projection &amp; Investme'!O57+'Cashflow Projection &amp; Investme'!O59</f>
        <v>9782464.443</v>
      </c>
      <c r="D41" s="624">
        <f>'Cashflow Projection &amp; Investme'!O82+'Cashflow Projection &amp; Investme'!O84+'Cashflow Projection &amp; Investme'!O86+'Cashflow Projection &amp; Investme'!O88</f>
        <v>8416320</v>
      </c>
      <c r="E41" s="327"/>
      <c r="F41" s="327"/>
      <c r="G41" s="327"/>
      <c r="H41" s="327"/>
      <c r="I41" s="327"/>
    </row>
    <row r="42" spans="1:9" ht="21.75">
      <c r="A42" s="337" t="s">
        <v>24</v>
      </c>
      <c r="B42" s="625">
        <f ca="1">'Summary. Assumptions. Inputs'!J11</f>
        <v>0.11889327991794296</v>
      </c>
      <c r="C42" s="625">
        <f ca="1">IRR('Projected FS'!B172:I172)</f>
        <v>0.22322612848837342</v>
      </c>
      <c r="D42" s="626">
        <f ca="1">IRR('Projected FS'!B263:I263)</f>
        <v>0.17346816436229218</v>
      </c>
      <c r="E42" s="327"/>
      <c r="F42" s="327"/>
      <c r="G42" s="327"/>
      <c r="H42" s="327"/>
      <c r="I42" s="327"/>
    </row>
    <row r="43" spans="1:9" ht="21.75">
      <c r="A43" s="337" t="s">
        <v>176</v>
      </c>
      <c r="B43" s="623">
        <f ca="1">'Summary. Assumptions. Inputs'!J13</f>
        <v>957486.23444663605</v>
      </c>
      <c r="C43" s="623">
        <f ca="1">NPV($I$5,'Projected FS'!B172:I172)</f>
        <v>4039237.2512113862</v>
      </c>
      <c r="D43" s="624">
        <f ca="1">NPV($I$6,'Projected FS'!B263:I263)</f>
        <v>4377655.2183500137</v>
      </c>
      <c r="E43" s="327"/>
      <c r="F43" s="327"/>
      <c r="G43" s="327"/>
      <c r="H43" s="327"/>
      <c r="I43" s="327"/>
    </row>
    <row r="44" spans="1:9" ht="21.75">
      <c r="A44" s="337" t="s">
        <v>28</v>
      </c>
      <c r="B44" s="627">
        <f ca="1">'Summary. Assumptions. Inputs'!J15</f>
        <v>5.1650774238824493</v>
      </c>
      <c r="C44" s="627">
        <f ca="1">'Projected FS'!J174</f>
        <v>4.1234673728061511</v>
      </c>
      <c r="D44" s="628">
        <f ca="1">'Projected FS'!J265</f>
        <v>4.4812298169908207</v>
      </c>
      <c r="E44" s="327"/>
      <c r="F44" s="327"/>
      <c r="G44" s="327"/>
      <c r="H44" s="327"/>
      <c r="I44" s="327"/>
    </row>
    <row r="45" spans="1:9" ht="21.75">
      <c r="A45" s="337" t="s">
        <v>31</v>
      </c>
      <c r="B45" s="623">
        <f ca="1">'Summary. Assumptions. Inputs'!J17</f>
        <v>1852665.6308391381</v>
      </c>
      <c r="C45" s="623">
        <f ca="1">AVERAGE('Projected FS'!C119:I119)</f>
        <v>2819433.0969958296</v>
      </c>
      <c r="D45" s="624">
        <f ca="1">AVERAGE('Projected FS'!C210:I210)</f>
        <v>3001678.085525631</v>
      </c>
      <c r="E45" s="327"/>
      <c r="F45" s="327"/>
      <c r="G45" s="327"/>
      <c r="H45" s="327"/>
      <c r="I45" s="327"/>
    </row>
    <row r="46" spans="1:9" ht="21.75">
      <c r="A46" s="337" t="s">
        <v>34</v>
      </c>
      <c r="B46" s="625">
        <f ca="1">'Summary. Assumptions. Inputs'!J19</f>
        <v>0.34951385144930802</v>
      </c>
      <c r="C46" s="625">
        <f ca="1">C45/'Cashflow Projection &amp; Investme'!O53</f>
        <v>0.28821296652024331</v>
      </c>
      <c r="D46" s="626">
        <f ca="1">D45/'Cashflow Projection &amp; Investme'!O82</f>
        <v>0.35664970979307237</v>
      </c>
      <c r="E46" s="327"/>
      <c r="F46" s="327"/>
      <c r="G46" s="327"/>
      <c r="H46" s="327"/>
      <c r="I46" s="327"/>
    </row>
    <row r="47" spans="1:9" ht="21.75">
      <c r="A47" s="337" t="s">
        <v>36</v>
      </c>
      <c r="B47" s="625">
        <f ca="1">'Summary. Assumptions. Inputs'!J21</f>
        <v>0.22012775546071656</v>
      </c>
      <c r="C47" s="625">
        <f ca="1">IFERROR(C45/'Projected FS'!$B$128,0)</f>
        <v>0.33499594799102572</v>
      </c>
      <c r="D47" s="626">
        <f ca="1">IFERROR(D45/'Projected FS'!B219,0)</f>
        <v>0.35664970979307237</v>
      </c>
      <c r="E47" s="327"/>
      <c r="F47" s="327"/>
      <c r="G47" s="327"/>
      <c r="H47" s="327"/>
      <c r="I47" s="327"/>
    </row>
    <row r="48" spans="1:9" ht="21.75">
      <c r="A48" s="337" t="s">
        <v>38</v>
      </c>
      <c r="B48" s="623">
        <f ca="1">B41-B49</f>
        <v>1472693.0144736785</v>
      </c>
      <c r="C48" s="623">
        <f>C41-C49</f>
        <v>1366144.443</v>
      </c>
      <c r="D48" s="624">
        <f>D41-D49</f>
        <v>0</v>
      </c>
      <c r="E48" s="327"/>
      <c r="F48" s="327"/>
      <c r="G48" s="327"/>
      <c r="H48" s="327"/>
      <c r="I48" s="327"/>
    </row>
    <row r="49" spans="1:9" ht="21.75">
      <c r="A49" s="337" t="s">
        <v>40</v>
      </c>
      <c r="B49" s="623">
        <f>'Summary. Assumptions. Inputs'!J25</f>
        <v>8416320</v>
      </c>
      <c r="C49" s="623">
        <f>'Projected FS'!B128</f>
        <v>8416320</v>
      </c>
      <c r="D49" s="624">
        <f>'Projected FS'!B219</f>
        <v>8416320</v>
      </c>
      <c r="E49" s="327"/>
      <c r="F49" s="327"/>
      <c r="G49" s="327"/>
      <c r="H49" s="327"/>
      <c r="I49" s="327"/>
    </row>
    <row r="50" spans="1:9" ht="22.5" thickBot="1">
      <c r="A50" s="338" t="s">
        <v>177</v>
      </c>
      <c r="B50" s="629">
        <f>'BEP. &amp; Summary Results'!N36</f>
        <v>7520848.6182941273</v>
      </c>
      <c r="C50" s="629">
        <f>'BEP. &amp; Summary Results'!N72</f>
        <v>4319540.6357696895</v>
      </c>
      <c r="D50" s="630">
        <f>'BEP. &amp; Summary Results'!N107</f>
        <v>4363797.7686892878</v>
      </c>
      <c r="E50" s="327"/>
      <c r="F50" s="327"/>
      <c r="G50" s="327"/>
      <c r="H50" s="327"/>
      <c r="I50" s="327"/>
    </row>
    <row r="51" spans="1:9" ht="30.75" customHeight="1">
      <c r="A51" s="326"/>
      <c r="B51" s="327"/>
      <c r="C51" s="327"/>
      <c r="D51" s="327"/>
      <c r="E51" s="327"/>
      <c r="F51" s="327"/>
      <c r="G51" s="327"/>
      <c r="H51" s="327"/>
      <c r="I51" s="327"/>
    </row>
    <row r="52" spans="1:9" ht="24.6" customHeight="1">
      <c r="A52" s="324" t="s">
        <v>179</v>
      </c>
      <c r="B52" s="622" t="s">
        <v>180</v>
      </c>
      <c r="C52" s="622" t="s">
        <v>181</v>
      </c>
      <c r="D52" s="622" t="s">
        <v>182</v>
      </c>
      <c r="E52" s="622" t="s">
        <v>183</v>
      </c>
      <c r="F52" s="622" t="s">
        <v>184</v>
      </c>
      <c r="G52" s="622" t="s">
        <v>185</v>
      </c>
      <c r="H52" s="622" t="s">
        <v>186</v>
      </c>
    </row>
    <row r="53" spans="1:9" ht="30" customHeight="1">
      <c r="A53" s="324" t="str">
        <f>A4</f>
        <v>Scenario 1</v>
      </c>
      <c r="B53" s="622">
        <f>'Projected FS'!C6</f>
        <v>8336115</v>
      </c>
      <c r="C53" s="622">
        <f ca="1">'Projected FS'!D6</f>
        <v>9719910.0899999999</v>
      </c>
      <c r="D53" s="622">
        <f ca="1">'Projected FS'!E6</f>
        <v>11239861.725</v>
      </c>
      <c r="E53" s="622">
        <f ca="1">'Projected FS'!F6</f>
        <v>12907084.724999998</v>
      </c>
      <c r="F53" s="622">
        <f ca="1">'Projected FS'!G6</f>
        <v>14733805.391999997</v>
      </c>
      <c r="G53" s="622">
        <f ca="1">'Projected FS'!H6</f>
        <v>16733361.510000002</v>
      </c>
      <c r="H53" s="622">
        <f ca="1">'Projected FS'!I6</f>
        <v>17737585.496999994</v>
      </c>
    </row>
    <row r="54" spans="1:9" ht="24.6" customHeight="1">
      <c r="A54" s="324" t="str">
        <f t="shared" ref="A54:A55" si="4">A5</f>
        <v>Scenario 2</v>
      </c>
      <c r="B54" s="622">
        <f>'Projected FS'!C98</f>
        <v>8336115</v>
      </c>
      <c r="C54" s="622">
        <f ca="1">'Projected FS'!D98</f>
        <v>9719910.0899999999</v>
      </c>
      <c r="D54" s="622">
        <f ca="1">'Projected FS'!E98</f>
        <v>11239861.725</v>
      </c>
      <c r="E54" s="622">
        <f ca="1">'Projected FS'!F98</f>
        <v>12907084.724999998</v>
      </c>
      <c r="F54" s="622">
        <f ca="1">'Projected FS'!G98</f>
        <v>14733805.391999997</v>
      </c>
      <c r="G54" s="622">
        <f ca="1">'Projected FS'!H98</f>
        <v>16733361.510000002</v>
      </c>
      <c r="H54" s="622">
        <f ca="1">'Projected FS'!I98</f>
        <v>17737585.496999994</v>
      </c>
    </row>
    <row r="55" spans="1:9" ht="30" customHeight="1">
      <c r="A55" s="324" t="str">
        <f t="shared" si="4"/>
        <v>Scenario 3</v>
      </c>
      <c r="B55" s="622">
        <f>'Projected FS'!C189</f>
        <v>7409880</v>
      </c>
      <c r="C55" s="622">
        <f ca="1">'Projected FS'!D189</f>
        <v>8639920.0800000001</v>
      </c>
      <c r="D55" s="622">
        <f ca="1">'Projected FS'!E189</f>
        <v>9990988.2000000011</v>
      </c>
      <c r="E55" s="622">
        <f ca="1">'Projected FS'!F189</f>
        <v>11472964.199999997</v>
      </c>
      <c r="F55" s="622">
        <f ca="1">'Projected FS'!G189</f>
        <v>13096715.903999999</v>
      </c>
      <c r="G55" s="622">
        <f ca="1">'Projected FS'!H189</f>
        <v>14874099.120000003</v>
      </c>
      <c r="H55" s="622">
        <f ca="1">'Projected FS'!I189</f>
        <v>15766742.663999997</v>
      </c>
    </row>
    <row r="56" spans="1:9">
      <c r="B56" s="622"/>
      <c r="C56" s="622"/>
      <c r="D56" s="622"/>
      <c r="E56" s="622"/>
      <c r="F56" s="622"/>
    </row>
    <row r="57" spans="1:9" ht="18" customHeight="1">
      <c r="A57" s="324" t="s">
        <v>187</v>
      </c>
      <c r="B57" s="622" t="s">
        <v>180</v>
      </c>
      <c r="C57" s="622" t="s">
        <v>181</v>
      </c>
      <c r="D57" s="622" t="s">
        <v>182</v>
      </c>
      <c r="E57" s="622" t="s">
        <v>183</v>
      </c>
      <c r="F57" s="622" t="s">
        <v>184</v>
      </c>
      <c r="G57" s="622" t="s">
        <v>185</v>
      </c>
      <c r="H57" s="622" t="s">
        <v>186</v>
      </c>
    </row>
    <row r="58" spans="1:9" ht="21.6" customHeight="1">
      <c r="A58" s="324" t="str">
        <f t="shared" ref="A58:A60" si="5">A53</f>
        <v>Scenario 1</v>
      </c>
      <c r="B58" s="622">
        <f ca="1">'Projected FS'!C27</f>
        <v>331455.70510210004</v>
      </c>
      <c r="C58" s="622">
        <f ca="1">'Projected FS'!D27</f>
        <v>914981.92610737961</v>
      </c>
      <c r="D58" s="622">
        <f ca="1">'Projected FS'!E27</f>
        <v>1359635.7699830828</v>
      </c>
      <c r="E58" s="622">
        <f ca="1">'Projected FS'!F27</f>
        <v>1848426.3936947768</v>
      </c>
      <c r="F58" s="622">
        <f ca="1">'Projected FS'!G27</f>
        <v>2384983.8204214172</v>
      </c>
      <c r="G58" s="622">
        <f ca="1">'Projected FS'!H27</f>
        <v>2973259.2484058607</v>
      </c>
      <c r="H58" s="622">
        <f ca="1">'Projected FS'!I27</f>
        <v>3155916.5521593494</v>
      </c>
    </row>
    <row r="59" spans="1:9" ht="23.45" customHeight="1">
      <c r="A59" s="324" t="str">
        <f t="shared" si="5"/>
        <v>Scenario 2</v>
      </c>
      <c r="B59" s="622">
        <f ca="1">'Projected FS'!C119</f>
        <v>1378700.5280000006</v>
      </c>
      <c r="C59" s="622">
        <f ca="1">'Projected FS'!D119</f>
        <v>1938478.293144</v>
      </c>
      <c r="D59" s="622">
        <f ca="1">'Projected FS'!E119</f>
        <v>2357666.9033640004</v>
      </c>
      <c r="E59" s="622">
        <f ca="1">'Projected FS'!F119</f>
        <v>2819151.40962</v>
      </c>
      <c r="F59" s="622">
        <f ca="1">'Projected FS'!G119</f>
        <v>3326428.7574522002</v>
      </c>
      <c r="G59" s="622">
        <f ca="1">'Projected FS'!H119</f>
        <v>3883307.4472714476</v>
      </c>
      <c r="H59" s="622">
        <f ca="1">'Projected FS'!I119</f>
        <v>4032298.3401191579</v>
      </c>
    </row>
    <row r="60" spans="1:9" ht="25.9" customHeight="1">
      <c r="A60" s="324" t="str">
        <f t="shared" si="5"/>
        <v>Scenario 3</v>
      </c>
      <c r="B60" s="622">
        <f ca="1">'Projected FS'!C210</f>
        <v>1051565.7360000003</v>
      </c>
      <c r="C60" s="622">
        <f ca="1">'Projected FS'!D210</f>
        <v>2124126.6325119999</v>
      </c>
      <c r="D60" s="622">
        <f ca="1">'Projected FS'!E210</f>
        <v>2572648.0843098206</v>
      </c>
      <c r="E60" s="622">
        <f ca="1">'Projected FS'!F210</f>
        <v>3066336.0111181797</v>
      </c>
      <c r="F60" s="622">
        <f ca="1">'Projected FS'!G210</f>
        <v>3608933.0660396917</v>
      </c>
      <c r="G60" s="622">
        <f ca="1">'Projected FS'!H210</f>
        <v>4204516.8745002877</v>
      </c>
      <c r="H60" s="622">
        <f ca="1">'Projected FS'!I210</f>
        <v>4383620.1941994354</v>
      </c>
    </row>
    <row r="66" spans="1:7" s="330" customFormat="1">
      <c r="A66" s="324"/>
      <c r="B66" s="324"/>
      <c r="C66" s="324"/>
      <c r="D66" s="324"/>
      <c r="E66" s="324"/>
      <c r="F66" s="324"/>
      <c r="G66" s="324"/>
    </row>
    <row r="67" spans="1:7" s="330" customFormat="1">
      <c r="A67" s="324"/>
      <c r="B67" s="324"/>
      <c r="C67" s="324"/>
      <c r="D67" s="324"/>
      <c r="E67" s="324"/>
      <c r="F67" s="324"/>
      <c r="G67" s="324"/>
    </row>
  </sheetData>
  <protectedRanges>
    <protectedRange sqref="A4:A6" name="Range6"/>
    <protectedRange sqref="D10:E13" name="Range1_1"/>
    <protectedRange sqref="D14:E25" name="Range1_3_4"/>
    <protectedRange sqref="C10:C25" name="Range1"/>
    <protectedRange sqref="B27:C27" name="Range3"/>
    <protectedRange sqref="B5:M7 F8:M25" name="Range2"/>
  </protectedRanges>
  <mergeCells count="14">
    <mergeCell ref="B14:B19"/>
    <mergeCell ref="B20:B25"/>
    <mergeCell ref="A8:E8"/>
    <mergeCell ref="A1:A3"/>
    <mergeCell ref="J2:M2"/>
    <mergeCell ref="B1:M1"/>
    <mergeCell ref="I2:I3"/>
    <mergeCell ref="H2:H3"/>
    <mergeCell ref="G2:G3"/>
    <mergeCell ref="F2:F3"/>
    <mergeCell ref="E2:E3"/>
    <mergeCell ref="D2:D3"/>
    <mergeCell ref="C2:C3"/>
    <mergeCell ref="B2:B3"/>
  </mergeCells>
  <conditionalFormatting sqref="B27">
    <cfRule type="expression" priority="5">
      <formula>"if($B$9=""=$A$4"</formula>
    </cfRule>
  </conditionalFormatting>
  <conditionalFormatting sqref="B4:B7">
    <cfRule type="dataBar" priority="16">
      <dataBar>
        <cfvo type="min"/>
        <cfvo type="max"/>
        <color rgb="FF638EC6"/>
      </dataBar>
      <extLst>
        <ext xmlns:x14="http://schemas.microsoft.com/office/spreadsheetml/2009/9/main" uri="{B025F937-C7B1-47D3-B67F-A62EFF666E3E}">
          <x14:id>{1444C296-7096-4625-B4D4-70316CFC637D}</x14:id>
        </ext>
      </extLst>
    </cfRule>
  </conditionalFormatting>
  <conditionalFormatting sqref="C4:E7">
    <cfRule type="iconSet" priority="17">
      <iconSet iconSet="3Arrows">
        <cfvo type="percent" val="0"/>
        <cfvo type="percent" val="33"/>
        <cfvo type="percent" val="67"/>
      </iconSet>
    </cfRule>
  </conditionalFormatting>
  <conditionalFormatting sqref="L4:M25">
    <cfRule type="dataBar" priority="18">
      <dataBar>
        <cfvo type="min"/>
        <cfvo type="max"/>
        <color rgb="FF63C384"/>
      </dataBar>
      <extLst>
        <ext xmlns:x14="http://schemas.microsoft.com/office/spreadsheetml/2009/9/main" uri="{B025F937-C7B1-47D3-B67F-A62EFF666E3E}">
          <x14:id>{2FBF3771-A6D6-4846-90B0-CAAC02515073}</x14:id>
        </ext>
      </extLst>
    </cfRule>
  </conditionalFormatting>
  <conditionalFormatting sqref="K4:K25">
    <cfRule type="dataBar" priority="19">
      <dataBar>
        <cfvo type="min"/>
        <cfvo type="max"/>
        <color rgb="FF63C384"/>
      </dataBar>
      <extLst>
        <ext xmlns:x14="http://schemas.microsoft.com/office/spreadsheetml/2009/9/main" uri="{B025F937-C7B1-47D3-B67F-A62EFF666E3E}">
          <x14:id>{83E3845F-66C2-41FC-AACA-3754501EC248}</x14:id>
        </ext>
      </extLst>
    </cfRule>
  </conditionalFormatting>
  <conditionalFormatting sqref="J4:J25">
    <cfRule type="dataBar" priority="20">
      <dataBar>
        <cfvo type="min"/>
        <cfvo type="max"/>
        <color rgb="FF63C384"/>
      </dataBar>
      <extLst>
        <ext xmlns:x14="http://schemas.microsoft.com/office/spreadsheetml/2009/9/main" uri="{B025F937-C7B1-47D3-B67F-A62EFF666E3E}">
          <x14:id>{B4C152B0-3838-4F32-BAAC-BB5C433A1B68}</x14:id>
        </ext>
      </extLst>
    </cfRule>
  </conditionalFormatting>
  <conditionalFormatting sqref="A7">
    <cfRule type="dataBar" priority="2">
      <dataBar>
        <cfvo type="min"/>
        <cfvo type="max"/>
        <color rgb="FF638EC6"/>
      </dataBar>
      <extLst>
        <ext xmlns:x14="http://schemas.microsoft.com/office/spreadsheetml/2009/9/main" uri="{B025F937-C7B1-47D3-B67F-A62EFF666E3E}">
          <x14:id>{E38A9147-5947-435E-853A-C4F5CE742726}</x14:id>
        </ext>
      </extLst>
    </cfRule>
  </conditionalFormatting>
  <conditionalFormatting sqref="B40">
    <cfRule type="expression" priority="1">
      <formula>"if($B$9=""=$A$4"</formula>
    </cfRule>
  </conditionalFormatting>
  <dataValidations count="1">
    <dataValidation type="list" allowBlank="1" showInputMessage="1" showErrorMessage="1" sqref="B27:C27" xr:uid="{E3D03069-779B-4BCF-A96E-4BF60147A862}">
      <formula1>$A$4:$A$6</formula1>
    </dataValidation>
  </dataValidations>
  <pageMargins left="0.7" right="0.7" top="0.75" bottom="0.75" header="0.3" footer="0.3"/>
  <pageSetup paperSize="9" orientation="portrait" horizontalDpi="360" verticalDpi="360"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1444C296-7096-4625-B4D4-70316CFC637D}">
            <x14:dataBar minLength="0" maxLength="100" border="1" negativeBarBorderColorSameAsPositive="0">
              <x14:cfvo type="autoMin"/>
              <x14:cfvo type="autoMax"/>
              <x14:borderColor rgb="FF638EC6"/>
              <x14:negativeFillColor rgb="FFFF0000"/>
              <x14:negativeBorderColor rgb="FFFF0000"/>
              <x14:axisColor rgb="FF000000"/>
            </x14:dataBar>
          </x14:cfRule>
          <xm:sqref>B4:B7</xm:sqref>
        </x14:conditionalFormatting>
        <x14:conditionalFormatting xmlns:xm="http://schemas.microsoft.com/office/excel/2006/main">
          <x14:cfRule type="dataBar" id="{2FBF3771-A6D6-4846-90B0-CAAC02515073}">
            <x14:dataBar minLength="0" maxLength="100" border="1" negativeBarBorderColorSameAsPositive="0">
              <x14:cfvo type="autoMin"/>
              <x14:cfvo type="autoMax"/>
              <x14:borderColor rgb="FF63C384"/>
              <x14:negativeFillColor rgb="FFFF0000"/>
              <x14:negativeBorderColor rgb="FFFF0000"/>
              <x14:axisColor rgb="FF000000"/>
            </x14:dataBar>
          </x14:cfRule>
          <xm:sqref>L4:M25</xm:sqref>
        </x14:conditionalFormatting>
        <x14:conditionalFormatting xmlns:xm="http://schemas.microsoft.com/office/excel/2006/main">
          <x14:cfRule type="dataBar" id="{83E3845F-66C2-41FC-AACA-3754501EC248}">
            <x14:dataBar minLength="0" maxLength="100" border="1" negativeBarBorderColorSameAsPositive="0">
              <x14:cfvo type="autoMin"/>
              <x14:cfvo type="autoMax"/>
              <x14:borderColor rgb="FF63C384"/>
              <x14:negativeFillColor rgb="FFFF0000"/>
              <x14:negativeBorderColor rgb="FFFF0000"/>
              <x14:axisColor rgb="FF000000"/>
            </x14:dataBar>
          </x14:cfRule>
          <xm:sqref>K4:K25</xm:sqref>
        </x14:conditionalFormatting>
        <x14:conditionalFormatting xmlns:xm="http://schemas.microsoft.com/office/excel/2006/main">
          <x14:cfRule type="dataBar" id="{B4C152B0-3838-4F32-BAAC-BB5C433A1B68}">
            <x14:dataBar minLength="0" maxLength="100" border="1" negativeBarBorderColorSameAsPositive="0">
              <x14:cfvo type="autoMin"/>
              <x14:cfvo type="autoMax"/>
              <x14:borderColor rgb="FF63C384"/>
              <x14:negativeFillColor rgb="FFFF0000"/>
              <x14:negativeBorderColor rgb="FFFF0000"/>
              <x14:axisColor rgb="FF000000"/>
            </x14:dataBar>
          </x14:cfRule>
          <xm:sqref>J4:J25</xm:sqref>
        </x14:conditionalFormatting>
        <x14:conditionalFormatting xmlns:xm="http://schemas.microsoft.com/office/excel/2006/main">
          <x14:cfRule type="dataBar" id="{E38A9147-5947-435E-853A-C4F5CE742726}">
            <x14:dataBar minLength="0" maxLength="100" border="1" negativeBarBorderColorSameAsPositive="0">
              <x14:cfvo type="autoMin"/>
              <x14:cfvo type="autoMax"/>
              <x14:borderColor rgb="FF638EC6"/>
              <x14:negativeFillColor rgb="FFFF0000"/>
              <x14:negativeBorderColor rgb="FFFF0000"/>
              <x14:axisColor rgb="FF000000"/>
            </x14:dataBar>
          </x14:cfRule>
          <xm:sqref>A7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DDFE6-80BD-481B-BD3D-EE27518C3D82}">
  <sheetPr codeName="Sheet5">
    <tabColor rgb="FF002060"/>
    <pageSetUpPr fitToPage="1"/>
  </sheetPr>
  <dimension ref="A1:Q278"/>
  <sheetViews>
    <sheetView showGridLines="0" showZeros="0" zoomScale="85" zoomScaleNormal="85" workbookViewId="0">
      <selection activeCell="F161" sqref="F161"/>
    </sheetView>
  </sheetViews>
  <sheetFormatPr defaultColWidth="9.33203125" defaultRowHeight="15" outlineLevelRow="1"/>
  <cols>
    <col min="1" max="1" width="46" style="27" customWidth="1"/>
    <col min="2" max="2" width="14.5546875" style="27" customWidth="1"/>
    <col min="3" max="3" width="14.21875" style="27" bestFit="1" customWidth="1"/>
    <col min="4" max="4" width="14.21875" style="27" customWidth="1"/>
    <col min="5" max="6" width="15.21875" style="27" bestFit="1" customWidth="1"/>
    <col min="7" max="9" width="15.33203125" style="27" bestFit="1" customWidth="1"/>
    <col min="10" max="10" width="17.33203125" style="27" bestFit="1" customWidth="1"/>
    <col min="11" max="12" width="10" style="27" bestFit="1" customWidth="1"/>
    <col min="13" max="16384" width="9.33203125" style="27"/>
  </cols>
  <sheetData>
    <row r="1" spans="1:10" ht="30">
      <c r="A1" s="775" t="str">
        <f>'Summary. Assumptions. Inputs'!A2:G2</f>
        <v>Al Bawader for Greenhouse Plastics</v>
      </c>
      <c r="B1" s="775"/>
      <c r="C1" s="775"/>
      <c r="D1" s="775"/>
      <c r="E1" s="775"/>
      <c r="F1" s="775"/>
      <c r="G1" s="775"/>
      <c r="H1" s="775"/>
    </row>
    <row r="2" spans="1:10" s="28" customFormat="1" ht="31.5">
      <c r="A2" s="773" t="s">
        <v>2</v>
      </c>
      <c r="B2" s="773"/>
      <c r="C2" s="773"/>
      <c r="D2" s="773"/>
      <c r="E2" s="773"/>
      <c r="F2" s="773"/>
      <c r="G2" s="773"/>
      <c r="H2" s="773"/>
    </row>
    <row r="3" spans="1:10" s="28" customFormat="1" ht="20.25">
      <c r="A3" s="774" t="str">
        <f>CONCATENATE("Currency "," ",'Summary. Assumptions. Inputs'!$J$7)</f>
        <v>Currency  USD</v>
      </c>
      <c r="B3" s="774"/>
      <c r="C3" s="774"/>
      <c r="D3" s="774"/>
      <c r="E3" s="774"/>
      <c r="F3" s="774"/>
      <c r="G3" s="774"/>
      <c r="H3" s="774"/>
    </row>
    <row r="4" spans="1:10" s="28" customFormat="1" ht="20.25">
      <c r="A4" s="774" t="str">
        <f>'Scenario Analysis'!A4</f>
        <v>Scenario 1</v>
      </c>
      <c r="B4" s="774"/>
      <c r="C4" s="774"/>
      <c r="D4" s="774"/>
      <c r="E4" s="774"/>
      <c r="F4" s="774"/>
      <c r="G4" s="774"/>
      <c r="H4" s="774"/>
    </row>
    <row r="5" spans="1:10" s="30" customFormat="1" ht="45" customHeight="1">
      <c r="A5" s="54" t="s">
        <v>188</v>
      </c>
      <c r="B5" s="229" t="s">
        <v>189</v>
      </c>
      <c r="C5" s="55" t="s">
        <v>180</v>
      </c>
      <c r="D5" s="55" t="s">
        <v>181</v>
      </c>
      <c r="E5" s="55" t="s">
        <v>182</v>
      </c>
      <c r="F5" s="55" t="s">
        <v>183</v>
      </c>
      <c r="G5" s="55" t="s">
        <v>184</v>
      </c>
      <c r="H5" s="353" t="s">
        <v>185</v>
      </c>
      <c r="I5" s="353" t="s">
        <v>186</v>
      </c>
      <c r="J5"/>
    </row>
    <row r="6" spans="1:10" ht="24.95" customHeight="1">
      <c r="A6" s="31" t="s">
        <v>190</v>
      </c>
      <c r="B6" s="32"/>
      <c r="C6" s="32">
        <f>Table17[[#Totals],[Sales Volume in Study Currency]]</f>
        <v>8336115</v>
      </c>
      <c r="D6" s="32">
        <f ca="1">'Sales Volume, Cost of Productio'!AC96</f>
        <v>9719910.0899999999</v>
      </c>
      <c r="E6" s="32">
        <f ca="1">'Sales Volume, Cost of Productio'!AP96</f>
        <v>11239861.725</v>
      </c>
      <c r="F6" s="32">
        <f ca="1">'Sales Volume, Cost of Productio'!BC96</f>
        <v>12907084.724999998</v>
      </c>
      <c r="G6" s="32">
        <f ca="1">'Sales Volume, Cost of Productio'!BP96</f>
        <v>14733805.391999997</v>
      </c>
      <c r="H6" s="356">
        <f ca="1">'Sales Volume, Cost of Productio'!CC96</f>
        <v>16733361.510000002</v>
      </c>
      <c r="I6" s="356">
        <f ca="1">'Sales Volume, Cost of Productio'!CP96</f>
        <v>17737585.496999994</v>
      </c>
      <c r="J6"/>
    </row>
    <row r="7" spans="1:10" ht="24.95" customHeight="1">
      <c r="A7" s="33" t="s">
        <v>191</v>
      </c>
      <c r="B7" s="34"/>
      <c r="C7" s="34"/>
      <c r="D7" s="34"/>
      <c r="E7" s="34"/>
      <c r="F7" s="34"/>
      <c r="G7" s="34"/>
      <c r="H7" s="34"/>
      <c r="I7" s="359"/>
      <c r="J7"/>
    </row>
    <row r="8" spans="1:10" ht="24.95" customHeight="1">
      <c r="A8" s="53" t="s">
        <v>192</v>
      </c>
      <c r="B8" s="35"/>
      <c r="C8" s="35">
        <f ca="1">IFERROR(B31,0)</f>
        <v>462030.15599999996</v>
      </c>
      <c r="D8" s="35">
        <f ca="1">IFERROR(-C10,0)</f>
        <v>462030.15599999996</v>
      </c>
      <c r="E8" s="35">
        <f t="shared" ref="E8:I8" ca="1" si="0">IFERROR(-D10,0)</f>
        <v>538727.16189599992</v>
      </c>
      <c r="F8" s="35">
        <f t="shared" ca="1" si="0"/>
        <v>622970.66033999994</v>
      </c>
      <c r="G8" s="35">
        <f t="shared" ca="1" si="0"/>
        <v>715376.6915399998</v>
      </c>
      <c r="H8" s="362">
        <f t="shared" ca="1" si="0"/>
        <v>816622.89972479979</v>
      </c>
      <c r="I8" s="362">
        <f t="shared" ca="1" si="0"/>
        <v>927448.53314399999</v>
      </c>
      <c r="J8"/>
    </row>
    <row r="9" spans="1:10" ht="24.95" customHeight="1">
      <c r="A9" s="52" t="s">
        <v>193</v>
      </c>
      <c r="B9" s="35"/>
      <c r="C9" s="35">
        <f ca="1">IFERROR('Sales Volume, Cost of Productio'!P190,0)</f>
        <v>5544361.8719999995</v>
      </c>
      <c r="D9" s="35">
        <f ca="1">IFERROR(C9/C6*D6,0)</f>
        <v>6464725.9427519999</v>
      </c>
      <c r="E9" s="35">
        <f ca="1">IFERROR(D9/D6*E6,0)</f>
        <v>7475647.9240799993</v>
      </c>
      <c r="F9" s="35">
        <f t="shared" ref="F9:I9" ca="1" si="1">IFERROR(E9/E6*F6,0)</f>
        <v>8584520.2984799985</v>
      </c>
      <c r="G9" s="35">
        <f t="shared" ca="1" si="1"/>
        <v>9799474.796697598</v>
      </c>
      <c r="H9" s="35">
        <f t="shared" ca="1" si="1"/>
        <v>11129382.397728002</v>
      </c>
      <c r="I9" s="365">
        <f t="shared" ca="1" si="1"/>
        <v>11797293.191241596</v>
      </c>
      <c r="J9"/>
    </row>
    <row r="10" spans="1:10" ht="24.95" customHeight="1">
      <c r="A10" s="53" t="s">
        <v>194</v>
      </c>
      <c r="B10" s="35"/>
      <c r="C10" s="35">
        <f ca="1">IFERROR(-'Sales Volume, Cost of Productio'!O190,0)</f>
        <v>-462030.15599999996</v>
      </c>
      <c r="D10" s="35">
        <f ca="1">IFERROR(C10/C6*D6,0)</f>
        <v>-538727.16189599992</v>
      </c>
      <c r="E10" s="35">
        <f t="shared" ref="E10:I10" ca="1" si="2">IFERROR(D10/D6*E6,0)</f>
        <v>-622970.66033999994</v>
      </c>
      <c r="F10" s="35">
        <f t="shared" ca="1" si="2"/>
        <v>-715376.6915399998</v>
      </c>
      <c r="G10" s="35">
        <f t="shared" ca="1" si="2"/>
        <v>-816622.89972479979</v>
      </c>
      <c r="H10" s="362">
        <f t="shared" ca="1" si="2"/>
        <v>-927448.53314399999</v>
      </c>
      <c r="I10" s="362">
        <f t="shared" ca="1" si="2"/>
        <v>-983107.76593679958</v>
      </c>
      <c r="J10"/>
    </row>
    <row r="11" spans="1:10" ht="24.95" customHeight="1">
      <c r="A11" s="31" t="s">
        <v>191</v>
      </c>
      <c r="B11" s="36">
        <f t="shared" ref="B11:G11" si="3">SUM(B8:B10)</f>
        <v>0</v>
      </c>
      <c r="C11" s="36">
        <f t="shared" ca="1" si="3"/>
        <v>5544361.8719999995</v>
      </c>
      <c r="D11" s="36">
        <f t="shared" ca="1" si="3"/>
        <v>6388028.9368559998</v>
      </c>
      <c r="E11" s="36">
        <f t="shared" ca="1" si="3"/>
        <v>7391404.4256359991</v>
      </c>
      <c r="F11" s="36">
        <f t="shared" ca="1" si="3"/>
        <v>8492114.2672799993</v>
      </c>
      <c r="G11" s="36">
        <f t="shared" ca="1" si="3"/>
        <v>9698228.5885127969</v>
      </c>
      <c r="H11" s="36">
        <f t="shared" ref="H11:I11" ca="1" si="4">SUM(H8:H10)</f>
        <v>11018556.764308803</v>
      </c>
      <c r="I11" s="368">
        <f t="shared" ca="1" si="4"/>
        <v>11741633.958448797</v>
      </c>
      <c r="J11"/>
    </row>
    <row r="12" spans="1:10" ht="24.95" customHeight="1">
      <c r="A12" s="31" t="s">
        <v>195</v>
      </c>
      <c r="B12" s="36">
        <f t="shared" ref="B12:G12" si="5">B6-B11</f>
        <v>0</v>
      </c>
      <c r="C12" s="36">
        <f t="shared" ca="1" si="5"/>
        <v>2791753.1280000005</v>
      </c>
      <c r="D12" s="36">
        <f t="shared" ca="1" si="5"/>
        <v>3331881.1531440001</v>
      </c>
      <c r="E12" s="36">
        <f t="shared" ca="1" si="5"/>
        <v>3848457.2993640006</v>
      </c>
      <c r="F12" s="36">
        <f t="shared" ca="1" si="5"/>
        <v>4414970.4577199984</v>
      </c>
      <c r="G12" s="36">
        <f t="shared" ca="1" si="5"/>
        <v>5035576.8034872003</v>
      </c>
      <c r="H12" s="370">
        <f t="shared" ref="H12:I12" ca="1" si="6">H6-H11</f>
        <v>5714804.7456911989</v>
      </c>
      <c r="I12" s="370">
        <f t="shared" ca="1" si="6"/>
        <v>5995951.5385511965</v>
      </c>
      <c r="J12"/>
    </row>
    <row r="13" spans="1:10" ht="24.95" customHeight="1">
      <c r="A13" s="31" t="s">
        <v>196</v>
      </c>
      <c r="B13" s="193"/>
      <c r="C13" s="193"/>
      <c r="D13" s="193"/>
      <c r="E13" s="193"/>
      <c r="F13" s="193"/>
      <c r="G13" s="193"/>
      <c r="H13" s="372"/>
      <c r="I13" s="372"/>
    </row>
    <row r="14" spans="1:10" ht="24.95" customHeight="1">
      <c r="A14" s="53" t="s">
        <v>197</v>
      </c>
      <c r="B14" s="41"/>
      <c r="C14" s="41">
        <f t="shared" ref="C14:I15" si="7">B44-C44</f>
        <v>0</v>
      </c>
      <c r="D14" s="41">
        <f t="shared" si="7"/>
        <v>0</v>
      </c>
      <c r="E14" s="41">
        <f t="shared" si="7"/>
        <v>0</v>
      </c>
      <c r="F14" s="41">
        <f t="shared" si="7"/>
        <v>0</v>
      </c>
      <c r="G14" s="41">
        <f t="shared" si="7"/>
        <v>0</v>
      </c>
      <c r="H14" s="374">
        <f t="shared" si="7"/>
        <v>0</v>
      </c>
      <c r="I14" s="374">
        <f t="shared" si="7"/>
        <v>0</v>
      </c>
    </row>
    <row r="15" spans="1:10" ht="24.95" customHeight="1">
      <c r="A15" s="53" t="s">
        <v>198</v>
      </c>
      <c r="B15" s="42"/>
      <c r="C15" s="42">
        <f t="shared" si="7"/>
        <v>0</v>
      </c>
      <c r="D15" s="42">
        <f t="shared" si="7"/>
        <v>0</v>
      </c>
      <c r="E15" s="42">
        <f t="shared" si="7"/>
        <v>0</v>
      </c>
      <c r="F15" s="42">
        <f t="shared" si="7"/>
        <v>0</v>
      </c>
      <c r="G15" s="42">
        <f t="shared" si="7"/>
        <v>0</v>
      </c>
      <c r="H15" s="377">
        <f t="shared" si="7"/>
        <v>0</v>
      </c>
      <c r="I15" s="377">
        <f t="shared" si="7"/>
        <v>0</v>
      </c>
    </row>
    <row r="16" spans="1:10" ht="24.95" customHeight="1">
      <c r="A16" s="31" t="s">
        <v>196</v>
      </c>
      <c r="B16" s="36">
        <f>SUBTOTAL(109,B14:B15)</f>
        <v>0</v>
      </c>
      <c r="C16" s="36">
        <f t="shared" ref="C16:G16" si="8">SUBTOTAL(109,C14:C15)</f>
        <v>0</v>
      </c>
      <c r="D16" s="36">
        <f t="shared" si="8"/>
        <v>0</v>
      </c>
      <c r="E16" s="36">
        <f t="shared" si="8"/>
        <v>0</v>
      </c>
      <c r="F16" s="36">
        <f t="shared" si="8"/>
        <v>0</v>
      </c>
      <c r="G16" s="36">
        <f t="shared" si="8"/>
        <v>0</v>
      </c>
      <c r="H16" s="370">
        <f t="shared" ref="H16:I16" si="9">SUBTOTAL(109,H14:H15)</f>
        <v>0</v>
      </c>
      <c r="I16" s="370">
        <f t="shared" si="9"/>
        <v>0</v>
      </c>
    </row>
    <row r="17" spans="1:9" ht="24.95" customHeight="1">
      <c r="A17" s="53" t="s">
        <v>199</v>
      </c>
      <c r="B17" s="41"/>
      <c r="C17" s="41">
        <f>'OPEREX, PAYROL'!R29</f>
        <v>799100</v>
      </c>
      <c r="D17" s="41">
        <f>C17*(1+'Summary. Assumptions. Inputs'!$C$30)</f>
        <v>839055</v>
      </c>
      <c r="E17" s="41">
        <f>D17*(1+'Summary. Assumptions. Inputs'!$C$30)</f>
        <v>881007.75</v>
      </c>
      <c r="F17" s="41">
        <f>E17*(1+'Summary. Assumptions. Inputs'!$C$30)</f>
        <v>925058.13750000007</v>
      </c>
      <c r="G17" s="41">
        <f>F17*(1+'Summary. Assumptions. Inputs'!$C$30)</f>
        <v>971311.04437500017</v>
      </c>
      <c r="H17" s="379">
        <f>G17*(1+'Summary. Assumptions. Inputs'!$C$30)</f>
        <v>1019876.5965937502</v>
      </c>
      <c r="I17" s="379">
        <f>H17*(1+'Summary. Assumptions. Inputs'!$C$30)</f>
        <v>1070870.4264234377</v>
      </c>
    </row>
    <row r="18" spans="1:9" ht="24.95" customHeight="1">
      <c r="A18" s="53" t="s">
        <v>200</v>
      </c>
      <c r="B18" s="34"/>
      <c r="C18" s="34">
        <f>'OPEREX, PAYROL'!R52+B32-C32</f>
        <v>613952.59999999986</v>
      </c>
      <c r="D18" s="34">
        <f ca="1">'OPEREX, PAYROL'!AE52</f>
        <v>554347.8600000001</v>
      </c>
      <c r="E18" s="34">
        <f ca="1">'OPEREX, PAYROL'!AR52</f>
        <v>609782.64600000007</v>
      </c>
      <c r="F18" s="34">
        <f ca="1">'OPEREX, PAYROL'!BE52</f>
        <v>670760.91060000018</v>
      </c>
      <c r="G18" s="34">
        <f ca="1">'OPEREX, PAYROL'!BR52</f>
        <v>737837.0016600003</v>
      </c>
      <c r="H18" s="381">
        <f ca="1">'OPEREX, PAYROL'!CE52</f>
        <v>811620.70182600035</v>
      </c>
      <c r="I18" s="381">
        <f ca="1">'OPEREX, PAYROL'!CR52</f>
        <v>892782.77200860041</v>
      </c>
    </row>
    <row r="19" spans="1:9" ht="24.95" customHeight="1">
      <c r="A19" s="53" t="s">
        <v>201</v>
      </c>
      <c r="B19" s="34"/>
      <c r="C19" s="34">
        <f>'Summary. Assumptions. Inputs'!J39</f>
        <v>0</v>
      </c>
      <c r="D19" s="34"/>
      <c r="E19" s="34"/>
      <c r="F19" s="34"/>
      <c r="G19" s="34"/>
      <c r="H19" s="359"/>
      <c r="I19" s="359"/>
    </row>
    <row r="20" spans="1:9" ht="24.95" customHeight="1">
      <c r="A20" s="31" t="s">
        <v>202</v>
      </c>
      <c r="B20" s="36">
        <f>SUM(B12,B16)-SUM(B17:B19)</f>
        <v>0</v>
      </c>
      <c r="C20" s="36">
        <f ca="1">SUM(C12,C16)-SUM(C17:C19)</f>
        <v>1378700.5280000006</v>
      </c>
      <c r="D20" s="36">
        <f t="shared" ref="D20:G20" ca="1" si="10">SUM(D12,D16)-SUM(D17:D19)</f>
        <v>1938478.293144</v>
      </c>
      <c r="E20" s="36">
        <f t="shared" ca="1" si="10"/>
        <v>2357666.9033640004</v>
      </c>
      <c r="F20" s="36">
        <f t="shared" ca="1" si="10"/>
        <v>2819151.4096199982</v>
      </c>
      <c r="G20" s="36">
        <f t="shared" ca="1" si="10"/>
        <v>3326428.7574521997</v>
      </c>
      <c r="H20" s="370">
        <f t="shared" ref="H20:I20" ca="1" si="11">SUM(H12,H16)-SUM(H17:H19)</f>
        <v>3883307.4472714486</v>
      </c>
      <c r="I20" s="370">
        <f t="shared" ca="1" si="11"/>
        <v>4032298.3401191584</v>
      </c>
    </row>
    <row r="21" spans="1:9" ht="24.95" customHeight="1">
      <c r="A21" s="53" t="s">
        <v>203</v>
      </c>
      <c r="B21" s="201"/>
      <c r="C21" s="201">
        <f>'Capital Expenditures'!$J$44-'Capital Expenditures'!$J$43</f>
        <v>736469.5</v>
      </c>
      <c r="D21" s="201">
        <f>'Capital Expenditures'!$J$44-'Capital Expenditures'!$J$43</f>
        <v>736469.5</v>
      </c>
      <c r="E21" s="201">
        <f>'Capital Expenditures'!$J$44-'Capital Expenditures'!$J$43</f>
        <v>736469.5</v>
      </c>
      <c r="F21" s="201">
        <f>'Capital Expenditures'!$J$44-'Capital Expenditures'!$J$43</f>
        <v>736469.5</v>
      </c>
      <c r="G21" s="201">
        <f>'Capital Expenditures'!$J$44-'Capital Expenditures'!$J$43</f>
        <v>736469.5</v>
      </c>
      <c r="H21" s="423">
        <f>'Capital Expenditures'!$J$44-'Capital Expenditures'!$J$43</f>
        <v>736469.5</v>
      </c>
      <c r="I21" s="423">
        <f>H21</f>
        <v>736469.5</v>
      </c>
    </row>
    <row r="22" spans="1:9" ht="24.95" customHeight="1">
      <c r="A22" s="53" t="s">
        <v>204</v>
      </c>
      <c r="B22" s="34"/>
      <c r="C22" s="34">
        <f>'Capital Expenditures'!$J$43</f>
        <v>0</v>
      </c>
      <c r="D22" s="34">
        <f>'Capital Expenditures'!$J$43</f>
        <v>0</v>
      </c>
      <c r="E22" s="34">
        <f>'Capital Expenditures'!$J$43</f>
        <v>0</v>
      </c>
      <c r="F22" s="34">
        <f>'Capital Expenditures'!$J$43</f>
        <v>0</v>
      </c>
      <c r="G22" s="34">
        <f>'Capital Expenditures'!$J$43</f>
        <v>0</v>
      </c>
      <c r="H22" s="381">
        <f>'Capital Expenditures'!$J$43</f>
        <v>0</v>
      </c>
      <c r="I22" s="381">
        <f>H22</f>
        <v>0</v>
      </c>
    </row>
    <row r="23" spans="1:9" ht="24.95" customHeight="1">
      <c r="A23" s="31" t="s">
        <v>205</v>
      </c>
      <c r="B23" s="36">
        <f>B20-SUM(B21:B22)</f>
        <v>0</v>
      </c>
      <c r="C23" s="36">
        <f t="shared" ref="C23" ca="1" si="12">C20-SUM(C21:C22)</f>
        <v>642231.02800000063</v>
      </c>
      <c r="D23" s="36">
        <f t="shared" ref="D23" ca="1" si="13">D20-SUM(D21:D22)</f>
        <v>1202008.793144</v>
      </c>
      <c r="E23" s="36">
        <f t="shared" ref="E23" ca="1" si="14">E20-SUM(E21:E22)</f>
        <v>1621197.4033640004</v>
      </c>
      <c r="F23" s="36">
        <f t="shared" ref="F23" ca="1" si="15">F20-SUM(F21:F22)</f>
        <v>2082681.9096199982</v>
      </c>
      <c r="G23" s="36">
        <f t="shared" ref="G23:H23" ca="1" si="16">G20-SUM(G21:G22)</f>
        <v>2589959.2574521997</v>
      </c>
      <c r="H23" s="368">
        <f t="shared" ca="1" si="16"/>
        <v>3146837.9472714486</v>
      </c>
      <c r="I23" s="368">
        <f t="shared" ref="I23" ca="1" si="17">I20-SUM(I21:I22)</f>
        <v>3295828.8401191584</v>
      </c>
    </row>
    <row r="24" spans="1:9" ht="24.95" customHeight="1">
      <c r="A24" s="53" t="s">
        <v>206</v>
      </c>
      <c r="B24" s="193"/>
      <c r="C24" s="42">
        <f>IFERROR(VLOOKUP('Amortization Table 1'!$A$17+11,'Amortization Table 1'!$A:$K,11)-Table3[[#This Row],[Pre-operation]],0)</f>
        <v>310775.32289790059</v>
      </c>
      <c r="D24" s="42">
        <f>IFERROR(VLOOKUP('Amortization Table 1'!$A$17+23,'Amortization Table 1'!$A:$K,11)-Table3[[#This Row],[Year 1]]-Table3[[#This Row],[Pre-operation]],0)</f>
        <v>287026.86703662039</v>
      </c>
      <c r="E24" s="42">
        <f>IFERROR(VLOOKUP('Amortization Table 1'!$A$17+35,'Amortization Table 1'!$A:$K,11)-Table3[[#This Row],[Year 2]]-Table3[[#This Row],[Year 1]]-Table3[[#This Row],[Pre-operation]],0)</f>
        <v>261561.6333809176</v>
      </c>
      <c r="F24" s="42">
        <f>IFERROR(VLOOKUP('Amortization Table 1'!$A$17+47,'Amortization Table 1'!$A:$K,11)-Table3[[#This Row],[Pre-operation]]-Table3[[#This Row],[Year 1]]-Table3[[#This Row],[Year 2]]-Table3[[#This Row],[Year 3]],0)</f>
        <v>234255.51592522138</v>
      </c>
      <c r="G24" s="42">
        <f>IFERROR(VLOOKUP('Amortization Table 1'!$A$17+59,'Amortization Table 1'!$A:$K,11)-Table3[[#This Row],[Year 4]]-Table3[[#This Row],[Year 3]]-Table3[[#This Row],[Year 2]]-Table3[[#This Row],[Year 1]]-Table3[[#This Row],[Pre-operation]],0)</f>
        <v>204975.43703078269</v>
      </c>
      <c r="H24" s="385">
        <f>IFERROR(VLOOKUP('Amortization Table 1'!$A$17+71,'Amortization Table 1'!$A:$K,11)-Table3[[#This Row],[Year 4]]-Table3[[#This Row],[Year 3]]-Table3[[#This Row],[Year 2]]-Table3[[#This Row],[Year 1]]-Table3[[#This Row],[Pre-operation]]-Table3[[#This Row],[Year 5]],0)</f>
        <v>173578.69886558759</v>
      </c>
      <c r="I24" s="385">
        <f>IFERROR(VLOOKUP('Amortization Table 1'!$A$17+83,'Amortization Table 1'!$A:$K,11)-Table3[[#This Row],[Year 4]]-Table3[[#This Row],[Year 3]]-Table3[[#This Row],[Year 2]]-Table3[[#This Row],[Year 1]]-Table3[[#This Row],[Pre-operation]]-H24-Table3[[#This Row],[Year 5]],0)</f>
        <v>139912.28795980895</v>
      </c>
    </row>
    <row r="25" spans="1:9" ht="24.95" customHeight="1">
      <c r="A25" s="31" t="s">
        <v>207</v>
      </c>
      <c r="B25" s="193">
        <f>B23-B24</f>
        <v>0</v>
      </c>
      <c r="C25" s="193">
        <f t="shared" ref="C25:G25" ca="1" si="18">C23-C24</f>
        <v>331455.70510210004</v>
      </c>
      <c r="D25" s="193">
        <f t="shared" ca="1" si="18"/>
        <v>914981.92610737961</v>
      </c>
      <c r="E25" s="193">
        <f t="shared" ca="1" si="18"/>
        <v>1359635.7699830828</v>
      </c>
      <c r="F25" s="193">
        <f t="shared" ca="1" si="18"/>
        <v>1848426.3936947768</v>
      </c>
      <c r="G25" s="193">
        <f t="shared" ca="1" si="18"/>
        <v>2384983.8204214172</v>
      </c>
      <c r="H25" s="372">
        <f t="shared" ref="H25:I25" ca="1" si="19">H23-H24</f>
        <v>2973259.2484058607</v>
      </c>
      <c r="I25" s="372">
        <f t="shared" ca="1" si="19"/>
        <v>3155916.5521593494</v>
      </c>
    </row>
    <row r="26" spans="1:9" ht="24.95" customHeight="1">
      <c r="A26" s="53" t="s">
        <v>208</v>
      </c>
      <c r="B26" s="38"/>
      <c r="C26" s="38"/>
      <c r="D26" s="38"/>
      <c r="E26" s="38"/>
      <c r="F26" s="38"/>
      <c r="G26" s="38"/>
      <c r="H26" s="387"/>
      <c r="I26" s="387"/>
    </row>
    <row r="27" spans="1:9" ht="24.95" customHeight="1" thickBot="1">
      <c r="A27" s="39" t="s">
        <v>209</v>
      </c>
      <c r="B27" s="40">
        <f>B25-B26</f>
        <v>0</v>
      </c>
      <c r="C27" s="40">
        <f t="shared" ref="C27:G27" ca="1" si="20">C25-C26</f>
        <v>331455.70510210004</v>
      </c>
      <c r="D27" s="40">
        <f t="shared" ca="1" si="20"/>
        <v>914981.92610737961</v>
      </c>
      <c r="E27" s="40">
        <f t="shared" ca="1" si="20"/>
        <v>1359635.7699830828</v>
      </c>
      <c r="F27" s="40">
        <f t="shared" ca="1" si="20"/>
        <v>1848426.3936947768</v>
      </c>
      <c r="G27" s="40">
        <f t="shared" ca="1" si="20"/>
        <v>2384983.8204214172</v>
      </c>
      <c r="H27" s="390">
        <f t="shared" ref="H27:I27" ca="1" si="21">H25-H26</f>
        <v>2973259.2484058607</v>
      </c>
      <c r="I27" s="390">
        <f t="shared" ca="1" si="21"/>
        <v>3155916.5521593494</v>
      </c>
    </row>
    <row r="28" spans="1:9" ht="17.100000000000001" customHeight="1" thickTop="1">
      <c r="A28" s="413"/>
      <c r="B28" s="414"/>
      <c r="C28" s="414"/>
      <c r="D28" s="414"/>
      <c r="E28" s="414"/>
      <c r="F28" s="414"/>
      <c r="G28" s="414"/>
      <c r="H28" s="414"/>
      <c r="I28" s="414"/>
    </row>
    <row r="29" spans="1:9" s="30" customFormat="1" ht="45" customHeight="1">
      <c r="A29" s="54" t="s">
        <v>210</v>
      </c>
      <c r="B29" s="55" t="s">
        <v>189</v>
      </c>
      <c r="C29" s="55" t="s">
        <v>180</v>
      </c>
      <c r="D29" s="55" t="s">
        <v>181</v>
      </c>
      <c r="E29" s="55" t="s">
        <v>182</v>
      </c>
      <c r="F29" s="55" t="s">
        <v>183</v>
      </c>
      <c r="G29" s="55" t="s">
        <v>184</v>
      </c>
      <c r="H29" s="353" t="s">
        <v>185</v>
      </c>
      <c r="I29" s="353" t="s">
        <v>186</v>
      </c>
    </row>
    <row r="30" spans="1:9" ht="24.95" customHeight="1">
      <c r="A30" s="53" t="s">
        <v>211</v>
      </c>
      <c r="B30" s="41">
        <f t="shared" ref="B30:G30" ca="1" si="22">IFERROR(B75,0)</f>
        <v>900662.85847367859</v>
      </c>
      <c r="C30" s="41">
        <f t="shared" ca="1" si="22"/>
        <v>708057.58263160335</v>
      </c>
      <c r="D30" s="41">
        <f t="shared" ca="1" si="22"/>
        <v>1757573.0547875285</v>
      </c>
      <c r="E30" s="41">
        <f t="shared" ca="1" si="22"/>
        <v>3201711.0764904534</v>
      </c>
      <c r="F30" s="41">
        <f t="shared" ca="1" si="22"/>
        <v>5080762.1510683727</v>
      </c>
      <c r="G30" s="41">
        <f t="shared" ca="1" si="22"/>
        <v>7438313.1881186962</v>
      </c>
      <c r="H30" s="374">
        <f t="shared" ref="H30:I30" ca="1" si="23">IFERROR(H75,0)</f>
        <v>10321559.058378866</v>
      </c>
      <c r="I30" s="374">
        <f t="shared" ca="1" si="23"/>
        <v>13533378.738488149</v>
      </c>
    </row>
    <row r="31" spans="1:9" ht="24.95" customHeight="1">
      <c r="A31" s="53" t="s">
        <v>212</v>
      </c>
      <c r="B31" s="35">
        <f ca="1">'Sales Volume, Cost of Productio'!C190</f>
        <v>462030.15599999996</v>
      </c>
      <c r="C31" s="35">
        <f t="shared" ref="C31:I31" ca="1" si="24">-C10</f>
        <v>462030.15599999996</v>
      </c>
      <c r="D31" s="35">
        <f t="shared" ca="1" si="24"/>
        <v>538727.16189599992</v>
      </c>
      <c r="E31" s="35">
        <f t="shared" ca="1" si="24"/>
        <v>622970.66033999994</v>
      </c>
      <c r="F31" s="35">
        <f t="shared" ca="1" si="24"/>
        <v>715376.6915399998</v>
      </c>
      <c r="G31" s="35">
        <f t="shared" ca="1" si="24"/>
        <v>816622.89972479979</v>
      </c>
      <c r="H31" s="365">
        <f t="shared" ca="1" si="24"/>
        <v>927448.53314399999</v>
      </c>
      <c r="I31" s="365">
        <f t="shared" ca="1" si="24"/>
        <v>983107.76593679958</v>
      </c>
    </row>
    <row r="32" spans="1:9" ht="24.95" customHeight="1">
      <c r="A32" s="53" t="s">
        <v>213</v>
      </c>
      <c r="B32" s="35">
        <f>'OPEREX, PAYROL'!E52</f>
        <v>110000</v>
      </c>
      <c r="C32" s="35">
        <f>'OPEREX, PAYROL'!AE34</f>
        <v>0</v>
      </c>
      <c r="D32" s="35">
        <f>Table4[[#This Row],[Year 1]]</f>
        <v>0</v>
      </c>
      <c r="E32" s="35">
        <f>Table4[[#This Row],[Year 2]]</f>
        <v>0</v>
      </c>
      <c r="F32" s="35">
        <f>Table4[[#This Row],[Year 3]]</f>
        <v>0</v>
      </c>
      <c r="G32" s="35">
        <f>Table4[[#This Row],[Year 4]]</f>
        <v>0</v>
      </c>
      <c r="H32" s="362">
        <f>Table4[[#This Row],[Year 4]]</f>
        <v>0</v>
      </c>
      <c r="I32" s="362">
        <f>Table4[[#This Row],[Year 4]]</f>
        <v>0</v>
      </c>
    </row>
    <row r="33" spans="1:11" ht="24.95" customHeight="1">
      <c r="A33" s="53" t="s">
        <v>214</v>
      </c>
      <c r="B33" s="42"/>
      <c r="C33" s="42">
        <f ca="1">'Sales Volume, Cost of Productio'!P96-'Cashflow Projection &amp; Investme'!O8</f>
        <v>1042014.375</v>
      </c>
      <c r="D33" s="42">
        <f ca="1">'Projected FS'!D6-'Cashflow Projection &amp; Investme'!AB8+C33</f>
        <v>1214988.7612499986</v>
      </c>
      <c r="E33" s="42">
        <f ca="1">'Projected FS'!E6-'Cashflow Projection &amp; Investme'!AO8+D33</f>
        <v>1404982.7156249974</v>
      </c>
      <c r="F33" s="42">
        <f ca="1">(('Sales Volume, Cost of Productio'!$O$96*(1-'Summary. Assumptions. Inputs'!$C$32)+'Sales Volume, Cost of Productio'!$N$96*(1-'Summary. Assumptions. Inputs'!$C$32-'Summary. Assumptions. Inputs'!$C$33)+'Sales Volume, Cost of Productio'!$M$96*(1-'Summary. Assumptions. Inputs'!$C$32-'Summary. Assumptions. Inputs'!$C$33-'Summary. Assumptions. Inputs'!$C$34)))/$C$6*F6</f>
        <v>1613385.5906249997</v>
      </c>
      <c r="G33" s="42">
        <f ca="1">(('Sales Volume, Cost of Productio'!$O$96*(1-'Summary. Assumptions. Inputs'!$C$32)+'Sales Volume, Cost of Productio'!$N$96*(1-'Summary. Assumptions. Inputs'!$C$32-'Summary. Assumptions. Inputs'!$C$33)+'Sales Volume, Cost of Productio'!$M$96*(1-'Summary. Assumptions. Inputs'!$C$32-'Summary. Assumptions. Inputs'!$C$33-'Summary. Assumptions. Inputs'!$C$34)))/$C$6*G6</f>
        <v>1841725.6739999996</v>
      </c>
      <c r="H33" s="377">
        <f ca="1">(('Sales Volume, Cost of Productio'!$O$96*(1-'Summary. Assumptions. Inputs'!$C$32)+'Sales Volume, Cost of Productio'!$N$96*(1-'Summary. Assumptions. Inputs'!$C$32-'Summary. Assumptions. Inputs'!$C$33)+'Sales Volume, Cost of Productio'!$M$96*(1-'Summary. Assumptions. Inputs'!$C$32-'Summary. Assumptions. Inputs'!$C$33-'Summary. Assumptions. Inputs'!$C$34)))/$C$6*H6</f>
        <v>2091670.1887500002</v>
      </c>
      <c r="I33" s="377">
        <f ca="1">(('Sales Volume, Cost of Productio'!$O$96*(1-'Summary. Assumptions. Inputs'!$C$32)+'Sales Volume, Cost of Productio'!$N$96*(1-'Summary. Assumptions. Inputs'!$C$32-'Summary. Assumptions. Inputs'!$C$33)+'Sales Volume, Cost of Productio'!$M$96*(1-'Summary. Assumptions. Inputs'!$C$32-'Summary. Assumptions. Inputs'!$C$33-'Summary. Assumptions. Inputs'!$C$34)))/$C$6*I6</f>
        <v>2217198.1871249992</v>
      </c>
      <c r="J33" s="35"/>
      <c r="K33" s="35"/>
    </row>
    <row r="34" spans="1:11" ht="24.95" customHeight="1" thickBot="1">
      <c r="A34" s="31" t="s">
        <v>215</v>
      </c>
      <c r="B34" s="43">
        <f t="shared" ref="B34:G34" ca="1" si="25">SUM(B30:B33)</f>
        <v>1472693.0144736785</v>
      </c>
      <c r="C34" s="43">
        <f t="shared" ca="1" si="25"/>
        <v>2212102.1136316033</v>
      </c>
      <c r="D34" s="43">
        <f t="shared" ca="1" si="25"/>
        <v>3511288.977933527</v>
      </c>
      <c r="E34" s="43">
        <f t="shared" ca="1" si="25"/>
        <v>5229664.4524554508</v>
      </c>
      <c r="F34" s="43">
        <f t="shared" ca="1" si="25"/>
        <v>7409524.4332333729</v>
      </c>
      <c r="G34" s="43">
        <f t="shared" ca="1" si="25"/>
        <v>10096661.761843495</v>
      </c>
      <c r="H34" s="392">
        <f t="shared" ref="H34:I34" ca="1" si="26">SUM(H30:H33)</f>
        <v>13340677.780272866</v>
      </c>
      <c r="I34" s="392">
        <f t="shared" ca="1" si="26"/>
        <v>16733684.691549947</v>
      </c>
    </row>
    <row r="35" spans="1:11" ht="24.95" customHeight="1">
      <c r="A35" s="58" t="s">
        <v>216</v>
      </c>
      <c r="B35" s="35">
        <f>Table5[[#Totals],[Total Cost in study Currency]]</f>
        <v>8416320</v>
      </c>
      <c r="C35" s="35">
        <f>Table5[[#Totals],[Total Cost in study Currency]]</f>
        <v>8416320</v>
      </c>
      <c r="D35" s="35">
        <f>Table5[[#Totals],[Total Cost in study Currency]]</f>
        <v>8416320</v>
      </c>
      <c r="E35" s="35">
        <f>Table5[[#Totals],[Total Cost in study Currency]]</f>
        <v>8416320</v>
      </c>
      <c r="F35" s="35">
        <f>Table5[[#Totals],[Total Cost in study Currency]]</f>
        <v>8416320</v>
      </c>
      <c r="G35" s="35">
        <f>Table5[[#Totals],[Total Cost in study Currency]]</f>
        <v>8416320</v>
      </c>
      <c r="H35" s="365">
        <f>Table5[[#Totals],[Total Cost in study Currency]]</f>
        <v>8416320</v>
      </c>
      <c r="I35" s="365">
        <f>Table5[[#Totals],[Total Cost in study Currency]]</f>
        <v>8416320</v>
      </c>
    </row>
    <row r="36" spans="1:11" ht="24.95" customHeight="1" thickBot="1">
      <c r="A36" s="31" t="s">
        <v>217</v>
      </c>
      <c r="B36" s="44">
        <f t="shared" ref="B36:G36" si="27">B35</f>
        <v>8416320</v>
      </c>
      <c r="C36" s="44">
        <f t="shared" si="27"/>
        <v>8416320</v>
      </c>
      <c r="D36" s="44">
        <f t="shared" si="27"/>
        <v>8416320</v>
      </c>
      <c r="E36" s="44">
        <f t="shared" si="27"/>
        <v>8416320</v>
      </c>
      <c r="F36" s="44">
        <f t="shared" si="27"/>
        <v>8416320</v>
      </c>
      <c r="G36" s="44">
        <f t="shared" si="27"/>
        <v>8416320</v>
      </c>
      <c r="H36" s="395">
        <f t="shared" ref="H36:I36" si="28">H35</f>
        <v>8416320</v>
      </c>
      <c r="I36" s="395">
        <f t="shared" si="28"/>
        <v>8416320</v>
      </c>
    </row>
    <row r="37" spans="1:11" ht="24.95" customHeight="1">
      <c r="A37" s="58" t="s">
        <v>218</v>
      </c>
      <c r="B37" s="35">
        <f>B21+B22</f>
        <v>0</v>
      </c>
      <c r="C37" s="35">
        <f>Table4[[#This Row],[Pre-operation]]+C21+C22</f>
        <v>736469.5</v>
      </c>
      <c r="D37" s="35">
        <f>Table4[[#This Row],[Year 1]]+D21+D22</f>
        <v>1472939</v>
      </c>
      <c r="E37" s="35">
        <f>Table4[[#This Row],[Year 2]]+E21+E22</f>
        <v>2209408.5</v>
      </c>
      <c r="F37" s="35">
        <f>Table4[[#This Row],[Year 3]]+F21+F22</f>
        <v>2945878</v>
      </c>
      <c r="G37" s="35">
        <f>Table4[[#This Row],[Year 4]]+G21+G22</f>
        <v>3682347.5</v>
      </c>
      <c r="H37" s="365">
        <f>Table4[[#This Row],[Year 5]]+H21+H22</f>
        <v>4418817</v>
      </c>
      <c r="I37" s="365">
        <f>H37+I21+I22</f>
        <v>5155286.5</v>
      </c>
    </row>
    <row r="38" spans="1:11" ht="24.95" customHeight="1" thickBot="1">
      <c r="A38" s="31" t="s">
        <v>219</v>
      </c>
      <c r="B38" s="44">
        <f>B36+B37</f>
        <v>8416320</v>
      </c>
      <c r="C38" s="44">
        <f t="shared" ref="C38:I38" si="29">C36-C37</f>
        <v>7679850.5</v>
      </c>
      <c r="D38" s="44">
        <f t="shared" si="29"/>
        <v>6943381</v>
      </c>
      <c r="E38" s="44">
        <f t="shared" si="29"/>
        <v>6206911.5</v>
      </c>
      <c r="F38" s="44">
        <f t="shared" si="29"/>
        <v>5470442</v>
      </c>
      <c r="G38" s="44">
        <f t="shared" si="29"/>
        <v>4733972.5</v>
      </c>
      <c r="H38" s="395">
        <f t="shared" si="29"/>
        <v>3997503</v>
      </c>
      <c r="I38" s="395">
        <f t="shared" si="29"/>
        <v>3261033.5</v>
      </c>
    </row>
    <row r="39" spans="1:11" ht="24.95" customHeight="1">
      <c r="A39" s="53" t="s">
        <v>220</v>
      </c>
      <c r="B39" s="42"/>
      <c r="C39" s="42"/>
      <c r="D39" s="42"/>
      <c r="E39" s="42"/>
      <c r="F39" s="42"/>
      <c r="G39" s="42"/>
      <c r="H39" s="377"/>
      <c r="I39" s="377"/>
    </row>
    <row r="40" spans="1:11" ht="24.95" customHeight="1" thickBot="1">
      <c r="A40" s="31" t="s">
        <v>221</v>
      </c>
      <c r="B40" s="40">
        <f t="shared" ref="B40:G40" ca="1" si="30">B39+B38+B34</f>
        <v>9889013.0144736785</v>
      </c>
      <c r="C40" s="40">
        <f t="shared" ca="1" si="30"/>
        <v>9891952.6136316024</v>
      </c>
      <c r="D40" s="40">
        <f t="shared" ca="1" si="30"/>
        <v>10454669.977933526</v>
      </c>
      <c r="E40" s="40">
        <f t="shared" ca="1" si="30"/>
        <v>11436575.95245545</v>
      </c>
      <c r="F40" s="40">
        <f t="shared" ca="1" si="30"/>
        <v>12879966.433233373</v>
      </c>
      <c r="G40" s="40">
        <f t="shared" ca="1" si="30"/>
        <v>14830634.261843495</v>
      </c>
      <c r="H40" s="397">
        <f t="shared" ref="H40:I40" ca="1" si="31">H39+H38+H34</f>
        <v>17338180.780272864</v>
      </c>
      <c r="I40" s="397">
        <f t="shared" ca="1" si="31"/>
        <v>19994718.191549949</v>
      </c>
    </row>
    <row r="41" spans="1:11" ht="24.95" customHeight="1" thickTop="1">
      <c r="A41" s="33"/>
      <c r="B41" s="45"/>
      <c r="C41" s="45"/>
      <c r="D41" s="45"/>
      <c r="E41" s="45"/>
      <c r="F41" s="45"/>
      <c r="G41" s="45"/>
      <c r="H41" s="359"/>
      <c r="I41" s="359"/>
    </row>
    <row r="42" spans="1:11" ht="24.95" customHeight="1">
      <c r="A42" s="58" t="s">
        <v>222</v>
      </c>
      <c r="B42" s="56">
        <f ca="1">'Sales Volume, Cost of Productio'!C190-'Cashflow Projection &amp; Investme'!B12</f>
        <v>0</v>
      </c>
      <c r="C42" s="577">
        <f ca="1">ROUND('Sales Volume, Cost of Productio'!P190-SUM('Cashflow Projection &amp; Investme'!C12:N12)+Table4[[#This Row],[Pre-operation]],2)</f>
        <v>0</v>
      </c>
      <c r="D42" s="35">
        <f ca="1">Table4[[#This Row],[Year 1]]/C9*D9</f>
        <v>0</v>
      </c>
      <c r="E42" s="35">
        <f ca="1">Table4[[#This Row],[Year 2]]/D9*E9</f>
        <v>0</v>
      </c>
      <c r="F42" s="35">
        <f ca="1">Table4[[#This Row],[Year 3]]/E9*F9</f>
        <v>0</v>
      </c>
      <c r="G42" s="35">
        <f ca="1">Table4[[#This Row],[Year 4]]/F9*G9</f>
        <v>0</v>
      </c>
      <c r="H42" s="362">
        <f ca="1">Table4[[#This Row],[Year 4]]/G9*H9</f>
        <v>0</v>
      </c>
      <c r="I42" s="362">
        <f ca="1">Table4[[#This Row],[Year 4]]/H9*I9</f>
        <v>0</v>
      </c>
    </row>
    <row r="43" spans="1:11" ht="24.95" customHeight="1">
      <c r="A43" s="58" t="s">
        <v>223</v>
      </c>
      <c r="B43" s="35">
        <f>'Summary. Assumptions. Inputs'!J31</f>
        <v>4588320</v>
      </c>
      <c r="C43" s="35">
        <f>IFERROR(VLOOKUP('Amortization Table 1'!$A$17+12,'Amortization Table 1'!$A:$K,4),0)</f>
        <v>4259803.8940558247</v>
      </c>
      <c r="D43" s="35">
        <f>IFERROR(VLOOKUP('Amortization Table 1'!$A$17+24,'Amortization Table 1'!$A:$K,4),0)</f>
        <v>3907539.3322503688</v>
      </c>
      <c r="E43" s="35">
        <f>IFERROR(VLOOKUP('Amortization Table 1'!$A$17+36,'Amortization Table 1'!$A:$K,4),0)</f>
        <v>3529809.53678921</v>
      </c>
      <c r="F43" s="35">
        <f>IFERROR(VLOOKUP('Amortization Table 1'!$A$17+48,'Amortization Table 1'!$A:$K,4),0)</f>
        <v>3124773.6238723542</v>
      </c>
      <c r="G43" s="35">
        <f>IFERROR(VLOOKUP('Amortization Table 1'!$A$17+60,'Amortization Table 1'!$A:$K,4),0)</f>
        <v>2690457.6320610601</v>
      </c>
      <c r="H43" s="365">
        <f>IFERROR(VLOOKUP('Amortization Table 1'!$A$17+72,'Amortization Table 1'!$A:$K,4),0)</f>
        <v>2224744.9020845699</v>
      </c>
      <c r="I43" s="365">
        <f>IFERROR(VLOOKUP('Amortization Table 1'!$A$17+84,'Amortization Table 1'!$A:$K,4),0)</f>
        <v>1725365.7612023023</v>
      </c>
    </row>
    <row r="44" spans="1:11" ht="24.95" customHeight="1">
      <c r="A44" s="58" t="s">
        <v>224</v>
      </c>
      <c r="B44" s="35">
        <f>'Summary. Assumptions. Inputs'!J38</f>
        <v>0</v>
      </c>
      <c r="C44" s="35">
        <f>Table4[[#This Row],[Pre-operation]]-C22</f>
        <v>0</v>
      </c>
      <c r="D44" s="35">
        <f>Table4[[#This Row],[Year 1]]-D22</f>
        <v>0</v>
      </c>
      <c r="E44" s="35">
        <f>Table4[[#This Row],[Year 2]]-E22</f>
        <v>0</v>
      </c>
      <c r="F44" s="35">
        <f>Table4[[#This Row],[Year 3]]-F22</f>
        <v>0</v>
      </c>
      <c r="G44" s="35">
        <f>F44-G22</f>
        <v>0</v>
      </c>
      <c r="H44" s="362">
        <f t="shared" ref="H44:I44" si="32">G44-H22</f>
        <v>0</v>
      </c>
      <c r="I44" s="362">
        <f t="shared" si="32"/>
        <v>0</v>
      </c>
    </row>
    <row r="45" spans="1:11" ht="24.95" customHeight="1">
      <c r="A45" s="58" t="s">
        <v>225</v>
      </c>
      <c r="B45" s="35">
        <f>'Summary. Assumptions. Inputs'!J39</f>
        <v>0</v>
      </c>
      <c r="C45" s="35">
        <f>Table4[[#This Row],[Pre-operation]]-C19</f>
        <v>0</v>
      </c>
      <c r="D45" s="35">
        <f>Table4[[#This Row],[Year 1]]-D19</f>
        <v>0</v>
      </c>
      <c r="E45" s="35">
        <f>Table4[[#This Row],[Year 2]]-E19</f>
        <v>0</v>
      </c>
      <c r="F45" s="35">
        <f>Table4[[#This Row],[Year 3]]-F19</f>
        <v>0</v>
      </c>
      <c r="G45" s="35">
        <f>Table4[[#This Row],[Year 4]]-G19</f>
        <v>0</v>
      </c>
      <c r="H45" s="365">
        <f>Table4[[#This Row],[Year 4]]-H19</f>
        <v>0</v>
      </c>
      <c r="I45" s="365">
        <f>Table4[[#This Row],[Year 4]]-I19</f>
        <v>0</v>
      </c>
    </row>
    <row r="46" spans="1:11" ht="24.95" customHeight="1" thickBot="1">
      <c r="A46" s="31" t="s">
        <v>226</v>
      </c>
      <c r="B46" s="44">
        <f t="shared" ref="B46:G46" ca="1" si="33">SUM(B42:B45)</f>
        <v>4588320</v>
      </c>
      <c r="C46" s="44">
        <f t="shared" ca="1" si="33"/>
        <v>4259803.8940558247</v>
      </c>
      <c r="D46" s="44">
        <f t="shared" ca="1" si="33"/>
        <v>3907539.3322503688</v>
      </c>
      <c r="E46" s="44">
        <f t="shared" ca="1" si="33"/>
        <v>3529809.53678921</v>
      </c>
      <c r="F46" s="44">
        <f t="shared" ca="1" si="33"/>
        <v>3124773.6238723542</v>
      </c>
      <c r="G46" s="44">
        <f t="shared" ca="1" si="33"/>
        <v>2690457.6320610601</v>
      </c>
      <c r="H46" s="395">
        <f t="shared" ref="H46:I46" ca="1" si="34">SUM(H42:H45)</f>
        <v>2224744.9020845699</v>
      </c>
      <c r="I46" s="395">
        <f t="shared" ca="1" si="34"/>
        <v>1725365.7612023023</v>
      </c>
    </row>
    <row r="47" spans="1:11" ht="24.95" customHeight="1" thickBot="1">
      <c r="A47" s="31" t="s">
        <v>227</v>
      </c>
      <c r="B47" s="40">
        <f t="shared" ref="B47:G47" ca="1" si="35">B46</f>
        <v>4588320</v>
      </c>
      <c r="C47" s="40">
        <f t="shared" ca="1" si="35"/>
        <v>4259803.8940558247</v>
      </c>
      <c r="D47" s="40">
        <f t="shared" ca="1" si="35"/>
        <v>3907539.3322503688</v>
      </c>
      <c r="E47" s="40">
        <f t="shared" ca="1" si="35"/>
        <v>3529809.53678921</v>
      </c>
      <c r="F47" s="40">
        <f t="shared" ca="1" si="35"/>
        <v>3124773.6238723542</v>
      </c>
      <c r="G47" s="40">
        <f t="shared" ca="1" si="35"/>
        <v>2690457.6320610601</v>
      </c>
      <c r="H47" s="390">
        <f t="shared" ref="H47:I47" ca="1" si="36">H46</f>
        <v>2224744.9020845699</v>
      </c>
      <c r="I47" s="390">
        <f t="shared" ca="1" si="36"/>
        <v>1725365.7612023023</v>
      </c>
    </row>
    <row r="48" spans="1:11" ht="24.95" customHeight="1" thickTop="1">
      <c r="A48" s="31"/>
      <c r="B48" s="46"/>
      <c r="C48" s="46"/>
      <c r="D48" s="46"/>
      <c r="E48" s="46"/>
      <c r="F48" s="46"/>
      <c r="G48" s="46"/>
      <c r="H48" s="424"/>
      <c r="I48" s="424"/>
    </row>
    <row r="49" spans="1:9" ht="24.95" customHeight="1">
      <c r="A49" s="31" t="s">
        <v>228</v>
      </c>
      <c r="B49" s="37"/>
      <c r="C49" s="37"/>
      <c r="D49" s="37"/>
      <c r="E49" s="37"/>
      <c r="F49" s="37"/>
      <c r="G49" s="37"/>
      <c r="H49" s="401"/>
      <c r="I49" s="401"/>
    </row>
    <row r="50" spans="1:9" ht="24.95" customHeight="1">
      <c r="A50" s="53" t="s">
        <v>229</v>
      </c>
      <c r="B50" s="37">
        <f ca="1">'Cashflow Projection &amp; Investme'!O23</f>
        <v>5300693.0144736785</v>
      </c>
      <c r="C50" s="37">
        <f t="shared" ref="C50:I50" ca="1" si="37">B50</f>
        <v>5300693.0144736785</v>
      </c>
      <c r="D50" s="37">
        <f t="shared" ca="1" si="37"/>
        <v>5300693.0144736785</v>
      </c>
      <c r="E50" s="37">
        <f t="shared" ca="1" si="37"/>
        <v>5300693.0144736785</v>
      </c>
      <c r="F50" s="37">
        <f t="shared" ca="1" si="37"/>
        <v>5300693.0144736785</v>
      </c>
      <c r="G50" s="37">
        <f t="shared" ca="1" si="37"/>
        <v>5300693.0144736785</v>
      </c>
      <c r="H50" s="403">
        <f t="shared" ca="1" si="37"/>
        <v>5300693.0144736785</v>
      </c>
      <c r="I50" s="403">
        <f t="shared" ca="1" si="37"/>
        <v>5300693.0144736785</v>
      </c>
    </row>
    <row r="51" spans="1:9" ht="24.95" customHeight="1">
      <c r="A51" s="53" t="s">
        <v>230</v>
      </c>
      <c r="B51" s="37">
        <f>B27</f>
        <v>0</v>
      </c>
      <c r="C51" s="37">
        <f t="shared" ref="C51:I51" ca="1" si="38">B51+C27</f>
        <v>331455.70510210004</v>
      </c>
      <c r="D51" s="37">
        <f t="shared" ca="1" si="38"/>
        <v>1246437.6312094796</v>
      </c>
      <c r="E51" s="37">
        <f t="shared" ca="1" si="38"/>
        <v>2606073.4011925627</v>
      </c>
      <c r="F51" s="37">
        <f t="shared" ca="1" si="38"/>
        <v>4454499.7948873397</v>
      </c>
      <c r="G51" s="37">
        <f t="shared" ca="1" si="38"/>
        <v>6839483.6153087569</v>
      </c>
      <c r="H51" s="401">
        <f t="shared" ca="1" si="38"/>
        <v>9812742.8637146167</v>
      </c>
      <c r="I51" s="401">
        <f t="shared" ca="1" si="38"/>
        <v>12968659.415873967</v>
      </c>
    </row>
    <row r="52" spans="1:9" ht="24.95" customHeight="1" thickBot="1">
      <c r="A52" s="39" t="s">
        <v>231</v>
      </c>
      <c r="B52" s="40">
        <f t="shared" ref="B52:G52" ca="1" si="39">SUM(B50:B51)</f>
        <v>5300693.0144736785</v>
      </c>
      <c r="C52" s="40">
        <f t="shared" ca="1" si="39"/>
        <v>5632148.7195757786</v>
      </c>
      <c r="D52" s="40">
        <f t="shared" ca="1" si="39"/>
        <v>6547130.6456831582</v>
      </c>
      <c r="E52" s="40">
        <f t="shared" ca="1" si="39"/>
        <v>7906766.4156662412</v>
      </c>
      <c r="F52" s="40">
        <f t="shared" ca="1" si="39"/>
        <v>9755192.8093610182</v>
      </c>
      <c r="G52" s="40">
        <f t="shared" ca="1" si="39"/>
        <v>12140176.629782435</v>
      </c>
      <c r="H52" s="397">
        <f t="shared" ref="H52:I52" ca="1" si="40">SUM(H50:H51)</f>
        <v>15113435.878188295</v>
      </c>
      <c r="I52" s="397">
        <f t="shared" ca="1" si="40"/>
        <v>18269352.430347644</v>
      </c>
    </row>
    <row r="53" spans="1:9" ht="24.95" customHeight="1" thickTop="1">
      <c r="A53" s="47"/>
      <c r="B53" s="48">
        <f t="shared" ref="B53:G53" ca="1" si="41">B40-B47-B52</f>
        <v>0</v>
      </c>
      <c r="C53" s="48">
        <f t="shared" ca="1" si="41"/>
        <v>0</v>
      </c>
      <c r="D53" s="48">
        <f t="shared" ca="1" si="41"/>
        <v>0</v>
      </c>
      <c r="E53" s="48">
        <f t="shared" ca="1" si="41"/>
        <v>0</v>
      </c>
      <c r="F53" s="48">
        <f t="shared" ca="1" si="41"/>
        <v>0</v>
      </c>
      <c r="G53" s="48">
        <f t="shared" ca="1" si="41"/>
        <v>0</v>
      </c>
      <c r="H53" s="48">
        <f t="shared" ref="H53:I53" ca="1" si="42">H40-H47-H52</f>
        <v>0</v>
      </c>
      <c r="I53" s="48">
        <f t="shared" ca="1" si="42"/>
        <v>0</v>
      </c>
    </row>
    <row r="54" spans="1:9" s="30" customFormat="1" ht="45" customHeight="1">
      <c r="A54" s="60" t="s">
        <v>232</v>
      </c>
      <c r="B54" s="29" t="s">
        <v>189</v>
      </c>
      <c r="C54" s="29" t="s">
        <v>180</v>
      </c>
      <c r="D54" s="29" t="s">
        <v>181</v>
      </c>
      <c r="E54" s="29" t="s">
        <v>182</v>
      </c>
      <c r="F54" s="29" t="s">
        <v>183</v>
      </c>
      <c r="G54" s="29" t="s">
        <v>184</v>
      </c>
      <c r="H54" s="29" t="s">
        <v>185</v>
      </c>
      <c r="I54" s="29" t="s">
        <v>186</v>
      </c>
    </row>
    <row r="55" spans="1:9" ht="24.95" customHeight="1">
      <c r="A55" s="33"/>
      <c r="B55" s="49"/>
      <c r="C55" s="49"/>
      <c r="D55" s="49"/>
      <c r="E55" s="49"/>
      <c r="F55" s="49"/>
      <c r="G55" s="49"/>
      <c r="H55" s="733"/>
      <c r="I55" s="733"/>
    </row>
    <row r="56" spans="1:9" ht="24.95" customHeight="1">
      <c r="A56" s="31" t="s">
        <v>209</v>
      </c>
      <c r="B56" s="35">
        <f t="shared" ref="B56:G56" si="43">B27</f>
        <v>0</v>
      </c>
      <c r="C56" s="35">
        <f t="shared" ca="1" si="43"/>
        <v>331455.70510210004</v>
      </c>
      <c r="D56" s="35">
        <f t="shared" ca="1" si="43"/>
        <v>914981.92610737961</v>
      </c>
      <c r="E56" s="35">
        <f t="shared" ca="1" si="43"/>
        <v>1359635.7699830828</v>
      </c>
      <c r="F56" s="35">
        <f t="shared" ca="1" si="43"/>
        <v>1848426.3936947768</v>
      </c>
      <c r="G56" s="35">
        <f t="shared" ca="1" si="43"/>
        <v>2384983.8204214172</v>
      </c>
      <c r="H56" s="365">
        <f t="shared" ref="H56:I56" ca="1" si="44">H27</f>
        <v>2973259.2484058607</v>
      </c>
      <c r="I56" s="365">
        <f t="shared" ca="1" si="44"/>
        <v>3155916.5521593494</v>
      </c>
    </row>
    <row r="57" spans="1:9" ht="24.95" customHeight="1">
      <c r="A57" s="59" t="s">
        <v>233</v>
      </c>
      <c r="B57" s="35">
        <f t="shared" ref="B57:G57" si="45">+B21+B22</f>
        <v>0</v>
      </c>
      <c r="C57" s="35">
        <f t="shared" si="45"/>
        <v>736469.5</v>
      </c>
      <c r="D57" s="35">
        <f t="shared" si="45"/>
        <v>736469.5</v>
      </c>
      <c r="E57" s="35">
        <f t="shared" si="45"/>
        <v>736469.5</v>
      </c>
      <c r="F57" s="35">
        <f t="shared" si="45"/>
        <v>736469.5</v>
      </c>
      <c r="G57" s="35">
        <f t="shared" si="45"/>
        <v>736469.5</v>
      </c>
      <c r="H57" s="362">
        <f t="shared" ref="H57:I57" si="46">+H21+H22</f>
        <v>736469.5</v>
      </c>
      <c r="I57" s="362">
        <f t="shared" si="46"/>
        <v>736469.5</v>
      </c>
    </row>
    <row r="58" spans="1:9" ht="24.95" customHeight="1">
      <c r="A58" s="31" t="s">
        <v>234</v>
      </c>
      <c r="B58" s="50"/>
      <c r="C58" s="50"/>
      <c r="D58" s="50"/>
      <c r="E58" s="50"/>
      <c r="F58" s="50"/>
      <c r="G58" s="50"/>
      <c r="H58" s="359"/>
      <c r="I58" s="359"/>
    </row>
    <row r="59" spans="1:9" ht="24.95" customHeight="1">
      <c r="A59" s="52" t="s">
        <v>235</v>
      </c>
      <c r="B59" s="35">
        <f ca="1">B31</f>
        <v>462030.15599999996</v>
      </c>
      <c r="C59" s="35">
        <f t="shared" ref="C59:I60" ca="1" si="47">C31-B31</f>
        <v>0</v>
      </c>
      <c r="D59" s="35">
        <f t="shared" ca="1" si="47"/>
        <v>76697.005895999959</v>
      </c>
      <c r="E59" s="35">
        <f t="shared" ca="1" si="47"/>
        <v>84243.498444000026</v>
      </c>
      <c r="F59" s="35">
        <f t="shared" ca="1" si="47"/>
        <v>92406.031199999852</v>
      </c>
      <c r="G59" s="35">
        <f t="shared" ca="1" si="47"/>
        <v>101246.20818479999</v>
      </c>
      <c r="H59" s="362">
        <f t="shared" ca="1" si="47"/>
        <v>110825.6334192002</v>
      </c>
      <c r="I59" s="362">
        <f t="shared" ca="1" si="47"/>
        <v>55659.232792799594</v>
      </c>
    </row>
    <row r="60" spans="1:9" ht="24.95" customHeight="1">
      <c r="A60" s="52" t="s">
        <v>236</v>
      </c>
      <c r="B60" s="35">
        <f>B32</f>
        <v>110000</v>
      </c>
      <c r="C60" s="35">
        <f t="shared" si="47"/>
        <v>-110000</v>
      </c>
      <c r="D60" s="35">
        <f t="shared" si="47"/>
        <v>0</v>
      </c>
      <c r="E60" s="35">
        <f t="shared" si="47"/>
        <v>0</v>
      </c>
      <c r="F60" s="35">
        <f t="shared" si="47"/>
        <v>0</v>
      </c>
      <c r="G60" s="35">
        <f t="shared" si="47"/>
        <v>0</v>
      </c>
      <c r="H60" s="365">
        <f t="shared" si="47"/>
        <v>0</v>
      </c>
      <c r="I60" s="365">
        <f t="shared" si="47"/>
        <v>0</v>
      </c>
    </row>
    <row r="61" spans="1:9" ht="24.95" customHeight="1">
      <c r="A61" s="52" t="s">
        <v>237</v>
      </c>
      <c r="B61" s="35">
        <f>B33</f>
        <v>0</v>
      </c>
      <c r="C61" s="35">
        <f t="shared" ref="C61:I61" ca="1" si="48">IFERROR(C33-B33,0)</f>
        <v>1042014.375</v>
      </c>
      <c r="D61" s="35">
        <f t="shared" ca="1" si="48"/>
        <v>172974.38624999858</v>
      </c>
      <c r="E61" s="35">
        <f t="shared" ca="1" si="48"/>
        <v>189993.95437499881</v>
      </c>
      <c r="F61" s="35">
        <f t="shared" ca="1" si="48"/>
        <v>208402.87500000233</v>
      </c>
      <c r="G61" s="35">
        <f t="shared" ca="1" si="48"/>
        <v>228340.08337499993</v>
      </c>
      <c r="H61" s="362">
        <f t="shared" ca="1" si="48"/>
        <v>249944.51475000056</v>
      </c>
      <c r="I61" s="362">
        <f t="shared" ca="1" si="48"/>
        <v>125527.99837499904</v>
      </c>
    </row>
    <row r="62" spans="1:9" ht="24.95" customHeight="1">
      <c r="A62" s="52" t="s">
        <v>238</v>
      </c>
      <c r="B62" s="35">
        <f ca="1">-B42</f>
        <v>0</v>
      </c>
      <c r="C62" s="35">
        <f t="shared" ref="C62:I62" ca="1" si="49">IFERROR(-C42+B42,0)</f>
        <v>0</v>
      </c>
      <c r="D62" s="35">
        <f t="shared" ca="1" si="49"/>
        <v>0</v>
      </c>
      <c r="E62" s="35">
        <f t="shared" ca="1" si="49"/>
        <v>0</v>
      </c>
      <c r="F62" s="35">
        <f t="shared" ca="1" si="49"/>
        <v>0</v>
      </c>
      <c r="G62" s="35">
        <f t="shared" ca="1" si="49"/>
        <v>0</v>
      </c>
      <c r="H62" s="365">
        <f t="shared" ca="1" si="49"/>
        <v>0</v>
      </c>
      <c r="I62" s="365">
        <f t="shared" ca="1" si="49"/>
        <v>0</v>
      </c>
    </row>
    <row r="63" spans="1:9" ht="24.95" customHeight="1">
      <c r="A63" s="52" t="s">
        <v>240</v>
      </c>
      <c r="B63" s="35">
        <f>-B44</f>
        <v>0</v>
      </c>
      <c r="C63" s="35">
        <f t="shared" ref="C63:I64" si="50">IFERROR(-C44+B44,0)</f>
        <v>0</v>
      </c>
      <c r="D63" s="35">
        <f t="shared" si="50"/>
        <v>0</v>
      </c>
      <c r="E63" s="35">
        <f t="shared" si="50"/>
        <v>0</v>
      </c>
      <c r="F63" s="35">
        <f t="shared" si="50"/>
        <v>0</v>
      </c>
      <c r="G63" s="35">
        <f t="shared" si="50"/>
        <v>0</v>
      </c>
      <c r="H63" s="362">
        <f t="shared" si="50"/>
        <v>0</v>
      </c>
      <c r="I63" s="362">
        <f t="shared" si="50"/>
        <v>0</v>
      </c>
    </row>
    <row r="64" spans="1:9" ht="24.95" customHeight="1">
      <c r="A64" s="52" t="s">
        <v>241</v>
      </c>
      <c r="B64" s="35">
        <f>-B45</f>
        <v>0</v>
      </c>
      <c r="C64" s="35">
        <f t="shared" si="50"/>
        <v>0</v>
      </c>
      <c r="D64" s="35">
        <f t="shared" si="50"/>
        <v>0</v>
      </c>
      <c r="E64" s="35">
        <f t="shared" si="50"/>
        <v>0</v>
      </c>
      <c r="F64" s="35">
        <f t="shared" si="50"/>
        <v>0</v>
      </c>
      <c r="G64" s="35">
        <f t="shared" si="50"/>
        <v>0</v>
      </c>
      <c r="H64" s="365">
        <f t="shared" si="50"/>
        <v>0</v>
      </c>
      <c r="I64" s="365">
        <f t="shared" si="50"/>
        <v>0</v>
      </c>
    </row>
    <row r="65" spans="1:9" ht="24.95" customHeight="1" thickBot="1">
      <c r="A65" s="31" t="s">
        <v>242</v>
      </c>
      <c r="B65" s="44">
        <f ca="1">B56+B57-SUM(B59,B61,B62,B60,B63,B64)</f>
        <v>-572030.15599999996</v>
      </c>
      <c r="C65" s="44">
        <f t="shared" ref="C65:I65" ca="1" si="51">C56+C57-SUM(C59,C61,C62,C60,C63,C64)</f>
        <v>135910.83010210004</v>
      </c>
      <c r="D65" s="44">
        <f t="shared" ca="1" si="51"/>
        <v>1401780.0339613811</v>
      </c>
      <c r="E65" s="44">
        <f t="shared" ca="1" si="51"/>
        <v>1821867.8171640839</v>
      </c>
      <c r="F65" s="44">
        <f t="shared" ca="1" si="51"/>
        <v>2284086.9874947751</v>
      </c>
      <c r="G65" s="44">
        <f t="shared" ca="1" si="51"/>
        <v>2791867.0288616172</v>
      </c>
      <c r="H65" s="395">
        <f t="shared" ca="1" si="51"/>
        <v>3348958.6002366599</v>
      </c>
      <c r="I65" s="395">
        <f t="shared" ca="1" si="51"/>
        <v>3711198.8209915506</v>
      </c>
    </row>
    <row r="66" spans="1:9" ht="24.95" customHeight="1">
      <c r="A66" s="33"/>
      <c r="B66" s="51"/>
      <c r="C66" s="51"/>
      <c r="D66" s="51"/>
      <c r="E66" s="51"/>
      <c r="F66" s="51"/>
      <c r="G66" s="51"/>
      <c r="H66" s="359"/>
      <c r="I66" s="359"/>
    </row>
    <row r="67" spans="1:9" ht="24.95" customHeight="1" thickBot="1">
      <c r="A67" s="31" t="s">
        <v>243</v>
      </c>
      <c r="B67" s="44">
        <f>-(B36)</f>
        <v>-8416320</v>
      </c>
      <c r="C67" s="44">
        <f t="shared" ref="C67:I67" si="52">-(C36-B36)</f>
        <v>0</v>
      </c>
      <c r="D67" s="44">
        <f t="shared" si="52"/>
        <v>0</v>
      </c>
      <c r="E67" s="44">
        <f t="shared" si="52"/>
        <v>0</v>
      </c>
      <c r="F67" s="44">
        <f t="shared" si="52"/>
        <v>0</v>
      </c>
      <c r="G67" s="44">
        <f t="shared" si="52"/>
        <v>0</v>
      </c>
      <c r="H67" s="395">
        <f t="shared" si="52"/>
        <v>0</v>
      </c>
      <c r="I67" s="395">
        <f t="shared" si="52"/>
        <v>0</v>
      </c>
    </row>
    <row r="68" spans="1:9" ht="24.95" customHeight="1">
      <c r="A68" s="33"/>
      <c r="B68" s="51"/>
      <c r="C68" s="51"/>
      <c r="D68" s="51"/>
      <c r="E68" s="51"/>
      <c r="F68" s="51"/>
      <c r="G68" s="51"/>
      <c r="H68" s="359"/>
      <c r="I68" s="359"/>
    </row>
    <row r="69" spans="1:9" ht="24.95" customHeight="1">
      <c r="A69" s="52" t="s">
        <v>239</v>
      </c>
      <c r="B69" s="35">
        <f>B43</f>
        <v>4588320</v>
      </c>
      <c r="C69" s="35">
        <f>-IFERROR(-C43+B43,0)</f>
        <v>-328516.10594417527</v>
      </c>
      <c r="D69" s="35">
        <f t="shared" ref="D69:I69" si="53">-IFERROR(-D43+C43,0)</f>
        <v>-352264.56180545595</v>
      </c>
      <c r="E69" s="35">
        <f t="shared" si="53"/>
        <v>-377729.79546115873</v>
      </c>
      <c r="F69" s="35">
        <f t="shared" si="53"/>
        <v>-405035.91291685589</v>
      </c>
      <c r="G69" s="35">
        <f t="shared" si="53"/>
        <v>-434315.99181129411</v>
      </c>
      <c r="H69" s="362">
        <f t="shared" si="53"/>
        <v>-465712.72997649014</v>
      </c>
      <c r="I69" s="362">
        <f t="shared" si="53"/>
        <v>-499379.14088226762</v>
      </c>
    </row>
    <row r="70" spans="1:9" ht="24.95" customHeight="1">
      <c r="A70" s="52" t="s">
        <v>229</v>
      </c>
      <c r="B70" s="35">
        <f ca="1">B50</f>
        <v>5300693.0144736785</v>
      </c>
      <c r="C70" s="35">
        <f t="shared" ref="C70:I70" ca="1" si="54">C50-B50</f>
        <v>0</v>
      </c>
      <c r="D70" s="35">
        <f t="shared" ca="1" si="54"/>
        <v>0</v>
      </c>
      <c r="E70" s="35">
        <f t="shared" ca="1" si="54"/>
        <v>0</v>
      </c>
      <c r="F70" s="35">
        <f t="shared" ca="1" si="54"/>
        <v>0</v>
      </c>
      <c r="G70" s="35">
        <f t="shared" ca="1" si="54"/>
        <v>0</v>
      </c>
      <c r="H70" s="365">
        <f t="shared" ca="1" si="54"/>
        <v>0</v>
      </c>
      <c r="I70" s="365">
        <f t="shared" ca="1" si="54"/>
        <v>0</v>
      </c>
    </row>
    <row r="71" spans="1:9" ht="24.95" customHeight="1" thickBot="1">
      <c r="A71" s="31" t="s">
        <v>244</v>
      </c>
      <c r="B71" s="44">
        <f ca="1">B69+B70</f>
        <v>9889013.0144736785</v>
      </c>
      <c r="C71" s="44">
        <f t="shared" ref="C71:I71" ca="1" si="55">C69+C70</f>
        <v>-328516.10594417527</v>
      </c>
      <c r="D71" s="44">
        <f t="shared" ca="1" si="55"/>
        <v>-352264.56180545595</v>
      </c>
      <c r="E71" s="44">
        <f t="shared" ca="1" si="55"/>
        <v>-377729.79546115873</v>
      </c>
      <c r="F71" s="44">
        <f t="shared" ca="1" si="55"/>
        <v>-405035.91291685589</v>
      </c>
      <c r="G71" s="44">
        <f t="shared" ca="1" si="55"/>
        <v>-434315.99181129411</v>
      </c>
      <c r="H71" s="395">
        <f t="shared" ca="1" si="55"/>
        <v>-465712.72997649014</v>
      </c>
      <c r="I71" s="395">
        <f t="shared" ca="1" si="55"/>
        <v>-499379.14088226762</v>
      </c>
    </row>
    <row r="72" spans="1:9" ht="24.95" customHeight="1">
      <c r="B72" s="51"/>
      <c r="C72" s="51"/>
      <c r="D72" s="51"/>
      <c r="E72" s="51"/>
      <c r="F72" s="51"/>
      <c r="G72" s="51"/>
      <c r="H72" s="359"/>
      <c r="I72" s="359"/>
    </row>
    <row r="73" spans="1:9" ht="24.95" customHeight="1">
      <c r="A73" s="52" t="s">
        <v>245</v>
      </c>
      <c r="B73" s="35">
        <v>0</v>
      </c>
      <c r="C73" s="35">
        <f t="shared" ref="C73:I73" ca="1" si="56">B75</f>
        <v>900662.85847367859</v>
      </c>
      <c r="D73" s="35">
        <f t="shared" ca="1" si="56"/>
        <v>708057.58263160335</v>
      </c>
      <c r="E73" s="35">
        <f t="shared" ca="1" si="56"/>
        <v>1757573.0547875285</v>
      </c>
      <c r="F73" s="35">
        <f t="shared" ca="1" si="56"/>
        <v>3201711.0764904534</v>
      </c>
      <c r="G73" s="35">
        <f t="shared" ca="1" si="56"/>
        <v>5080762.1510683727</v>
      </c>
      <c r="H73" s="362">
        <f t="shared" ca="1" si="56"/>
        <v>7438313.1881186962</v>
      </c>
      <c r="I73" s="362">
        <f t="shared" ca="1" si="56"/>
        <v>10321559.058378866</v>
      </c>
    </row>
    <row r="74" spans="1:9" ht="24.95" customHeight="1">
      <c r="A74" s="52" t="s">
        <v>246</v>
      </c>
      <c r="B74" s="35">
        <f t="shared" ref="B74:G74" ca="1" si="57">B71+B67+B65</f>
        <v>900662.85847367859</v>
      </c>
      <c r="C74" s="35">
        <f t="shared" ca="1" si="57"/>
        <v>-192605.27584207524</v>
      </c>
      <c r="D74" s="35">
        <f t="shared" ca="1" si="57"/>
        <v>1049515.4721559251</v>
      </c>
      <c r="E74" s="35">
        <f t="shared" ca="1" si="57"/>
        <v>1444138.0217029252</v>
      </c>
      <c r="F74" s="35">
        <f t="shared" ca="1" si="57"/>
        <v>1879051.0745779192</v>
      </c>
      <c r="G74" s="35">
        <f t="shared" ca="1" si="57"/>
        <v>2357551.0370503231</v>
      </c>
      <c r="H74" s="365">
        <f t="shared" ref="H74:I74" ca="1" si="58">H71+H67+H65</f>
        <v>2883245.8702601697</v>
      </c>
      <c r="I74" s="365">
        <f t="shared" ca="1" si="58"/>
        <v>3211819.680109283</v>
      </c>
    </row>
    <row r="75" spans="1:9" ht="24.95" customHeight="1" thickBot="1">
      <c r="A75" s="39" t="s">
        <v>247</v>
      </c>
      <c r="B75" s="40">
        <f t="shared" ref="B75:G75" ca="1" si="59">B73+B74</f>
        <v>900662.85847367859</v>
      </c>
      <c r="C75" s="40">
        <f t="shared" ca="1" si="59"/>
        <v>708057.58263160335</v>
      </c>
      <c r="D75" s="40">
        <f t="shared" ca="1" si="59"/>
        <v>1757573.0547875285</v>
      </c>
      <c r="E75" s="40">
        <f t="shared" ca="1" si="59"/>
        <v>3201711.0764904534</v>
      </c>
      <c r="F75" s="40">
        <f t="shared" ca="1" si="59"/>
        <v>5080762.1510683727</v>
      </c>
      <c r="G75" s="40">
        <f t="shared" ca="1" si="59"/>
        <v>7438313.1881186962</v>
      </c>
      <c r="H75" s="397">
        <f t="shared" ref="H75:I75" ca="1" si="60">H73+H74</f>
        <v>10321559.058378866</v>
      </c>
      <c r="I75" s="397">
        <f t="shared" ca="1" si="60"/>
        <v>13533378.738488149</v>
      </c>
    </row>
    <row r="76" spans="1:9" ht="17.100000000000001" customHeight="1" thickTop="1">
      <c r="A76" s="33"/>
      <c r="C76" s="49"/>
      <c r="D76" s="49"/>
      <c r="E76" s="49"/>
      <c r="F76" s="49"/>
      <c r="G76" s="49"/>
      <c r="H76" s="49"/>
      <c r="I76" s="49"/>
    </row>
    <row r="77" spans="1:9" s="30" customFormat="1" ht="24.95" customHeight="1">
      <c r="A77" s="29" t="s">
        <v>248</v>
      </c>
      <c r="B77" s="29" t="s">
        <v>189</v>
      </c>
      <c r="C77" s="29" t="s">
        <v>180</v>
      </c>
      <c r="D77" s="29" t="s">
        <v>181</v>
      </c>
      <c r="E77" s="29" t="s">
        <v>182</v>
      </c>
      <c r="F77" s="29" t="s">
        <v>183</v>
      </c>
      <c r="G77" s="29" t="s">
        <v>184</v>
      </c>
      <c r="H77" s="426" t="s">
        <v>185</v>
      </c>
      <c r="I77" s="426" t="s">
        <v>186</v>
      </c>
    </row>
    <row r="78" spans="1:9" ht="24.95" customHeight="1">
      <c r="A78" s="33"/>
      <c r="B78" s="49"/>
      <c r="C78" s="49"/>
      <c r="D78" s="49"/>
      <c r="E78" s="49"/>
      <c r="F78" s="49"/>
      <c r="G78" s="49"/>
      <c r="H78" s="425"/>
      <c r="I78" s="425"/>
    </row>
    <row r="79" spans="1:9" ht="24.95" customHeight="1">
      <c r="A79" s="52" t="s">
        <v>242</v>
      </c>
      <c r="B79" s="35">
        <f t="shared" ref="B79:G79" ca="1" si="61">B65</f>
        <v>-572030.15599999996</v>
      </c>
      <c r="C79" s="35">
        <f t="shared" ca="1" si="61"/>
        <v>135910.83010210004</v>
      </c>
      <c r="D79" s="35">
        <f t="shared" ca="1" si="61"/>
        <v>1401780.0339613811</v>
      </c>
      <c r="E79" s="35">
        <f t="shared" ca="1" si="61"/>
        <v>1821867.8171640839</v>
      </c>
      <c r="F79" s="35">
        <f t="shared" ca="1" si="61"/>
        <v>2284086.9874947751</v>
      </c>
      <c r="G79" s="35">
        <f t="shared" ca="1" si="61"/>
        <v>2791867.0288616172</v>
      </c>
      <c r="H79" s="365">
        <f t="shared" ref="H79:I79" ca="1" si="62">H65</f>
        <v>3348958.6002366599</v>
      </c>
      <c r="I79" s="365">
        <f t="shared" ca="1" si="62"/>
        <v>3711198.8209915506</v>
      </c>
    </row>
    <row r="80" spans="1:9" ht="24.95" customHeight="1">
      <c r="A80" s="52" t="s">
        <v>249</v>
      </c>
      <c r="B80" s="35">
        <f t="shared" ref="B80:G80" si="63">-B67</f>
        <v>8416320</v>
      </c>
      <c r="C80" s="35">
        <f t="shared" si="63"/>
        <v>0</v>
      </c>
      <c r="D80" s="35">
        <f t="shared" si="63"/>
        <v>0</v>
      </c>
      <c r="E80" s="35">
        <f t="shared" si="63"/>
        <v>0</v>
      </c>
      <c r="F80" s="35">
        <f t="shared" si="63"/>
        <v>0</v>
      </c>
      <c r="G80" s="35">
        <f t="shared" si="63"/>
        <v>0</v>
      </c>
      <c r="H80" s="362">
        <f t="shared" ref="H80:I80" si="64">-H67</f>
        <v>0</v>
      </c>
      <c r="I80" s="362">
        <f t="shared" si="64"/>
        <v>0</v>
      </c>
    </row>
    <row r="81" spans="1:12" ht="24.95" customHeight="1" thickBot="1">
      <c r="A81" s="39" t="s">
        <v>248</v>
      </c>
      <c r="B81" s="40">
        <f t="shared" ref="B81:G81" ca="1" si="65">B79-B80</f>
        <v>-8988350.1559999995</v>
      </c>
      <c r="C81" s="40">
        <f t="shared" ca="1" si="65"/>
        <v>135910.83010210004</v>
      </c>
      <c r="D81" s="40">
        <f t="shared" ca="1" si="65"/>
        <v>1401780.0339613811</v>
      </c>
      <c r="E81" s="40">
        <f t="shared" ca="1" si="65"/>
        <v>1821867.8171640839</v>
      </c>
      <c r="F81" s="40">
        <f t="shared" ca="1" si="65"/>
        <v>2284086.9874947751</v>
      </c>
      <c r="G81" s="40">
        <f t="shared" ca="1" si="65"/>
        <v>2791867.0288616172</v>
      </c>
      <c r="H81" s="390">
        <f t="shared" ref="H81:I81" ca="1" si="66">H79-H80</f>
        <v>3348958.6002366599</v>
      </c>
      <c r="I81" s="390">
        <f t="shared" ca="1" si="66"/>
        <v>3711198.8209915506</v>
      </c>
    </row>
    <row r="82" spans="1:12" ht="24.95" customHeight="1" thickTop="1" thickBot="1">
      <c r="A82" s="31" t="s">
        <v>250</v>
      </c>
      <c r="B82" s="453">
        <f ca="1">B81</f>
        <v>-8988350.1559999995</v>
      </c>
      <c r="C82" s="453">
        <f ca="1">B82+C81</f>
        <v>-8852439.3258978985</v>
      </c>
      <c r="D82" s="453">
        <f t="shared" ref="D82:I82" ca="1" si="67">C82+D81</f>
        <v>-7450659.2919365177</v>
      </c>
      <c r="E82" s="453">
        <f t="shared" ca="1" si="67"/>
        <v>-5628791.4747724338</v>
      </c>
      <c r="F82" s="453">
        <f t="shared" ca="1" si="67"/>
        <v>-3344704.4872776587</v>
      </c>
      <c r="G82" s="453">
        <f t="shared" ca="1" si="67"/>
        <v>-552837.45841604145</v>
      </c>
      <c r="H82" s="453">
        <f t="shared" ca="1" si="67"/>
        <v>2796121.1418206184</v>
      </c>
      <c r="I82" s="453">
        <f t="shared" ca="1" si="67"/>
        <v>6507319.9628121685</v>
      </c>
    </row>
    <row r="83" spans="1:12" ht="24.95" customHeight="1" thickBot="1">
      <c r="A83" s="465" t="s">
        <v>28</v>
      </c>
      <c r="B83" s="466" t="str">
        <f ca="1">F87</f>
        <v>0</v>
      </c>
      <c r="C83" s="467">
        <f ca="1">F88</f>
        <v>1</v>
      </c>
      <c r="D83" s="467">
        <f ca="1">F89</f>
        <v>1</v>
      </c>
      <c r="E83" s="467">
        <f ca="1">F90</f>
        <v>1</v>
      </c>
      <c r="F83" s="467">
        <f ca="1">F91</f>
        <v>1</v>
      </c>
      <c r="G83" s="466">
        <f ca="1">F92</f>
        <v>1</v>
      </c>
      <c r="H83" s="468">
        <f ca="1">F93</f>
        <v>0.16507742388244939</v>
      </c>
      <c r="I83" s="469">
        <f ca="1">F94</f>
        <v>0</v>
      </c>
      <c r="J83" s="471">
        <f ca="1">E95</f>
        <v>5.1650774238824493</v>
      </c>
    </row>
    <row r="84" spans="1:12" ht="17.100000000000001" customHeight="1" thickBot="1">
      <c r="A84" s="47"/>
      <c r="B84" s="412"/>
      <c r="C84" s="412"/>
      <c r="D84" s="412"/>
      <c r="E84" s="412"/>
      <c r="F84" s="412"/>
      <c r="G84" s="412"/>
      <c r="H84" s="464"/>
      <c r="I84" s="464"/>
    </row>
    <row r="85" spans="1:12" ht="17.100000000000001" hidden="1" customHeight="1" thickTop="1">
      <c r="B85" s="770" t="s">
        <v>28</v>
      </c>
      <c r="C85" s="771"/>
      <c r="D85" s="771"/>
      <c r="E85" s="771"/>
      <c r="F85" s="412"/>
      <c r="G85" s="412"/>
      <c r="H85" s="412"/>
      <c r="I85" s="412"/>
    </row>
    <row r="86" spans="1:12" ht="31.9" hidden="1" customHeight="1">
      <c r="B86" s="458" t="s">
        <v>251</v>
      </c>
      <c r="C86" s="461" t="s">
        <v>252</v>
      </c>
      <c r="D86" s="462" t="s">
        <v>253</v>
      </c>
      <c r="E86" s="462" t="s">
        <v>254</v>
      </c>
      <c r="F86" s="412"/>
      <c r="G86" s="412"/>
      <c r="H86" s="412"/>
      <c r="I86" s="412"/>
    </row>
    <row r="87" spans="1:12" ht="31.5" hidden="1">
      <c r="B87" s="459" t="s">
        <v>255</v>
      </c>
      <c r="C87" s="455" t="s">
        <v>256</v>
      </c>
      <c r="D87" s="457">
        <f ca="1">B81</f>
        <v>-8988350.1559999995</v>
      </c>
      <c r="E87" s="457">
        <f ca="1">D87</f>
        <v>-8988350.1559999995</v>
      </c>
      <c r="F87" s="454" t="str">
        <f ca="1">IF(E87&lt;0,B87,0)</f>
        <v>0</v>
      </c>
      <c r="G87" s="412"/>
      <c r="H87" s="412"/>
      <c r="I87" s="412"/>
    </row>
    <row r="88" spans="1:12" ht="17.100000000000001" hidden="1" customHeight="1">
      <c r="B88" s="460">
        <v>1</v>
      </c>
      <c r="C88" s="456" t="s">
        <v>257</v>
      </c>
      <c r="D88" s="457">
        <f ca="1">C81</f>
        <v>135910.83010210004</v>
      </c>
      <c r="E88" s="457">
        <f ca="1">D88+E87</f>
        <v>-8852439.3258978985</v>
      </c>
      <c r="F88" s="454">
        <f t="shared" ref="F88:F94" ca="1" si="68">IF(E88&lt;0,1,IF(IF((D88+E87)&gt;0,(-E87)/D88,0)&gt;0,IF((D88+E87)&gt;0,(-E87)/D88,0),0))</f>
        <v>1</v>
      </c>
      <c r="G88" s="412"/>
      <c r="H88" s="412"/>
      <c r="I88" s="412"/>
    </row>
    <row r="89" spans="1:12" ht="17.100000000000001" hidden="1" customHeight="1">
      <c r="B89" s="460">
        <v>2</v>
      </c>
      <c r="C89" s="456" t="s">
        <v>257</v>
      </c>
      <c r="D89" s="457">
        <f ca="1">D81</f>
        <v>1401780.0339613811</v>
      </c>
      <c r="E89" s="457">
        <f ca="1">E88+D89</f>
        <v>-7450659.2919365177</v>
      </c>
      <c r="F89" s="454">
        <f t="shared" ca="1" si="68"/>
        <v>1</v>
      </c>
      <c r="G89" s="412"/>
      <c r="H89" s="412"/>
      <c r="I89" s="412"/>
    </row>
    <row r="90" spans="1:12" ht="17.100000000000001" hidden="1" customHeight="1">
      <c r="B90" s="460">
        <v>3</v>
      </c>
      <c r="C90" s="456" t="s">
        <v>257</v>
      </c>
      <c r="D90" s="457">
        <f ca="1">E81</f>
        <v>1821867.8171640839</v>
      </c>
      <c r="E90" s="457">
        <f t="shared" ref="E90:E94" ca="1" si="69">E89+D90</f>
        <v>-5628791.4747724338</v>
      </c>
      <c r="F90" s="454">
        <f t="shared" ca="1" si="68"/>
        <v>1</v>
      </c>
      <c r="G90" s="412"/>
      <c r="H90" s="412"/>
      <c r="I90" s="412"/>
    </row>
    <row r="91" spans="1:12" ht="17.100000000000001" hidden="1" customHeight="1">
      <c r="B91" s="460">
        <v>4</v>
      </c>
      <c r="C91" s="456" t="s">
        <v>257</v>
      </c>
      <c r="D91" s="457">
        <f ca="1">F81</f>
        <v>2284086.9874947751</v>
      </c>
      <c r="E91" s="457">
        <f t="shared" ca="1" si="69"/>
        <v>-3344704.4872776587</v>
      </c>
      <c r="F91" s="454">
        <f t="shared" ca="1" si="68"/>
        <v>1</v>
      </c>
      <c r="G91" s="412"/>
      <c r="H91" s="412"/>
      <c r="I91" s="412"/>
    </row>
    <row r="92" spans="1:12" ht="17.100000000000001" hidden="1" customHeight="1">
      <c r="B92" s="460">
        <v>5</v>
      </c>
      <c r="C92" s="456" t="s">
        <v>257</v>
      </c>
      <c r="D92" s="457">
        <f ca="1">G81</f>
        <v>2791867.0288616172</v>
      </c>
      <c r="E92" s="457">
        <f t="shared" ca="1" si="69"/>
        <v>-552837.45841604145</v>
      </c>
      <c r="F92" s="454">
        <f t="shared" ca="1" si="68"/>
        <v>1</v>
      </c>
      <c r="G92" s="412"/>
      <c r="H92" s="412"/>
      <c r="I92" s="412"/>
    </row>
    <row r="93" spans="1:12" ht="17.100000000000001" hidden="1" customHeight="1">
      <c r="B93" s="460">
        <v>6</v>
      </c>
      <c r="C93" s="456" t="s">
        <v>257</v>
      </c>
      <c r="D93" s="457">
        <f ca="1">H81</f>
        <v>3348958.6002366599</v>
      </c>
      <c r="E93" s="457">
        <f t="shared" ca="1" si="69"/>
        <v>2796121.1418206184</v>
      </c>
      <c r="F93" s="454">
        <f t="shared" ca="1" si="68"/>
        <v>0.16507742388244939</v>
      </c>
      <c r="G93" s="412"/>
      <c r="H93" s="412"/>
      <c r="I93" s="412"/>
    </row>
    <row r="94" spans="1:12" ht="17.100000000000001" hidden="1" customHeight="1">
      <c r="B94" s="460">
        <v>7</v>
      </c>
      <c r="C94" s="456" t="s">
        <v>257</v>
      </c>
      <c r="D94" s="457">
        <f ca="1">I81</f>
        <v>3711198.8209915506</v>
      </c>
      <c r="E94" s="457">
        <f t="shared" ca="1" si="69"/>
        <v>6507319.9628121685</v>
      </c>
      <c r="F94" s="454">
        <f t="shared" ca="1" si="68"/>
        <v>0</v>
      </c>
      <c r="G94" s="412"/>
      <c r="H94" s="412"/>
      <c r="I94" s="412"/>
    </row>
    <row r="95" spans="1:12" ht="17.100000000000001" hidden="1" customHeight="1">
      <c r="B95" s="772" t="s">
        <v>258</v>
      </c>
      <c r="C95" s="772"/>
      <c r="D95" s="772"/>
      <c r="E95" s="463">
        <f ca="1">IF(E87&lt;0,B87,0)+IF(E88&lt;0,1,IF(IF((D88+E87)&gt;0,(-E87)/D88,0)&gt;0,IF((D88+E87)&gt;0,(-E87)/D88,0),0))+IF(E89&lt;0,1,IF(IF((D89+E88)&gt;0,(-E88)/D89,0)&gt;0,IF((D89+E88)&gt;0,(-E88)/D89,0),0))+IF(E90&lt;0,1,IF(IF((D90+E89)&gt;0,(-E89)/D90,0)&gt;0,IF((D90+E89)&gt;0,(-E89)/D90,0),0))+IF(E91&lt;0,1,IF(IF((D91+E90)&gt;0,(-E90)/D91,0)&gt;0,IF((D91+E90)&gt;0,(-E90)/D91,0),0))+IF(E92&lt;0,1,IF(IF((D92+E91)&gt;0,(-E91)/D92,0)&gt;0,IF((D92+E91)&gt;0,(-E91)/D92,0),0))+IF(E93&lt;0,1,IF(IF((D93+E92)&gt;0,(-E92)/D93,0)&gt;0,IF((D93+E92)&gt;0,(-E92)/D93,0),0))+IF(E94&lt;0,1,IF(IF((D94+E93)&gt;0,(-E93)/D94,0)&gt;0,IF((D94+E93)&gt;0,(-E93)/D94,0),0))</f>
        <v>5.1650774238824493</v>
      </c>
      <c r="F95" s="412"/>
      <c r="G95" s="412"/>
      <c r="H95" s="412"/>
      <c r="I95" s="412"/>
    </row>
    <row r="96" spans="1:12" ht="49.15" customHeight="1" thickTop="1">
      <c r="A96" s="776" t="str">
        <f>'Scenario Analysis'!A5</f>
        <v>Scenario 2</v>
      </c>
      <c r="B96" s="777"/>
      <c r="C96" s="777"/>
      <c r="D96" s="777"/>
      <c r="E96" s="777"/>
      <c r="F96" s="777"/>
      <c r="G96" s="777"/>
      <c r="H96" s="777"/>
      <c r="I96" s="777"/>
      <c r="J96" s="408"/>
      <c r="K96" s="408"/>
      <c r="L96" s="408"/>
    </row>
    <row r="97" spans="1:9" ht="47.45" customHeight="1" outlineLevel="1">
      <c r="A97" s="350" t="s">
        <v>188</v>
      </c>
      <c r="B97" s="351" t="s">
        <v>189</v>
      </c>
      <c r="C97" s="352" t="s">
        <v>180</v>
      </c>
      <c r="D97" s="352" t="s">
        <v>181</v>
      </c>
      <c r="E97" s="352" t="s">
        <v>182</v>
      </c>
      <c r="F97" s="352" t="s">
        <v>183</v>
      </c>
      <c r="G97" s="353" t="s">
        <v>184</v>
      </c>
      <c r="H97" s="353" t="s">
        <v>185</v>
      </c>
      <c r="I97" s="353" t="s">
        <v>186</v>
      </c>
    </row>
    <row r="98" spans="1:9" ht="17.100000000000001" customHeight="1" outlineLevel="1">
      <c r="A98" s="354" t="s">
        <v>190</v>
      </c>
      <c r="B98" s="355"/>
      <c r="C98" s="355">
        <f>SUMPRODUCT(IF('Scenario Analysis'!$C$5=0,1,'Scenario Analysis'!$C$5+1)*Table17[Unit Price in Study Currency],'Sales, Production, &amp; Other Assu'!$P$19:$P$48*IF('Scenario Analysis'!$D$5=0,1,'Scenario Analysis'!$D$5+1))*'Scenario Analysis'!$B$5</f>
        <v>8336115</v>
      </c>
      <c r="D98" s="355">
        <f ca="1">D6/Capacity*'Scenario Analysis'!$B$5</f>
        <v>9719910.0899999999</v>
      </c>
      <c r="E98" s="355">
        <f ca="1">E6/Capacity*'Scenario Analysis'!$B$5</f>
        <v>11239861.725</v>
      </c>
      <c r="F98" s="355">
        <f ca="1">F6/Capacity*'Scenario Analysis'!$B$5</f>
        <v>12907084.724999998</v>
      </c>
      <c r="G98" s="355">
        <f ca="1">G6/Capacity*'Scenario Analysis'!$B$5</f>
        <v>14733805.391999997</v>
      </c>
      <c r="H98" s="355">
        <f ca="1">H6/Capacity*'Scenario Analysis'!$B$5</f>
        <v>16733361.510000002</v>
      </c>
      <c r="I98" s="355">
        <f ca="1">I6/Capacity*'Scenario Analysis'!$B$5</f>
        <v>17737585.496999994</v>
      </c>
    </row>
    <row r="99" spans="1:9" ht="15.75" outlineLevel="1">
      <c r="A99" s="357" t="s">
        <v>191</v>
      </c>
      <c r="B99" s="358"/>
      <c r="C99" s="358"/>
      <c r="D99" s="358"/>
      <c r="E99" s="358"/>
      <c r="F99" s="358"/>
      <c r="G99" s="359"/>
      <c r="H99" s="359"/>
      <c r="I99" s="359"/>
    </row>
    <row r="100" spans="1:9" ht="15.75" outlineLevel="1">
      <c r="A100" s="360" t="s">
        <v>192</v>
      </c>
      <c r="B100" s="361"/>
      <c r="C100" s="361">
        <f t="shared" ref="C100:I100" ca="1" si="70">-B102</f>
        <v>462030.15599999996</v>
      </c>
      <c r="D100" s="361">
        <f t="shared" ca="1" si="70"/>
        <v>462030.15599999996</v>
      </c>
      <c r="E100" s="361">
        <f t="shared" ca="1" si="70"/>
        <v>538727.16189599992</v>
      </c>
      <c r="F100" s="361">
        <f t="shared" ca="1" si="70"/>
        <v>622970.66033999994</v>
      </c>
      <c r="G100" s="362">
        <f t="shared" ca="1" si="70"/>
        <v>715376.6915399998</v>
      </c>
      <c r="H100" s="362">
        <f ca="1">-G102</f>
        <v>816622.89972479979</v>
      </c>
      <c r="I100" s="362">
        <f t="shared" ca="1" si="70"/>
        <v>927448.53314399999</v>
      </c>
    </row>
    <row r="101" spans="1:9" ht="15.75" outlineLevel="1">
      <c r="A101" s="363" t="s">
        <v>193</v>
      </c>
      <c r="B101" s="364">
        <f ca="1">C8</f>
        <v>462030.15599999996</v>
      </c>
      <c r="C101" s="364">
        <f ca="1">C9*(1+'Scenario Analysis'!$E$5)/Capacity*'Scenario Analysis'!$B$5</f>
        <v>5544361.8719999995</v>
      </c>
      <c r="D101" s="364">
        <f ca="1">D9*(1+'Scenario Analysis'!$E$5)/Capacity*'Scenario Analysis'!$B$5</f>
        <v>6464725.9427519999</v>
      </c>
      <c r="E101" s="364">
        <f ca="1">E9*(1+'Scenario Analysis'!$E$5)/Capacity*'Scenario Analysis'!$B$5</f>
        <v>7475647.9240799993</v>
      </c>
      <c r="F101" s="364">
        <f ca="1">F9*(1+'Scenario Analysis'!$E$5)/Capacity*'Scenario Analysis'!$B$5</f>
        <v>8584520.2984799985</v>
      </c>
      <c r="G101" s="364">
        <f ca="1">G9*(1+'Scenario Analysis'!$E$5)/Capacity*'Scenario Analysis'!$B$5</f>
        <v>9799474.796697598</v>
      </c>
      <c r="H101" s="364">
        <f ca="1">H9*(1+'Scenario Analysis'!$E$5)/Capacity*'Scenario Analysis'!$B$5</f>
        <v>11129382.397728002</v>
      </c>
      <c r="I101" s="364">
        <f ca="1">I9*(1+'Scenario Analysis'!$E$5)/Capacity*'Scenario Analysis'!$B$5</f>
        <v>11797293.191241596</v>
      </c>
    </row>
    <row r="102" spans="1:9" ht="15.75" outlineLevel="1">
      <c r="A102" s="360" t="s">
        <v>194</v>
      </c>
      <c r="B102" s="361">
        <f ca="1">-B101</f>
        <v>-462030.15599999996</v>
      </c>
      <c r="C102" s="361">
        <f ca="1">C10</f>
        <v>-462030.15599999996</v>
      </c>
      <c r="D102" s="361">
        <f t="shared" ref="D102:I102" ca="1" si="71">C102/C98*D98</f>
        <v>-538727.16189599992</v>
      </c>
      <c r="E102" s="361">
        <f t="shared" ca="1" si="71"/>
        <v>-622970.66033999994</v>
      </c>
      <c r="F102" s="361">
        <f t="shared" ca="1" si="71"/>
        <v>-715376.6915399998</v>
      </c>
      <c r="G102" s="362">
        <f t="shared" ca="1" si="71"/>
        <v>-816622.89972479979</v>
      </c>
      <c r="H102" s="362">
        <f ca="1">G102/G98*H98</f>
        <v>-927448.53314399999</v>
      </c>
      <c r="I102" s="362">
        <f t="shared" ca="1" si="71"/>
        <v>-983107.76593679958</v>
      </c>
    </row>
    <row r="103" spans="1:9" ht="15.75" outlineLevel="1">
      <c r="A103" s="366" t="s">
        <v>191</v>
      </c>
      <c r="B103" s="367">
        <f t="shared" ref="B103:G103" ca="1" si="72">B101+B102+B100</f>
        <v>0</v>
      </c>
      <c r="C103" s="367">
        <f t="shared" ca="1" si="72"/>
        <v>5544361.8719999995</v>
      </c>
      <c r="D103" s="367">
        <f t="shared" ca="1" si="72"/>
        <v>6388028.9368559998</v>
      </c>
      <c r="E103" s="367">
        <f t="shared" ca="1" si="72"/>
        <v>7391404.4256359991</v>
      </c>
      <c r="F103" s="367">
        <f t="shared" ca="1" si="72"/>
        <v>8492114.2672799975</v>
      </c>
      <c r="G103" s="368">
        <f t="shared" ca="1" si="72"/>
        <v>9698228.5885127969</v>
      </c>
      <c r="H103" s="368">
        <f t="shared" ref="H103:I103" ca="1" si="73">H101+H102+H100</f>
        <v>11018556.764308803</v>
      </c>
      <c r="I103" s="368">
        <f t="shared" ca="1" si="73"/>
        <v>11741633.958448797</v>
      </c>
    </row>
    <row r="104" spans="1:9" ht="15.75" outlineLevel="1">
      <c r="A104" s="354" t="s">
        <v>195</v>
      </c>
      <c r="B104" s="369">
        <f t="shared" ref="B104:G104" ca="1" si="74">B98-B103</f>
        <v>0</v>
      </c>
      <c r="C104" s="369">
        <f t="shared" ca="1" si="74"/>
        <v>2791753.1280000005</v>
      </c>
      <c r="D104" s="369">
        <f t="shared" ca="1" si="74"/>
        <v>3331881.1531440001</v>
      </c>
      <c r="E104" s="369">
        <f t="shared" ca="1" si="74"/>
        <v>3848457.2993640006</v>
      </c>
      <c r="F104" s="369">
        <f t="shared" ca="1" si="74"/>
        <v>4414970.4577200003</v>
      </c>
      <c r="G104" s="370">
        <f t="shared" ca="1" si="74"/>
        <v>5035576.8034872003</v>
      </c>
      <c r="H104" s="370">
        <f t="shared" ref="H104:I104" ca="1" si="75">H98-H103</f>
        <v>5714804.7456911989</v>
      </c>
      <c r="I104" s="370">
        <f t="shared" ca="1" si="75"/>
        <v>5995951.5385511965</v>
      </c>
    </row>
    <row r="105" spans="1:9" ht="15.75" outlineLevel="1">
      <c r="A105" s="366" t="s">
        <v>196</v>
      </c>
      <c r="B105" s="371"/>
      <c r="C105" s="371"/>
      <c r="D105" s="371"/>
      <c r="E105" s="371"/>
      <c r="F105" s="371"/>
      <c r="G105" s="372"/>
      <c r="H105" s="372"/>
      <c r="I105" s="372"/>
    </row>
    <row r="106" spans="1:9" ht="15.75" outlineLevel="1">
      <c r="A106" s="360" t="s">
        <v>197</v>
      </c>
      <c r="B106" s="373"/>
      <c r="C106" s="373">
        <f t="shared" ref="C106:I106" si="76">B135-C135</f>
        <v>0</v>
      </c>
      <c r="D106" s="373">
        <f t="shared" si="76"/>
        <v>0</v>
      </c>
      <c r="E106" s="373">
        <f t="shared" si="76"/>
        <v>0</v>
      </c>
      <c r="F106" s="373">
        <f t="shared" si="76"/>
        <v>0</v>
      </c>
      <c r="G106" s="374">
        <f t="shared" si="76"/>
        <v>0</v>
      </c>
      <c r="H106" s="374">
        <f>G135-H135</f>
        <v>0</v>
      </c>
      <c r="I106" s="374">
        <f t="shared" si="76"/>
        <v>0</v>
      </c>
    </row>
    <row r="107" spans="1:9" ht="15.75" outlineLevel="1">
      <c r="A107" s="375" t="s">
        <v>198</v>
      </c>
      <c r="B107" s="376"/>
      <c r="C107" s="376">
        <f>'Cashflow Projection &amp; Investme'!O59</f>
        <v>0</v>
      </c>
      <c r="D107" s="376">
        <f t="shared" ref="D107:I107" si="77">C136-D136</f>
        <v>0</v>
      </c>
      <c r="E107" s="376">
        <f t="shared" si="77"/>
        <v>0</v>
      </c>
      <c r="F107" s="376">
        <f t="shared" si="77"/>
        <v>0</v>
      </c>
      <c r="G107" s="377">
        <f t="shared" si="77"/>
        <v>0</v>
      </c>
      <c r="H107" s="377">
        <f>G136-H136</f>
        <v>0</v>
      </c>
      <c r="I107" s="377">
        <f t="shared" si="77"/>
        <v>0</v>
      </c>
    </row>
    <row r="108" spans="1:9" ht="15.75" outlineLevel="1">
      <c r="A108" s="354" t="s">
        <v>259</v>
      </c>
      <c r="B108" s="369"/>
      <c r="C108" s="369"/>
      <c r="D108" s="369"/>
      <c r="E108" s="369"/>
      <c r="F108" s="369"/>
      <c r="G108" s="370"/>
      <c r="H108" s="370"/>
      <c r="I108" s="370"/>
    </row>
    <row r="109" spans="1:9" ht="15.75" outlineLevel="1">
      <c r="A109" s="375" t="s">
        <v>199</v>
      </c>
      <c r="B109" s="378"/>
      <c r="C109" s="378">
        <f>C17</f>
        <v>799100</v>
      </c>
      <c r="D109" s="378">
        <f>D17/(1+'Scenario Analysis'!$H$4)*(1+'Scenario Analysis'!$H$5)</f>
        <v>839055</v>
      </c>
      <c r="E109" s="378">
        <f>E17/(1+'Scenario Analysis'!$H$4)*(1+'Scenario Analysis'!$H$5)</f>
        <v>881007.75</v>
      </c>
      <c r="F109" s="378">
        <f>F17/(1+'Scenario Analysis'!$H$4)*(1+'Scenario Analysis'!$H$5)</f>
        <v>925058.13750000007</v>
      </c>
      <c r="G109" s="378">
        <f>G17/(1+'Scenario Analysis'!$H$4)*(1+'Scenario Analysis'!$H$5)</f>
        <v>971311.04437500017</v>
      </c>
      <c r="H109" s="378">
        <f>H17/(1+'Scenario Analysis'!$H$4)*(1+'Scenario Analysis'!$H$5)</f>
        <v>1019876.5965937502</v>
      </c>
      <c r="I109" s="378">
        <f>I17/(1+'Scenario Analysis'!$H$4)*(1+'Scenario Analysis'!$H$5)</f>
        <v>1070870.4264234377</v>
      </c>
    </row>
    <row r="110" spans="1:9" ht="15.75" outlineLevel="1">
      <c r="A110" s="360" t="s">
        <v>200</v>
      </c>
      <c r="B110" s="380"/>
      <c r="C110" s="378">
        <f>C18</f>
        <v>613952.59999999986</v>
      </c>
      <c r="D110" s="380">
        <f ca="1">D18/(1+'Scenario Analysis'!$G$4)*(1+'Scenario Analysis'!$G$5)</f>
        <v>554347.8600000001</v>
      </c>
      <c r="E110" s="380">
        <f ca="1">E18/(1+'Scenario Analysis'!$G$4)*(1+'Scenario Analysis'!$G$5)</f>
        <v>609782.64600000007</v>
      </c>
      <c r="F110" s="380">
        <f ca="1">F18/(1+'Scenario Analysis'!$G$4)*(1+'Scenario Analysis'!$G$5)</f>
        <v>670760.91060000018</v>
      </c>
      <c r="G110" s="380">
        <f ca="1">G18/(1+'Scenario Analysis'!$G$4)*(1+'Scenario Analysis'!$G$5)</f>
        <v>737837.0016600003</v>
      </c>
      <c r="H110" s="380">
        <f ca="1">H18/(1+'Scenario Analysis'!$G$4)*(1+'Scenario Analysis'!$G$5)</f>
        <v>811620.70182600035</v>
      </c>
      <c r="I110" s="380">
        <f ca="1">I18/(1+'Scenario Analysis'!$G$4)*(1+'Scenario Analysis'!$G$5)</f>
        <v>892782.77200860041</v>
      </c>
    </row>
    <row r="111" spans="1:9" ht="15.75" outlineLevel="1">
      <c r="A111" s="375" t="s">
        <v>201</v>
      </c>
      <c r="B111" s="358"/>
      <c r="C111" s="358">
        <f>C107</f>
        <v>0</v>
      </c>
      <c r="D111" s="358"/>
      <c r="E111" s="358"/>
      <c r="F111" s="358"/>
      <c r="G111" s="359"/>
      <c r="H111" s="359"/>
      <c r="I111" s="359"/>
    </row>
    <row r="112" spans="1:9" ht="15.75" outlineLevel="1">
      <c r="A112" s="354" t="s">
        <v>202</v>
      </c>
      <c r="B112" s="369">
        <f t="shared" ref="B112:G112" ca="1" si="78">B104+B106+B107-B109-B110-B111</f>
        <v>0</v>
      </c>
      <c r="C112" s="369">
        <f t="shared" ca="1" si="78"/>
        <v>1378700.5280000006</v>
      </c>
      <c r="D112" s="369">
        <f t="shared" ca="1" si="78"/>
        <v>1938478.293144</v>
      </c>
      <c r="E112" s="369">
        <f t="shared" ca="1" si="78"/>
        <v>2357666.9033640004</v>
      </c>
      <c r="F112" s="369">
        <f t="shared" ca="1" si="78"/>
        <v>2819151.40962</v>
      </c>
      <c r="G112" s="370">
        <f t="shared" ca="1" si="78"/>
        <v>3326428.7574522002</v>
      </c>
      <c r="H112" s="370">
        <f t="shared" ref="H112:I112" ca="1" si="79">H104+H106+H107-H109-H110-H111</f>
        <v>3883307.4472714476</v>
      </c>
      <c r="I112" s="370">
        <f t="shared" ca="1" si="79"/>
        <v>4032298.3401191579</v>
      </c>
    </row>
    <row r="113" spans="1:14" ht="15.75" outlineLevel="1">
      <c r="A113" s="375" t="s">
        <v>203</v>
      </c>
      <c r="B113" s="382"/>
      <c r="C113" s="382">
        <f>'Capital Expenditures'!J87-'Capital Expenditures'!J86</f>
        <v>0</v>
      </c>
      <c r="D113" s="382">
        <f>C113</f>
        <v>0</v>
      </c>
      <c r="E113" s="382">
        <f t="shared" ref="E113:G113" si="80">D113</f>
        <v>0</v>
      </c>
      <c r="F113" s="382">
        <f t="shared" si="80"/>
        <v>0</v>
      </c>
      <c r="G113" s="382">
        <f t="shared" si="80"/>
        <v>0</v>
      </c>
      <c r="H113" s="382">
        <f>G113</f>
        <v>0</v>
      </c>
      <c r="I113" s="382">
        <f>H113</f>
        <v>0</v>
      </c>
    </row>
    <row r="114" spans="1:14" ht="15.75" outlineLevel="1">
      <c r="A114" s="360" t="s">
        <v>204</v>
      </c>
      <c r="B114" s="380"/>
      <c r="C114" s="380">
        <f>'Capital Expenditures'!J86</f>
        <v>0</v>
      </c>
      <c r="D114" s="380">
        <f>C114</f>
        <v>0</v>
      </c>
      <c r="E114" s="380">
        <f t="shared" ref="E114:I114" si="81">D114</f>
        <v>0</v>
      </c>
      <c r="F114" s="380">
        <f t="shared" si="81"/>
        <v>0</v>
      </c>
      <c r="G114" s="380">
        <f t="shared" si="81"/>
        <v>0</v>
      </c>
      <c r="H114" s="380">
        <f>G114</f>
        <v>0</v>
      </c>
      <c r="I114" s="380">
        <f t="shared" si="81"/>
        <v>0</v>
      </c>
    </row>
    <row r="115" spans="1:14" ht="15.75" outlineLevel="1">
      <c r="A115" s="366" t="s">
        <v>205</v>
      </c>
      <c r="B115" s="367">
        <f t="shared" ref="B115:G115" ca="1" si="82">B112-B113-B114</f>
        <v>0</v>
      </c>
      <c r="C115" s="367">
        <f t="shared" ca="1" si="82"/>
        <v>1378700.5280000006</v>
      </c>
      <c r="D115" s="367">
        <f t="shared" ca="1" si="82"/>
        <v>1938478.293144</v>
      </c>
      <c r="E115" s="367">
        <f t="shared" ca="1" si="82"/>
        <v>2357666.9033640004</v>
      </c>
      <c r="F115" s="367">
        <f t="shared" ca="1" si="82"/>
        <v>2819151.40962</v>
      </c>
      <c r="G115" s="368">
        <f t="shared" ca="1" si="82"/>
        <v>3326428.7574522002</v>
      </c>
      <c r="H115" s="368">
        <f t="shared" ref="H115:I115" ca="1" si="83">H112-H113-H114</f>
        <v>3883307.4472714476</v>
      </c>
      <c r="I115" s="368">
        <f t="shared" ca="1" si="83"/>
        <v>4032298.3401191579</v>
      </c>
    </row>
    <row r="116" spans="1:14" ht="15.75" outlineLevel="1">
      <c r="A116" s="360" t="s">
        <v>206</v>
      </c>
      <c r="B116" s="383"/>
      <c r="C116" s="384">
        <f>IFERROR(VLOOKUP('Amortization Table 2'!$A$17+11,'Amortization Table 2'!$A:$K,11)-B116,0)</f>
        <v>0</v>
      </c>
      <c r="D116" s="384">
        <f>IFERROR(VLOOKUP('Amortization Table 2'!$A$17+23,'Amortization Table 2'!$A:$K,11)-B116-C116,0)</f>
        <v>0</v>
      </c>
      <c r="E116" s="384">
        <f>IFERROR(VLOOKUP('Amortization Table 2'!$A$17+35,'Amortization Table 2'!$A:$K,11)-D116-C116,0)</f>
        <v>0</v>
      </c>
      <c r="F116" s="384">
        <f>IFERROR(VLOOKUP('Amortization Table 2'!$A$17+47,'Amortization Table 2'!$A:$K,11)-B116-C116-D116-E116,0)</f>
        <v>0</v>
      </c>
      <c r="G116" s="385">
        <f>IFERROR(VLOOKUP('Amortization Table 2'!$A$17+59,'Amortization Table 2'!$A:$K,11)-C116-D116-E116-F116,0)</f>
        <v>0</v>
      </c>
      <c r="H116" s="385">
        <f>IFERROR(VLOOKUP('Amortization Table 2'!$A$17+71,'Amortization Table 2'!$A:$K,11)-D116-E116-F116-G116-C116,0)</f>
        <v>0</v>
      </c>
      <c r="I116" s="385">
        <f>IFERROR(VLOOKUP('Amortization Table 2'!$A$17+83,'Amortization Table 2'!$A:$K,11)-E116-F116-G116-H116-D116-C116,0)</f>
        <v>0</v>
      </c>
    </row>
    <row r="117" spans="1:14" ht="15.75" outlineLevel="1">
      <c r="A117" s="366" t="s">
        <v>207</v>
      </c>
      <c r="B117" s="371">
        <f t="shared" ref="B117:G117" ca="1" si="84">B115-B116</f>
        <v>0</v>
      </c>
      <c r="C117" s="371">
        <f t="shared" ca="1" si="84"/>
        <v>1378700.5280000006</v>
      </c>
      <c r="D117" s="371">
        <f t="shared" ca="1" si="84"/>
        <v>1938478.293144</v>
      </c>
      <c r="E117" s="371">
        <f t="shared" ca="1" si="84"/>
        <v>2357666.9033640004</v>
      </c>
      <c r="F117" s="371">
        <f t="shared" ca="1" si="84"/>
        <v>2819151.40962</v>
      </c>
      <c r="G117" s="372">
        <f t="shared" ca="1" si="84"/>
        <v>3326428.7574522002</v>
      </c>
      <c r="H117" s="372">
        <f t="shared" ref="H117:I117" ca="1" si="85">H115-H116</f>
        <v>3883307.4472714476</v>
      </c>
      <c r="I117" s="372">
        <f t="shared" ca="1" si="85"/>
        <v>4032298.3401191579</v>
      </c>
    </row>
    <row r="118" spans="1:14" ht="15.75" outlineLevel="1">
      <c r="A118" s="360" t="s">
        <v>208</v>
      </c>
      <c r="B118" s="386"/>
      <c r="C118" s="386"/>
      <c r="D118" s="386"/>
      <c r="E118" s="386"/>
      <c r="F118" s="386"/>
      <c r="G118" s="387"/>
      <c r="H118" s="387"/>
      <c r="I118" s="387"/>
    </row>
    <row r="119" spans="1:14" ht="16.5" outlineLevel="1" thickBot="1">
      <c r="A119" s="388" t="s">
        <v>209</v>
      </c>
      <c r="B119" s="389">
        <f t="shared" ref="B119:G119" ca="1" si="86">B117-B118</f>
        <v>0</v>
      </c>
      <c r="C119" s="389">
        <f t="shared" ca="1" si="86"/>
        <v>1378700.5280000006</v>
      </c>
      <c r="D119" s="389">
        <f t="shared" ca="1" si="86"/>
        <v>1938478.293144</v>
      </c>
      <c r="E119" s="389">
        <f t="shared" ca="1" si="86"/>
        <v>2357666.9033640004</v>
      </c>
      <c r="F119" s="389">
        <f t="shared" ca="1" si="86"/>
        <v>2819151.40962</v>
      </c>
      <c r="G119" s="390">
        <f t="shared" ca="1" si="86"/>
        <v>3326428.7574522002</v>
      </c>
      <c r="H119" s="390">
        <f t="shared" ref="H119:I119" ca="1" si="87">H117-H118</f>
        <v>3883307.4472714476</v>
      </c>
      <c r="I119" s="390">
        <f t="shared" ca="1" si="87"/>
        <v>4032298.3401191579</v>
      </c>
    </row>
    <row r="120" spans="1:14" ht="18.75" outlineLevel="1" thickTop="1">
      <c r="A120" s="328"/>
      <c r="B120" s="479">
        <v>0</v>
      </c>
      <c r="C120" s="479"/>
      <c r="D120" s="479"/>
      <c r="E120" s="479"/>
      <c r="F120" s="479"/>
      <c r="G120" s="479"/>
      <c r="H120" s="479"/>
      <c r="I120" s="479"/>
    </row>
    <row r="121" spans="1:14" ht="18" outlineLevel="1">
      <c r="A121" s="330"/>
      <c r="B121" s="330"/>
      <c r="C121" s="330"/>
      <c r="D121" s="330"/>
      <c r="E121" s="330"/>
      <c r="F121" s="330"/>
      <c r="G121" s="330"/>
      <c r="H121" s="330"/>
      <c r="I121" s="330"/>
      <c r="J121" s="408"/>
      <c r="K121" s="408"/>
      <c r="L121" s="408"/>
      <c r="M121" s="408"/>
      <c r="N121" s="408"/>
    </row>
    <row r="122" spans="1:14" ht="15.75" outlineLevel="1">
      <c r="A122" s="350" t="s">
        <v>210</v>
      </c>
      <c r="B122" s="352" t="s">
        <v>189</v>
      </c>
      <c r="C122" s="352" t="s">
        <v>180</v>
      </c>
      <c r="D122" s="352" t="s">
        <v>181</v>
      </c>
      <c r="E122" s="352" t="s">
        <v>182</v>
      </c>
      <c r="F122" s="352" t="s">
        <v>183</v>
      </c>
      <c r="G122" s="353" t="s">
        <v>184</v>
      </c>
      <c r="H122" s="353" t="s">
        <v>185</v>
      </c>
      <c r="I122" s="353" t="s">
        <v>186</v>
      </c>
    </row>
    <row r="123" spans="1:14" ht="15.75" outlineLevel="1">
      <c r="A123" s="360" t="s">
        <v>211</v>
      </c>
      <c r="B123" s="373">
        <f t="shared" ref="B123:G123" ca="1" si="88">B166</f>
        <v>794114.28700000048</v>
      </c>
      <c r="C123" s="373">
        <f t="shared" ca="1" si="88"/>
        <v>1240800.4400000011</v>
      </c>
      <c r="D123" s="373">
        <f t="shared" ca="1" si="88"/>
        <v>2929607.3409980023</v>
      </c>
      <c r="E123" s="373">
        <f t="shared" ca="1" si="88"/>
        <v>5013036.7915430032</v>
      </c>
      <c r="F123" s="373">
        <f t="shared" ca="1" si="88"/>
        <v>7531379.2949630041</v>
      </c>
      <c r="G123" s="374">
        <f t="shared" ca="1" si="88"/>
        <v>10528221.760855405</v>
      </c>
      <c r="H123" s="374">
        <f t="shared" ref="H123:I123" ca="1" si="89">H166</f>
        <v>14050759.059957651</v>
      </c>
      <c r="I123" s="374">
        <f t="shared" ca="1" si="89"/>
        <v>17901870.16890901</v>
      </c>
    </row>
    <row r="124" spans="1:14" ht="15.75" outlineLevel="1">
      <c r="A124" s="375" t="s">
        <v>212</v>
      </c>
      <c r="B124" s="364">
        <f t="shared" ref="B124:G124" ca="1" si="90">-B102</f>
        <v>462030.15599999996</v>
      </c>
      <c r="C124" s="364">
        <f t="shared" ca="1" si="90"/>
        <v>462030.15599999996</v>
      </c>
      <c r="D124" s="364">
        <f t="shared" ca="1" si="90"/>
        <v>538727.16189599992</v>
      </c>
      <c r="E124" s="364">
        <f t="shared" ca="1" si="90"/>
        <v>622970.66033999994</v>
      </c>
      <c r="F124" s="364">
        <f t="shared" ca="1" si="90"/>
        <v>715376.6915399998</v>
      </c>
      <c r="G124" s="365">
        <f t="shared" ca="1" si="90"/>
        <v>816622.89972479979</v>
      </c>
      <c r="H124" s="365">
        <f t="shared" ref="H124:I124" ca="1" si="91">-H102</f>
        <v>927448.53314399999</v>
      </c>
      <c r="I124" s="365">
        <f t="shared" ca="1" si="91"/>
        <v>983107.76593679958</v>
      </c>
    </row>
    <row r="125" spans="1:14" ht="15.75" outlineLevel="1">
      <c r="A125" s="360" t="s">
        <v>213</v>
      </c>
      <c r="B125" s="361">
        <f>'OPEREX, PAYROL'!E52</f>
        <v>110000</v>
      </c>
      <c r="C125" s="361"/>
      <c r="D125" s="361">
        <f t="shared" ref="D125:I125" si="92">C125</f>
        <v>0</v>
      </c>
      <c r="E125" s="361">
        <f t="shared" si="92"/>
        <v>0</v>
      </c>
      <c r="F125" s="361">
        <f t="shared" si="92"/>
        <v>0</v>
      </c>
      <c r="G125" s="362">
        <f t="shared" si="92"/>
        <v>0</v>
      </c>
      <c r="H125" s="362">
        <f>G125</f>
        <v>0</v>
      </c>
      <c r="I125" s="362">
        <f t="shared" si="92"/>
        <v>0</v>
      </c>
    </row>
    <row r="126" spans="1:14" ht="15.75" outlineLevel="1">
      <c r="A126" s="375" t="s">
        <v>214</v>
      </c>
      <c r="B126" s="376"/>
      <c r="C126" s="376">
        <f>C98-'Cashflow Projection &amp; Investme'!O38</f>
        <v>1042014.375</v>
      </c>
      <c r="D126" s="376">
        <f ca="1">C126+D98-'Cashflow Projection &amp; Investme'!AB38</f>
        <v>1214988.7612499986</v>
      </c>
      <c r="E126" s="376">
        <f t="shared" ref="E126:I126" ca="1" si="93">D126/D98*E98</f>
        <v>1404982.7156249983</v>
      </c>
      <c r="F126" s="376">
        <f t="shared" ca="1" si="93"/>
        <v>1613385.5906249979</v>
      </c>
      <c r="G126" s="376">
        <f t="shared" ca="1" si="93"/>
        <v>1841725.6739999976</v>
      </c>
      <c r="H126" s="376">
        <f ca="1">G126/G98*H98</f>
        <v>2091670.1887499979</v>
      </c>
      <c r="I126" s="376">
        <f t="shared" ca="1" si="93"/>
        <v>2217198.1871249969</v>
      </c>
    </row>
    <row r="127" spans="1:14" ht="16.5" outlineLevel="1" thickBot="1">
      <c r="A127" s="354" t="s">
        <v>215</v>
      </c>
      <c r="B127" s="391">
        <f t="shared" ref="B127:G127" ca="1" si="94">SUM(B123:B126)</f>
        <v>1366144.4430000004</v>
      </c>
      <c r="C127" s="391">
        <f t="shared" ca="1" si="94"/>
        <v>2744844.9710000008</v>
      </c>
      <c r="D127" s="391">
        <f t="shared" ca="1" si="94"/>
        <v>4683323.2641440006</v>
      </c>
      <c r="E127" s="391">
        <f t="shared" ca="1" si="94"/>
        <v>7040990.1675080014</v>
      </c>
      <c r="F127" s="391">
        <f t="shared" ca="1" si="94"/>
        <v>9860141.5771280024</v>
      </c>
      <c r="G127" s="392">
        <f t="shared" ca="1" si="94"/>
        <v>13186570.334580202</v>
      </c>
      <c r="H127" s="392">
        <f t="shared" ref="H127:I127" ca="1" si="95">SUM(H123:H126)</f>
        <v>17069877.781851649</v>
      </c>
      <c r="I127" s="392">
        <f t="shared" ca="1" si="95"/>
        <v>21102176.121970806</v>
      </c>
    </row>
    <row r="128" spans="1:14" ht="15.75" outlineLevel="1">
      <c r="A128" s="393" t="s">
        <v>216</v>
      </c>
      <c r="B128" s="364">
        <f>Table5[[#Totals],[Total Cost in study Currency]]</f>
        <v>8416320</v>
      </c>
      <c r="C128" s="364">
        <f t="shared" ref="C128:I128" si="96">B128</f>
        <v>8416320</v>
      </c>
      <c r="D128" s="364">
        <f t="shared" si="96"/>
        <v>8416320</v>
      </c>
      <c r="E128" s="364">
        <f t="shared" si="96"/>
        <v>8416320</v>
      </c>
      <c r="F128" s="364">
        <f t="shared" si="96"/>
        <v>8416320</v>
      </c>
      <c r="G128" s="365">
        <f t="shared" si="96"/>
        <v>8416320</v>
      </c>
      <c r="H128" s="365">
        <f>G128</f>
        <v>8416320</v>
      </c>
      <c r="I128" s="365">
        <f t="shared" si="96"/>
        <v>8416320</v>
      </c>
    </row>
    <row r="129" spans="1:9" ht="16.5" outlineLevel="1" thickBot="1">
      <c r="A129" s="354" t="s">
        <v>218</v>
      </c>
      <c r="B129" s="394">
        <v>0</v>
      </c>
      <c r="C129" s="394">
        <f t="shared" ref="C129:I129" si="97">B129+C113+C114</f>
        <v>0</v>
      </c>
      <c r="D129" s="394">
        <f t="shared" si="97"/>
        <v>0</v>
      </c>
      <c r="E129" s="394">
        <f t="shared" si="97"/>
        <v>0</v>
      </c>
      <c r="F129" s="394">
        <f t="shared" si="97"/>
        <v>0</v>
      </c>
      <c r="G129" s="395">
        <f t="shared" si="97"/>
        <v>0</v>
      </c>
      <c r="H129" s="395">
        <f>G129+H113+H114</f>
        <v>0</v>
      </c>
      <c r="I129" s="395">
        <f t="shared" si="97"/>
        <v>0</v>
      </c>
    </row>
    <row r="130" spans="1:9" ht="15.75" outlineLevel="1">
      <c r="A130" s="393" t="s">
        <v>219</v>
      </c>
      <c r="B130" s="364">
        <f t="shared" ref="B130:G130" si="98">B128-B129</f>
        <v>8416320</v>
      </c>
      <c r="C130" s="364">
        <f t="shared" si="98"/>
        <v>8416320</v>
      </c>
      <c r="D130" s="364">
        <f t="shared" si="98"/>
        <v>8416320</v>
      </c>
      <c r="E130" s="364">
        <f t="shared" si="98"/>
        <v>8416320</v>
      </c>
      <c r="F130" s="364">
        <f t="shared" si="98"/>
        <v>8416320</v>
      </c>
      <c r="G130" s="365">
        <f t="shared" si="98"/>
        <v>8416320</v>
      </c>
      <c r="H130" s="365">
        <f t="shared" ref="H130:I130" si="99">H128-H129</f>
        <v>8416320</v>
      </c>
      <c r="I130" s="365">
        <f t="shared" si="99"/>
        <v>8416320</v>
      </c>
    </row>
    <row r="131" spans="1:9" ht="16.5" outlineLevel="1" thickBot="1">
      <c r="A131" s="354" t="s">
        <v>221</v>
      </c>
      <c r="B131" s="394">
        <f t="shared" ref="B131:G131" ca="1" si="100">B127+B130</f>
        <v>9782464.443</v>
      </c>
      <c r="C131" s="394">
        <f t="shared" ca="1" si="100"/>
        <v>11161164.971000001</v>
      </c>
      <c r="D131" s="394">
        <f t="shared" ca="1" si="100"/>
        <v>13099643.264144</v>
      </c>
      <c r="E131" s="394">
        <f t="shared" ca="1" si="100"/>
        <v>15457310.167508002</v>
      </c>
      <c r="F131" s="394">
        <f t="shared" ca="1" si="100"/>
        <v>18276461.577128001</v>
      </c>
      <c r="G131" s="395">
        <f t="shared" ca="1" si="100"/>
        <v>21602890.334580202</v>
      </c>
      <c r="H131" s="395">
        <f t="shared" ref="H131:I131" ca="1" si="101">H127+H130</f>
        <v>25486197.781851649</v>
      </c>
      <c r="I131" s="395">
        <f t="shared" ca="1" si="101"/>
        <v>29518496.121970806</v>
      </c>
    </row>
    <row r="132" spans="1:9" ht="15.75" outlineLevel="1">
      <c r="A132" s="375"/>
      <c r="B132" s="375"/>
      <c r="C132" s="375"/>
      <c r="D132" s="375"/>
      <c r="E132" s="375"/>
      <c r="F132" s="375"/>
      <c r="G132" s="375"/>
      <c r="H132" s="375"/>
      <c r="I132" s="375"/>
    </row>
    <row r="133" spans="1:9" ht="15.75" outlineLevel="1">
      <c r="A133" s="398" t="s">
        <v>222</v>
      </c>
      <c r="B133" s="399">
        <f ca="1">ROUND('Sales Volume, Cost of Productio'!C190-'Cashflow Projection &amp; Investme'!B42,2)</f>
        <v>0</v>
      </c>
      <c r="C133" s="399">
        <f ca="1">ROUND(C101-SUM('Cashflow Projection &amp; Investme'!C42:N42)+B133,2)</f>
        <v>0</v>
      </c>
      <c r="D133" s="399">
        <f ca="1">ROUND(C133+D101-'Cashflow Projection &amp; Investme'!AB42,2)</f>
        <v>0</v>
      </c>
      <c r="E133" s="361">
        <f t="shared" ref="E133:I133" ca="1" si="102">D133/D98*E98</f>
        <v>0</v>
      </c>
      <c r="F133" s="361">
        <f t="shared" ca="1" si="102"/>
        <v>0</v>
      </c>
      <c r="G133" s="362">
        <f t="shared" ca="1" si="102"/>
        <v>0</v>
      </c>
      <c r="H133" s="362">
        <f ca="1">G133/G98*H98</f>
        <v>0</v>
      </c>
      <c r="I133" s="362">
        <f t="shared" ca="1" si="102"/>
        <v>0</v>
      </c>
    </row>
    <row r="134" spans="1:9" ht="15.75" outlineLevel="1">
      <c r="A134" s="393" t="s">
        <v>223</v>
      </c>
      <c r="B134" s="364">
        <f>'Cashflow Projection &amp; Investme'!O55</f>
        <v>0</v>
      </c>
      <c r="C134" s="364">
        <f>IFERROR(VLOOKUP('Amortization Table 2'!$A$17+12,'Amortization Table 2'!$A:$K,4),0)</f>
        <v>0</v>
      </c>
      <c r="D134" s="364">
        <f>IFERROR(VLOOKUP('Amortization Table 2'!$A$17+24,'Amortization Table 2'!$A:$K,4),0)</f>
        <v>0</v>
      </c>
      <c r="E134" s="364">
        <f>IFERROR(VLOOKUP('Amortization Table 2'!$A$17+36,'Amortization Table 2'!$A:$K,4),0)</f>
        <v>0</v>
      </c>
      <c r="F134" s="364">
        <f>IFERROR(VLOOKUP('Amortization Table 2'!$A$17+48,'Amortization Table 2'!$A:$K,4),0)</f>
        <v>0</v>
      </c>
      <c r="G134" s="365">
        <f>IFERROR(VLOOKUP('Amortization Table 2'!$A$17+60,'Amortization Table 2'!$A:$K,4),0)</f>
        <v>0</v>
      </c>
      <c r="H134" s="365">
        <f>IFERROR(VLOOKUP('Amortization Table 2'!$A$17+72,'Amortization Table 2'!$A:$K,4),0)</f>
        <v>0</v>
      </c>
      <c r="I134" s="365">
        <f>IFERROR(VLOOKUP('Amortization Table 2'!$A$17+84,'Amortization Table 2'!$A:$K,4),0)</f>
        <v>0</v>
      </c>
    </row>
    <row r="135" spans="1:9" ht="15.75" outlineLevel="1">
      <c r="A135" s="398" t="s">
        <v>224</v>
      </c>
      <c r="B135" s="361">
        <f>'Cashflow Projection &amp; Investme'!O57</f>
        <v>0</v>
      </c>
      <c r="C135" s="361">
        <f t="shared" ref="C135:I135" si="103">B135-C114</f>
        <v>0</v>
      </c>
      <c r="D135" s="361">
        <f t="shared" si="103"/>
        <v>0</v>
      </c>
      <c r="E135" s="361">
        <f t="shared" si="103"/>
        <v>0</v>
      </c>
      <c r="F135" s="361">
        <f t="shared" si="103"/>
        <v>0</v>
      </c>
      <c r="G135" s="362">
        <f t="shared" si="103"/>
        <v>0</v>
      </c>
      <c r="H135" s="362">
        <f>G135-H114</f>
        <v>0</v>
      </c>
      <c r="I135" s="362">
        <f t="shared" si="103"/>
        <v>0</v>
      </c>
    </row>
    <row r="136" spans="1:9" ht="15.75" outlineLevel="1">
      <c r="A136" s="393" t="s">
        <v>225</v>
      </c>
      <c r="B136" s="364">
        <f>'Cashflow Projection &amp; Investme'!O59</f>
        <v>0</v>
      </c>
      <c r="C136" s="364">
        <f t="shared" ref="C136:I136" si="104">B136-C111</f>
        <v>0</v>
      </c>
      <c r="D136" s="364">
        <f t="shared" si="104"/>
        <v>0</v>
      </c>
      <c r="E136" s="364">
        <f t="shared" si="104"/>
        <v>0</v>
      </c>
      <c r="F136" s="364">
        <f t="shared" si="104"/>
        <v>0</v>
      </c>
      <c r="G136" s="365">
        <f t="shared" si="104"/>
        <v>0</v>
      </c>
      <c r="H136" s="365">
        <f>G136-H111</f>
        <v>0</v>
      </c>
      <c r="I136" s="365">
        <f t="shared" si="104"/>
        <v>0</v>
      </c>
    </row>
    <row r="137" spans="1:9" ht="16.5" outlineLevel="1" thickBot="1">
      <c r="A137" s="354" t="s">
        <v>226</v>
      </c>
      <c r="B137" s="394">
        <f t="shared" ref="B137:G137" ca="1" si="105">SUM(B133:B136)</f>
        <v>0</v>
      </c>
      <c r="C137" s="394">
        <f t="shared" ca="1" si="105"/>
        <v>0</v>
      </c>
      <c r="D137" s="394">
        <f t="shared" ca="1" si="105"/>
        <v>0</v>
      </c>
      <c r="E137" s="394">
        <f t="shared" ca="1" si="105"/>
        <v>0</v>
      </c>
      <c r="F137" s="394">
        <f t="shared" ca="1" si="105"/>
        <v>0</v>
      </c>
      <c r="G137" s="395">
        <f t="shared" ca="1" si="105"/>
        <v>0</v>
      </c>
      <c r="H137" s="395">
        <f t="shared" ref="H137:I137" ca="1" si="106">SUM(H133:H136)</f>
        <v>0</v>
      </c>
      <c r="I137" s="395">
        <f t="shared" ca="1" si="106"/>
        <v>0</v>
      </c>
    </row>
    <row r="138" spans="1:9" ht="16.5" outlineLevel="1" thickBot="1">
      <c r="A138" s="366" t="s">
        <v>227</v>
      </c>
      <c r="B138" s="389">
        <f t="shared" ref="B138:G138" ca="1" si="107">B137</f>
        <v>0</v>
      </c>
      <c r="C138" s="389">
        <f t="shared" ca="1" si="107"/>
        <v>0</v>
      </c>
      <c r="D138" s="389">
        <f t="shared" ca="1" si="107"/>
        <v>0</v>
      </c>
      <c r="E138" s="389">
        <f t="shared" ca="1" si="107"/>
        <v>0</v>
      </c>
      <c r="F138" s="389">
        <f t="shared" ca="1" si="107"/>
        <v>0</v>
      </c>
      <c r="G138" s="390">
        <f t="shared" ca="1" si="107"/>
        <v>0</v>
      </c>
      <c r="H138" s="390">
        <f t="shared" ref="H138:I138" ca="1" si="108">H137</f>
        <v>0</v>
      </c>
      <c r="I138" s="390">
        <f t="shared" ca="1" si="108"/>
        <v>0</v>
      </c>
    </row>
    <row r="139" spans="1:9" ht="16.5" outlineLevel="1" thickTop="1">
      <c r="A139" s="366" t="s">
        <v>228</v>
      </c>
      <c r="B139" s="400"/>
      <c r="C139" s="400"/>
      <c r="D139" s="400"/>
      <c r="E139" s="400"/>
      <c r="F139" s="400"/>
      <c r="G139" s="401"/>
      <c r="H139" s="401"/>
      <c r="I139" s="401"/>
    </row>
    <row r="140" spans="1:9" ht="15.75" outlineLevel="1">
      <c r="A140" s="360" t="s">
        <v>229</v>
      </c>
      <c r="B140" s="402">
        <f>'Cashflow Projection &amp; Investme'!O53</f>
        <v>9782464.443</v>
      </c>
      <c r="C140" s="402">
        <f t="shared" ref="C140:I140" si="109">B140</f>
        <v>9782464.443</v>
      </c>
      <c r="D140" s="402">
        <f t="shared" si="109"/>
        <v>9782464.443</v>
      </c>
      <c r="E140" s="402">
        <f t="shared" si="109"/>
        <v>9782464.443</v>
      </c>
      <c r="F140" s="402">
        <f t="shared" si="109"/>
        <v>9782464.443</v>
      </c>
      <c r="G140" s="403">
        <f t="shared" si="109"/>
        <v>9782464.443</v>
      </c>
      <c r="H140" s="403">
        <f>G140</f>
        <v>9782464.443</v>
      </c>
      <c r="I140" s="403">
        <f t="shared" si="109"/>
        <v>9782464.443</v>
      </c>
    </row>
    <row r="141" spans="1:9" ht="15.75" outlineLevel="1">
      <c r="A141" s="375" t="s">
        <v>230</v>
      </c>
      <c r="B141" s="400">
        <f ca="1">B119</f>
        <v>0</v>
      </c>
      <c r="C141" s="400">
        <f t="shared" ref="C141:I141" ca="1" si="110">B141+C119</f>
        <v>1378700.5280000006</v>
      </c>
      <c r="D141" s="400">
        <f t="shared" ca="1" si="110"/>
        <v>3317178.8211440006</v>
      </c>
      <c r="E141" s="400">
        <f t="shared" ca="1" si="110"/>
        <v>5674845.7245080005</v>
      </c>
      <c r="F141" s="400">
        <f t="shared" ca="1" si="110"/>
        <v>8493997.1341280006</v>
      </c>
      <c r="G141" s="401">
        <f t="shared" ca="1" si="110"/>
        <v>11820425.891580202</v>
      </c>
      <c r="H141" s="401">
        <f ca="1">G141+H119</f>
        <v>15703733.338851649</v>
      </c>
      <c r="I141" s="401">
        <f t="shared" ca="1" si="110"/>
        <v>19736031.678970806</v>
      </c>
    </row>
    <row r="142" spans="1:9" ht="16.5" outlineLevel="1" thickBot="1">
      <c r="A142" s="405" t="s">
        <v>231</v>
      </c>
      <c r="B142" s="396">
        <f t="shared" ref="B142:G142" ca="1" si="111">SUM(B140:B141)</f>
        <v>9782464.443</v>
      </c>
      <c r="C142" s="396">
        <f t="shared" ca="1" si="111"/>
        <v>11161164.971000001</v>
      </c>
      <c r="D142" s="396">
        <f t="shared" ca="1" si="111"/>
        <v>13099643.264144</v>
      </c>
      <c r="E142" s="396">
        <f t="shared" ca="1" si="111"/>
        <v>15457310.167508001</v>
      </c>
      <c r="F142" s="396">
        <f t="shared" ca="1" si="111"/>
        <v>18276461.577128001</v>
      </c>
      <c r="G142" s="397">
        <f t="shared" ca="1" si="111"/>
        <v>21602890.334580202</v>
      </c>
      <c r="H142" s="397">
        <f t="shared" ref="H142:I142" ca="1" si="112">SUM(H140:H141)</f>
        <v>25486197.781851649</v>
      </c>
      <c r="I142" s="397">
        <f t="shared" ca="1" si="112"/>
        <v>29518496.121970806</v>
      </c>
    </row>
    <row r="143" spans="1:9" ht="15.75" outlineLevel="1" thickTop="1">
      <c r="A143"/>
      <c r="B143">
        <f ca="1">B131-B138-B142</f>
        <v>0</v>
      </c>
      <c r="C143"/>
      <c r="D143"/>
      <c r="E143"/>
      <c r="F143"/>
      <c r="G143"/>
      <c r="H143"/>
      <c r="I143"/>
    </row>
    <row r="144" spans="1:9" customFormat="1" outlineLevel="1"/>
    <row r="145" spans="1:9" customFormat="1" ht="15.75" outlineLevel="1">
      <c r="A145" s="60" t="s">
        <v>232</v>
      </c>
      <c r="B145" s="29" t="s">
        <v>189</v>
      </c>
      <c r="C145" s="29" t="s">
        <v>180</v>
      </c>
      <c r="D145" s="29" t="s">
        <v>181</v>
      </c>
      <c r="E145" s="29" t="s">
        <v>182</v>
      </c>
      <c r="F145" s="29" t="s">
        <v>183</v>
      </c>
      <c r="G145" s="29" t="s">
        <v>184</v>
      </c>
      <c r="H145" s="29" t="s">
        <v>185</v>
      </c>
      <c r="I145" s="29" t="s">
        <v>186</v>
      </c>
    </row>
    <row r="146" spans="1:9" ht="15.75" outlineLevel="1">
      <c r="A146" s="33"/>
      <c r="B146" s="49"/>
      <c r="C146" s="49"/>
      <c r="D146" s="49"/>
      <c r="E146" s="49"/>
      <c r="F146" s="49"/>
      <c r="G146" s="49"/>
      <c r="H146" s="49"/>
      <c r="I146" s="49"/>
    </row>
    <row r="147" spans="1:9" ht="15.75" outlineLevel="1">
      <c r="A147" s="31" t="s">
        <v>209</v>
      </c>
      <c r="B147" s="35">
        <f t="shared" ref="B147:G147" ca="1" si="113">B119</f>
        <v>0</v>
      </c>
      <c r="C147" s="35">
        <f t="shared" ca="1" si="113"/>
        <v>1378700.5280000006</v>
      </c>
      <c r="D147" s="35">
        <f t="shared" ca="1" si="113"/>
        <v>1938478.293144</v>
      </c>
      <c r="E147" s="35">
        <f t="shared" ca="1" si="113"/>
        <v>2357666.9033640004</v>
      </c>
      <c r="F147" s="35">
        <f t="shared" ca="1" si="113"/>
        <v>2819151.40962</v>
      </c>
      <c r="G147" s="35">
        <f t="shared" ca="1" si="113"/>
        <v>3326428.7574522002</v>
      </c>
      <c r="H147" s="35">
        <f t="shared" ref="H147:I147" ca="1" si="114">H119</f>
        <v>3883307.4472714476</v>
      </c>
      <c r="I147" s="35">
        <f t="shared" ca="1" si="114"/>
        <v>4032298.3401191579</v>
      </c>
    </row>
    <row r="148" spans="1:9" ht="15.75" outlineLevel="1">
      <c r="A148" s="59" t="s">
        <v>233</v>
      </c>
      <c r="B148" s="35">
        <f t="shared" ref="B148:G148" si="115">B113+B114</f>
        <v>0</v>
      </c>
      <c r="C148" s="35">
        <f t="shared" si="115"/>
        <v>0</v>
      </c>
      <c r="D148" s="35">
        <f t="shared" si="115"/>
        <v>0</v>
      </c>
      <c r="E148" s="35">
        <f t="shared" si="115"/>
        <v>0</v>
      </c>
      <c r="F148" s="35">
        <f t="shared" si="115"/>
        <v>0</v>
      </c>
      <c r="G148" s="35">
        <f t="shared" si="115"/>
        <v>0</v>
      </c>
      <c r="H148" s="35">
        <f t="shared" ref="H148:I148" si="116">H113+H114</f>
        <v>0</v>
      </c>
      <c r="I148" s="35">
        <f t="shared" si="116"/>
        <v>0</v>
      </c>
    </row>
    <row r="149" spans="1:9" ht="15.75" outlineLevel="1">
      <c r="A149" s="31" t="s">
        <v>234</v>
      </c>
      <c r="B149" s="50"/>
      <c r="C149" s="50"/>
      <c r="D149" s="50"/>
      <c r="E149" s="50"/>
      <c r="F149" s="50"/>
      <c r="G149" s="50"/>
      <c r="H149" s="50"/>
      <c r="I149" s="50"/>
    </row>
    <row r="150" spans="1:9" ht="15.75" outlineLevel="1">
      <c r="A150" s="52" t="s">
        <v>235</v>
      </c>
      <c r="B150" s="35">
        <f ca="1">-B124</f>
        <v>-462030.15599999996</v>
      </c>
      <c r="C150" s="35">
        <f t="shared" ref="C150:I152" ca="1" si="117">B124-C124</f>
        <v>0</v>
      </c>
      <c r="D150" s="35">
        <f t="shared" ca="1" si="117"/>
        <v>-76697.005895999959</v>
      </c>
      <c r="E150" s="35">
        <f t="shared" ca="1" si="117"/>
        <v>-84243.498444000026</v>
      </c>
      <c r="F150" s="35">
        <f t="shared" ca="1" si="117"/>
        <v>-92406.031199999852</v>
      </c>
      <c r="G150" s="35">
        <f t="shared" ca="1" si="117"/>
        <v>-101246.20818479999</v>
      </c>
      <c r="H150" s="35">
        <f ca="1">G124-H124</f>
        <v>-110825.6334192002</v>
      </c>
      <c r="I150" s="35">
        <f t="shared" ca="1" si="117"/>
        <v>-55659.232792799594</v>
      </c>
    </row>
    <row r="151" spans="1:9" ht="15.75" outlineLevel="1">
      <c r="A151" s="52" t="s">
        <v>236</v>
      </c>
      <c r="B151" s="35">
        <f>-B125</f>
        <v>-110000</v>
      </c>
      <c r="C151" s="35">
        <f t="shared" si="117"/>
        <v>110000</v>
      </c>
      <c r="D151" s="35">
        <f t="shared" si="117"/>
        <v>0</v>
      </c>
      <c r="E151" s="35">
        <f t="shared" si="117"/>
        <v>0</v>
      </c>
      <c r="F151" s="35">
        <f t="shared" si="117"/>
        <v>0</v>
      </c>
      <c r="G151" s="35">
        <f t="shared" si="117"/>
        <v>0</v>
      </c>
      <c r="H151" s="35">
        <f>G125-H125</f>
        <v>0</v>
      </c>
      <c r="I151" s="35">
        <f t="shared" si="117"/>
        <v>0</v>
      </c>
    </row>
    <row r="152" spans="1:9" ht="15.75" outlineLevel="1">
      <c r="A152" s="52" t="s">
        <v>237</v>
      </c>
      <c r="B152" s="35">
        <f>-B126</f>
        <v>0</v>
      </c>
      <c r="C152" s="35">
        <f t="shared" si="117"/>
        <v>-1042014.375</v>
      </c>
      <c r="D152" s="35">
        <f t="shared" ca="1" si="117"/>
        <v>-172974.38624999858</v>
      </c>
      <c r="E152" s="35">
        <f t="shared" ca="1" si="117"/>
        <v>-189993.95437499974</v>
      </c>
      <c r="F152" s="35">
        <f t="shared" ca="1" si="117"/>
        <v>-208402.87499999953</v>
      </c>
      <c r="G152" s="35">
        <f t="shared" ca="1" si="117"/>
        <v>-228340.0833749997</v>
      </c>
      <c r="H152" s="35">
        <f ca="1">G126-H126</f>
        <v>-249944.51475000032</v>
      </c>
      <c r="I152" s="35">
        <f t="shared" ca="1" si="117"/>
        <v>-125527.99837499904</v>
      </c>
    </row>
    <row r="153" spans="1:9" ht="15.75" outlineLevel="1">
      <c r="A153" s="52" t="s">
        <v>238</v>
      </c>
      <c r="B153" s="35">
        <f ca="1">B133</f>
        <v>0</v>
      </c>
      <c r="C153" s="35">
        <f t="shared" ref="C153:I156" ca="1" si="118">C133-B133</f>
        <v>0</v>
      </c>
      <c r="D153" s="35">
        <f t="shared" ca="1" si="118"/>
        <v>0</v>
      </c>
      <c r="E153" s="35">
        <f t="shared" ca="1" si="118"/>
        <v>0</v>
      </c>
      <c r="F153" s="35">
        <f t="shared" ca="1" si="118"/>
        <v>0</v>
      </c>
      <c r="G153" s="35">
        <f t="shared" ca="1" si="118"/>
        <v>0</v>
      </c>
      <c r="H153" s="35">
        <f ca="1">H133-G133</f>
        <v>0</v>
      </c>
      <c r="I153" s="35">
        <f t="shared" ca="1" si="118"/>
        <v>0</v>
      </c>
    </row>
    <row r="154" spans="1:9" ht="15.75" outlineLevel="1">
      <c r="A154" s="52" t="s">
        <v>239</v>
      </c>
      <c r="B154" s="35">
        <f>B134</f>
        <v>0</v>
      </c>
      <c r="C154" s="35">
        <f t="shared" si="118"/>
        <v>0</v>
      </c>
      <c r="D154" s="35">
        <f t="shared" si="118"/>
        <v>0</v>
      </c>
      <c r="E154" s="35">
        <f t="shared" si="118"/>
        <v>0</v>
      </c>
      <c r="F154" s="35">
        <f t="shared" si="118"/>
        <v>0</v>
      </c>
      <c r="G154" s="35">
        <f t="shared" si="118"/>
        <v>0</v>
      </c>
      <c r="H154" s="35">
        <f>H134-G134</f>
        <v>0</v>
      </c>
      <c r="I154" s="35">
        <f t="shared" si="118"/>
        <v>0</v>
      </c>
    </row>
    <row r="155" spans="1:9" ht="15.75" outlineLevel="1">
      <c r="A155" s="52" t="s">
        <v>240</v>
      </c>
      <c r="B155" s="35">
        <f>B135</f>
        <v>0</v>
      </c>
      <c r="C155" s="35">
        <f t="shared" si="118"/>
        <v>0</v>
      </c>
      <c r="D155" s="35">
        <f t="shared" si="118"/>
        <v>0</v>
      </c>
      <c r="E155" s="35">
        <f t="shared" si="118"/>
        <v>0</v>
      </c>
      <c r="F155" s="35">
        <f t="shared" si="118"/>
        <v>0</v>
      </c>
      <c r="G155" s="35">
        <f t="shared" si="118"/>
        <v>0</v>
      </c>
      <c r="H155" s="35">
        <f>H135-G135</f>
        <v>0</v>
      </c>
      <c r="I155" s="35">
        <f t="shared" si="118"/>
        <v>0</v>
      </c>
    </row>
    <row r="156" spans="1:9" ht="15.75" outlineLevel="1">
      <c r="A156" s="52" t="s">
        <v>241</v>
      </c>
      <c r="B156" s="35">
        <f>B136</f>
        <v>0</v>
      </c>
      <c r="C156" s="35">
        <f t="shared" si="118"/>
        <v>0</v>
      </c>
      <c r="D156" s="35">
        <f t="shared" si="118"/>
        <v>0</v>
      </c>
      <c r="E156" s="35">
        <f t="shared" si="118"/>
        <v>0</v>
      </c>
      <c r="F156" s="35">
        <f t="shared" si="118"/>
        <v>0</v>
      </c>
      <c r="G156" s="35">
        <f t="shared" si="118"/>
        <v>0</v>
      </c>
      <c r="H156" s="35">
        <f>H136-G136</f>
        <v>0</v>
      </c>
      <c r="I156" s="35">
        <f t="shared" si="118"/>
        <v>0</v>
      </c>
    </row>
    <row r="157" spans="1:9" ht="16.5" outlineLevel="1" thickBot="1">
      <c r="A157" s="31" t="s">
        <v>242</v>
      </c>
      <c r="B157" s="44">
        <f t="shared" ref="B157:G157" ca="1" si="119">SUM(B150:B156)+B148+B147</f>
        <v>-572030.15599999996</v>
      </c>
      <c r="C157" s="44">
        <f t="shared" ca="1" si="119"/>
        <v>446686.15300000063</v>
      </c>
      <c r="D157" s="44">
        <f t="shared" ca="1" si="119"/>
        <v>1688806.9009980015</v>
      </c>
      <c r="E157" s="44">
        <f t="shared" ca="1" si="119"/>
        <v>2083429.4505450006</v>
      </c>
      <c r="F157" s="44">
        <f t="shared" ca="1" si="119"/>
        <v>2518342.5034200009</v>
      </c>
      <c r="G157" s="44">
        <f t="shared" ca="1" si="119"/>
        <v>2996842.4658924006</v>
      </c>
      <c r="H157" s="44">
        <f t="shared" ref="H157:I157" ca="1" si="120">SUM(H150:H156)+H148+H147</f>
        <v>3522537.2991022472</v>
      </c>
      <c r="I157" s="44">
        <f t="shared" ca="1" si="120"/>
        <v>3851111.1089513591</v>
      </c>
    </row>
    <row r="158" spans="1:9" ht="15.75" outlineLevel="1">
      <c r="A158" s="33"/>
      <c r="B158" s="51"/>
      <c r="C158" s="51"/>
      <c r="D158" s="51"/>
      <c r="E158" s="51"/>
      <c r="F158" s="51"/>
      <c r="G158" s="51"/>
      <c r="H158" s="51"/>
      <c r="I158" s="51"/>
    </row>
    <row r="159" spans="1:9" ht="16.5" outlineLevel="1" thickBot="1">
      <c r="A159" s="31" t="s">
        <v>243</v>
      </c>
      <c r="B159" s="44">
        <f>-B128</f>
        <v>-8416320</v>
      </c>
      <c r="C159" s="44">
        <f t="shared" ref="C159:I159" si="121">B128-C128</f>
        <v>0</v>
      </c>
      <c r="D159" s="44">
        <f t="shared" si="121"/>
        <v>0</v>
      </c>
      <c r="E159" s="44">
        <f t="shared" si="121"/>
        <v>0</v>
      </c>
      <c r="F159" s="44">
        <f t="shared" si="121"/>
        <v>0</v>
      </c>
      <c r="G159" s="44">
        <f t="shared" si="121"/>
        <v>0</v>
      </c>
      <c r="H159" s="44">
        <f>G128-H128</f>
        <v>0</v>
      </c>
      <c r="I159" s="44">
        <f t="shared" si="121"/>
        <v>0</v>
      </c>
    </row>
    <row r="160" spans="1:9" ht="15.75" outlineLevel="1">
      <c r="A160" s="33"/>
      <c r="B160" s="51"/>
      <c r="C160" s="51"/>
      <c r="D160" s="51"/>
      <c r="E160" s="51"/>
      <c r="F160" s="51"/>
      <c r="G160" s="51"/>
      <c r="H160" s="51"/>
      <c r="I160" s="51"/>
    </row>
    <row r="161" spans="1:10" ht="15.75" outlineLevel="1">
      <c r="A161" s="52" t="s">
        <v>229</v>
      </c>
      <c r="B161" s="35">
        <f>B140</f>
        <v>9782464.443</v>
      </c>
      <c r="C161" s="35">
        <f>C140-B140</f>
        <v>0</v>
      </c>
      <c r="D161" s="35">
        <f t="shared" ref="D161:I161" si="122">C161</f>
        <v>0</v>
      </c>
      <c r="E161" s="35">
        <f t="shared" si="122"/>
        <v>0</v>
      </c>
      <c r="F161" s="35">
        <f t="shared" si="122"/>
        <v>0</v>
      </c>
      <c r="G161" s="35">
        <f t="shared" si="122"/>
        <v>0</v>
      </c>
      <c r="H161" s="35">
        <f>G161</f>
        <v>0</v>
      </c>
      <c r="I161" s="35">
        <f t="shared" si="122"/>
        <v>0</v>
      </c>
    </row>
    <row r="162" spans="1:10" ht="16.5" outlineLevel="1" thickBot="1">
      <c r="A162" s="31" t="s">
        <v>244</v>
      </c>
      <c r="B162" s="44">
        <f t="shared" ref="B162:G162" si="123">SUM(B161)</f>
        <v>9782464.443</v>
      </c>
      <c r="C162" s="44">
        <f t="shared" si="123"/>
        <v>0</v>
      </c>
      <c r="D162" s="44">
        <f t="shared" si="123"/>
        <v>0</v>
      </c>
      <c r="E162" s="44">
        <f t="shared" si="123"/>
        <v>0</v>
      </c>
      <c r="F162" s="44">
        <f t="shared" si="123"/>
        <v>0</v>
      </c>
      <c r="G162" s="44">
        <f t="shared" si="123"/>
        <v>0</v>
      </c>
      <c r="H162" s="44">
        <f t="shared" ref="H162:I162" si="124">SUM(H161)</f>
        <v>0</v>
      </c>
      <c r="I162" s="44">
        <f t="shared" si="124"/>
        <v>0</v>
      </c>
    </row>
    <row r="163" spans="1:10" outlineLevel="1">
      <c r="B163" s="51"/>
      <c r="C163" s="51"/>
      <c r="D163" s="51"/>
      <c r="E163" s="51"/>
      <c r="F163" s="51"/>
      <c r="G163" s="51"/>
      <c r="H163" s="51"/>
      <c r="I163" s="51"/>
    </row>
    <row r="164" spans="1:10" ht="15.75" outlineLevel="1">
      <c r="A164" s="52" t="s">
        <v>245</v>
      </c>
      <c r="B164" s="35">
        <v>0</v>
      </c>
      <c r="C164" s="35">
        <f t="shared" ref="C164:I164" ca="1" si="125">B166</f>
        <v>794114.28700000048</v>
      </c>
      <c r="D164" s="35">
        <f t="shared" ca="1" si="125"/>
        <v>1240800.4400000011</v>
      </c>
      <c r="E164" s="35">
        <f t="shared" ca="1" si="125"/>
        <v>2929607.3409980023</v>
      </c>
      <c r="F164" s="35">
        <f t="shared" ca="1" si="125"/>
        <v>5013036.7915430032</v>
      </c>
      <c r="G164" s="35">
        <f t="shared" ca="1" si="125"/>
        <v>7531379.2949630041</v>
      </c>
      <c r="H164" s="35">
        <f ca="1">G166</f>
        <v>10528221.760855405</v>
      </c>
      <c r="I164" s="35">
        <f t="shared" ca="1" si="125"/>
        <v>14050759.059957651</v>
      </c>
    </row>
    <row r="165" spans="1:10" ht="15.75" outlineLevel="1">
      <c r="A165" s="52" t="s">
        <v>246</v>
      </c>
      <c r="B165" s="35">
        <f t="shared" ref="B165:G165" ca="1" si="126">B157+B159+B162</f>
        <v>794114.28700000048</v>
      </c>
      <c r="C165" s="35">
        <f t="shared" ca="1" si="126"/>
        <v>446686.15300000063</v>
      </c>
      <c r="D165" s="35">
        <f t="shared" ca="1" si="126"/>
        <v>1688806.9009980015</v>
      </c>
      <c r="E165" s="35">
        <f t="shared" ca="1" si="126"/>
        <v>2083429.4505450006</v>
      </c>
      <c r="F165" s="35">
        <f t="shared" ca="1" si="126"/>
        <v>2518342.5034200009</v>
      </c>
      <c r="G165" s="35">
        <f t="shared" ca="1" si="126"/>
        <v>2996842.4658924006</v>
      </c>
      <c r="H165" s="35">
        <f t="shared" ref="H165:I165" ca="1" si="127">H157+H159+H162</f>
        <v>3522537.2991022472</v>
      </c>
      <c r="I165" s="35">
        <f t="shared" ca="1" si="127"/>
        <v>3851111.1089513591</v>
      </c>
    </row>
    <row r="166" spans="1:10" ht="16.5" outlineLevel="1" thickBot="1">
      <c r="A166" s="39" t="s">
        <v>247</v>
      </c>
      <c r="B166" s="40">
        <f t="shared" ref="B166:G166" ca="1" si="128">B164+B165</f>
        <v>794114.28700000048</v>
      </c>
      <c r="C166" s="40">
        <f t="shared" ca="1" si="128"/>
        <v>1240800.4400000011</v>
      </c>
      <c r="D166" s="40">
        <f t="shared" ca="1" si="128"/>
        <v>2929607.3409980023</v>
      </c>
      <c r="E166" s="40">
        <f t="shared" ca="1" si="128"/>
        <v>5013036.7915430032</v>
      </c>
      <c r="F166" s="40">
        <f t="shared" ca="1" si="128"/>
        <v>7531379.2949630041</v>
      </c>
      <c r="G166" s="40">
        <f t="shared" ca="1" si="128"/>
        <v>10528221.760855405</v>
      </c>
      <c r="H166" s="40">
        <f t="shared" ref="H166:I166" ca="1" si="129">H164+H165</f>
        <v>14050759.059957651</v>
      </c>
      <c r="I166" s="40">
        <f t="shared" ca="1" si="129"/>
        <v>17901870.16890901</v>
      </c>
    </row>
    <row r="167" spans="1:10" ht="16.5" outlineLevel="1" thickTop="1">
      <c r="A167" s="33"/>
      <c r="C167" s="49"/>
      <c r="D167" s="49"/>
      <c r="E167" s="49"/>
      <c r="F167" s="49"/>
      <c r="G167" s="49"/>
      <c r="H167" s="49"/>
      <c r="I167" s="49"/>
    </row>
    <row r="168" spans="1:10" ht="15.75" outlineLevel="1">
      <c r="A168" s="29" t="s">
        <v>248</v>
      </c>
      <c r="B168" s="29" t="s">
        <v>189</v>
      </c>
      <c r="C168" s="29" t="s">
        <v>180</v>
      </c>
      <c r="D168" s="29" t="s">
        <v>181</v>
      </c>
      <c r="E168" s="29" t="s">
        <v>182</v>
      </c>
      <c r="F168" s="29" t="s">
        <v>183</v>
      </c>
      <c r="G168" s="29" t="s">
        <v>184</v>
      </c>
      <c r="H168" s="29" t="s">
        <v>185</v>
      </c>
      <c r="I168" s="29" t="s">
        <v>186</v>
      </c>
    </row>
    <row r="169" spans="1:10" ht="15.75" outlineLevel="1">
      <c r="A169" s="33"/>
      <c r="B169" s="49"/>
      <c r="C169" s="49"/>
      <c r="D169" s="49"/>
      <c r="E169" s="49"/>
      <c r="F169" s="49"/>
      <c r="G169" s="49"/>
      <c r="H169" s="49"/>
      <c r="I169" s="49"/>
    </row>
    <row r="170" spans="1:10" ht="15.75" outlineLevel="1">
      <c r="A170" s="52" t="s">
        <v>242</v>
      </c>
      <c r="B170" s="35">
        <f ca="1">B79+3000000</f>
        <v>2427969.844</v>
      </c>
      <c r="C170" s="35">
        <f t="shared" ref="C170:I170" ca="1" si="130">C79</f>
        <v>135910.83010210004</v>
      </c>
      <c r="D170" s="35">
        <f t="shared" ca="1" si="130"/>
        <v>1401780.0339613811</v>
      </c>
      <c r="E170" s="35">
        <f t="shared" ca="1" si="130"/>
        <v>1821867.8171640839</v>
      </c>
      <c r="F170" s="35">
        <f t="shared" ca="1" si="130"/>
        <v>2284086.9874947751</v>
      </c>
      <c r="G170" s="35">
        <f t="shared" ca="1" si="130"/>
        <v>2791867.0288616172</v>
      </c>
      <c r="H170" s="35">
        <f t="shared" ca="1" si="130"/>
        <v>3348958.6002366599</v>
      </c>
      <c r="I170" s="35">
        <f t="shared" ca="1" si="130"/>
        <v>3711198.8209915506</v>
      </c>
    </row>
    <row r="171" spans="1:10" ht="15.75" outlineLevel="1">
      <c r="A171" s="52" t="s">
        <v>249</v>
      </c>
      <c r="B171" s="35">
        <f t="shared" ref="B171:I171" si="131">B80</f>
        <v>8416320</v>
      </c>
      <c r="C171" s="35">
        <f t="shared" si="131"/>
        <v>0</v>
      </c>
      <c r="D171" s="35">
        <f t="shared" si="131"/>
        <v>0</v>
      </c>
      <c r="E171" s="35">
        <f t="shared" si="131"/>
        <v>0</v>
      </c>
      <c r="F171" s="35">
        <f t="shared" si="131"/>
        <v>0</v>
      </c>
      <c r="G171" s="35">
        <f t="shared" si="131"/>
        <v>0</v>
      </c>
      <c r="H171" s="35">
        <f t="shared" si="131"/>
        <v>0</v>
      </c>
      <c r="I171" s="35">
        <f t="shared" si="131"/>
        <v>0</v>
      </c>
    </row>
    <row r="172" spans="1:10" ht="16.5" outlineLevel="1" thickBot="1">
      <c r="A172" s="39" t="s">
        <v>248</v>
      </c>
      <c r="B172" s="35">
        <f ca="1">B170-B171</f>
        <v>-5988350.1559999995</v>
      </c>
      <c r="C172" s="35">
        <f t="shared" ref="C172:I172" ca="1" si="132">C170-C171</f>
        <v>135910.83010210004</v>
      </c>
      <c r="D172" s="35">
        <f t="shared" ca="1" si="132"/>
        <v>1401780.0339613811</v>
      </c>
      <c r="E172" s="35">
        <f t="shared" ca="1" si="132"/>
        <v>1821867.8171640839</v>
      </c>
      <c r="F172" s="35">
        <f t="shared" ca="1" si="132"/>
        <v>2284086.9874947751</v>
      </c>
      <c r="G172" s="35">
        <f t="shared" ca="1" si="132"/>
        <v>2791867.0288616172</v>
      </c>
      <c r="H172" s="35">
        <f t="shared" ca="1" si="132"/>
        <v>3348958.6002366599</v>
      </c>
      <c r="I172" s="35">
        <f t="shared" ca="1" si="132"/>
        <v>3711198.8209915506</v>
      </c>
    </row>
    <row r="173" spans="1:10" ht="24.95" customHeight="1" thickTop="1" thickBot="1">
      <c r="A173" s="39" t="s">
        <v>250</v>
      </c>
      <c r="B173" s="40">
        <f ca="1">B172</f>
        <v>-5988350.1559999995</v>
      </c>
      <c r="C173" s="40">
        <f ca="1">B173+C172</f>
        <v>-5852439.3258978995</v>
      </c>
      <c r="D173" s="40">
        <f t="shared" ref="D173" ca="1" si="133">C173+D172</f>
        <v>-4450659.2919365186</v>
      </c>
      <c r="E173" s="40">
        <f t="shared" ref="E173" ca="1" si="134">D173+E172</f>
        <v>-2628791.4747724347</v>
      </c>
      <c r="F173" s="40">
        <f t="shared" ref="F173" ca="1" si="135">E173+F172</f>
        <v>-344704.48727765959</v>
      </c>
      <c r="G173" s="40">
        <f t="shared" ref="G173" ca="1" si="136">F173+G172</f>
        <v>2447162.5415839576</v>
      </c>
      <c r="H173" s="40">
        <f t="shared" ref="H173" ca="1" si="137">G173+H172</f>
        <v>5796121.141820617</v>
      </c>
      <c r="I173" s="40">
        <f t="shared" ref="I173" ca="1" si="138">H173+I172</f>
        <v>9507319.9628121667</v>
      </c>
      <c r="J173" s="453"/>
    </row>
    <row r="174" spans="1:10" ht="24.95" customHeight="1" thickTop="1" thickBot="1">
      <c r="A174" s="39" t="s">
        <v>28</v>
      </c>
      <c r="B174" s="470"/>
      <c r="C174" s="470">
        <f ca="1">F179</f>
        <v>1</v>
      </c>
      <c r="D174" s="470">
        <f ca="1">F180</f>
        <v>1</v>
      </c>
      <c r="E174" s="470">
        <f ca="1">F181</f>
        <v>1</v>
      </c>
      <c r="F174" s="470">
        <f ca="1">F182</f>
        <v>1</v>
      </c>
      <c r="G174" s="470">
        <f ca="1">F183</f>
        <v>0.12346737280615142</v>
      </c>
      <c r="H174" s="470">
        <f ca="1">F184</f>
        <v>0</v>
      </c>
      <c r="I174" s="470">
        <f ca="1">F185</f>
        <v>0</v>
      </c>
      <c r="J174" s="471">
        <f ca="1">E186</f>
        <v>4.1234673728061511</v>
      </c>
    </row>
    <row r="175" spans="1:10" ht="17.100000000000001" hidden="1" customHeight="1" thickTop="1">
      <c r="A175" s="47"/>
      <c r="B175" s="412"/>
      <c r="C175" s="412"/>
      <c r="D175" s="412"/>
      <c r="E175" s="412"/>
      <c r="F175" s="412"/>
      <c r="G175" s="412"/>
      <c r="H175" s="412"/>
      <c r="I175" s="412"/>
      <c r="J175" s="412"/>
    </row>
    <row r="176" spans="1:10" ht="17.100000000000001" hidden="1" customHeight="1">
      <c r="B176" s="770" t="s">
        <v>28</v>
      </c>
      <c r="C176" s="771"/>
      <c r="D176" s="771"/>
      <c r="E176" s="771"/>
      <c r="F176" s="412"/>
      <c r="G176" s="412"/>
      <c r="H176" s="412"/>
      <c r="I176" s="412"/>
    </row>
    <row r="177" spans="1:9" ht="31.9" hidden="1" customHeight="1">
      <c r="B177" s="458" t="s">
        <v>251</v>
      </c>
      <c r="C177" s="461" t="s">
        <v>252</v>
      </c>
      <c r="D177" s="462" t="s">
        <v>253</v>
      </c>
      <c r="E177" s="462" t="s">
        <v>254</v>
      </c>
      <c r="F177" s="412"/>
      <c r="G177" s="412"/>
      <c r="H177" s="412"/>
      <c r="I177" s="412"/>
    </row>
    <row r="178" spans="1:9" ht="31.5" hidden="1">
      <c r="B178" s="459" t="s">
        <v>255</v>
      </c>
      <c r="C178" s="455" t="s">
        <v>256</v>
      </c>
      <c r="D178" s="457">
        <f ca="1">B172</f>
        <v>-5988350.1559999995</v>
      </c>
      <c r="E178" s="457">
        <f ca="1">D178</f>
        <v>-5988350.1559999995</v>
      </c>
      <c r="F178" s="454" t="str">
        <f ca="1">IF(E178&lt;0,B178,0)</f>
        <v>0</v>
      </c>
      <c r="G178" s="412"/>
      <c r="H178" s="412"/>
      <c r="I178" s="412"/>
    </row>
    <row r="179" spans="1:9" ht="17.100000000000001" hidden="1" customHeight="1">
      <c r="B179" s="460">
        <v>1</v>
      </c>
      <c r="C179" s="456" t="s">
        <v>257</v>
      </c>
      <c r="D179" s="457">
        <f ca="1">C172</f>
        <v>135910.83010210004</v>
      </c>
      <c r="E179" s="457">
        <f ca="1">D179+E178</f>
        <v>-5852439.3258978995</v>
      </c>
      <c r="F179" s="454">
        <f t="shared" ref="F179:F185" ca="1" si="139">IF(E179&lt;0,1,IF(IF((D179+E178)&gt;0,(-E178)/D179,0)&gt;0,IF((D179+E178)&gt;0,(-E178)/D179,0),0))</f>
        <v>1</v>
      </c>
      <c r="G179" s="412"/>
      <c r="H179" s="412"/>
      <c r="I179" s="412"/>
    </row>
    <row r="180" spans="1:9" ht="17.100000000000001" hidden="1" customHeight="1">
      <c r="B180" s="460">
        <v>2</v>
      </c>
      <c r="C180" s="456" t="s">
        <v>257</v>
      </c>
      <c r="D180" s="457">
        <f ca="1">D172</f>
        <v>1401780.0339613811</v>
      </c>
      <c r="E180" s="457">
        <f ca="1">E179+D180</f>
        <v>-4450659.2919365186</v>
      </c>
      <c r="F180" s="454">
        <f t="shared" ca="1" si="139"/>
        <v>1</v>
      </c>
      <c r="G180" s="412"/>
      <c r="H180" s="412"/>
      <c r="I180" s="412"/>
    </row>
    <row r="181" spans="1:9" ht="17.100000000000001" hidden="1" customHeight="1">
      <c r="B181" s="460">
        <v>3</v>
      </c>
      <c r="C181" s="456" t="s">
        <v>257</v>
      </c>
      <c r="D181" s="457">
        <f ca="1">E172</f>
        <v>1821867.8171640839</v>
      </c>
      <c r="E181" s="457">
        <f t="shared" ref="E181:E185" ca="1" si="140">E180+D181</f>
        <v>-2628791.4747724347</v>
      </c>
      <c r="F181" s="454">
        <f t="shared" ca="1" si="139"/>
        <v>1</v>
      </c>
      <c r="G181" s="412"/>
      <c r="H181" s="412"/>
      <c r="I181" s="412"/>
    </row>
    <row r="182" spans="1:9" ht="17.100000000000001" hidden="1" customHeight="1">
      <c r="B182" s="460">
        <v>4</v>
      </c>
      <c r="C182" s="456" t="s">
        <v>257</v>
      </c>
      <c r="D182" s="457">
        <f ca="1">F172</f>
        <v>2284086.9874947751</v>
      </c>
      <c r="E182" s="457">
        <f t="shared" ca="1" si="140"/>
        <v>-344704.48727765959</v>
      </c>
      <c r="F182" s="454">
        <f t="shared" ca="1" si="139"/>
        <v>1</v>
      </c>
      <c r="G182" s="412"/>
      <c r="H182" s="412"/>
      <c r="I182" s="412"/>
    </row>
    <row r="183" spans="1:9" ht="17.100000000000001" hidden="1" customHeight="1">
      <c r="B183" s="460">
        <v>5</v>
      </c>
      <c r="C183" s="456" t="s">
        <v>257</v>
      </c>
      <c r="D183" s="457">
        <f ca="1">G172</f>
        <v>2791867.0288616172</v>
      </c>
      <c r="E183" s="457">
        <f t="shared" ca="1" si="140"/>
        <v>2447162.5415839576</v>
      </c>
      <c r="F183" s="454">
        <f t="shared" ca="1" si="139"/>
        <v>0.12346737280615142</v>
      </c>
      <c r="G183" s="412"/>
      <c r="H183" s="412"/>
      <c r="I183" s="412"/>
    </row>
    <row r="184" spans="1:9" ht="17.100000000000001" hidden="1" customHeight="1">
      <c r="B184" s="460">
        <v>6</v>
      </c>
      <c r="C184" s="456" t="s">
        <v>257</v>
      </c>
      <c r="D184" s="457">
        <f ca="1">H172</f>
        <v>3348958.6002366599</v>
      </c>
      <c r="E184" s="457">
        <f t="shared" ca="1" si="140"/>
        <v>5796121.141820617</v>
      </c>
      <c r="F184" s="454">
        <f t="shared" ca="1" si="139"/>
        <v>0</v>
      </c>
      <c r="G184" s="412"/>
      <c r="H184" s="412"/>
      <c r="I184" s="412"/>
    </row>
    <row r="185" spans="1:9" ht="17.100000000000001" hidden="1" customHeight="1">
      <c r="B185" s="460">
        <v>7</v>
      </c>
      <c r="C185" s="456" t="s">
        <v>257</v>
      </c>
      <c r="D185" s="457">
        <f ca="1">I172</f>
        <v>3711198.8209915506</v>
      </c>
      <c r="E185" s="457">
        <f t="shared" ca="1" si="140"/>
        <v>9507319.9628121667</v>
      </c>
      <c r="F185" s="454">
        <f t="shared" ca="1" si="139"/>
        <v>0</v>
      </c>
      <c r="G185" s="412"/>
      <c r="H185" s="412"/>
      <c r="I185" s="412"/>
    </row>
    <row r="186" spans="1:9" ht="17.100000000000001" hidden="1" customHeight="1">
      <c r="B186" s="772" t="s">
        <v>258</v>
      </c>
      <c r="C186" s="772"/>
      <c r="D186" s="772"/>
      <c r="E186" s="463">
        <f ca="1">IF(E178&lt;0,B178,0)+IF(E179&lt;0,1,IF(IF((D179+E178)&gt;0,(-E178)/D179,0)&gt;0,IF((D179+E178)&gt;0,(-E178)/D179,0),0))+IF(E180&lt;0,1,IF(IF((D180+E179)&gt;0,(-E179)/D180,0)&gt;0,IF((D180+E179)&gt;0,(-E179)/D180,0),0))+IF(E181&lt;0,1,IF(IF((D181+E180)&gt;0,(-E180)/D181,0)&gt;0,IF((D181+E180)&gt;0,(-E180)/D181,0),0))+IF(E182&lt;0,1,IF(IF((D182+E181)&gt;0,(-E181)/D182,0)&gt;0,IF((D182+E181)&gt;0,(-E181)/D182,0),0))+IF(E183&lt;0,1,IF(IF((D183+E182)&gt;0,(-E182)/D183,0)&gt;0,IF((D183+E182)&gt;0,(-E182)/D183,0),0))+IF(E184&lt;0,1,IF(IF((D184+E183)&gt;0,(-E183)/D184,0)&gt;0,IF((D184+E183)&gt;0,(-E183)/D184,0),0))+IF(E185&lt;0,1,IF(IF((D185+E184)&gt;0,(-E184)/D185,0)&gt;0,IF((D185+E184)&gt;0,(-E184)/D185,0),0))</f>
        <v>4.1234673728061511</v>
      </c>
      <c r="F186" s="412"/>
      <c r="G186" s="412"/>
      <c r="H186" s="412"/>
      <c r="I186" s="412"/>
    </row>
    <row r="187" spans="1:9" ht="54" customHeight="1" thickTop="1">
      <c r="A187" s="776" t="str">
        <f>'Scenario Analysis'!A6</f>
        <v>Scenario 3</v>
      </c>
      <c r="B187" s="777"/>
      <c r="C187" s="777"/>
      <c r="D187" s="777"/>
      <c r="E187" s="777"/>
      <c r="F187" s="777"/>
      <c r="G187" s="777"/>
      <c r="H187" s="777"/>
      <c r="I187" s="777"/>
    </row>
    <row r="188" spans="1:9" ht="15.75" outlineLevel="1">
      <c r="A188" s="350" t="s">
        <v>188</v>
      </c>
      <c r="B188" s="351" t="s">
        <v>189</v>
      </c>
      <c r="C188" s="352" t="s">
        <v>180</v>
      </c>
      <c r="D188" s="352" t="s">
        <v>181</v>
      </c>
      <c r="E188" s="352" t="s">
        <v>182</v>
      </c>
      <c r="F188" s="352" t="s">
        <v>183</v>
      </c>
      <c r="G188" s="353" t="s">
        <v>184</v>
      </c>
      <c r="H188" s="353" t="s">
        <v>185</v>
      </c>
      <c r="I188" s="353" t="s">
        <v>186</v>
      </c>
    </row>
    <row r="189" spans="1:9" ht="15.75" outlineLevel="1">
      <c r="A189" s="354" t="s">
        <v>190</v>
      </c>
      <c r="B189" s="355"/>
      <c r="C189" s="355">
        <f>C6/Capacity*'Scenario Analysis'!$B$6*(1+'Scenario Analysis'!$C$6)*(1+'Scenario Analysis'!$D$6)</f>
        <v>7409880</v>
      </c>
      <c r="D189" s="355">
        <f ca="1">D6/Capacity*'Scenario Analysis'!$B$6*(1+'Scenario Analysis'!$C$6)*(1+'Scenario Analysis'!$D$6)*(1+'Scenario Analysis'!$H$6)/(1+'Scenario Analysis'!$H$4)</f>
        <v>8639920.0800000001</v>
      </c>
      <c r="E189" s="355">
        <f ca="1">E6/Capacity*'Scenario Analysis'!$B$6*(1+'Scenario Analysis'!$C$6)*(1+'Scenario Analysis'!$D$6)*(1+'Scenario Analysis'!$H$6)/(1+'Scenario Analysis'!$H$4)</f>
        <v>9990988.2000000011</v>
      </c>
      <c r="F189" s="355">
        <f ca="1">F6/Capacity*'Scenario Analysis'!$B$6*(1+'Scenario Analysis'!$C$6)*(1+'Scenario Analysis'!$D$6)*(1+'Scenario Analysis'!$H$6)/(1+'Scenario Analysis'!$H$4)</f>
        <v>11472964.199999997</v>
      </c>
      <c r="G189" s="355">
        <f ca="1">G6/Capacity*'Scenario Analysis'!$B$6*(1+'Scenario Analysis'!$C$6)*(1+'Scenario Analysis'!$D$6)*(1+'Scenario Analysis'!$H$6)/(1+'Scenario Analysis'!$H$4)</f>
        <v>13096715.903999999</v>
      </c>
      <c r="H189" s="355">
        <f ca="1">H6/Capacity*'Scenario Analysis'!$B$6*(1+'Scenario Analysis'!$C$6)*(1+'Scenario Analysis'!$D$6)*(1+'Scenario Analysis'!$H$6)/(1+'Scenario Analysis'!$H$4)</f>
        <v>14874099.120000003</v>
      </c>
      <c r="I189" s="355">
        <f ca="1">I6/Capacity*'Scenario Analysis'!$B$6*(1+'Scenario Analysis'!$C$6)*(1+'Scenario Analysis'!$D$6)*(1+'Scenario Analysis'!$H$6)/(1+'Scenario Analysis'!$H$4)</f>
        <v>15766742.663999997</v>
      </c>
    </row>
    <row r="190" spans="1:9" ht="15.75" outlineLevel="1">
      <c r="A190" s="357" t="s">
        <v>191</v>
      </c>
      <c r="B190" s="358"/>
      <c r="C190" s="358"/>
      <c r="D190" s="358"/>
      <c r="E190" s="358"/>
      <c r="F190" s="358"/>
      <c r="G190" s="359"/>
      <c r="H190" s="359"/>
      <c r="I190" s="359"/>
    </row>
    <row r="191" spans="1:9" ht="15.75" outlineLevel="1">
      <c r="A191" s="360" t="s">
        <v>192</v>
      </c>
      <c r="B191" s="361"/>
      <c r="C191" s="361">
        <f t="shared" ref="C191:I191" ca="1" si="141">-B193</f>
        <v>410693.47200000001</v>
      </c>
      <c r="D191" s="361">
        <f t="shared" ca="1" si="141"/>
        <v>410693.47200000001</v>
      </c>
      <c r="E191" s="361">
        <f t="shared" ca="1" si="141"/>
        <v>478868.58835199999</v>
      </c>
      <c r="F191" s="361">
        <f t="shared" ca="1" si="141"/>
        <v>553751.69808000012</v>
      </c>
      <c r="G191" s="362">
        <f t="shared" ca="1" si="141"/>
        <v>635890.39247999992</v>
      </c>
      <c r="H191" s="362">
        <f ca="1">-G193</f>
        <v>725887.02197760006</v>
      </c>
      <c r="I191" s="362">
        <f t="shared" ca="1" si="141"/>
        <v>824398.69612800027</v>
      </c>
    </row>
    <row r="192" spans="1:9" ht="15.75" outlineLevel="1">
      <c r="A192" s="363" t="s">
        <v>193</v>
      </c>
      <c r="B192" s="364">
        <f ca="1">B101/Capacity*'Scenario Analysis'!$B$6*(1+'Scenario Analysis'!$E$6)</f>
        <v>410693.47200000001</v>
      </c>
      <c r="C192" s="364">
        <f ca="1">C101/Capacity*'Scenario Analysis'!$B$6*(1+'Scenario Analysis'!$E$6)</f>
        <v>4928321.6639999999</v>
      </c>
      <c r="D192" s="364">
        <f ca="1">D101/Capacity*'Scenario Analysis'!$B$6*(1+'Scenario Analysis'!$E$6)*(1+'Scenario Analysis'!$G$6)/(1+'Scenario Analysis'!$G$4)</f>
        <v>5224020.9638400003</v>
      </c>
      <c r="E192" s="364">
        <f ca="1">E101/Capacity*'Scenario Analysis'!$B$6*(1+'Scenario Analysis'!$E$6)*(1+'Scenario Analysis'!$G$6)/(1+'Scenario Analysis'!$G$4)</f>
        <v>6040927.6154181808</v>
      </c>
      <c r="F192" s="364">
        <f ca="1">F101/Capacity*'Scenario Analysis'!$B$6*(1+'Scenario Analysis'!$E$6)*(1+'Scenario Analysis'!$G$6)/(1+'Scenario Analysis'!$G$4)</f>
        <v>6936986.0997818168</v>
      </c>
      <c r="G192" s="364">
        <f ca="1">G101/Capacity*'Scenario Analysis'!$B$6*(1+'Scenario Analysis'!$E$6)*(1+'Scenario Analysis'!$G$6)/(1+'Scenario Analysis'!$G$4)</f>
        <v>7918767.5124829067</v>
      </c>
      <c r="H192" s="364">
        <f ca="1">H101/Capacity*'Scenario Analysis'!$B$6*(1+'Scenario Analysis'!$E$6)*(1+'Scenario Analysis'!$G$6)/(1+'Scenario Analysis'!$G$4)</f>
        <v>8993440.3213963639</v>
      </c>
      <c r="I192" s="364">
        <f ca="1">I101/Capacity*'Scenario Analysis'!$B$6*(1+'Scenario Analysis'!$E$6)*(1+'Scenario Analysis'!$G$6)/(1+'Scenario Analysis'!$G$4)</f>
        <v>9533166.2151447237</v>
      </c>
    </row>
    <row r="193" spans="1:9" ht="15.75" outlineLevel="1">
      <c r="A193" s="360" t="s">
        <v>194</v>
      </c>
      <c r="B193" s="361">
        <f ca="1">-B192</f>
        <v>-410693.47200000001</v>
      </c>
      <c r="C193" s="361">
        <f ca="1">-B192</f>
        <v>-410693.47200000001</v>
      </c>
      <c r="D193" s="361">
        <f t="shared" ref="D193:I193" ca="1" si="142">C193/C189*D189</f>
        <v>-478868.58835199999</v>
      </c>
      <c r="E193" s="361">
        <f t="shared" ca="1" si="142"/>
        <v>-553751.69808000012</v>
      </c>
      <c r="F193" s="361">
        <f t="shared" ca="1" si="142"/>
        <v>-635890.39247999992</v>
      </c>
      <c r="G193" s="362">
        <f t="shared" ca="1" si="142"/>
        <v>-725887.02197760006</v>
      </c>
      <c r="H193" s="362">
        <f ca="1">G193/G189*H189</f>
        <v>-824398.69612800027</v>
      </c>
      <c r="I193" s="362">
        <f t="shared" ca="1" si="142"/>
        <v>-873873.56972159992</v>
      </c>
    </row>
    <row r="194" spans="1:9" ht="15.75" outlineLevel="1">
      <c r="A194" s="366" t="s">
        <v>191</v>
      </c>
      <c r="B194" s="367">
        <f t="shared" ref="B194:G194" ca="1" si="143">B192+B193+B191</f>
        <v>0</v>
      </c>
      <c r="C194" s="367">
        <f t="shared" ca="1" si="143"/>
        <v>4928321.6639999999</v>
      </c>
      <c r="D194" s="367">
        <f t="shared" ca="1" si="143"/>
        <v>5155845.8474880001</v>
      </c>
      <c r="E194" s="367">
        <f t="shared" ca="1" si="143"/>
        <v>5966044.5056901807</v>
      </c>
      <c r="F194" s="367">
        <f t="shared" ca="1" si="143"/>
        <v>6854847.4053818174</v>
      </c>
      <c r="G194" s="368">
        <f t="shared" ca="1" si="143"/>
        <v>7828770.8829853069</v>
      </c>
      <c r="H194" s="368">
        <f t="shared" ref="H194:I194" ca="1" si="144">H192+H193+H191</f>
        <v>8894928.647245964</v>
      </c>
      <c r="I194" s="368">
        <f t="shared" ca="1" si="144"/>
        <v>9483691.3415511232</v>
      </c>
    </row>
    <row r="195" spans="1:9" ht="15.75" outlineLevel="1">
      <c r="A195" s="354" t="s">
        <v>195</v>
      </c>
      <c r="B195" s="369">
        <f t="shared" ref="B195:G195" ca="1" si="145">B189-B194</f>
        <v>0</v>
      </c>
      <c r="C195" s="369">
        <f t="shared" ca="1" si="145"/>
        <v>2481558.3360000001</v>
      </c>
      <c r="D195" s="369">
        <f t="shared" ca="1" si="145"/>
        <v>3484074.232512</v>
      </c>
      <c r="E195" s="369">
        <f t="shared" ca="1" si="145"/>
        <v>4024943.6943098204</v>
      </c>
      <c r="F195" s="369">
        <f t="shared" ca="1" si="145"/>
        <v>4618116.79461818</v>
      </c>
      <c r="G195" s="370">
        <f t="shared" ca="1" si="145"/>
        <v>5267945.0210146923</v>
      </c>
      <c r="H195" s="370">
        <f t="shared" ref="H195:I195" ca="1" si="146">H189-H194</f>
        <v>5979170.4727540389</v>
      </c>
      <c r="I195" s="370">
        <f t="shared" ca="1" si="146"/>
        <v>6283051.3224488739</v>
      </c>
    </row>
    <row r="196" spans="1:9" ht="15.75" outlineLevel="1">
      <c r="A196" s="366" t="s">
        <v>196</v>
      </c>
      <c r="B196" s="371"/>
      <c r="C196" s="371"/>
      <c r="D196" s="371"/>
      <c r="E196" s="371"/>
      <c r="F196" s="371"/>
      <c r="G196" s="372"/>
      <c r="H196" s="372"/>
      <c r="I196" s="372"/>
    </row>
    <row r="197" spans="1:9" ht="15.75" outlineLevel="1">
      <c r="A197" s="360" t="s">
        <v>197</v>
      </c>
      <c r="B197" s="373"/>
      <c r="C197" s="373">
        <f t="shared" ref="C197:I198" si="147">B226-C226</f>
        <v>0</v>
      </c>
      <c r="D197" s="373">
        <f t="shared" si="147"/>
        <v>0</v>
      </c>
      <c r="E197" s="373">
        <f t="shared" si="147"/>
        <v>0</v>
      </c>
      <c r="F197" s="373">
        <f t="shared" si="147"/>
        <v>0</v>
      </c>
      <c r="G197" s="374">
        <f t="shared" si="147"/>
        <v>0</v>
      </c>
      <c r="H197" s="374">
        <f>G226-H226</f>
        <v>0</v>
      </c>
      <c r="I197" s="374">
        <f t="shared" si="147"/>
        <v>0</v>
      </c>
    </row>
    <row r="198" spans="1:9" ht="15.75" outlineLevel="1">
      <c r="A198" s="375" t="s">
        <v>198</v>
      </c>
      <c r="B198" s="376"/>
      <c r="C198" s="376">
        <f t="shared" si="147"/>
        <v>0</v>
      </c>
      <c r="D198" s="376">
        <f t="shared" si="147"/>
        <v>0</v>
      </c>
      <c r="E198" s="376">
        <f t="shared" si="147"/>
        <v>0</v>
      </c>
      <c r="F198" s="376">
        <f t="shared" si="147"/>
        <v>0</v>
      </c>
      <c r="G198" s="377">
        <f t="shared" si="147"/>
        <v>0</v>
      </c>
      <c r="H198" s="377">
        <f>G227-H227</f>
        <v>0</v>
      </c>
      <c r="I198" s="377">
        <f t="shared" si="147"/>
        <v>0</v>
      </c>
    </row>
    <row r="199" spans="1:9" ht="15.75" outlineLevel="1">
      <c r="A199" s="354" t="s">
        <v>259</v>
      </c>
      <c r="B199" s="369"/>
      <c r="C199" s="369"/>
      <c r="D199" s="369"/>
      <c r="E199" s="369"/>
      <c r="F199" s="369"/>
      <c r="G199" s="370"/>
      <c r="H199" s="370"/>
      <c r="I199" s="370"/>
    </row>
    <row r="200" spans="1:9" ht="15.75" outlineLevel="1">
      <c r="A200" s="375" t="s">
        <v>199</v>
      </c>
      <c r="B200" s="378"/>
      <c r="C200" s="378">
        <f>C109</f>
        <v>799100</v>
      </c>
      <c r="D200" s="378">
        <f>D109/(1+'Scenario Analysis'!$H$4)*(1+'Scenario Analysis'!$H$6)</f>
        <v>839055</v>
      </c>
      <c r="E200" s="378">
        <f>E109/(1+'Scenario Analysis'!$H$4)*(1+'Scenario Analysis'!$H$6)</f>
        <v>881007.75</v>
      </c>
      <c r="F200" s="378">
        <f>F109/(1+'Scenario Analysis'!$H$4)*(1+'Scenario Analysis'!$H$6)</f>
        <v>925058.13750000007</v>
      </c>
      <c r="G200" s="378">
        <f>G109/(1+'Scenario Analysis'!$H$4)*(1+'Scenario Analysis'!$H$6)</f>
        <v>971311.04437500017</v>
      </c>
      <c r="H200" s="378">
        <f>H109/(1+'Scenario Analysis'!$H$4)*(1+'Scenario Analysis'!$H$6)</f>
        <v>1019876.5965937502</v>
      </c>
      <c r="I200" s="378">
        <f>I109/(1+'Scenario Analysis'!$H$4)*(1+'Scenario Analysis'!$H$6)</f>
        <v>1070870.4264234377</v>
      </c>
    </row>
    <row r="201" spans="1:9" ht="15.75" outlineLevel="1">
      <c r="A201" s="360" t="s">
        <v>200</v>
      </c>
      <c r="B201" s="380"/>
      <c r="C201" s="378">
        <f>C110</f>
        <v>613952.59999999986</v>
      </c>
      <c r="D201" s="380">
        <f ca="1">D110/(1+'Scenario Analysis'!$G$4)*(1+'Scenario Analysis'!$G$6)</f>
        <v>503952.60000000003</v>
      </c>
      <c r="E201" s="380">
        <f ca="1">E110/(1+'Scenario Analysis'!$G$4)*(1+'Scenario Analysis'!$G$6)</f>
        <v>554347.86</v>
      </c>
      <c r="F201" s="380">
        <f ca="1">F110/(1+'Scenario Analysis'!$G$4)*(1+'Scenario Analysis'!$G$6)</f>
        <v>609782.64600000007</v>
      </c>
      <c r="G201" s="380">
        <f ca="1">G110/(1+'Scenario Analysis'!$G$4)*(1+'Scenario Analysis'!$G$6)</f>
        <v>670760.91060000018</v>
      </c>
      <c r="H201" s="380">
        <f ca="1">H110/(1+'Scenario Analysis'!$G$4)*(1+'Scenario Analysis'!$G$6)</f>
        <v>737837.0016600003</v>
      </c>
      <c r="I201" s="380">
        <f ca="1">I110/(1+'Scenario Analysis'!$G$4)*(1+'Scenario Analysis'!$G$6)</f>
        <v>811620.70182600035</v>
      </c>
    </row>
    <row r="202" spans="1:9" ht="15.75" outlineLevel="1">
      <c r="A202" s="375" t="s">
        <v>201</v>
      </c>
      <c r="B202" s="358"/>
      <c r="C202" s="358">
        <f>'Cashflow Projection &amp; Investme'!O88</f>
        <v>0</v>
      </c>
      <c r="D202" s="358"/>
      <c r="E202" s="358"/>
      <c r="F202" s="358"/>
      <c r="G202" s="359"/>
      <c r="H202" s="359"/>
      <c r="I202" s="359"/>
    </row>
    <row r="203" spans="1:9" ht="15.75" outlineLevel="1">
      <c r="A203" s="354" t="s">
        <v>202</v>
      </c>
      <c r="B203" s="369">
        <f t="shared" ref="B203:G203" ca="1" si="148">B195+B197+B198-B200-B201-B202</f>
        <v>0</v>
      </c>
      <c r="C203" s="369">
        <f t="shared" ca="1" si="148"/>
        <v>1068505.7360000003</v>
      </c>
      <c r="D203" s="369">
        <f t="shared" ca="1" si="148"/>
        <v>2141066.6325119999</v>
      </c>
      <c r="E203" s="369">
        <f t="shared" ca="1" si="148"/>
        <v>2589588.0843098206</v>
      </c>
      <c r="F203" s="369">
        <f t="shared" ca="1" si="148"/>
        <v>3083276.0111181797</v>
      </c>
      <c r="G203" s="370">
        <f t="shared" ca="1" si="148"/>
        <v>3625873.0660396917</v>
      </c>
      <c r="H203" s="370">
        <f t="shared" ref="H203:I203" ca="1" si="149">H195+H197+H198-H200-H201-H202</f>
        <v>4221456.8745002877</v>
      </c>
      <c r="I203" s="370">
        <f t="shared" ca="1" si="149"/>
        <v>4400560.1941994354</v>
      </c>
    </row>
    <row r="204" spans="1:9" ht="15.75" outlineLevel="1">
      <c r="A204" s="375" t="s">
        <v>203</v>
      </c>
      <c r="B204" s="382"/>
      <c r="C204" s="382">
        <f>'Capital Expenditures'!J130-'Capital Expenditures'!J129</f>
        <v>16940</v>
      </c>
      <c r="D204" s="382">
        <f>C204</f>
        <v>16940</v>
      </c>
      <c r="E204" s="382">
        <f t="shared" ref="E204:G204" si="150">D204</f>
        <v>16940</v>
      </c>
      <c r="F204" s="382">
        <f t="shared" si="150"/>
        <v>16940</v>
      </c>
      <c r="G204" s="382">
        <f t="shared" si="150"/>
        <v>16940</v>
      </c>
      <c r="H204" s="382">
        <f>G204</f>
        <v>16940</v>
      </c>
      <c r="I204" s="382">
        <f>H204</f>
        <v>16940</v>
      </c>
    </row>
    <row r="205" spans="1:9" ht="15.75" outlineLevel="1">
      <c r="A205" s="360" t="s">
        <v>204</v>
      </c>
      <c r="B205" s="380"/>
      <c r="C205" s="380">
        <f>'Capital Expenditures'!J129</f>
        <v>0</v>
      </c>
      <c r="D205" s="382">
        <f t="shared" ref="D205:G205" si="151">C205</f>
        <v>0</v>
      </c>
      <c r="E205" s="382">
        <f t="shared" si="151"/>
        <v>0</v>
      </c>
      <c r="F205" s="382">
        <f t="shared" si="151"/>
        <v>0</v>
      </c>
      <c r="G205" s="382">
        <f t="shared" si="151"/>
        <v>0</v>
      </c>
      <c r="H205" s="382">
        <f>G205</f>
        <v>0</v>
      </c>
      <c r="I205" s="382">
        <f>H205</f>
        <v>0</v>
      </c>
    </row>
    <row r="206" spans="1:9" ht="15.75" outlineLevel="1">
      <c r="A206" s="366" t="s">
        <v>205</v>
      </c>
      <c r="B206" s="367">
        <f t="shared" ref="B206:G206" ca="1" si="152">B203-B204-B205</f>
        <v>0</v>
      </c>
      <c r="C206" s="367">
        <f t="shared" ca="1" si="152"/>
        <v>1051565.7360000003</v>
      </c>
      <c r="D206" s="367">
        <f t="shared" ca="1" si="152"/>
        <v>2124126.6325119999</v>
      </c>
      <c r="E206" s="367">
        <f t="shared" ca="1" si="152"/>
        <v>2572648.0843098206</v>
      </c>
      <c r="F206" s="367">
        <f t="shared" ca="1" si="152"/>
        <v>3066336.0111181797</v>
      </c>
      <c r="G206" s="368">
        <f t="shared" ca="1" si="152"/>
        <v>3608933.0660396917</v>
      </c>
      <c r="H206" s="368">
        <f t="shared" ref="H206:I206" ca="1" si="153">H203-H204-H205</f>
        <v>4204516.8745002877</v>
      </c>
      <c r="I206" s="368">
        <f t="shared" ca="1" si="153"/>
        <v>4383620.1941994354</v>
      </c>
    </row>
    <row r="207" spans="1:9" ht="15.75" outlineLevel="1">
      <c r="A207" s="360" t="s">
        <v>206</v>
      </c>
      <c r="B207" s="383"/>
      <c r="C207" s="384">
        <f>IFERROR(VLOOKUP('Amortization Table 3'!$A$17+11,'Amortization Table 3'!$A:$K,11)-B207,0)</f>
        <v>0</v>
      </c>
      <c r="D207" s="384">
        <f>IFERROR(VLOOKUP('Amortization Table 3'!$A$17+23,'Amortization Table 3'!$A:$K,11)-B207-C207,0)</f>
        <v>0</v>
      </c>
      <c r="E207" s="384">
        <f>IFERROR(VLOOKUP('Amortization Table 3'!$A$17+35,'Amortization Table 3'!$A:$K,11)-D207-C207,0)</f>
        <v>0</v>
      </c>
      <c r="F207" s="384">
        <f>IFERROR(VLOOKUP('Amortization Table 3'!$A$17+47,'Amortization Table 3'!$A:$K,11)-B207-C207-D207-E207,0)</f>
        <v>0</v>
      </c>
      <c r="G207" s="385">
        <f>IFERROR(VLOOKUP('Amortization Table 3'!$A$17+59,'Amortization Table 3'!$A:$K,11)-C207-D207-E207-F207,0)</f>
        <v>0</v>
      </c>
      <c r="H207" s="385">
        <f>IFERROR(VLOOKUP('Amortization Table 3'!$A$17+71,'Amortization Table 3'!$A:$K,11)-D207-E207-F207-G207-C207,0)</f>
        <v>0</v>
      </c>
      <c r="I207" s="385">
        <f>IFERROR(VLOOKUP('Amortization Table 3'!$A$17+83,'Amortization Table 3'!$A:$K,11)-E207-F207-G207-H207-D207-C207,0)</f>
        <v>0</v>
      </c>
    </row>
    <row r="208" spans="1:9" ht="15.75" outlineLevel="1">
      <c r="A208" s="366" t="s">
        <v>207</v>
      </c>
      <c r="B208" s="371">
        <f t="shared" ref="B208:G208" ca="1" si="154">B206-B207</f>
        <v>0</v>
      </c>
      <c r="C208" s="371">
        <f t="shared" ca="1" si="154"/>
        <v>1051565.7360000003</v>
      </c>
      <c r="D208" s="371">
        <f t="shared" ca="1" si="154"/>
        <v>2124126.6325119999</v>
      </c>
      <c r="E208" s="371">
        <f t="shared" ca="1" si="154"/>
        <v>2572648.0843098206</v>
      </c>
      <c r="F208" s="371">
        <f t="shared" ca="1" si="154"/>
        <v>3066336.0111181797</v>
      </c>
      <c r="G208" s="372">
        <f t="shared" ca="1" si="154"/>
        <v>3608933.0660396917</v>
      </c>
      <c r="H208" s="372">
        <f t="shared" ref="H208:I208" ca="1" si="155">H206-H207</f>
        <v>4204516.8745002877</v>
      </c>
      <c r="I208" s="372">
        <f t="shared" ca="1" si="155"/>
        <v>4383620.1941994354</v>
      </c>
    </row>
    <row r="209" spans="1:17" ht="15.75" outlineLevel="1">
      <c r="A209" s="360" t="s">
        <v>208</v>
      </c>
      <c r="B209" s="386"/>
      <c r="C209" s="386"/>
      <c r="D209" s="386"/>
      <c r="E209" s="386"/>
      <c r="F209" s="386"/>
      <c r="G209" s="387"/>
      <c r="H209" s="387"/>
      <c r="I209" s="387"/>
    </row>
    <row r="210" spans="1:17" ht="16.5" outlineLevel="1" thickBot="1">
      <c r="A210" s="388" t="s">
        <v>209</v>
      </c>
      <c r="B210" s="389">
        <f t="shared" ref="B210:G210" ca="1" si="156">B208-B209</f>
        <v>0</v>
      </c>
      <c r="C210" s="389">
        <f t="shared" ca="1" si="156"/>
        <v>1051565.7360000003</v>
      </c>
      <c r="D210" s="389">
        <f t="shared" ca="1" si="156"/>
        <v>2124126.6325119999</v>
      </c>
      <c r="E210" s="389">
        <f t="shared" ca="1" si="156"/>
        <v>2572648.0843098206</v>
      </c>
      <c r="F210" s="389">
        <f t="shared" ca="1" si="156"/>
        <v>3066336.0111181797</v>
      </c>
      <c r="G210" s="390">
        <f t="shared" ca="1" si="156"/>
        <v>3608933.0660396917</v>
      </c>
      <c r="H210" s="390">
        <f t="shared" ref="H210:I210" ca="1" si="157">H208-H209</f>
        <v>4204516.8745002877</v>
      </c>
      <c r="I210" s="390">
        <f t="shared" ca="1" si="157"/>
        <v>4383620.1941994354</v>
      </c>
    </row>
    <row r="211" spans="1:17" ht="18.75" outlineLevel="1" thickTop="1">
      <c r="A211" s="328"/>
      <c r="B211" s="329"/>
      <c r="C211" s="329"/>
      <c r="D211" s="329"/>
      <c r="E211" s="329"/>
      <c r="F211" s="329"/>
      <c r="G211" s="329"/>
      <c r="H211" s="329"/>
      <c r="I211" s="329"/>
    </row>
    <row r="212" spans="1:17" ht="18" outlineLevel="1">
      <c r="A212" s="330"/>
      <c r="B212" s="330"/>
      <c r="C212" s="330"/>
      <c r="D212" s="330"/>
      <c r="E212" s="330"/>
      <c r="F212" s="330"/>
      <c r="G212" s="330"/>
      <c r="H212" s="330"/>
      <c r="I212" s="330"/>
    </row>
    <row r="213" spans="1:17" ht="15.75" outlineLevel="1">
      <c r="A213" s="350" t="s">
        <v>210</v>
      </c>
      <c r="B213" s="352" t="s">
        <v>189</v>
      </c>
      <c r="C213" s="352" t="s">
        <v>180</v>
      </c>
      <c r="D213" s="352" t="s">
        <v>181</v>
      </c>
      <c r="E213" s="352" t="s">
        <v>182</v>
      </c>
      <c r="F213" s="352" t="s">
        <v>183</v>
      </c>
      <c r="G213" s="353" t="s">
        <v>184</v>
      </c>
      <c r="H213" s="353" t="s">
        <v>185</v>
      </c>
      <c r="I213" s="353" t="s">
        <v>186</v>
      </c>
    </row>
    <row r="214" spans="1:17" ht="15.75" outlineLevel="1">
      <c r="A214" s="360" t="s">
        <v>211</v>
      </c>
      <c r="B214" s="373">
        <f t="shared" ref="B214:G214" ca="1" si="158">B257</f>
        <v>-410693.47199999914</v>
      </c>
      <c r="C214" s="373">
        <f t="shared" ca="1" si="158"/>
        <v>-268422.73599999887</v>
      </c>
      <c r="D214" s="373">
        <f t="shared" ca="1" si="158"/>
        <v>1650713.770160001</v>
      </c>
      <c r="E214" s="373">
        <f t="shared" ca="1" si="158"/>
        <v>3996535.2297418211</v>
      </c>
      <c r="F214" s="373">
        <f t="shared" ca="1" si="158"/>
        <v>6812425.5464600008</v>
      </c>
      <c r="G214" s="374">
        <f t="shared" ca="1" si="158"/>
        <v>10145333.020002093</v>
      </c>
      <c r="H214" s="374">
        <f t="shared" ref="H214:I214" ca="1" si="159">H257</f>
        <v>14046105.31835198</v>
      </c>
      <c r="I214" s="374">
        <f t="shared" ca="1" si="159"/>
        <v>18285610.195957817</v>
      </c>
    </row>
    <row r="215" spans="1:17" ht="15.75" outlineLevel="1">
      <c r="A215" s="375" t="s">
        <v>212</v>
      </c>
      <c r="B215" s="364">
        <f t="shared" ref="B215:G215" ca="1" si="160">-B193</f>
        <v>410693.47200000001</v>
      </c>
      <c r="C215" s="364">
        <f t="shared" ca="1" si="160"/>
        <v>410693.47200000001</v>
      </c>
      <c r="D215" s="364">
        <f t="shared" ca="1" si="160"/>
        <v>478868.58835199999</v>
      </c>
      <c r="E215" s="364">
        <f t="shared" ca="1" si="160"/>
        <v>553751.69808000012</v>
      </c>
      <c r="F215" s="364">
        <f t="shared" ca="1" si="160"/>
        <v>635890.39247999992</v>
      </c>
      <c r="G215" s="365">
        <f t="shared" ca="1" si="160"/>
        <v>725887.02197760006</v>
      </c>
      <c r="H215" s="365">
        <f t="shared" ref="H215:I215" ca="1" si="161">-H193</f>
        <v>824398.69612800027</v>
      </c>
      <c r="I215" s="365">
        <f t="shared" ca="1" si="161"/>
        <v>873873.56972159992</v>
      </c>
    </row>
    <row r="216" spans="1:17" ht="15.75" outlineLevel="1">
      <c r="A216" s="360" t="s">
        <v>213</v>
      </c>
      <c r="B216" s="361">
        <v>0</v>
      </c>
      <c r="C216" s="361">
        <f t="shared" ref="C216:I216" si="162">B216</f>
        <v>0</v>
      </c>
      <c r="D216" s="361">
        <f t="shared" si="162"/>
        <v>0</v>
      </c>
      <c r="E216" s="361">
        <f t="shared" si="162"/>
        <v>0</v>
      </c>
      <c r="F216" s="361">
        <f t="shared" si="162"/>
        <v>0</v>
      </c>
      <c r="G216" s="362">
        <f t="shared" si="162"/>
        <v>0</v>
      </c>
      <c r="H216" s="362">
        <f>G216</f>
        <v>0</v>
      </c>
      <c r="I216" s="362">
        <f t="shared" si="162"/>
        <v>0</v>
      </c>
    </row>
    <row r="217" spans="1:17" ht="15.75" outlineLevel="1">
      <c r="A217" s="375" t="s">
        <v>214</v>
      </c>
      <c r="B217" s="376"/>
      <c r="C217" s="376">
        <f>C189-'Cashflow Projection &amp; Investme'!O67</f>
        <v>926235</v>
      </c>
      <c r="D217" s="376">
        <f ca="1">C217/C189*D189</f>
        <v>1079990.01</v>
      </c>
      <c r="E217" s="376">
        <f t="shared" ref="E217:I217" ca="1" si="163">D217/D189*E189</f>
        <v>1248873.5250000001</v>
      </c>
      <c r="F217" s="376">
        <f t="shared" ca="1" si="163"/>
        <v>1434120.5249999997</v>
      </c>
      <c r="G217" s="376">
        <f t="shared" ca="1" si="163"/>
        <v>1637089.4879999999</v>
      </c>
      <c r="H217" s="376">
        <f ca="1">G217/G189*H189</f>
        <v>1859262.3900000004</v>
      </c>
      <c r="I217" s="376">
        <f t="shared" ca="1" si="163"/>
        <v>1970842.8329999996</v>
      </c>
    </row>
    <row r="218" spans="1:17" ht="16.5" outlineLevel="1" thickBot="1">
      <c r="A218" s="354" t="s">
        <v>215</v>
      </c>
      <c r="B218" s="391">
        <f t="shared" ref="B218:G218" ca="1" si="164">SUM(B214:B217)</f>
        <v>8.7311491370201111E-10</v>
      </c>
      <c r="C218" s="391">
        <f t="shared" ca="1" si="164"/>
        <v>1068505.7360000012</v>
      </c>
      <c r="D218" s="391">
        <f t="shared" ca="1" si="164"/>
        <v>3209572.3685120009</v>
      </c>
      <c r="E218" s="391">
        <f t="shared" ca="1" si="164"/>
        <v>5799160.4528218219</v>
      </c>
      <c r="F218" s="391">
        <f t="shared" ca="1" si="164"/>
        <v>8882436.4639400002</v>
      </c>
      <c r="G218" s="392">
        <f t="shared" ca="1" si="164"/>
        <v>12508309.529979693</v>
      </c>
      <c r="H218" s="392">
        <f t="shared" ref="H218:I218" ca="1" si="165">SUM(H214:H217)</f>
        <v>16729766.40447998</v>
      </c>
      <c r="I218" s="392">
        <f t="shared" ca="1" si="165"/>
        <v>21130326.598679416</v>
      </c>
      <c r="K218" s="408"/>
      <c r="L218" s="408"/>
      <c r="M218" s="408"/>
      <c r="N218" s="408"/>
      <c r="O218" s="408"/>
      <c r="P218" s="408"/>
      <c r="Q218" s="408"/>
    </row>
    <row r="219" spans="1:17" ht="15.75" outlineLevel="1">
      <c r="A219" s="393" t="s">
        <v>216</v>
      </c>
      <c r="B219" s="364">
        <f>Table5[[#Totals],[Total Cost in study Currency]]</f>
        <v>8416320</v>
      </c>
      <c r="C219" s="364">
        <f t="shared" ref="C219:I219" si="166">B219</f>
        <v>8416320</v>
      </c>
      <c r="D219" s="364">
        <f t="shared" si="166"/>
        <v>8416320</v>
      </c>
      <c r="E219" s="364">
        <f t="shared" si="166"/>
        <v>8416320</v>
      </c>
      <c r="F219" s="364">
        <f t="shared" si="166"/>
        <v>8416320</v>
      </c>
      <c r="G219" s="365">
        <f t="shared" si="166"/>
        <v>8416320</v>
      </c>
      <c r="H219" s="365">
        <f>G219</f>
        <v>8416320</v>
      </c>
      <c r="I219" s="365">
        <f t="shared" si="166"/>
        <v>8416320</v>
      </c>
    </row>
    <row r="220" spans="1:17" ht="16.5" outlineLevel="1" thickBot="1">
      <c r="A220" s="354" t="s">
        <v>218</v>
      </c>
      <c r="B220" s="394">
        <v>0</v>
      </c>
      <c r="C220" s="394">
        <f t="shared" ref="C220:I220" si="167">B220+C204+C205</f>
        <v>16940</v>
      </c>
      <c r="D220" s="394">
        <f t="shared" si="167"/>
        <v>33880</v>
      </c>
      <c r="E220" s="394">
        <f t="shared" si="167"/>
        <v>50820</v>
      </c>
      <c r="F220" s="394">
        <f t="shared" si="167"/>
        <v>67760</v>
      </c>
      <c r="G220" s="395">
        <f t="shared" si="167"/>
        <v>84700</v>
      </c>
      <c r="H220" s="395">
        <f>G220+H204+H205</f>
        <v>101640</v>
      </c>
      <c r="I220" s="395">
        <f t="shared" si="167"/>
        <v>118580</v>
      </c>
    </row>
    <row r="221" spans="1:17" ht="15.75" outlineLevel="1">
      <c r="A221" s="393" t="s">
        <v>219</v>
      </c>
      <c r="B221" s="364">
        <f t="shared" ref="B221:G221" si="168">B219-B220</f>
        <v>8416320</v>
      </c>
      <c r="C221" s="364">
        <f t="shared" si="168"/>
        <v>8399380</v>
      </c>
      <c r="D221" s="364">
        <f t="shared" si="168"/>
        <v>8382440</v>
      </c>
      <c r="E221" s="364">
        <f t="shared" si="168"/>
        <v>8365500</v>
      </c>
      <c r="F221" s="364">
        <f t="shared" si="168"/>
        <v>8348560</v>
      </c>
      <c r="G221" s="365">
        <f t="shared" si="168"/>
        <v>8331620</v>
      </c>
      <c r="H221" s="365">
        <f t="shared" ref="H221:I221" si="169">H219-H220</f>
        <v>8314680</v>
      </c>
      <c r="I221" s="365">
        <f t="shared" si="169"/>
        <v>8297740</v>
      </c>
    </row>
    <row r="222" spans="1:17" ht="16.5" outlineLevel="1" thickBot="1">
      <c r="A222" s="354" t="s">
        <v>221</v>
      </c>
      <c r="B222" s="394">
        <f t="shared" ref="B222:G222" ca="1" si="170">B218+B221</f>
        <v>8416320</v>
      </c>
      <c r="C222" s="394">
        <f t="shared" ca="1" si="170"/>
        <v>9467885.7360000014</v>
      </c>
      <c r="D222" s="394">
        <f t="shared" ca="1" si="170"/>
        <v>11592012.368512001</v>
      </c>
      <c r="E222" s="394">
        <f t="shared" ca="1" si="170"/>
        <v>14164660.452821821</v>
      </c>
      <c r="F222" s="394">
        <f t="shared" ca="1" si="170"/>
        <v>17230996.463940002</v>
      </c>
      <c r="G222" s="395">
        <f t="shared" ca="1" si="170"/>
        <v>20839929.529979691</v>
      </c>
      <c r="H222" s="395">
        <f t="shared" ref="H222:I222" ca="1" si="171">H218+H221</f>
        <v>25044446.40447998</v>
      </c>
      <c r="I222" s="395">
        <f t="shared" ca="1" si="171"/>
        <v>29428066.598679416</v>
      </c>
    </row>
    <row r="223" spans="1:17" ht="15.75" outlineLevel="1">
      <c r="A223" s="375" t="s">
        <v>260</v>
      </c>
      <c r="B223" s="375"/>
      <c r="C223" s="375"/>
      <c r="D223" s="375"/>
      <c r="E223" s="375"/>
      <c r="F223" s="375"/>
      <c r="G223" s="375"/>
      <c r="H223" s="375"/>
      <c r="I223" s="375"/>
    </row>
    <row r="224" spans="1:17" ht="15.75" outlineLevel="1">
      <c r="A224" s="398" t="s">
        <v>222</v>
      </c>
      <c r="B224" s="399">
        <f ca="1">ROUND(B192*(1-'Scenario Analysis'!$E$20),2)</f>
        <v>0</v>
      </c>
      <c r="C224" s="399">
        <f ca="1">ROUND(C192-SUM('Cashflow Projection &amp; Investme'!C71:N71)+B224,2)</f>
        <v>0</v>
      </c>
      <c r="D224" s="361">
        <f ca="1">ROUND(C224/C189*D189,2)</f>
        <v>0</v>
      </c>
      <c r="E224" s="361">
        <f t="shared" ref="E224:I224" ca="1" si="172">D224/D189*E189</f>
        <v>0</v>
      </c>
      <c r="F224" s="361">
        <f t="shared" ca="1" si="172"/>
        <v>0</v>
      </c>
      <c r="G224" s="362">
        <f t="shared" ca="1" si="172"/>
        <v>0</v>
      </c>
      <c r="H224" s="362">
        <f ca="1">G224/G189*H189</f>
        <v>0</v>
      </c>
      <c r="I224" s="362">
        <f t="shared" ca="1" si="172"/>
        <v>0</v>
      </c>
    </row>
    <row r="225" spans="1:9" ht="15.75" outlineLevel="1">
      <c r="A225" s="393" t="s">
        <v>223</v>
      </c>
      <c r="B225" s="364">
        <f>'Cashflow Projection &amp; Investme'!O84</f>
        <v>0</v>
      </c>
      <c r="C225" s="364">
        <f>IFERROR(VLOOKUP('Amortization Table 3'!$A$17+12,'Amortization Table 3'!$A:$K,4),0)</f>
        <v>0</v>
      </c>
      <c r="D225" s="364">
        <f>IFERROR(VLOOKUP('Amortization Table 3'!$A$17+24,'Amortization Table 3'!$A:$K,4),0)</f>
        <v>0</v>
      </c>
      <c r="E225" s="364">
        <f>IFERROR(VLOOKUP('Amortization Table 3'!$A$17+36,'Amortization Table 3'!$A:$K,4),0)</f>
        <v>0</v>
      </c>
      <c r="F225" s="364">
        <f>IFERROR(VLOOKUP('Amortization Table 3'!$A$17+48,'Amortization Table 3'!$A:$K,4),0)</f>
        <v>0</v>
      </c>
      <c r="G225" s="365">
        <f>IFERROR(VLOOKUP('Amortization Table 3'!$A$17+60,'Amortization Table 3'!$A:$K,4),0)</f>
        <v>0</v>
      </c>
      <c r="H225" s="365">
        <f>IFERROR(VLOOKUP('Amortization Table 3'!$A$17+60,'Amortization Table 3'!$A:$K,4),0)</f>
        <v>0</v>
      </c>
      <c r="I225" s="365">
        <f>IFERROR(VLOOKUP('Amortization Table 3'!$A$17+60,'Amortization Table 3'!$A:$K,4),0)</f>
        <v>0</v>
      </c>
    </row>
    <row r="226" spans="1:9" ht="15.75" outlineLevel="1">
      <c r="A226" s="398" t="s">
        <v>224</v>
      </c>
      <c r="B226" s="361">
        <f>'Cashflow Projection &amp; Investme'!O86</f>
        <v>0</v>
      </c>
      <c r="C226" s="361">
        <f t="shared" ref="C226:I226" si="173">B226-C205</f>
        <v>0</v>
      </c>
      <c r="D226" s="361">
        <f t="shared" si="173"/>
        <v>0</v>
      </c>
      <c r="E226" s="361">
        <f t="shared" si="173"/>
        <v>0</v>
      </c>
      <c r="F226" s="361">
        <f t="shared" si="173"/>
        <v>0</v>
      </c>
      <c r="G226" s="362">
        <f t="shared" si="173"/>
        <v>0</v>
      </c>
      <c r="H226" s="362">
        <f>G226-H205</f>
        <v>0</v>
      </c>
      <c r="I226" s="362">
        <f t="shared" si="173"/>
        <v>0</v>
      </c>
    </row>
    <row r="227" spans="1:9" ht="15.75" outlineLevel="1">
      <c r="A227" s="393" t="s">
        <v>225</v>
      </c>
      <c r="B227" s="364">
        <f>'Cashflow Projection &amp; Investme'!O88</f>
        <v>0</v>
      </c>
      <c r="C227" s="364">
        <f t="shared" ref="C227:I227" si="174">B227-C202</f>
        <v>0</v>
      </c>
      <c r="D227" s="364">
        <f t="shared" si="174"/>
        <v>0</v>
      </c>
      <c r="E227" s="364">
        <f t="shared" si="174"/>
        <v>0</v>
      </c>
      <c r="F227" s="364">
        <f t="shared" si="174"/>
        <v>0</v>
      </c>
      <c r="G227" s="365">
        <f t="shared" si="174"/>
        <v>0</v>
      </c>
      <c r="H227" s="365">
        <f>G227-H202</f>
        <v>0</v>
      </c>
      <c r="I227" s="365">
        <f t="shared" si="174"/>
        <v>0</v>
      </c>
    </row>
    <row r="228" spans="1:9" ht="16.5" outlineLevel="1" thickBot="1">
      <c r="A228" s="354" t="s">
        <v>226</v>
      </c>
      <c r="B228" s="394">
        <f t="shared" ref="B228:G228" ca="1" si="175">SUM(B224:B227)</f>
        <v>0</v>
      </c>
      <c r="C228" s="394">
        <f t="shared" ca="1" si="175"/>
        <v>0</v>
      </c>
      <c r="D228" s="394">
        <f t="shared" ca="1" si="175"/>
        <v>0</v>
      </c>
      <c r="E228" s="394">
        <f t="shared" ca="1" si="175"/>
        <v>0</v>
      </c>
      <c r="F228" s="394">
        <f t="shared" ca="1" si="175"/>
        <v>0</v>
      </c>
      <c r="G228" s="395">
        <f t="shared" ca="1" si="175"/>
        <v>0</v>
      </c>
      <c r="H228" s="395">
        <f t="shared" ref="H228:I228" ca="1" si="176">SUM(H224:H227)</f>
        <v>0</v>
      </c>
      <c r="I228" s="395">
        <f t="shared" ca="1" si="176"/>
        <v>0</v>
      </c>
    </row>
    <row r="229" spans="1:9" ht="16.5" outlineLevel="1" thickBot="1">
      <c r="A229" s="366" t="s">
        <v>227</v>
      </c>
      <c r="B229" s="389">
        <f t="shared" ref="B229:G229" ca="1" si="177">B228</f>
        <v>0</v>
      </c>
      <c r="C229" s="389">
        <f t="shared" ca="1" si="177"/>
        <v>0</v>
      </c>
      <c r="D229" s="389">
        <f t="shared" ca="1" si="177"/>
        <v>0</v>
      </c>
      <c r="E229" s="389">
        <f t="shared" ca="1" si="177"/>
        <v>0</v>
      </c>
      <c r="F229" s="389">
        <f t="shared" ca="1" si="177"/>
        <v>0</v>
      </c>
      <c r="G229" s="390">
        <f t="shared" ca="1" si="177"/>
        <v>0</v>
      </c>
      <c r="H229" s="390">
        <f t="shared" ref="H229:I229" ca="1" si="178">H228</f>
        <v>0</v>
      </c>
      <c r="I229" s="390">
        <f t="shared" ca="1" si="178"/>
        <v>0</v>
      </c>
    </row>
    <row r="230" spans="1:9" ht="16.5" outlineLevel="1" thickTop="1">
      <c r="A230" s="366" t="s">
        <v>228</v>
      </c>
      <c r="B230" s="400"/>
      <c r="C230" s="400"/>
      <c r="D230" s="400"/>
      <c r="E230" s="400"/>
      <c r="F230" s="400"/>
      <c r="G230" s="401"/>
      <c r="H230" s="401"/>
      <c r="I230" s="401"/>
    </row>
    <row r="231" spans="1:9" ht="15.75" outlineLevel="1">
      <c r="A231" s="360" t="s">
        <v>229</v>
      </c>
      <c r="B231" s="402">
        <f>'Cashflow Projection &amp; Investme'!O82</f>
        <v>8416320</v>
      </c>
      <c r="C231" s="402">
        <f t="shared" ref="C231:I231" si="179">B231</f>
        <v>8416320</v>
      </c>
      <c r="D231" s="402">
        <f t="shared" si="179"/>
        <v>8416320</v>
      </c>
      <c r="E231" s="402">
        <f t="shared" si="179"/>
        <v>8416320</v>
      </c>
      <c r="F231" s="402">
        <f t="shared" si="179"/>
        <v>8416320</v>
      </c>
      <c r="G231" s="403">
        <f t="shared" si="179"/>
        <v>8416320</v>
      </c>
      <c r="H231" s="403">
        <f>G231</f>
        <v>8416320</v>
      </c>
      <c r="I231" s="403">
        <f t="shared" si="179"/>
        <v>8416320</v>
      </c>
    </row>
    <row r="232" spans="1:9" ht="15.75" outlineLevel="1">
      <c r="A232" s="375" t="s">
        <v>230</v>
      </c>
      <c r="B232" s="400">
        <f ca="1">B210</f>
        <v>0</v>
      </c>
      <c r="C232" s="400">
        <f t="shared" ref="C232:I232" ca="1" si="180">B232+C210</f>
        <v>1051565.7360000003</v>
      </c>
      <c r="D232" s="400">
        <f t="shared" ca="1" si="180"/>
        <v>3175692.368512</v>
      </c>
      <c r="E232" s="400">
        <f t="shared" ca="1" si="180"/>
        <v>5748340.452821821</v>
      </c>
      <c r="F232" s="400">
        <f t="shared" ca="1" si="180"/>
        <v>8814676.4639400002</v>
      </c>
      <c r="G232" s="401">
        <f t="shared" ca="1" si="180"/>
        <v>12423609.529979691</v>
      </c>
      <c r="H232" s="401">
        <f ca="1">G232+H210</f>
        <v>16628126.404479979</v>
      </c>
      <c r="I232" s="401">
        <f t="shared" ca="1" si="180"/>
        <v>21011746.598679416</v>
      </c>
    </row>
    <row r="233" spans="1:9" ht="16.5" outlineLevel="1" thickBot="1">
      <c r="A233" s="405" t="s">
        <v>231</v>
      </c>
      <c r="B233" s="396">
        <f t="shared" ref="B233:G233" ca="1" si="181">SUM(B231:B232)</f>
        <v>8416320</v>
      </c>
      <c r="C233" s="396">
        <f t="shared" ca="1" si="181"/>
        <v>9467885.7359999996</v>
      </c>
      <c r="D233" s="396">
        <f t="shared" ca="1" si="181"/>
        <v>11592012.368512001</v>
      </c>
      <c r="E233" s="396">
        <f t="shared" ca="1" si="181"/>
        <v>14164660.452821821</v>
      </c>
      <c r="F233" s="396">
        <f t="shared" ca="1" si="181"/>
        <v>17230996.463940002</v>
      </c>
      <c r="G233" s="397">
        <f t="shared" ca="1" si="181"/>
        <v>20839929.529979691</v>
      </c>
      <c r="H233" s="397">
        <f t="shared" ref="H233:I233" ca="1" si="182">SUM(H231:H232)</f>
        <v>25044446.40447998</v>
      </c>
      <c r="I233" s="397">
        <f t="shared" ca="1" si="182"/>
        <v>29428066.598679416</v>
      </c>
    </row>
    <row r="234" spans="1:9" ht="18.75" outlineLevel="1" thickTop="1">
      <c r="A234" s="324"/>
      <c r="B234" s="324">
        <f ca="1">B222-B228-B233</f>
        <v>0</v>
      </c>
      <c r="C234" s="324">
        <f ca="1">C222-C228-C233</f>
        <v>0</v>
      </c>
      <c r="D234" s="324">
        <f t="shared" ref="D234:I234" ca="1" si="183">D222-D228-D233</f>
        <v>0</v>
      </c>
      <c r="E234" s="324">
        <f t="shared" ca="1" si="183"/>
        <v>0</v>
      </c>
      <c r="F234" s="324">
        <f t="shared" ca="1" si="183"/>
        <v>0</v>
      </c>
      <c r="G234" s="324">
        <f t="shared" ca="1" si="183"/>
        <v>0</v>
      </c>
      <c r="H234" s="324">
        <f t="shared" ca="1" si="183"/>
        <v>0</v>
      </c>
      <c r="I234" s="324">
        <f t="shared" ca="1" si="183"/>
        <v>0</v>
      </c>
    </row>
    <row r="235" spans="1:9" ht="18" outlineLevel="1">
      <c r="A235" s="324"/>
      <c r="B235" s="324"/>
      <c r="C235" s="324"/>
      <c r="D235" s="324"/>
      <c r="E235" s="324"/>
      <c r="F235" s="324"/>
      <c r="G235" s="324"/>
      <c r="H235" s="324"/>
      <c r="I235" s="324"/>
    </row>
    <row r="236" spans="1:9" ht="15.75" outlineLevel="1">
      <c r="A236" s="60" t="s">
        <v>232</v>
      </c>
      <c r="B236" s="29" t="s">
        <v>189</v>
      </c>
      <c r="C236" s="29" t="s">
        <v>180</v>
      </c>
      <c r="D236" s="29" t="s">
        <v>181</v>
      </c>
      <c r="E236" s="29" t="s">
        <v>182</v>
      </c>
      <c r="F236" s="29" t="s">
        <v>183</v>
      </c>
      <c r="G236" s="29" t="s">
        <v>184</v>
      </c>
      <c r="H236" s="29" t="s">
        <v>185</v>
      </c>
      <c r="I236" s="29" t="s">
        <v>186</v>
      </c>
    </row>
    <row r="237" spans="1:9" ht="15.75" outlineLevel="1">
      <c r="A237" s="33"/>
      <c r="B237" s="49"/>
      <c r="C237" s="49"/>
      <c r="D237" s="49"/>
      <c r="E237" s="49"/>
      <c r="F237" s="49"/>
      <c r="G237" s="49"/>
      <c r="H237" s="49"/>
      <c r="I237" s="49"/>
    </row>
    <row r="238" spans="1:9" ht="15.75" outlineLevel="1">
      <c r="A238" s="31" t="s">
        <v>209</v>
      </c>
      <c r="B238" s="35">
        <f t="shared" ref="B238:G238" ca="1" si="184">B210</f>
        <v>0</v>
      </c>
      <c r="C238" s="35">
        <f t="shared" ca="1" si="184"/>
        <v>1051565.7360000003</v>
      </c>
      <c r="D238" s="35">
        <f t="shared" ca="1" si="184"/>
        <v>2124126.6325119999</v>
      </c>
      <c r="E238" s="35">
        <f t="shared" ca="1" si="184"/>
        <v>2572648.0843098206</v>
      </c>
      <c r="F238" s="35">
        <f t="shared" ca="1" si="184"/>
        <v>3066336.0111181797</v>
      </c>
      <c r="G238" s="35">
        <f t="shared" ca="1" si="184"/>
        <v>3608933.0660396917</v>
      </c>
      <c r="H238" s="35">
        <f t="shared" ref="H238:I238" ca="1" si="185">H210</f>
        <v>4204516.8745002877</v>
      </c>
      <c r="I238" s="35">
        <f t="shared" ca="1" si="185"/>
        <v>4383620.1941994354</v>
      </c>
    </row>
    <row r="239" spans="1:9" ht="15.75" outlineLevel="1">
      <c r="A239" s="59" t="s">
        <v>233</v>
      </c>
      <c r="B239" s="35">
        <f t="shared" ref="B239:G239" si="186">B204+B205</f>
        <v>0</v>
      </c>
      <c r="C239" s="35">
        <f t="shared" si="186"/>
        <v>16940</v>
      </c>
      <c r="D239" s="35">
        <f t="shared" si="186"/>
        <v>16940</v>
      </c>
      <c r="E239" s="35">
        <f t="shared" si="186"/>
        <v>16940</v>
      </c>
      <c r="F239" s="35">
        <f t="shared" si="186"/>
        <v>16940</v>
      </c>
      <c r="G239" s="35">
        <f t="shared" si="186"/>
        <v>16940</v>
      </c>
      <c r="H239" s="35">
        <f t="shared" ref="H239:I239" si="187">H204+H205</f>
        <v>16940</v>
      </c>
      <c r="I239" s="35">
        <f t="shared" si="187"/>
        <v>16940</v>
      </c>
    </row>
    <row r="240" spans="1:9" ht="15.75" outlineLevel="1">
      <c r="A240" s="31" t="s">
        <v>234</v>
      </c>
      <c r="B240" s="50"/>
      <c r="C240" s="50"/>
      <c r="D240" s="50"/>
      <c r="E240" s="50"/>
      <c r="F240" s="50"/>
      <c r="G240" s="50"/>
      <c r="H240" s="50"/>
      <c r="I240" s="50"/>
    </row>
    <row r="241" spans="1:9" ht="15.75" outlineLevel="1">
      <c r="A241" s="52" t="s">
        <v>235</v>
      </c>
      <c r="B241" s="35">
        <f ca="1">-B215</f>
        <v>-410693.47200000001</v>
      </c>
      <c r="C241" s="35">
        <f t="shared" ref="C241:I243" ca="1" si="188">B215-C215</f>
        <v>0</v>
      </c>
      <c r="D241" s="35">
        <f t="shared" ca="1" si="188"/>
        <v>-68175.116351999983</v>
      </c>
      <c r="E241" s="35">
        <f t="shared" ca="1" si="188"/>
        <v>-74883.109728000127</v>
      </c>
      <c r="F241" s="35">
        <f t="shared" ca="1" si="188"/>
        <v>-82138.694399999804</v>
      </c>
      <c r="G241" s="35">
        <f t="shared" ca="1" si="188"/>
        <v>-89996.629497600137</v>
      </c>
      <c r="H241" s="35">
        <f ca="1">G215-H215</f>
        <v>-98511.674150400213</v>
      </c>
      <c r="I241" s="35">
        <f t="shared" ca="1" si="188"/>
        <v>-49474.873593599652</v>
      </c>
    </row>
    <row r="242" spans="1:9" ht="15.75" outlineLevel="1">
      <c r="A242" s="52" t="s">
        <v>236</v>
      </c>
      <c r="B242" s="35">
        <f>-B216</f>
        <v>0</v>
      </c>
      <c r="C242" s="35">
        <f t="shared" si="188"/>
        <v>0</v>
      </c>
      <c r="D242" s="35">
        <f t="shared" si="188"/>
        <v>0</v>
      </c>
      <c r="E242" s="35">
        <f t="shared" si="188"/>
        <v>0</v>
      </c>
      <c r="F242" s="35">
        <f t="shared" si="188"/>
        <v>0</v>
      </c>
      <c r="G242" s="35">
        <f t="shared" si="188"/>
        <v>0</v>
      </c>
      <c r="H242" s="35">
        <f>G216-H216</f>
        <v>0</v>
      </c>
      <c r="I242" s="35">
        <f t="shared" si="188"/>
        <v>0</v>
      </c>
    </row>
    <row r="243" spans="1:9" ht="15.75" outlineLevel="1">
      <c r="A243" s="52" t="s">
        <v>237</v>
      </c>
      <c r="B243" s="35">
        <f>-B217</f>
        <v>0</v>
      </c>
      <c r="C243" s="35">
        <f t="shared" si="188"/>
        <v>-926235</v>
      </c>
      <c r="D243" s="35">
        <f t="shared" ca="1" si="188"/>
        <v>-153755.01</v>
      </c>
      <c r="E243" s="35">
        <f t="shared" ca="1" si="188"/>
        <v>-168883.51500000013</v>
      </c>
      <c r="F243" s="35">
        <f t="shared" ca="1" si="188"/>
        <v>-185246.99999999953</v>
      </c>
      <c r="G243" s="35">
        <f t="shared" ca="1" si="188"/>
        <v>-202968.96300000022</v>
      </c>
      <c r="H243" s="35">
        <f ca="1">G217-H217</f>
        <v>-222172.90200000047</v>
      </c>
      <c r="I243" s="35">
        <f t="shared" ca="1" si="188"/>
        <v>-111580.44299999927</v>
      </c>
    </row>
    <row r="244" spans="1:9" ht="15.75" outlineLevel="1">
      <c r="A244" s="52" t="s">
        <v>238</v>
      </c>
      <c r="B244" s="35">
        <f ca="1">B224</f>
        <v>0</v>
      </c>
      <c r="C244" s="35">
        <f t="shared" ref="C244:I247" ca="1" si="189">C224-B224</f>
        <v>0</v>
      </c>
      <c r="D244" s="35">
        <f t="shared" ca="1" si="189"/>
        <v>0</v>
      </c>
      <c r="E244" s="35">
        <f t="shared" ca="1" si="189"/>
        <v>0</v>
      </c>
      <c r="F244" s="35">
        <f t="shared" ca="1" si="189"/>
        <v>0</v>
      </c>
      <c r="G244" s="35">
        <f t="shared" ca="1" si="189"/>
        <v>0</v>
      </c>
      <c r="H244" s="35">
        <f ca="1">H224-G224</f>
        <v>0</v>
      </c>
      <c r="I244" s="35">
        <f t="shared" ca="1" si="189"/>
        <v>0</v>
      </c>
    </row>
    <row r="245" spans="1:9" ht="15.75" outlineLevel="1">
      <c r="A245" s="52" t="s">
        <v>239</v>
      </c>
      <c r="B245" s="35">
        <f>B225</f>
        <v>0</v>
      </c>
      <c r="C245" s="35">
        <f t="shared" si="189"/>
        <v>0</v>
      </c>
      <c r="D245" s="35">
        <f t="shared" si="189"/>
        <v>0</v>
      </c>
      <c r="E245" s="35">
        <f t="shared" si="189"/>
        <v>0</v>
      </c>
      <c r="F245" s="35">
        <f t="shared" si="189"/>
        <v>0</v>
      </c>
      <c r="G245" s="35">
        <f t="shared" si="189"/>
        <v>0</v>
      </c>
      <c r="H245" s="35">
        <f>H225-G225</f>
        <v>0</v>
      </c>
      <c r="I245" s="35">
        <f t="shared" si="189"/>
        <v>0</v>
      </c>
    </row>
    <row r="246" spans="1:9" ht="15.75" outlineLevel="1">
      <c r="A246" s="52" t="s">
        <v>240</v>
      </c>
      <c r="B246" s="35">
        <f>B226</f>
        <v>0</v>
      </c>
      <c r="C246" s="35">
        <f t="shared" si="189"/>
        <v>0</v>
      </c>
      <c r="D246" s="35">
        <f t="shared" si="189"/>
        <v>0</v>
      </c>
      <c r="E246" s="35">
        <f t="shared" si="189"/>
        <v>0</v>
      </c>
      <c r="F246" s="35">
        <f t="shared" si="189"/>
        <v>0</v>
      </c>
      <c r="G246" s="35">
        <f t="shared" si="189"/>
        <v>0</v>
      </c>
      <c r="H246" s="35">
        <f>H226-G226</f>
        <v>0</v>
      </c>
      <c r="I246" s="35">
        <f t="shared" si="189"/>
        <v>0</v>
      </c>
    </row>
    <row r="247" spans="1:9" ht="15.75" outlineLevel="1">
      <c r="A247" s="52" t="s">
        <v>241</v>
      </c>
      <c r="B247" s="35">
        <f>B227</f>
        <v>0</v>
      </c>
      <c r="C247" s="35">
        <f t="shared" si="189"/>
        <v>0</v>
      </c>
      <c r="D247" s="35">
        <f t="shared" si="189"/>
        <v>0</v>
      </c>
      <c r="E247" s="35">
        <f t="shared" si="189"/>
        <v>0</v>
      </c>
      <c r="F247" s="35">
        <f t="shared" si="189"/>
        <v>0</v>
      </c>
      <c r="G247" s="35">
        <f t="shared" si="189"/>
        <v>0</v>
      </c>
      <c r="H247" s="35">
        <f>H227-G227</f>
        <v>0</v>
      </c>
      <c r="I247" s="35">
        <f t="shared" si="189"/>
        <v>0</v>
      </c>
    </row>
    <row r="248" spans="1:9" ht="16.5" outlineLevel="1" thickBot="1">
      <c r="A248" s="31" t="s">
        <v>242</v>
      </c>
      <c r="B248" s="44">
        <f t="shared" ref="B248:G248" ca="1" si="190">SUM(B241:B247)+B239+B238</f>
        <v>-410693.47200000001</v>
      </c>
      <c r="C248" s="44">
        <f t="shared" ca="1" si="190"/>
        <v>142270.73600000027</v>
      </c>
      <c r="D248" s="44">
        <f t="shared" ca="1" si="190"/>
        <v>1919136.5061599999</v>
      </c>
      <c r="E248" s="44">
        <f t="shared" ca="1" si="190"/>
        <v>2345821.4595818203</v>
      </c>
      <c r="F248" s="44">
        <f t="shared" ca="1" si="190"/>
        <v>2815890.3167181802</v>
      </c>
      <c r="G248" s="44">
        <f t="shared" ca="1" si="190"/>
        <v>3332907.4735420914</v>
      </c>
      <c r="H248" s="44">
        <f t="shared" ref="H248:I248" ca="1" si="191">SUM(H241:H247)+H239+H238</f>
        <v>3900772.2983498871</v>
      </c>
      <c r="I248" s="44">
        <f t="shared" ca="1" si="191"/>
        <v>4239504.8776058368</v>
      </c>
    </row>
    <row r="249" spans="1:9" ht="15.75" outlineLevel="1">
      <c r="A249" s="33"/>
      <c r="B249" s="51"/>
      <c r="C249" s="51"/>
      <c r="D249" s="51"/>
      <c r="E249" s="51"/>
      <c r="F249" s="51"/>
      <c r="G249" s="51"/>
      <c r="H249" s="51"/>
      <c r="I249" s="51"/>
    </row>
    <row r="250" spans="1:9" ht="16.5" outlineLevel="1" thickBot="1">
      <c r="A250" s="31" t="s">
        <v>243</v>
      </c>
      <c r="B250" s="44">
        <f>-B219</f>
        <v>-8416320</v>
      </c>
      <c r="C250" s="44">
        <f t="shared" ref="C250:I250" si="192">B219-C219</f>
        <v>0</v>
      </c>
      <c r="D250" s="44">
        <f t="shared" si="192"/>
        <v>0</v>
      </c>
      <c r="E250" s="44">
        <f t="shared" si="192"/>
        <v>0</v>
      </c>
      <c r="F250" s="44">
        <f t="shared" si="192"/>
        <v>0</v>
      </c>
      <c r="G250" s="44">
        <f t="shared" si="192"/>
        <v>0</v>
      </c>
      <c r="H250" s="44">
        <f>G219-H219</f>
        <v>0</v>
      </c>
      <c r="I250" s="44">
        <f t="shared" si="192"/>
        <v>0</v>
      </c>
    </row>
    <row r="251" spans="1:9" ht="15.75" outlineLevel="1">
      <c r="A251" s="33"/>
      <c r="B251" s="51"/>
      <c r="C251" s="51"/>
      <c r="D251" s="51"/>
      <c r="E251" s="51"/>
      <c r="F251" s="51"/>
      <c r="G251" s="51"/>
      <c r="H251" s="51"/>
      <c r="I251" s="51"/>
    </row>
    <row r="252" spans="1:9" ht="15.75" outlineLevel="1">
      <c r="A252" s="52" t="s">
        <v>229</v>
      </c>
      <c r="B252" s="35">
        <f>B231</f>
        <v>8416320</v>
      </c>
      <c r="C252" s="35">
        <f>C231-B231</f>
        <v>0</v>
      </c>
      <c r="D252" s="35">
        <f t="shared" ref="D252:I252" si="193">C252</f>
        <v>0</v>
      </c>
      <c r="E252" s="35">
        <f t="shared" si="193"/>
        <v>0</v>
      </c>
      <c r="F252" s="35">
        <f t="shared" si="193"/>
        <v>0</v>
      </c>
      <c r="G252" s="35">
        <f t="shared" si="193"/>
        <v>0</v>
      </c>
      <c r="H252" s="35">
        <f>G252</f>
        <v>0</v>
      </c>
      <c r="I252" s="35">
        <f t="shared" si="193"/>
        <v>0</v>
      </c>
    </row>
    <row r="253" spans="1:9" ht="16.5" outlineLevel="1" thickBot="1">
      <c r="A253" s="31" t="s">
        <v>244</v>
      </c>
      <c r="B253" s="44">
        <f t="shared" ref="B253:G253" si="194">SUM(B252)</f>
        <v>8416320</v>
      </c>
      <c r="C253" s="44">
        <f t="shared" si="194"/>
        <v>0</v>
      </c>
      <c r="D253" s="44">
        <f t="shared" si="194"/>
        <v>0</v>
      </c>
      <c r="E253" s="44">
        <f t="shared" si="194"/>
        <v>0</v>
      </c>
      <c r="F253" s="44">
        <f t="shared" si="194"/>
        <v>0</v>
      </c>
      <c r="G253" s="44">
        <f t="shared" si="194"/>
        <v>0</v>
      </c>
      <c r="H253" s="44">
        <f t="shared" ref="H253:I253" si="195">SUM(H252)</f>
        <v>0</v>
      </c>
      <c r="I253" s="44">
        <f t="shared" si="195"/>
        <v>0</v>
      </c>
    </row>
    <row r="254" spans="1:9" outlineLevel="1">
      <c r="B254" s="51"/>
      <c r="C254" s="51"/>
      <c r="D254" s="51"/>
      <c r="E254" s="51"/>
      <c r="F254" s="51"/>
      <c r="G254" s="51"/>
      <c r="H254" s="51"/>
      <c r="I254" s="51"/>
    </row>
    <row r="255" spans="1:9" ht="15.75" outlineLevel="1">
      <c r="A255" s="52" t="s">
        <v>245</v>
      </c>
      <c r="B255" s="35">
        <v>0</v>
      </c>
      <c r="C255" s="35">
        <f t="shared" ref="C255:I255" ca="1" si="196">B257</f>
        <v>-410693.47199999914</v>
      </c>
      <c r="D255" s="35">
        <f t="shared" ca="1" si="196"/>
        <v>-268422.73599999887</v>
      </c>
      <c r="E255" s="35">
        <f t="shared" ca="1" si="196"/>
        <v>1650713.770160001</v>
      </c>
      <c r="F255" s="35">
        <f t="shared" ca="1" si="196"/>
        <v>3996535.2297418211</v>
      </c>
      <c r="G255" s="35">
        <f t="shared" ca="1" si="196"/>
        <v>6812425.5464600008</v>
      </c>
      <c r="H255" s="35">
        <f ca="1">G257</f>
        <v>10145333.020002093</v>
      </c>
      <c r="I255" s="35">
        <f t="shared" ca="1" si="196"/>
        <v>14046105.31835198</v>
      </c>
    </row>
    <row r="256" spans="1:9" ht="15.75" outlineLevel="1">
      <c r="A256" s="52" t="s">
        <v>246</v>
      </c>
      <c r="B256" s="35">
        <f t="shared" ref="B256:G256" ca="1" si="197">B248+B250+B253</f>
        <v>-410693.47199999914</v>
      </c>
      <c r="C256" s="35">
        <f t="shared" ca="1" si="197"/>
        <v>142270.73600000027</v>
      </c>
      <c r="D256" s="35">
        <f t="shared" ca="1" si="197"/>
        <v>1919136.5061599999</v>
      </c>
      <c r="E256" s="35">
        <f t="shared" ca="1" si="197"/>
        <v>2345821.4595818203</v>
      </c>
      <c r="F256" s="35">
        <f t="shared" ca="1" si="197"/>
        <v>2815890.3167181802</v>
      </c>
      <c r="G256" s="35">
        <f t="shared" ca="1" si="197"/>
        <v>3332907.4735420914</v>
      </c>
      <c r="H256" s="35">
        <f t="shared" ref="H256:I256" ca="1" si="198">H248+H250+H253</f>
        <v>3900772.2983498871</v>
      </c>
      <c r="I256" s="35">
        <f t="shared" ca="1" si="198"/>
        <v>4239504.8776058368</v>
      </c>
    </row>
    <row r="257" spans="1:10" ht="16.5" outlineLevel="1" thickBot="1">
      <c r="A257" s="39" t="s">
        <v>247</v>
      </c>
      <c r="B257" s="40">
        <f t="shared" ref="B257:G257" ca="1" si="199">B255+B256</f>
        <v>-410693.47199999914</v>
      </c>
      <c r="C257" s="40">
        <f t="shared" ca="1" si="199"/>
        <v>-268422.73599999887</v>
      </c>
      <c r="D257" s="40">
        <f t="shared" ca="1" si="199"/>
        <v>1650713.770160001</v>
      </c>
      <c r="E257" s="40">
        <f t="shared" ca="1" si="199"/>
        <v>3996535.2297418211</v>
      </c>
      <c r="F257" s="40">
        <f t="shared" ca="1" si="199"/>
        <v>6812425.5464600008</v>
      </c>
      <c r="G257" s="40">
        <f t="shared" ca="1" si="199"/>
        <v>10145333.020002093</v>
      </c>
      <c r="H257" s="40">
        <f t="shared" ref="H257:I257" ca="1" si="200">H255+H256</f>
        <v>14046105.31835198</v>
      </c>
      <c r="I257" s="40">
        <f t="shared" ca="1" si="200"/>
        <v>18285610.195957817</v>
      </c>
    </row>
    <row r="258" spans="1:10" ht="16.5" outlineLevel="1" thickTop="1">
      <c r="A258" s="33"/>
      <c r="C258" s="49"/>
      <c r="D258" s="49"/>
      <c r="E258" s="49"/>
      <c r="F258" s="49"/>
      <c r="G258" s="49"/>
      <c r="H258" s="49"/>
      <c r="I258" s="49"/>
    </row>
    <row r="259" spans="1:10" ht="15.75" outlineLevel="1">
      <c r="A259" s="29" t="s">
        <v>248</v>
      </c>
      <c r="B259" s="29" t="s">
        <v>189</v>
      </c>
      <c r="C259" s="29" t="s">
        <v>180</v>
      </c>
      <c r="D259" s="29" t="s">
        <v>181</v>
      </c>
      <c r="E259" s="29" t="s">
        <v>182</v>
      </c>
      <c r="F259" s="29" t="s">
        <v>183</v>
      </c>
      <c r="G259" s="29" t="s">
        <v>184</v>
      </c>
      <c r="H259" s="29" t="s">
        <v>185</v>
      </c>
      <c r="I259" s="29" t="s">
        <v>186</v>
      </c>
    </row>
    <row r="260" spans="1:10" ht="15.75" outlineLevel="1">
      <c r="A260" s="33"/>
      <c r="B260" s="49"/>
      <c r="C260" s="49"/>
      <c r="D260" s="49"/>
      <c r="E260" s="49"/>
      <c r="F260" s="49"/>
      <c r="G260" s="49"/>
      <c r="H260" s="49"/>
      <c r="I260" s="49"/>
    </row>
    <row r="261" spans="1:10" ht="15.75" outlineLevel="1">
      <c r="A261" s="52" t="s">
        <v>242</v>
      </c>
      <c r="B261" s="35">
        <f t="shared" ref="B261:G261" ca="1" si="201">B248</f>
        <v>-410693.47200000001</v>
      </c>
      <c r="C261" s="35">
        <f t="shared" ca="1" si="201"/>
        <v>142270.73600000027</v>
      </c>
      <c r="D261" s="35">
        <f t="shared" ca="1" si="201"/>
        <v>1919136.5061599999</v>
      </c>
      <c r="E261" s="35">
        <f t="shared" ca="1" si="201"/>
        <v>2345821.4595818203</v>
      </c>
      <c r="F261" s="35">
        <f t="shared" ca="1" si="201"/>
        <v>2815890.3167181802</v>
      </c>
      <c r="G261" s="35">
        <f t="shared" ca="1" si="201"/>
        <v>3332907.4735420914</v>
      </c>
      <c r="H261" s="35">
        <f t="shared" ref="H261:I261" ca="1" si="202">H248</f>
        <v>3900772.2983498871</v>
      </c>
      <c r="I261" s="35">
        <f t="shared" ca="1" si="202"/>
        <v>4239504.8776058368</v>
      </c>
    </row>
    <row r="262" spans="1:10" ht="15.75" outlineLevel="1">
      <c r="A262" s="52" t="s">
        <v>249</v>
      </c>
      <c r="B262" s="35">
        <f>-B219</f>
        <v>-8416320</v>
      </c>
      <c r="C262" s="35">
        <f t="shared" ref="C262:G262" si="203">C250</f>
        <v>0</v>
      </c>
      <c r="D262" s="35">
        <f t="shared" si="203"/>
        <v>0</v>
      </c>
      <c r="E262" s="35">
        <f t="shared" si="203"/>
        <v>0</v>
      </c>
      <c r="F262" s="35">
        <f t="shared" si="203"/>
        <v>0</v>
      </c>
      <c r="G262" s="35">
        <f t="shared" si="203"/>
        <v>0</v>
      </c>
      <c r="H262" s="35">
        <f t="shared" ref="H262:I262" si="204">H250</f>
        <v>0</v>
      </c>
      <c r="I262" s="35">
        <f t="shared" si="204"/>
        <v>0</v>
      </c>
    </row>
    <row r="263" spans="1:10" ht="16.5" outlineLevel="1" thickBot="1">
      <c r="A263" s="39" t="s">
        <v>248</v>
      </c>
      <c r="B263" s="40">
        <f t="shared" ref="B263:G263" ca="1" si="205">B261+B262</f>
        <v>-8827013.4719999991</v>
      </c>
      <c r="C263" s="40">
        <f t="shared" ca="1" si="205"/>
        <v>142270.73600000027</v>
      </c>
      <c r="D263" s="40">
        <f t="shared" ca="1" si="205"/>
        <v>1919136.5061599999</v>
      </c>
      <c r="E263" s="40">
        <f t="shared" ca="1" si="205"/>
        <v>2345821.4595818203</v>
      </c>
      <c r="F263" s="40">
        <f t="shared" ca="1" si="205"/>
        <v>2815890.3167181802</v>
      </c>
      <c r="G263" s="40">
        <f t="shared" ca="1" si="205"/>
        <v>3332907.4735420914</v>
      </c>
      <c r="H263" s="40">
        <f t="shared" ref="H263:I263" ca="1" si="206">H261+H262</f>
        <v>3900772.2983498871</v>
      </c>
      <c r="I263" s="40">
        <f t="shared" ca="1" si="206"/>
        <v>4239504.8776058368</v>
      </c>
    </row>
    <row r="264" spans="1:10" ht="24.95" customHeight="1" thickTop="1" thickBot="1">
      <c r="A264" s="39" t="s">
        <v>250</v>
      </c>
      <c r="B264" s="40">
        <f ca="1">B263</f>
        <v>-8827013.4719999991</v>
      </c>
      <c r="C264" s="40">
        <f ca="1">B264+C263</f>
        <v>-8684742.7359999996</v>
      </c>
      <c r="D264" s="40">
        <f t="shared" ref="D264" ca="1" si="207">C264+D263</f>
        <v>-6765606.2298399992</v>
      </c>
      <c r="E264" s="40">
        <f t="shared" ref="E264" ca="1" si="208">D264+E263</f>
        <v>-4419784.7702581789</v>
      </c>
      <c r="F264" s="40">
        <f t="shared" ref="F264" ca="1" si="209">E264+F263</f>
        <v>-1603894.4535399987</v>
      </c>
      <c r="G264" s="40">
        <f t="shared" ref="G264" ca="1" si="210">F264+G263</f>
        <v>1729013.0200020927</v>
      </c>
      <c r="H264" s="40">
        <f t="shared" ref="H264" ca="1" si="211">G264+H263</f>
        <v>5629785.3183519803</v>
      </c>
      <c r="I264" s="40">
        <f t="shared" ref="I264" ca="1" si="212">H264+I263</f>
        <v>9869290.1959578171</v>
      </c>
      <c r="J264" s="453"/>
    </row>
    <row r="265" spans="1:10" ht="24.95" customHeight="1" thickTop="1" thickBot="1">
      <c r="A265" s="39" t="s">
        <v>28</v>
      </c>
      <c r="B265" s="470"/>
      <c r="C265" s="470">
        <f ca="1">F270</f>
        <v>1</v>
      </c>
      <c r="D265" s="470">
        <f ca="1">F271</f>
        <v>1</v>
      </c>
      <c r="E265" s="470">
        <f ca="1">F272</f>
        <v>1</v>
      </c>
      <c r="F265" s="470">
        <f ca="1">F273</f>
        <v>1</v>
      </c>
      <c r="G265" s="470">
        <f ca="1">F274</f>
        <v>0.48122981699082057</v>
      </c>
      <c r="H265" s="470">
        <f ca="1">F275</f>
        <v>0</v>
      </c>
      <c r="I265" s="470">
        <f ca="1">F276</f>
        <v>0</v>
      </c>
      <c r="J265" s="471">
        <f ca="1">E277</f>
        <v>4.4812298169908207</v>
      </c>
    </row>
    <row r="266" spans="1:10" ht="17.100000000000001" hidden="1" customHeight="1" thickTop="1">
      <c r="A266" s="47"/>
      <c r="B266" s="412"/>
      <c r="C266" s="412"/>
      <c r="D266" s="412"/>
      <c r="E266" s="412"/>
      <c r="F266" s="412"/>
      <c r="G266" s="412"/>
      <c r="H266" s="412"/>
      <c r="I266" s="412"/>
      <c r="J266" s="412"/>
    </row>
    <row r="267" spans="1:10" ht="17.100000000000001" hidden="1" customHeight="1">
      <c r="B267" s="770" t="s">
        <v>28</v>
      </c>
      <c r="C267" s="771"/>
      <c r="D267" s="771"/>
      <c r="E267" s="771"/>
      <c r="F267" s="412"/>
      <c r="G267" s="412"/>
      <c r="H267" s="412"/>
      <c r="I267" s="412"/>
    </row>
    <row r="268" spans="1:10" ht="31.9" hidden="1" customHeight="1">
      <c r="B268" s="458" t="s">
        <v>251</v>
      </c>
      <c r="C268" s="461" t="s">
        <v>252</v>
      </c>
      <c r="D268" s="462" t="s">
        <v>253</v>
      </c>
      <c r="E268" s="462" t="s">
        <v>254</v>
      </c>
      <c r="F268" s="412"/>
      <c r="G268" s="412"/>
      <c r="H268" s="412"/>
      <c r="I268" s="412"/>
    </row>
    <row r="269" spans="1:10" ht="31.5" hidden="1">
      <c r="B269" s="459" t="s">
        <v>255</v>
      </c>
      <c r="C269" s="455" t="s">
        <v>256</v>
      </c>
      <c r="D269" s="457">
        <f ca="1">B263</f>
        <v>-8827013.4719999991</v>
      </c>
      <c r="E269" s="457">
        <f ca="1">D269</f>
        <v>-8827013.4719999991</v>
      </c>
      <c r="F269" s="454" t="str">
        <f ca="1">IF(E269&lt;0,B269,0)</f>
        <v>0</v>
      </c>
      <c r="G269" s="412"/>
      <c r="H269" s="412"/>
      <c r="I269" s="412"/>
    </row>
    <row r="270" spans="1:10" ht="17.100000000000001" hidden="1" customHeight="1">
      <c r="B270" s="460">
        <v>1</v>
      </c>
      <c r="C270" s="456" t="s">
        <v>257</v>
      </c>
      <c r="D270" s="457">
        <f ca="1">C263</f>
        <v>142270.73600000027</v>
      </c>
      <c r="E270" s="457">
        <f ca="1">D270+E269</f>
        <v>-8684742.7359999996</v>
      </c>
      <c r="F270" s="454">
        <f t="shared" ref="F270:F276" ca="1" si="213">IF(E270&lt;0,1,IF(IF((D270+E269)&gt;0,(-E269)/D270,0)&gt;0,IF((D270+E269)&gt;0,(-E269)/D270,0),0))</f>
        <v>1</v>
      </c>
      <c r="G270" s="412"/>
      <c r="H270" s="412"/>
      <c r="I270" s="412"/>
    </row>
    <row r="271" spans="1:10" ht="17.100000000000001" hidden="1" customHeight="1">
      <c r="B271" s="460">
        <v>2</v>
      </c>
      <c r="C271" s="456" t="s">
        <v>257</v>
      </c>
      <c r="D271" s="457">
        <f ca="1">D263</f>
        <v>1919136.5061599999</v>
      </c>
      <c r="E271" s="457">
        <f ca="1">E270+D271</f>
        <v>-6765606.2298399992</v>
      </c>
      <c r="F271" s="454">
        <f t="shared" ca="1" si="213"/>
        <v>1</v>
      </c>
      <c r="G271" s="412"/>
      <c r="H271" s="412"/>
      <c r="I271" s="412"/>
    </row>
    <row r="272" spans="1:10" ht="17.100000000000001" hidden="1" customHeight="1">
      <c r="B272" s="460">
        <v>3</v>
      </c>
      <c r="C272" s="456" t="s">
        <v>257</v>
      </c>
      <c r="D272" s="457">
        <f ca="1">E263</f>
        <v>2345821.4595818203</v>
      </c>
      <c r="E272" s="457">
        <f t="shared" ref="E272:E276" ca="1" si="214">E271+D272</f>
        <v>-4419784.7702581789</v>
      </c>
      <c r="F272" s="454">
        <f t="shared" ca="1" si="213"/>
        <v>1</v>
      </c>
      <c r="G272" s="412"/>
      <c r="H272" s="412"/>
      <c r="I272" s="412"/>
    </row>
    <row r="273" spans="2:9" ht="17.100000000000001" hidden="1" customHeight="1">
      <c r="B273" s="460">
        <v>4</v>
      </c>
      <c r="C273" s="456" t="s">
        <v>257</v>
      </c>
      <c r="D273" s="457">
        <f ca="1">F263</f>
        <v>2815890.3167181802</v>
      </c>
      <c r="E273" s="457">
        <f t="shared" ca="1" si="214"/>
        <v>-1603894.4535399987</v>
      </c>
      <c r="F273" s="454">
        <f t="shared" ca="1" si="213"/>
        <v>1</v>
      </c>
      <c r="G273" s="412"/>
      <c r="H273" s="412"/>
      <c r="I273" s="412"/>
    </row>
    <row r="274" spans="2:9" ht="17.100000000000001" hidden="1" customHeight="1">
      <c r="B274" s="460">
        <v>5</v>
      </c>
      <c r="C274" s="456" t="s">
        <v>257</v>
      </c>
      <c r="D274" s="457">
        <f ca="1">G263</f>
        <v>3332907.4735420914</v>
      </c>
      <c r="E274" s="457">
        <f t="shared" ca="1" si="214"/>
        <v>1729013.0200020927</v>
      </c>
      <c r="F274" s="454">
        <f t="shared" ca="1" si="213"/>
        <v>0.48122981699082057</v>
      </c>
      <c r="G274" s="412"/>
      <c r="H274" s="412"/>
      <c r="I274" s="412"/>
    </row>
    <row r="275" spans="2:9" ht="17.100000000000001" hidden="1" customHeight="1">
      <c r="B275" s="460">
        <v>6</v>
      </c>
      <c r="C275" s="456" t="s">
        <v>257</v>
      </c>
      <c r="D275" s="457">
        <f ca="1">H263</f>
        <v>3900772.2983498871</v>
      </c>
      <c r="E275" s="457">
        <f t="shared" ca="1" si="214"/>
        <v>5629785.3183519803</v>
      </c>
      <c r="F275" s="454">
        <f t="shared" ca="1" si="213"/>
        <v>0</v>
      </c>
      <c r="G275" s="412"/>
      <c r="H275" s="412"/>
      <c r="I275" s="412"/>
    </row>
    <row r="276" spans="2:9" ht="17.100000000000001" hidden="1" customHeight="1">
      <c r="B276" s="460">
        <v>7</v>
      </c>
      <c r="C276" s="456" t="s">
        <v>257</v>
      </c>
      <c r="D276" s="457">
        <f ca="1">I263</f>
        <v>4239504.8776058368</v>
      </c>
      <c r="E276" s="457">
        <f t="shared" ca="1" si="214"/>
        <v>9869290.1959578171</v>
      </c>
      <c r="F276" s="454">
        <f t="shared" ca="1" si="213"/>
        <v>0</v>
      </c>
      <c r="G276" s="412"/>
      <c r="H276" s="412"/>
      <c r="I276" s="412"/>
    </row>
    <row r="277" spans="2:9" ht="17.100000000000001" hidden="1" customHeight="1">
      <c r="B277" s="772" t="s">
        <v>258</v>
      </c>
      <c r="C277" s="772"/>
      <c r="D277" s="772"/>
      <c r="E277" s="463">
        <f ca="1">IF(E269&lt;0,B269,0)+IF(E270&lt;0,1,IF(IF((D270+E269)&gt;0,(-E269)/D270,0)&gt;0,IF((D270+E269)&gt;0,(-E269)/D270,0),0))+IF(E271&lt;0,1,IF(IF((D271+E270)&gt;0,(-E270)/D271,0)&gt;0,IF((D271+E270)&gt;0,(-E270)/D271,0),0))+IF(E272&lt;0,1,IF(IF((D272+E271)&gt;0,(-E271)/D272,0)&gt;0,IF((D272+E271)&gt;0,(-E271)/D272,0),0))+IF(E273&lt;0,1,IF(IF((D273+E272)&gt;0,(-E272)/D273,0)&gt;0,IF((D273+E272)&gt;0,(-E272)/D273,0),0))+IF(E274&lt;0,1,IF(IF((D274+E273)&gt;0,(-E273)/D274,0)&gt;0,IF((D274+E273)&gt;0,(-E273)/D274,0),0))+IF(E275&lt;0,1,IF(IF((D275+E274)&gt;0,(-E274)/D275,0)&gt;0,IF((D275+E274)&gt;0,(-E274)/D275,0),0))+IF(E276&lt;0,1,IF(IF((D276+E275)&gt;0,(-E275)/D276,0)&gt;0,IF((D276+E275)&gt;0,(-E275)/D276,0),0))</f>
        <v>4.4812298169908207</v>
      </c>
      <c r="F277" s="412"/>
      <c r="G277" s="412"/>
      <c r="H277" s="412"/>
      <c r="I277" s="412"/>
    </row>
    <row r="278" spans="2:9" ht="15.75" thickTop="1"/>
  </sheetData>
  <sheetProtection formatCells="0" formatColumns="0" formatRows="0" insertColumns="0"/>
  <dataConsolidate/>
  <mergeCells count="12">
    <mergeCell ref="B267:E267"/>
    <mergeCell ref="B277:D277"/>
    <mergeCell ref="A2:H2"/>
    <mergeCell ref="A3:H3"/>
    <mergeCell ref="A1:H1"/>
    <mergeCell ref="A96:I96"/>
    <mergeCell ref="A187:I187"/>
    <mergeCell ref="A4:H4"/>
    <mergeCell ref="B85:E85"/>
    <mergeCell ref="B95:D95"/>
    <mergeCell ref="B176:E176"/>
    <mergeCell ref="B186:D186"/>
  </mergeCells>
  <phoneticPr fontId="10" type="noConversion"/>
  <conditionalFormatting sqref="C83:I83">
    <cfRule type="dataBar" priority="10">
      <dataBar>
        <cfvo type="min"/>
        <cfvo type="max"/>
        <color rgb="FF638EC6"/>
      </dataBar>
      <extLst>
        <ext xmlns:x14="http://schemas.microsoft.com/office/spreadsheetml/2009/9/main" uri="{B025F937-C7B1-47D3-B67F-A62EFF666E3E}">
          <x14:id>{0350E066-253A-4D91-ABF7-96E97B566BC8}</x14:id>
        </ext>
      </extLst>
    </cfRule>
  </conditionalFormatting>
  <conditionalFormatting sqref="J174">
    <cfRule type="dataBar" priority="6">
      <dataBar>
        <cfvo type="min"/>
        <cfvo type="max"/>
        <color rgb="FF638EC6"/>
      </dataBar>
      <extLst>
        <ext xmlns:x14="http://schemas.microsoft.com/office/spreadsheetml/2009/9/main" uri="{B025F937-C7B1-47D3-B67F-A62EFF666E3E}">
          <x14:id>{AB4CBCBE-669A-47E1-BEC5-B3B2043B7639}</x14:id>
        </ext>
      </extLst>
    </cfRule>
  </conditionalFormatting>
  <conditionalFormatting sqref="C174:I174">
    <cfRule type="dataBar" priority="4">
      <dataBar>
        <cfvo type="min"/>
        <cfvo type="max"/>
        <color rgb="FF638EC6"/>
      </dataBar>
      <extLst>
        <ext xmlns:x14="http://schemas.microsoft.com/office/spreadsheetml/2009/9/main" uri="{B025F937-C7B1-47D3-B67F-A62EFF666E3E}">
          <x14:id>{953B5986-6262-4CF8-B387-3DCE8B628674}</x14:id>
        </ext>
      </extLst>
    </cfRule>
  </conditionalFormatting>
  <conditionalFormatting sqref="J265">
    <cfRule type="dataBar" priority="3">
      <dataBar>
        <cfvo type="min"/>
        <cfvo type="max"/>
        <color rgb="FF638EC6"/>
      </dataBar>
      <extLst>
        <ext xmlns:x14="http://schemas.microsoft.com/office/spreadsheetml/2009/9/main" uri="{B025F937-C7B1-47D3-B67F-A62EFF666E3E}">
          <x14:id>{C3A42C81-5D26-47D5-A7E1-C553419C40BF}</x14:id>
        </ext>
      </extLst>
    </cfRule>
  </conditionalFormatting>
  <conditionalFormatting sqref="C265:I265">
    <cfRule type="dataBar" priority="2">
      <dataBar>
        <cfvo type="min"/>
        <cfvo type="max"/>
        <color rgb="FF638EC6"/>
      </dataBar>
      <extLst>
        <ext xmlns:x14="http://schemas.microsoft.com/office/spreadsheetml/2009/9/main" uri="{B025F937-C7B1-47D3-B67F-A62EFF666E3E}">
          <x14:id>{B507FE27-24FD-4B66-817C-F609F07F182E}</x14:id>
        </ext>
      </extLst>
    </cfRule>
  </conditionalFormatting>
  <conditionalFormatting sqref="J83">
    <cfRule type="dataBar" priority="1">
      <dataBar>
        <cfvo type="min"/>
        <cfvo type="max"/>
        <color rgb="FF638EC6"/>
      </dataBar>
      <extLst>
        <ext xmlns:x14="http://schemas.microsoft.com/office/spreadsheetml/2009/9/main" uri="{B025F937-C7B1-47D3-B67F-A62EFF666E3E}">
          <x14:id>{D862F6E3-7615-4577-88D3-B99471EAE498}</x14:id>
        </ext>
      </extLst>
    </cfRule>
  </conditionalFormatting>
  <printOptions horizontalCentered="1"/>
  <pageMargins left="0.9055118110236221" right="0.70866141732283472" top="0.74803149606299213" bottom="0.74803149606299213" header="0.31496062992125984" footer="0.31496062992125984"/>
  <pageSetup paperSize="9" scale="49" fitToHeight="0" orientation="portrait" errors="blank" r:id="rId1"/>
  <headerFooter>
    <oddFooter>&amp;L&amp;"-,Bold Italic"&amp;8&amp;K01+027Developed By: MAIUMAS Consulting
Hani Omar Skaik&amp;C&amp;A&amp;R&amp;D / &amp;T</oddFooter>
  </headerFooter>
  <rowBreaks count="2" manualBreakCount="2">
    <brk id="27" max="16383" man="1"/>
    <brk id="52" max="16383" man="1"/>
  </rowBreaks>
  <drawing r:id="rId2"/>
  <legacyDrawing r:id="rId3"/>
  <legacyDrawingHF r:id="rId4"/>
  <tableParts count="4">
    <tablePart r:id="rId5"/>
    <tablePart r:id="rId6"/>
    <tablePart r:id="rId7"/>
    <tablePart r:id="rId8"/>
  </tableParts>
  <extLst>
    <ext xmlns:x14="http://schemas.microsoft.com/office/spreadsheetml/2009/9/main" uri="{78C0D931-6437-407d-A8EE-F0AAD7539E65}">
      <x14:conditionalFormattings>
        <x14:conditionalFormatting xmlns:xm="http://schemas.microsoft.com/office/excel/2006/main">
          <x14:cfRule type="dataBar" id="{0350E066-253A-4D91-ABF7-96E97B566BC8}">
            <x14:dataBar minLength="0" maxLength="100" gradient="0">
              <x14:cfvo type="autoMin"/>
              <x14:cfvo type="autoMax"/>
              <x14:negativeFillColor rgb="FFFF0000"/>
              <x14:axisColor rgb="FF000000"/>
            </x14:dataBar>
          </x14:cfRule>
          <xm:sqref>C83:I83</xm:sqref>
        </x14:conditionalFormatting>
        <x14:conditionalFormatting xmlns:xm="http://schemas.microsoft.com/office/excel/2006/main">
          <x14:cfRule type="dataBar" id="{AB4CBCBE-669A-47E1-BEC5-B3B2043B7639}">
            <x14:dataBar minLength="0" maxLength="100" gradient="0">
              <x14:cfvo type="autoMin"/>
              <x14:cfvo type="autoMax"/>
              <x14:negativeFillColor rgb="FFFF0000"/>
              <x14:axisColor rgb="FF000000"/>
            </x14:dataBar>
          </x14:cfRule>
          <xm:sqref>J174</xm:sqref>
        </x14:conditionalFormatting>
        <x14:conditionalFormatting xmlns:xm="http://schemas.microsoft.com/office/excel/2006/main">
          <x14:cfRule type="dataBar" id="{953B5986-6262-4CF8-B387-3DCE8B628674}">
            <x14:dataBar minLength="0" maxLength="100" gradient="0">
              <x14:cfvo type="autoMin"/>
              <x14:cfvo type="autoMax"/>
              <x14:negativeFillColor rgb="FFFF0000"/>
              <x14:axisColor rgb="FF000000"/>
            </x14:dataBar>
          </x14:cfRule>
          <xm:sqref>C174:I174</xm:sqref>
        </x14:conditionalFormatting>
        <x14:conditionalFormatting xmlns:xm="http://schemas.microsoft.com/office/excel/2006/main">
          <x14:cfRule type="dataBar" id="{C3A42C81-5D26-47D5-A7E1-C553419C40BF}">
            <x14:dataBar minLength="0" maxLength="100" gradient="0">
              <x14:cfvo type="autoMin"/>
              <x14:cfvo type="autoMax"/>
              <x14:negativeFillColor rgb="FFFF0000"/>
              <x14:axisColor rgb="FF000000"/>
            </x14:dataBar>
          </x14:cfRule>
          <xm:sqref>J265</xm:sqref>
        </x14:conditionalFormatting>
        <x14:conditionalFormatting xmlns:xm="http://schemas.microsoft.com/office/excel/2006/main">
          <x14:cfRule type="dataBar" id="{B507FE27-24FD-4B66-817C-F609F07F182E}">
            <x14:dataBar minLength="0" maxLength="100" gradient="0">
              <x14:cfvo type="autoMin"/>
              <x14:cfvo type="autoMax"/>
              <x14:negativeFillColor rgb="FFFF0000"/>
              <x14:axisColor rgb="FF000000"/>
            </x14:dataBar>
          </x14:cfRule>
          <xm:sqref>C265:I265</xm:sqref>
        </x14:conditionalFormatting>
        <x14:conditionalFormatting xmlns:xm="http://schemas.microsoft.com/office/excel/2006/main">
          <x14:cfRule type="dataBar" id="{D862F6E3-7615-4577-88D3-B99471EAE498}">
            <x14:dataBar minLength="0" maxLength="100" gradient="0">
              <x14:cfvo type="autoMin"/>
              <x14:cfvo type="autoMax"/>
              <x14:negativeFillColor rgb="FFFF0000"/>
              <x14:axisColor rgb="FF000000"/>
            </x14:dataBar>
          </x14:cfRule>
          <xm:sqref>J83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5FF41-4DC1-4F2A-9B31-9C77CEF6D71E}">
  <sheetPr>
    <tabColor rgb="FF002060"/>
  </sheetPr>
  <dimension ref="A1"/>
  <sheetViews>
    <sheetView topLeftCell="B1" zoomScale="115" zoomScaleNormal="115" workbookViewId="0">
      <selection activeCell="A14" sqref="A1:CP86 A66:CP86"/>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3B83B-1C8B-4D3B-B8EF-56377BEB26A8}">
  <sheetPr codeName="Sheet6">
    <tabColor rgb="FF002060"/>
    <pageSetUpPr fitToPage="1"/>
  </sheetPr>
  <dimension ref="A1:I230"/>
  <sheetViews>
    <sheetView showZeros="0" topLeftCell="A87" zoomScale="85" zoomScaleNormal="85" workbookViewId="0">
      <selection activeCell="A185" sqref="A185"/>
    </sheetView>
  </sheetViews>
  <sheetFormatPr defaultColWidth="8.88671875" defaultRowHeight="15" outlineLevelRow="1"/>
  <cols>
    <col min="1" max="1" width="45.5546875" customWidth="1"/>
    <col min="2" max="2" width="12.77734375" customWidth="1"/>
    <col min="3" max="9" width="15.77734375" customWidth="1"/>
  </cols>
  <sheetData>
    <row r="1" spans="1:9" ht="23.25">
      <c r="A1" s="779" t="str">
        <f>'Summary. Assumptions. Inputs'!A1:G1</f>
        <v>Financial Plan</v>
      </c>
      <c r="B1" s="779"/>
      <c r="C1" s="779"/>
      <c r="D1" s="779"/>
      <c r="E1" s="779"/>
      <c r="F1" s="779"/>
      <c r="G1" s="779"/>
    </row>
    <row r="2" spans="1:9" ht="23.25">
      <c r="A2" s="779" t="str">
        <f>'Summary. Assumptions. Inputs'!A2:G2</f>
        <v>Al Bawader for Greenhouse Plastics</v>
      </c>
      <c r="B2" s="779"/>
      <c r="C2" s="779"/>
      <c r="D2" s="779"/>
      <c r="E2" s="779"/>
      <c r="F2" s="779"/>
      <c r="G2" s="779"/>
    </row>
    <row r="3" spans="1:9" ht="45" customHeight="1">
      <c r="A3" s="778" t="s">
        <v>3</v>
      </c>
      <c r="B3" s="778"/>
      <c r="C3" s="778"/>
      <c r="D3" s="778"/>
      <c r="E3" s="778"/>
      <c r="F3" s="778"/>
      <c r="G3" s="778"/>
    </row>
    <row r="4" spans="1:9" ht="45" customHeight="1">
      <c r="A4" s="778" t="str">
        <f>'Scenario Analysis'!A4</f>
        <v>Scenario 1</v>
      </c>
      <c r="B4" s="778"/>
      <c r="C4" s="778"/>
      <c r="D4" s="778"/>
      <c r="E4" s="778"/>
      <c r="F4" s="778"/>
      <c r="G4" s="778"/>
    </row>
    <row r="5" spans="1:9" s="61" customFormat="1" ht="24.95" customHeight="1">
      <c r="A5" s="60" t="s">
        <v>261</v>
      </c>
      <c r="B5" s="29" t="s">
        <v>189</v>
      </c>
      <c r="C5" s="29" t="s">
        <v>180</v>
      </c>
      <c r="D5" s="29" t="s">
        <v>181</v>
      </c>
      <c r="E5" s="29" t="s">
        <v>182</v>
      </c>
      <c r="F5" s="29" t="s">
        <v>183</v>
      </c>
      <c r="G5" s="29" t="s">
        <v>184</v>
      </c>
      <c r="H5" s="29" t="s">
        <v>185</v>
      </c>
      <c r="I5" s="29" t="s">
        <v>186</v>
      </c>
    </row>
    <row r="6" spans="1:9" s="64" customFormat="1" ht="17.100000000000001" customHeight="1">
      <c r="A6" s="31" t="str">
        <f>'Projected FS'!$A6</f>
        <v>Sales</v>
      </c>
      <c r="B6" s="62"/>
      <c r="C6" s="63">
        <f>IFERROR('Projected FS'!C6/'Projected FS'!C$6,0)</f>
        <v>1</v>
      </c>
      <c r="D6" s="63">
        <f ca="1">IFERROR('Projected FS'!D6/'Projected FS'!D$6,0)</f>
        <v>1</v>
      </c>
      <c r="E6" s="63">
        <f ca="1">IFERROR('Projected FS'!E6/'Projected FS'!E$6,0)</f>
        <v>1</v>
      </c>
      <c r="F6" s="63">
        <f ca="1">IFERROR('Projected FS'!F6/'Projected FS'!F$6,0)</f>
        <v>1</v>
      </c>
      <c r="G6" s="63">
        <f ca="1">IFERROR('Projected FS'!G6/'Projected FS'!G$6,0)</f>
        <v>1</v>
      </c>
      <c r="H6" s="558">
        <f ca="1">IFERROR('Projected FS'!H6/'Projected FS'!H$6,0)</f>
        <v>1</v>
      </c>
      <c r="I6" s="558">
        <f ca="1">IFERROR('Projected FS'!I6/'Projected FS'!I$6,0)</f>
        <v>1</v>
      </c>
    </row>
    <row r="7" spans="1:9" s="64" customFormat="1" ht="17.100000000000001" customHeight="1">
      <c r="A7" s="31" t="str">
        <f>'Projected FS'!$A7</f>
        <v>Cost of Sales</v>
      </c>
      <c r="B7" s="65"/>
      <c r="C7" s="66"/>
      <c r="D7" s="66"/>
      <c r="E7" s="66"/>
      <c r="F7" s="66"/>
      <c r="G7" s="66"/>
      <c r="H7" s="559"/>
      <c r="I7" s="559"/>
    </row>
    <row r="8" spans="1:9" s="64" customFormat="1" ht="17.100000000000001" customHeight="1">
      <c r="A8" s="53" t="str">
        <f>'Projected FS'!$A8</f>
        <v>Beginning Inventory</v>
      </c>
      <c r="B8" s="65"/>
      <c r="C8" s="66">
        <f ca="1">IFERROR('Projected FS'!C8/'Projected FS'!C$6,0)</f>
        <v>5.5425117815673122E-2</v>
      </c>
      <c r="D8" s="66">
        <f ca="1">IFERROR('Projected FS'!D8/'Projected FS'!D$6,0)</f>
        <v>4.7534406359925493E-2</v>
      </c>
      <c r="E8" s="66">
        <f ca="1">IFERROR('Projected FS'!E8/'Projected FS'!E$6,0)</f>
        <v>4.7930052439857748E-2</v>
      </c>
      <c r="F8" s="66">
        <f ca="1">IFERROR('Projected FS'!F8/'Projected FS'!F$6,0)</f>
        <v>4.8265791510096412E-2</v>
      </c>
      <c r="G8" s="66">
        <f ca="1">IFERROR('Projected FS'!G8/'Projected FS'!G$6,0)</f>
        <v>4.8553423403327106E-2</v>
      </c>
      <c r="H8" s="560">
        <f ca="1">IFERROR('Projected FS'!H8/'Projected FS'!H$6,0)</f>
        <v>4.8802083146101807E-2</v>
      </c>
      <c r="I8" s="560">
        <f ca="1">IFERROR('Projected FS'!I8/'Projected FS'!I$6,0)</f>
        <v>5.2287191698152033E-2</v>
      </c>
    </row>
    <row r="9" spans="1:9" s="64" customFormat="1" ht="17.100000000000001" customHeight="1">
      <c r="A9" s="53" t="str">
        <f>'Projected FS'!$A9</f>
        <v>Cost of primary raw material</v>
      </c>
      <c r="B9" s="71"/>
      <c r="C9" s="77">
        <f ca="1">IFERROR('Projected FS'!C9/'Projected FS'!C$51,0)</f>
        <v>16.727308616673653</v>
      </c>
      <c r="D9" s="77">
        <f ca="1">IFERROR('Projected FS'!D9/'Projected FS'!D$51,0)</f>
        <v>5.1865619112277273</v>
      </c>
      <c r="E9" s="77">
        <f ca="1">IFERROR('Projected FS'!E9/'Projected FS'!E$51,0)</f>
        <v>2.8685484916346082</v>
      </c>
      <c r="F9" s="77">
        <f ca="1">IFERROR('Projected FS'!F9/'Projected FS'!F$51,0)</f>
        <v>1.9271569634671208</v>
      </c>
      <c r="G9" s="77">
        <f ca="1">IFERROR('Projected FS'!G9/'Projected FS'!G$51,0)</f>
        <v>1.4327799213910708</v>
      </c>
      <c r="H9" s="561">
        <f ca="1">IFERROR('Projected FS'!H9/'Projected FS'!H$51,0)</f>
        <v>1.1341765041945642</v>
      </c>
      <c r="I9" s="561">
        <f ca="1">IFERROR('Projected FS'!I9/'Projected FS'!I$51,0)</f>
        <v>0.90967715420156769</v>
      </c>
    </row>
    <row r="10" spans="1:9" s="64" customFormat="1" ht="17.100000000000001" customHeight="1">
      <c r="A10" s="53" t="str">
        <f>'Projected FS'!$A10</f>
        <v>Ending Inventory</v>
      </c>
      <c r="B10" s="71"/>
      <c r="C10" s="77">
        <f ca="1">IFERROR('Projected FS'!C10/'Projected FS'!C$6,0)</f>
        <v>-5.5425117815673122E-2</v>
      </c>
      <c r="D10" s="77">
        <f ca="1">IFERROR('Projected FS'!D10/'Projected FS'!D$6,0)</f>
        <v>-5.5425117815673122E-2</v>
      </c>
      <c r="E10" s="77">
        <f ca="1">IFERROR('Projected FS'!E10/'Projected FS'!E$6,0)</f>
        <v>-5.5425117815673122E-2</v>
      </c>
      <c r="F10" s="77">
        <f ca="1">IFERROR('Projected FS'!F10/'Projected FS'!F$6,0)</f>
        <v>-5.5425117815673122E-2</v>
      </c>
      <c r="G10" s="77">
        <f ca="1">IFERROR('Projected FS'!G10/'Projected FS'!G$6,0)</f>
        <v>-5.5425117815673122E-2</v>
      </c>
      <c r="H10" s="562">
        <f ca="1">IFERROR('Projected FS'!H10/'Projected FS'!H$6,0)</f>
        <v>-5.5425117815673122E-2</v>
      </c>
      <c r="I10" s="562">
        <f ca="1">IFERROR('Projected FS'!I10/'Projected FS'!I$6,0)</f>
        <v>-5.5425117815673122E-2</v>
      </c>
    </row>
    <row r="11" spans="1:9" s="64" customFormat="1" ht="17.100000000000001" customHeight="1">
      <c r="A11" s="31" t="str">
        <f>'Projected FS'!$A11</f>
        <v>Cost of Sales</v>
      </c>
      <c r="B11" s="78"/>
      <c r="C11" s="79">
        <f ca="1">IFERROR('Projected FS'!C11/'Projected FS'!C$6,0)</f>
        <v>0.66510141378807752</v>
      </c>
      <c r="D11" s="79">
        <f ca="1">IFERROR('Projected FS'!D11/'Projected FS'!D$6,0)</f>
        <v>0.65721070233232992</v>
      </c>
      <c r="E11" s="79">
        <f ca="1">IFERROR('Projected FS'!E11/'Projected FS'!E$6,0)</f>
        <v>0.65760634841226207</v>
      </c>
      <c r="F11" s="79">
        <f ca="1">IFERROR('Projected FS'!F11/'Projected FS'!F$6,0)</f>
        <v>0.65794208748250083</v>
      </c>
      <c r="G11" s="79">
        <f ca="1">IFERROR('Projected FS'!G11/'Projected FS'!G$6,0)</f>
        <v>0.65822971937573149</v>
      </c>
      <c r="H11" s="563">
        <f ca="1">IFERROR('Projected FS'!H11/'Projected FS'!H$6,0)</f>
        <v>0.65847837911850637</v>
      </c>
      <c r="I11" s="563">
        <f ca="1">IFERROR('Projected FS'!I11/'Projected FS'!I$6,0)</f>
        <v>0.66196348767055646</v>
      </c>
    </row>
    <row r="12" spans="1:9" s="64" customFormat="1" ht="17.100000000000001" customHeight="1">
      <c r="A12" s="31" t="str">
        <f>'Projected FS'!$A12</f>
        <v>Gross Profit</v>
      </c>
      <c r="B12" s="62"/>
      <c r="C12" s="63">
        <f ca="1">IFERROR('Projected FS'!C12/'Projected FS'!C$6,0)</f>
        <v>0.33489858621192253</v>
      </c>
      <c r="D12" s="63">
        <f ca="1">IFERROR('Projected FS'!D12/'Projected FS'!D$6,0)</f>
        <v>0.34278929766767013</v>
      </c>
      <c r="E12" s="63">
        <f ca="1">IFERROR('Projected FS'!E12/'Projected FS'!E$6,0)</f>
        <v>0.34239365158773788</v>
      </c>
      <c r="F12" s="63">
        <f ca="1">IFERROR('Projected FS'!F12/'Projected FS'!F$6,0)</f>
        <v>0.34205791251749912</v>
      </c>
      <c r="G12" s="63">
        <f ca="1">IFERROR('Projected FS'!G12/'Projected FS'!G$6,0)</f>
        <v>0.34177028062426856</v>
      </c>
      <c r="H12" s="558">
        <f ca="1">IFERROR('Projected FS'!H12/'Projected FS'!H$6,0)</f>
        <v>0.34152162088149368</v>
      </c>
      <c r="I12" s="558">
        <f ca="1">IFERROR('Projected FS'!I12/'Projected FS'!I$6,0)</f>
        <v>0.33803651232944348</v>
      </c>
    </row>
    <row r="13" spans="1:9" s="64" customFormat="1" ht="17.100000000000001" customHeight="1">
      <c r="A13" s="31" t="str">
        <f>'Projected FS'!$A13</f>
        <v>Other Income</v>
      </c>
      <c r="B13" s="65"/>
      <c r="C13" s="66"/>
      <c r="D13" s="66"/>
      <c r="E13" s="66"/>
      <c r="F13" s="66"/>
      <c r="G13" s="66"/>
      <c r="H13" s="559"/>
      <c r="I13" s="559"/>
    </row>
    <row r="14" spans="1:9" s="64" customFormat="1" ht="17.100000000000001" customHeight="1">
      <c r="A14" s="53" t="str">
        <f>'Projected FS'!$A14</f>
        <v>Government Grant (CapEx)</v>
      </c>
      <c r="B14" s="65"/>
      <c r="C14" s="66">
        <f>IFERROR('Projected FS'!C14/'Projected FS'!C$6,0)</f>
        <v>0</v>
      </c>
      <c r="D14" s="66">
        <f ca="1">IFERROR('Projected FS'!D14/'Projected FS'!D$6,0)</f>
        <v>0</v>
      </c>
      <c r="E14" s="66">
        <f ca="1">IFERROR('Projected FS'!E14/'Projected FS'!E$6,0)</f>
        <v>0</v>
      </c>
      <c r="F14" s="66">
        <f ca="1">IFERROR('Projected FS'!F14/'Projected FS'!F$6,0)</f>
        <v>0</v>
      </c>
      <c r="G14" s="66">
        <f ca="1">IFERROR('Projected FS'!G14/'Projected FS'!G$6,0)</f>
        <v>0</v>
      </c>
      <c r="H14" s="560">
        <f ca="1">IFERROR('Projected FS'!H14/'Projected FS'!H$6,0)</f>
        <v>0</v>
      </c>
      <c r="I14" s="560">
        <f ca="1">IFERROR('Projected FS'!I14/'Projected FS'!I$6,0)</f>
        <v>0</v>
      </c>
    </row>
    <row r="15" spans="1:9" s="64" customFormat="1" ht="17.100000000000001" customHeight="1">
      <c r="A15" s="53" t="str">
        <f>'Projected FS'!$A15</f>
        <v>Government Grant (OpEx)</v>
      </c>
      <c r="B15" s="284"/>
      <c r="C15" s="285">
        <f>IFERROR('Projected FS'!C15/'Projected FS'!C$6,0)</f>
        <v>0</v>
      </c>
      <c r="D15" s="285">
        <f ca="1">IFERROR('Projected FS'!D15/'Projected FS'!D$6,0)</f>
        <v>0</v>
      </c>
      <c r="E15" s="285">
        <f ca="1">IFERROR('Projected FS'!E15/'Projected FS'!E$6,0)</f>
        <v>0</v>
      </c>
      <c r="F15" s="285">
        <f ca="1">IFERROR('Projected FS'!F15/'Projected FS'!F$6,0)</f>
        <v>0</v>
      </c>
      <c r="G15" s="285">
        <f ca="1">IFERROR('Projected FS'!G15/'Projected FS'!G$6,0)</f>
        <v>0</v>
      </c>
      <c r="H15" s="564">
        <f ca="1">IFERROR('Projected FS'!H15/'Projected FS'!H$6,0)</f>
        <v>0</v>
      </c>
      <c r="I15" s="564">
        <f ca="1">IFERROR('Projected FS'!I15/'Projected FS'!I$6,0)</f>
        <v>0</v>
      </c>
    </row>
    <row r="16" spans="1:9" s="64" customFormat="1" ht="17.100000000000001" customHeight="1">
      <c r="A16" s="31" t="str">
        <f>'Projected FS'!$A16</f>
        <v>Other Income</v>
      </c>
      <c r="B16" s="65"/>
      <c r="C16" s="66">
        <f>IFERROR('Projected FS'!C16/'Projected FS'!C$6,0)</f>
        <v>0</v>
      </c>
      <c r="D16" s="66">
        <f ca="1">IFERROR('Projected FS'!D16/'Projected FS'!D$6,0)</f>
        <v>0</v>
      </c>
      <c r="E16" s="66">
        <f ca="1">IFERROR('Projected FS'!E16/'Projected FS'!E$6,0)</f>
        <v>0</v>
      </c>
      <c r="F16" s="66">
        <f ca="1">IFERROR('Projected FS'!F16/'Projected FS'!F$6,0)</f>
        <v>0</v>
      </c>
      <c r="G16" s="66">
        <f ca="1">IFERROR('Projected FS'!G16/'Projected FS'!G$6,0)</f>
        <v>0</v>
      </c>
      <c r="H16" s="560">
        <f ca="1">IFERROR('Projected FS'!H16/'Projected FS'!H$6,0)</f>
        <v>0</v>
      </c>
      <c r="I16" s="560">
        <f ca="1">IFERROR('Projected FS'!I16/'Projected FS'!I$6,0)</f>
        <v>0</v>
      </c>
    </row>
    <row r="17" spans="1:9" s="64" customFormat="1" ht="17.100000000000001" customHeight="1">
      <c r="A17" s="53" t="str">
        <f>'Projected FS'!$A17</f>
        <v>Salaries</v>
      </c>
      <c r="B17" s="65"/>
      <c r="C17" s="66">
        <f>IFERROR('Projected FS'!C17/'Projected FS'!C$6,0)</f>
        <v>9.5860001931355313E-2</v>
      </c>
      <c r="D17" s="66">
        <f ca="1">IFERROR('Projected FS'!D17/'Projected FS'!D$6,0)</f>
        <v>8.6323329354994066E-2</v>
      </c>
      <c r="E17" s="66">
        <f ca="1">IFERROR('Projected FS'!E17/'Projected FS'!E$6,0)</f>
        <v>7.8382436684291151E-2</v>
      </c>
      <c r="F17" s="66">
        <f ca="1">IFERROR('Projected FS'!F17/'Projected FS'!F$6,0)</f>
        <v>7.167057141170198E-2</v>
      </c>
      <c r="G17" s="66">
        <f ca="1">IFERROR('Projected FS'!G17/'Projected FS'!G$6,0)</f>
        <v>6.592397676858093E-2</v>
      </c>
      <c r="H17" s="559">
        <f ca="1">IFERROR('Projected FS'!H17/'Projected FS'!H$6,0)</f>
        <v>6.0948697963900622E-2</v>
      </c>
      <c r="I17" s="559">
        <f ca="1">IFERROR('Projected FS'!I17/'Projected FS'!I$6,0)</f>
        <v>6.0372953613362819E-2</v>
      </c>
    </row>
    <row r="18" spans="1:9" s="64" customFormat="1" ht="17.100000000000001" customHeight="1">
      <c r="A18" s="53" t="str">
        <f>'Projected FS'!$A18</f>
        <v>Operating Expenses</v>
      </c>
      <c r="B18" s="71"/>
      <c r="C18" s="77">
        <f>IFERROR('Projected FS'!C18/'Projected FS'!C$6,0)</f>
        <v>7.3649727720886751E-2</v>
      </c>
      <c r="D18" s="77">
        <f ca="1">IFERROR('Projected FS'!D18/'Projected FS'!D$6,0)</f>
        <v>5.7032200387359767E-2</v>
      </c>
      <c r="E18" s="77">
        <f ca="1">IFERROR('Projected FS'!E18/'Projected FS'!E$6,0)</f>
        <v>5.4251792497029147E-2</v>
      </c>
      <c r="F18" s="77">
        <f ca="1">IFERROR('Projected FS'!F18/'Projected FS'!F$6,0)</f>
        <v>5.1968428571696722E-2</v>
      </c>
      <c r="G18" s="77">
        <f ca="1">IFERROR('Projected FS'!G18/'Projected FS'!G$6,0)</f>
        <v>5.0077829999072954E-2</v>
      </c>
      <c r="H18" s="562">
        <f ca="1">IFERROR('Projected FS'!H18/'Projected FS'!H$6,0)</f>
        <v>4.8503147520058583E-2</v>
      </c>
      <c r="I18" s="562">
        <f ca="1">IFERROR('Projected FS'!I18/'Projected FS'!I$6,0)</f>
        <v>5.0332824169309807E-2</v>
      </c>
    </row>
    <row r="19" spans="1:9" s="64" customFormat="1" ht="17.100000000000001" customHeight="1">
      <c r="A19" s="53" t="str">
        <f>'Projected FS'!$A19</f>
        <v>Donated OpEx</v>
      </c>
      <c r="B19" s="284"/>
      <c r="C19" s="77">
        <f>IFERROR('Projected FS'!C19/'Projected FS'!C$6,0)</f>
        <v>0</v>
      </c>
      <c r="D19" s="77">
        <f ca="1">IFERROR('Projected FS'!D19/'Projected FS'!D$6,0)</f>
        <v>0</v>
      </c>
      <c r="E19" s="77">
        <f ca="1">IFERROR('Projected FS'!E19/'Projected FS'!E$6,0)</f>
        <v>0</v>
      </c>
      <c r="F19" s="77">
        <f ca="1">IFERROR('Projected FS'!F19/'Projected FS'!F$6,0)</f>
        <v>0</v>
      </c>
      <c r="G19" s="77">
        <f ca="1">IFERROR('Projected FS'!G19/'Projected FS'!G$6,0)</f>
        <v>0</v>
      </c>
      <c r="H19" s="561">
        <f ca="1">IFERROR('Projected FS'!H19/'Projected FS'!H$6,0)</f>
        <v>0</v>
      </c>
      <c r="I19" s="561">
        <f ca="1">IFERROR('Projected FS'!I19/'Projected FS'!I$6,0)</f>
        <v>0</v>
      </c>
    </row>
    <row r="20" spans="1:9" s="64" customFormat="1" ht="17.100000000000001" customHeight="1">
      <c r="A20" s="31" t="str">
        <f>'Projected FS'!$A20</f>
        <v>Income before Interest, Taxes and Depreciation</v>
      </c>
      <c r="B20" s="65"/>
      <c r="C20" s="66">
        <f ca="1">IFERROR('Projected FS'!C20/'Projected FS'!C$6,0)</f>
        <v>0.16538885655968044</v>
      </c>
      <c r="D20" s="66">
        <f ca="1">IFERROR('Projected FS'!D20/'Projected FS'!D$6,0)</f>
        <v>0.19943376792531628</v>
      </c>
      <c r="E20" s="66">
        <f ca="1">IFERROR('Projected FS'!E20/'Projected FS'!E$6,0)</f>
        <v>0.20975942240641759</v>
      </c>
      <c r="F20" s="66">
        <f ca="1">IFERROR('Projected FS'!F20/'Projected FS'!F$6,0)</f>
        <v>0.21841891253410042</v>
      </c>
      <c r="G20" s="66">
        <f ca="1">IFERROR('Projected FS'!G20/'Projected FS'!G$6,0)</f>
        <v>0.22576847385661467</v>
      </c>
      <c r="H20" s="560">
        <f ca="1">IFERROR('Projected FS'!H20/'Projected FS'!H$6,0)</f>
        <v>0.23206977539753446</v>
      </c>
      <c r="I20" s="560">
        <f ca="1">IFERROR('Projected FS'!I20/'Projected FS'!I$6,0)</f>
        <v>0.22733073454677086</v>
      </c>
    </row>
    <row r="21" spans="1:9" s="64" customFormat="1" ht="17.100000000000001" customHeight="1">
      <c r="A21" s="53" t="str">
        <f>'Projected FS'!$A21</f>
        <v>Depreciation</v>
      </c>
      <c r="B21" s="71"/>
      <c r="C21" s="77">
        <f>IFERROR('Projected FS'!C21/'Projected FS'!C$6,0)</f>
        <v>8.8346849821529572E-2</v>
      </c>
      <c r="D21" s="77">
        <f ca="1">IFERROR('Projected FS'!D21/'Projected FS'!D$6,0)</f>
        <v>7.5769167942992779E-2</v>
      </c>
      <c r="E21" s="77">
        <f ca="1">IFERROR('Projected FS'!E21/'Projected FS'!E$6,0)</f>
        <v>6.5523003575918101E-2</v>
      </c>
      <c r="F21" s="77">
        <f ca="1">IFERROR('Projected FS'!F21/'Projected FS'!F$6,0)</f>
        <v>5.7059321736187031E-2</v>
      </c>
      <c r="G21" s="77">
        <f ca="1">IFERROR('Projected FS'!G21/'Projected FS'!G$6,0)</f>
        <v>4.9985016118095346E-2</v>
      </c>
      <c r="H21" s="561">
        <f ca="1">IFERROR('Projected FS'!H21/'Projected FS'!H$6,0)</f>
        <v>4.4012047403618179E-2</v>
      </c>
      <c r="I21" s="561">
        <f ca="1">IFERROR('Projected FS'!I21/'Projected FS'!I$6,0)</f>
        <v>4.1520279077699784E-2</v>
      </c>
    </row>
    <row r="22" spans="1:9" s="64" customFormat="1" ht="17.100000000000001" customHeight="1">
      <c r="A22" s="53" t="str">
        <f>'Projected FS'!$A22</f>
        <v>Donated Assets Depreciation</v>
      </c>
      <c r="B22" s="71"/>
      <c r="C22" s="77">
        <f>IFERROR('Projected FS'!C22/'Projected FS'!C$6,0)</f>
        <v>0</v>
      </c>
      <c r="D22" s="77">
        <f ca="1">IFERROR('Projected FS'!D22/'Projected FS'!D$6,0)</f>
        <v>0</v>
      </c>
      <c r="E22" s="77">
        <f ca="1">IFERROR('Projected FS'!E22/'Projected FS'!E$6,0)</f>
        <v>0</v>
      </c>
      <c r="F22" s="77">
        <f ca="1">IFERROR('Projected FS'!F22/'Projected FS'!F$6,0)</f>
        <v>0</v>
      </c>
      <c r="G22" s="77">
        <f ca="1">IFERROR('Projected FS'!G22/'Projected FS'!G$6,0)</f>
        <v>0</v>
      </c>
      <c r="H22" s="562">
        <f ca="1">IFERROR('Projected FS'!H22/'Projected FS'!H$6,0)</f>
        <v>0</v>
      </c>
      <c r="I22" s="562">
        <f ca="1">IFERROR('Projected FS'!I22/'Projected FS'!I$6,0)</f>
        <v>0</v>
      </c>
    </row>
    <row r="23" spans="1:9" s="64" customFormat="1" ht="17.100000000000001" customHeight="1">
      <c r="A23" s="31" t="str">
        <f>'Projected FS'!$A23</f>
        <v>Income Before Interest and Tax</v>
      </c>
      <c r="B23" s="65"/>
      <c r="C23" s="66">
        <f ca="1">IFERROR('Projected FS'!C23/'Projected FS'!C$6,0)</f>
        <v>7.7042006738150884E-2</v>
      </c>
      <c r="D23" s="66">
        <f ca="1">IFERROR('Projected FS'!D23/'Projected FS'!D$6,0)</f>
        <v>0.1236645999823235</v>
      </c>
      <c r="E23" s="66">
        <f ca="1">IFERROR('Projected FS'!E23/'Projected FS'!E$6,0)</f>
        <v>0.14423641883049948</v>
      </c>
      <c r="F23" s="66">
        <f ca="1">IFERROR('Projected FS'!F23/'Projected FS'!F$6,0)</f>
        <v>0.1613595907979134</v>
      </c>
      <c r="G23" s="66">
        <f ca="1">IFERROR('Projected FS'!G23/'Projected FS'!G$6,0)</f>
        <v>0.17578345773851933</v>
      </c>
      <c r="H23" s="559">
        <f ca="1">IFERROR('Projected FS'!H23/'Projected FS'!H$6,0)</f>
        <v>0.18805772799391629</v>
      </c>
      <c r="I23" s="559">
        <f ca="1">IFERROR('Projected FS'!I23/'Projected FS'!I$6,0)</f>
        <v>0.18581045546907107</v>
      </c>
    </row>
    <row r="24" spans="1:9" s="64" customFormat="1" ht="17.100000000000001" customHeight="1">
      <c r="A24" s="53" t="str">
        <f>'Projected FS'!$A24</f>
        <v>Interest</v>
      </c>
      <c r="B24" s="71"/>
      <c r="C24" s="77">
        <f>IFERROR('Projected FS'!C24/'Projected FS'!C$6,0)</f>
        <v>3.7280594485308877E-2</v>
      </c>
      <c r="D24" s="77">
        <f ca="1">IFERROR('Projected FS'!D24/'Projected FS'!D$6,0)</f>
        <v>2.9529786220133688E-2</v>
      </c>
      <c r="E24" s="77">
        <f ca="1">IFERROR('Projected FS'!E24/'Projected FS'!E$6,0)</f>
        <v>2.3270894231656361E-2</v>
      </c>
      <c r="F24" s="77">
        <f ca="1">IFERROR('Projected FS'!F24/'Projected FS'!F$6,0)</f>
        <v>1.8149374619931567E-2</v>
      </c>
      <c r="G24" s="77">
        <f ca="1">IFERROR('Projected FS'!G24/'Projected FS'!G$6,0)</f>
        <v>1.3911914239214673E-2</v>
      </c>
      <c r="H24" s="562">
        <f ca="1">IFERROR('Projected FS'!H24/'Projected FS'!H$6,0)</f>
        <v>1.0373211548788655E-2</v>
      </c>
      <c r="I24" s="562">
        <f ca="1">IFERROR('Projected FS'!I24/'Projected FS'!I$6,0)</f>
        <v>7.8878992850223446E-3</v>
      </c>
    </row>
    <row r="25" spans="1:9" s="64" customFormat="1" ht="17.100000000000001" customHeight="1">
      <c r="A25" s="31" t="str">
        <f>'Projected FS'!$A25</f>
        <v>Income Before Tax</v>
      </c>
      <c r="B25" s="65"/>
      <c r="C25" s="66">
        <f ca="1">IFERROR('Projected FS'!C25/'Projected FS'!C$6,0)</f>
        <v>3.9761412252842007E-2</v>
      </c>
      <c r="D25" s="66">
        <f ca="1">IFERROR('Projected FS'!D25/'Projected FS'!D$6,0)</f>
        <v>9.4134813762189809E-2</v>
      </c>
      <c r="E25" s="66">
        <f ca="1">IFERROR('Projected FS'!E25/'Projected FS'!E$6,0)</f>
        <v>0.12096552459884312</v>
      </c>
      <c r="F25" s="66">
        <f ca="1">IFERROR('Projected FS'!F25/'Projected FS'!F$6,0)</f>
        <v>0.14321021617798183</v>
      </c>
      <c r="G25" s="66">
        <f ca="1">IFERROR('Projected FS'!G25/'Projected FS'!G$6,0)</f>
        <v>0.16187154349930466</v>
      </c>
      <c r="H25" s="559">
        <f ca="1">IFERROR('Projected FS'!H25/'Projected FS'!H$6,0)</f>
        <v>0.17768451644512762</v>
      </c>
      <c r="I25" s="559">
        <f ca="1">IFERROR('Projected FS'!I25/'Projected FS'!I$6,0)</f>
        <v>0.17792255618404873</v>
      </c>
    </row>
    <row r="26" spans="1:9" s="64" customFormat="1" ht="17.100000000000001" customHeight="1">
      <c r="A26" s="53" t="str">
        <f>'Projected FS'!$A26</f>
        <v>Taxes</v>
      </c>
      <c r="B26" s="71"/>
      <c r="C26" s="77">
        <f>IFERROR('Projected FS'!C26/'Projected FS'!C$6,0)</f>
        <v>0</v>
      </c>
      <c r="D26" s="77">
        <f ca="1">IFERROR('Projected FS'!D26/'Projected FS'!D$6,0)</f>
        <v>0</v>
      </c>
      <c r="E26" s="77">
        <f ca="1">IFERROR('Projected FS'!E26/'Projected FS'!E$6,0)</f>
        <v>0</v>
      </c>
      <c r="F26" s="77">
        <f ca="1">IFERROR('Projected FS'!F26/'Projected FS'!F$6,0)</f>
        <v>0</v>
      </c>
      <c r="G26" s="77">
        <f ca="1">IFERROR('Projected FS'!G26/'Projected FS'!G$6,0)</f>
        <v>0</v>
      </c>
      <c r="H26" s="562">
        <f ca="1">IFERROR('Projected FS'!H26/'Projected FS'!H$6,0)</f>
        <v>0</v>
      </c>
      <c r="I26" s="562">
        <f ca="1">IFERROR('Projected FS'!I26/'Projected FS'!I$6,0)</f>
        <v>0</v>
      </c>
    </row>
    <row r="27" spans="1:9" s="64" customFormat="1" ht="17.100000000000001" customHeight="1" thickBot="1">
      <c r="A27" s="31" t="str">
        <f>'Projected FS'!$A$27</f>
        <v>Net Income</v>
      </c>
      <c r="B27" s="62"/>
      <c r="C27" s="63">
        <f ca="1">IFERROR('Projected FS'!C27/'Projected FS'!C$6,0)</f>
        <v>3.9761412252842007E-2</v>
      </c>
      <c r="D27" s="63">
        <f ca="1">IFERROR('Projected FS'!D27/'Projected FS'!D$6,0)</f>
        <v>9.4134813762189809E-2</v>
      </c>
      <c r="E27" s="63">
        <f ca="1">IFERROR('Projected FS'!E27/'Projected FS'!E$6,0)</f>
        <v>0.12096552459884312</v>
      </c>
      <c r="F27" s="63">
        <f ca="1">IFERROR('Projected FS'!F27/'Projected FS'!F$6,0)</f>
        <v>0.14321021617798183</v>
      </c>
      <c r="G27" s="63">
        <f ca="1">IFERROR('Projected FS'!G27/'Projected FS'!G$6,0)</f>
        <v>0.16187154349930466</v>
      </c>
      <c r="H27" s="565">
        <f ca="1">IFERROR('Projected FS'!H27/'Projected FS'!H$6,0)</f>
        <v>0.17768451644512762</v>
      </c>
      <c r="I27" s="565">
        <f ca="1">IFERROR('Projected FS'!I27/'Projected FS'!I$6,0)</f>
        <v>0.17792255618404873</v>
      </c>
    </row>
    <row r="28" spans="1:9" s="64" customFormat="1" ht="17.100000000000001" customHeight="1" thickTop="1">
      <c r="A28" s="27"/>
      <c r="B28" s="27"/>
      <c r="C28" s="27"/>
      <c r="D28" s="27"/>
      <c r="E28" s="27"/>
      <c r="F28" s="27"/>
      <c r="G28" s="27"/>
      <c r="H28" s="27"/>
      <c r="I28" s="27"/>
    </row>
    <row r="29" spans="1:9" s="61" customFormat="1" ht="24.95" customHeight="1">
      <c r="A29" s="60" t="s">
        <v>262</v>
      </c>
      <c r="B29" s="29" t="s">
        <v>189</v>
      </c>
      <c r="C29" s="29" t="s">
        <v>180</v>
      </c>
      <c r="D29" s="29" t="s">
        <v>181</v>
      </c>
      <c r="E29" s="29" t="s">
        <v>182</v>
      </c>
      <c r="F29" s="29" t="s">
        <v>183</v>
      </c>
      <c r="G29" s="29" t="s">
        <v>184</v>
      </c>
      <c r="H29" s="29" t="s">
        <v>185</v>
      </c>
      <c r="I29" s="29" t="s">
        <v>186</v>
      </c>
    </row>
    <row r="30" spans="1:9" s="64" customFormat="1" ht="17.100000000000001" customHeight="1">
      <c r="A30" s="31" t="str">
        <f>'Projected FS'!$A6</f>
        <v>Sales</v>
      </c>
      <c r="B30" s="62"/>
      <c r="C30" s="63"/>
      <c r="D30" s="63">
        <f ca="1">IFERROR('Projected FS'!D6/'Projected FS'!C6-1,0)</f>
        <v>0.16599999999999993</v>
      </c>
      <c r="E30" s="63">
        <f ca="1">IFERROR('Projected FS'!E6/'Projected FS'!D6-1,0)</f>
        <v>0.15637507146941099</v>
      </c>
      <c r="F30" s="63">
        <f ca="1">IFERROR('Projected FS'!F6/'Projected FS'!E6-1,0)</f>
        <v>0.1483312731767612</v>
      </c>
      <c r="G30" s="63">
        <f ca="1">IFERROR('Projected FS'!G6/'Projected FS'!F6-1,0)</f>
        <v>0.14152852529601723</v>
      </c>
      <c r="H30" s="558">
        <f ca="1">IFERROR('Projected FS'!H6/'Projected FS'!G6-1,0)</f>
        <v>0.13571213035606555</v>
      </c>
      <c r="I30" s="558">
        <f ca="1">IFERROR('Projected FS'!I6/'Projected FS'!H6-1,0)</f>
        <v>6.0013284623048335E-2</v>
      </c>
    </row>
    <row r="31" spans="1:9" s="64" customFormat="1" ht="17.100000000000001" customHeight="1">
      <c r="A31" s="31" t="str">
        <f>'Projected FS'!$A7</f>
        <v>Cost of Sales</v>
      </c>
      <c r="B31" s="69"/>
      <c r="C31" s="66"/>
      <c r="D31" s="66"/>
      <c r="E31" s="66"/>
      <c r="F31" s="66"/>
      <c r="G31" s="66"/>
      <c r="H31" s="559"/>
      <c r="I31" s="559"/>
    </row>
    <row r="32" spans="1:9" s="64" customFormat="1" ht="17.100000000000001" customHeight="1">
      <c r="A32" s="53" t="str">
        <f>'Projected FS'!$A8</f>
        <v>Beginning Inventory</v>
      </c>
      <c r="B32" s="69"/>
      <c r="C32" s="66"/>
      <c r="D32" s="66">
        <f ca="1">IFERROR('Projected FS'!D8/'Projected FS'!C8-1,0)</f>
        <v>0</v>
      </c>
      <c r="E32" s="66">
        <f ca="1">IFERROR('Projected FS'!E8/'Projected FS'!D8-1,0)</f>
        <v>0.16599999999999993</v>
      </c>
      <c r="F32" s="66">
        <f ca="1">IFERROR('Projected FS'!F8/'Projected FS'!E8-1,0)</f>
        <v>0.15637507146941121</v>
      </c>
      <c r="G32" s="66">
        <f ca="1">IFERROR('Projected FS'!G8/'Projected FS'!F8-1,0)</f>
        <v>0.1483312731767612</v>
      </c>
      <c r="H32" s="560">
        <f ca="1">IFERROR('Projected FS'!H8/'Projected FS'!G8-1,0)</f>
        <v>0.14152852529601723</v>
      </c>
      <c r="I32" s="560">
        <f ca="1">IFERROR('Projected FS'!I8/'Projected FS'!H8-1,0)</f>
        <v>0.13571213035606555</v>
      </c>
    </row>
    <row r="33" spans="1:9" s="64" customFormat="1" ht="17.100000000000001" customHeight="1">
      <c r="A33" s="53" t="str">
        <f>'Projected FS'!$A9</f>
        <v>Cost of primary raw material</v>
      </c>
      <c r="B33" s="69"/>
      <c r="C33" s="66"/>
      <c r="D33" s="66">
        <f ca="1">IFERROR('Projected FS'!D9/'Projected FS'!C9-1,0)</f>
        <v>0.16600000000000015</v>
      </c>
      <c r="E33" s="66">
        <f ca="1">IFERROR('Projected FS'!E9/'Projected FS'!D9-1,0)</f>
        <v>0.15637507146941099</v>
      </c>
      <c r="F33" s="66">
        <f ca="1">IFERROR('Projected FS'!F9/'Projected FS'!E9-1,0)</f>
        <v>0.14833127317676142</v>
      </c>
      <c r="G33" s="66">
        <f ca="1">IFERROR('Projected FS'!G9/'Projected FS'!F9-1,0)</f>
        <v>0.14152852529601723</v>
      </c>
      <c r="H33" s="559">
        <f ca="1">IFERROR('Projected FS'!H9/'Projected FS'!G9-1,0)</f>
        <v>0.13571213035606555</v>
      </c>
      <c r="I33" s="559">
        <f ca="1">IFERROR('Projected FS'!I9/'Projected FS'!H9-1,0)</f>
        <v>6.0013284623048335E-2</v>
      </c>
    </row>
    <row r="34" spans="1:9" s="64" customFormat="1" ht="17.100000000000001" customHeight="1">
      <c r="A34" s="53" t="str">
        <f>'Projected FS'!$A10</f>
        <v>Ending Inventory</v>
      </c>
      <c r="B34" s="69"/>
      <c r="C34" s="66"/>
      <c r="D34" s="66">
        <f ca="1">IFERROR('Projected FS'!D10/'Projected FS'!C10-1,0)</f>
        <v>0.16599999999999993</v>
      </c>
      <c r="E34" s="66">
        <f ca="1">IFERROR('Projected FS'!E10/'Projected FS'!D10-1,0)</f>
        <v>0.15637507146941121</v>
      </c>
      <c r="F34" s="66">
        <f ca="1">IFERROR('Projected FS'!F10/'Projected FS'!E10-1,0)</f>
        <v>0.1483312731767612</v>
      </c>
      <c r="G34" s="66">
        <f ca="1">IFERROR('Projected FS'!G10/'Projected FS'!F10-1,0)</f>
        <v>0.14152852529601723</v>
      </c>
      <c r="H34" s="560">
        <f ca="1">IFERROR('Projected FS'!H10/'Projected FS'!G10-1,0)</f>
        <v>0.13571213035606555</v>
      </c>
      <c r="I34" s="560">
        <f ca="1">IFERROR('Projected FS'!I10/'Projected FS'!H10-1,0)</f>
        <v>6.0013284623048335E-2</v>
      </c>
    </row>
    <row r="35" spans="1:9" s="64" customFormat="1" ht="17.100000000000001" customHeight="1">
      <c r="A35" s="31" t="str">
        <f>'Projected FS'!$A11</f>
        <v>Cost of Sales</v>
      </c>
      <c r="B35" s="78"/>
      <c r="C35" s="79"/>
      <c r="D35" s="79">
        <f ca="1">IFERROR('Projected FS'!D11/'Projected FS'!C11-1,0)</f>
        <v>0.15216666666666678</v>
      </c>
      <c r="E35" s="79">
        <f ca="1">IFERROR('Projected FS'!E11/'Projected FS'!D11-1,0)</f>
        <v>0.15707121847726491</v>
      </c>
      <c r="F35" s="79">
        <f ca="1">IFERROR('Projected FS'!F11/'Projected FS'!E11-1,0)</f>
        <v>0.1489175504761111</v>
      </c>
      <c r="G35" s="79">
        <f ca="1">IFERROR('Projected FS'!G11/'Projected FS'!F11-1,0)</f>
        <v>0.14202756619513934</v>
      </c>
      <c r="H35" s="563">
        <f ca="1">IFERROR('Projected FS'!H11/'Projected FS'!G11-1,0)</f>
        <v>0.13614116884808092</v>
      </c>
      <c r="I35" s="563">
        <f ca="1">IFERROR('Projected FS'!I11/'Projected FS'!H11-1,0)</f>
        <v>6.562358479489605E-2</v>
      </c>
    </row>
    <row r="36" spans="1:9" s="64" customFormat="1" ht="17.100000000000001" customHeight="1">
      <c r="A36" s="31" t="str">
        <f>'Projected FS'!$A12</f>
        <v>Gross Profit</v>
      </c>
      <c r="B36" s="78"/>
      <c r="C36" s="79"/>
      <c r="D36" s="79">
        <f ca="1">IFERROR('Projected FS'!D12/'Projected FS'!C12-1,0)</f>
        <v>0.19347270348755541</v>
      </c>
      <c r="E36" s="79">
        <f ca="1">IFERROR('Projected FS'!E12/'Projected FS'!D12-1,0)</f>
        <v>0.15504038783993046</v>
      </c>
      <c r="F36" s="79">
        <f ca="1">IFERROR('Projected FS'!F12/'Projected FS'!E12-1,0)</f>
        <v>0.1472052602609415</v>
      </c>
      <c r="G36" s="79">
        <f ca="1">IFERROR('Projected FS'!G12/'Projected FS'!F12-1,0)</f>
        <v>0.14056862932842784</v>
      </c>
      <c r="H36" s="573">
        <f ca="1">IFERROR('Projected FS'!H12/'Projected FS'!G12-1,0)</f>
        <v>0.13488582712781283</v>
      </c>
      <c r="I36" s="573">
        <f ca="1">IFERROR('Projected FS'!I12/'Projected FS'!H12-1,0)</f>
        <v>4.919622023341641E-2</v>
      </c>
    </row>
    <row r="37" spans="1:9" s="64" customFormat="1" ht="17.100000000000001" customHeight="1">
      <c r="A37" s="31" t="str">
        <f>'Projected FS'!$A13</f>
        <v>Other Income</v>
      </c>
      <c r="B37" s="65"/>
      <c r="C37" s="66"/>
      <c r="D37" s="66"/>
      <c r="E37" s="66"/>
      <c r="F37" s="66"/>
      <c r="G37" s="66"/>
      <c r="H37" s="559"/>
      <c r="I37" s="559"/>
    </row>
    <row r="38" spans="1:9" s="64" customFormat="1" ht="17.100000000000001" customHeight="1">
      <c r="A38" s="53" t="str">
        <f>'Projected FS'!$A14</f>
        <v>Government Grant (CapEx)</v>
      </c>
      <c r="B38" s="69"/>
      <c r="C38" s="66"/>
      <c r="D38" s="66">
        <f>IFERROR('Projected FS'!D14/'Projected FS'!C14-1,0)</f>
        <v>0</v>
      </c>
      <c r="E38" s="66">
        <f>IFERROR('Projected FS'!E14/'Projected FS'!D14-1,0)</f>
        <v>0</v>
      </c>
      <c r="F38" s="66">
        <f>IFERROR('Projected FS'!F14/'Projected FS'!E14-1,0)</f>
        <v>0</v>
      </c>
      <c r="G38" s="66">
        <f>IFERROR('Projected FS'!G14/'Projected FS'!F14-1,0)</f>
        <v>0</v>
      </c>
      <c r="H38" s="560">
        <f>IFERROR('Projected FS'!H14/'Projected FS'!G14-1,0)</f>
        <v>0</v>
      </c>
      <c r="I38" s="560">
        <f>IFERROR('Projected FS'!I14/'Projected FS'!H14-1,0)</f>
        <v>0</v>
      </c>
    </row>
    <row r="39" spans="1:9" s="64" customFormat="1" ht="17.100000000000001" customHeight="1">
      <c r="A39" s="53" t="str">
        <f>'Projected FS'!$A15</f>
        <v>Government Grant (OpEx)</v>
      </c>
      <c r="B39" s="70"/>
      <c r="C39" s="77"/>
      <c r="D39" s="77">
        <f>IFERROR('Projected FS'!D15/'Projected FS'!C15-1,0)</f>
        <v>0</v>
      </c>
      <c r="E39" s="77">
        <f>IFERROR('Projected FS'!E15/'Projected FS'!D15-1,0)</f>
        <v>0</v>
      </c>
      <c r="F39" s="77">
        <f>IFERROR('Projected FS'!F15/'Projected FS'!E15-1,0)</f>
        <v>0</v>
      </c>
      <c r="G39" s="77">
        <f>IFERROR('Projected FS'!G15/'Projected FS'!F15-1,0)</f>
        <v>0</v>
      </c>
      <c r="H39" s="561">
        <f>IFERROR('Projected FS'!H15/'Projected FS'!G15-1,0)</f>
        <v>0</v>
      </c>
      <c r="I39" s="561">
        <f>IFERROR('Projected FS'!I15/'Projected FS'!H15-1,0)</f>
        <v>0</v>
      </c>
    </row>
    <row r="40" spans="1:9" s="64" customFormat="1" ht="17.100000000000001" customHeight="1">
      <c r="A40" s="31" t="s">
        <v>259</v>
      </c>
      <c r="B40" s="78"/>
      <c r="C40" s="79"/>
      <c r="D40" s="79">
        <f>IFERROR('Projected FS'!D16/'Projected FS'!C16-1,0)</f>
        <v>0</v>
      </c>
      <c r="E40" s="79">
        <f>IFERROR('Projected FS'!E16/'Projected FS'!D16-1,0)</f>
        <v>0</v>
      </c>
      <c r="F40" s="79">
        <f>IFERROR('Projected FS'!F16/'Projected FS'!E16-1,0)</f>
        <v>0</v>
      </c>
      <c r="G40" s="79">
        <f>IFERROR('Projected FS'!G16/'Projected FS'!F16-1,0)</f>
        <v>0</v>
      </c>
      <c r="H40" s="573">
        <f>IFERROR('Projected FS'!H16/'Projected FS'!G16-1,0)</f>
        <v>0</v>
      </c>
      <c r="I40" s="573">
        <f>IFERROR('Projected FS'!I16/'Projected FS'!H16-1,0)</f>
        <v>0</v>
      </c>
    </row>
    <row r="41" spans="1:9" s="64" customFormat="1" ht="17.100000000000001" customHeight="1">
      <c r="A41" s="53" t="str">
        <f>'Projected FS'!$A17</f>
        <v>Salaries</v>
      </c>
      <c r="B41" s="69"/>
      <c r="C41" s="66"/>
      <c r="D41" s="66">
        <f>IFERROR('Projected FS'!D17/'Projected FS'!C17-1,0)</f>
        <v>5.0000000000000044E-2</v>
      </c>
      <c r="E41" s="66">
        <f>IFERROR('Projected FS'!E17/'Projected FS'!D17-1,0)</f>
        <v>5.0000000000000044E-2</v>
      </c>
      <c r="F41" s="66">
        <f>IFERROR('Projected FS'!F17/'Projected FS'!E17-1,0)</f>
        <v>5.0000000000000044E-2</v>
      </c>
      <c r="G41" s="66">
        <f>IFERROR('Projected FS'!G17/'Projected FS'!F17-1,0)</f>
        <v>5.0000000000000044E-2</v>
      </c>
      <c r="H41" s="559">
        <f>IFERROR('Projected FS'!H17/'Projected FS'!G17-1,0)</f>
        <v>5.0000000000000044E-2</v>
      </c>
      <c r="I41" s="559">
        <f>IFERROR('Projected FS'!I17/'Projected FS'!H17-1,0)</f>
        <v>5.0000000000000044E-2</v>
      </c>
    </row>
    <row r="42" spans="1:9" s="64" customFormat="1" ht="17.100000000000001" customHeight="1">
      <c r="A42" s="53" t="str">
        <f>'Projected FS'!$A18</f>
        <v>Operating Expenses</v>
      </c>
      <c r="B42" s="70"/>
      <c r="C42" s="77"/>
      <c r="D42" s="77">
        <f ca="1">IFERROR('Projected FS'!D18/'Projected FS'!C18-1,0)</f>
        <v>-9.7083618507356695E-2</v>
      </c>
      <c r="E42" s="77">
        <f ca="1">IFERROR('Projected FS'!E18/'Projected FS'!D18-1,0)</f>
        <v>9.9999999999999867E-2</v>
      </c>
      <c r="F42" s="77">
        <f ca="1">IFERROR('Projected FS'!F18/'Projected FS'!E18-1,0)</f>
        <v>0.10000000000000009</v>
      </c>
      <c r="G42" s="77">
        <f ca="1">IFERROR('Projected FS'!G18/'Projected FS'!F18-1,0)</f>
        <v>0.10000000000000009</v>
      </c>
      <c r="H42" s="562">
        <f ca="1">IFERROR('Projected FS'!H18/'Projected FS'!G18-1,0)</f>
        <v>0.10000000000000009</v>
      </c>
      <c r="I42" s="562">
        <f ca="1">IFERROR('Projected FS'!I18/'Projected FS'!H18-1,0)</f>
        <v>0.10000000000000009</v>
      </c>
    </row>
    <row r="43" spans="1:9" s="64" customFormat="1" ht="17.100000000000001" customHeight="1">
      <c r="A43" s="53" t="str">
        <f>'Projected FS'!$A19</f>
        <v>Donated OpEx</v>
      </c>
      <c r="B43" s="286"/>
      <c r="C43" s="285"/>
      <c r="D43" s="285">
        <f>IFERROR('Projected FS'!D19/'Projected FS'!C19-1,0)</f>
        <v>0</v>
      </c>
      <c r="E43" s="285">
        <f>IFERROR('Projected FS'!E19/'Projected FS'!D19-1,0)</f>
        <v>0</v>
      </c>
      <c r="F43" s="285">
        <f>IFERROR('Projected FS'!F19/'Projected FS'!E19-1,0)</f>
        <v>0</v>
      </c>
      <c r="G43" s="285">
        <f>IFERROR('Projected FS'!G19/'Projected FS'!F19-1,0)</f>
        <v>0</v>
      </c>
      <c r="H43" s="564">
        <f>IFERROR('Projected FS'!H19/'Projected FS'!G19-1,0)</f>
        <v>0</v>
      </c>
      <c r="I43" s="564">
        <f>IFERROR('Projected FS'!I19/'Projected FS'!H19-1,0)</f>
        <v>0</v>
      </c>
    </row>
    <row r="44" spans="1:9" s="64" customFormat="1" ht="17.100000000000001" customHeight="1">
      <c r="A44" s="31" t="str">
        <f>'Projected FS'!$A20</f>
        <v>Income before Interest, Taxes and Depreciation</v>
      </c>
      <c r="B44" s="65"/>
      <c r="C44" s="287"/>
      <c r="D44" s="287">
        <f ca="1">IFERROR('Projected FS'!D20/'Projected FS'!C20-1,0)</f>
        <v>0.4060183874420038</v>
      </c>
      <c r="E44" s="287">
        <f ca="1">IFERROR('Projected FS'!E20/'Projected FS'!D20-1,0)</f>
        <v>0.21624622349529754</v>
      </c>
      <c r="F44" s="287">
        <f ca="1">IFERROR('Projected FS'!F20/'Projected FS'!E20-1,0)</f>
        <v>0.19573778874256398</v>
      </c>
      <c r="G44" s="287">
        <f ca="1">IFERROR('Projected FS'!G20/'Projected FS'!F20-1,0)</f>
        <v>0.17993973154516696</v>
      </c>
      <c r="H44" s="574">
        <f ca="1">IFERROR('Projected FS'!H20/'Projected FS'!G20-1,0)</f>
        <v>0.16741037623958532</v>
      </c>
      <c r="I44" s="574">
        <f ca="1">IFERROR('Projected FS'!I20/'Projected FS'!H20-1,0)</f>
        <v>3.8367009275146691E-2</v>
      </c>
    </row>
    <row r="45" spans="1:9" s="64" customFormat="1" ht="17.100000000000001" customHeight="1">
      <c r="A45" s="53" t="str">
        <f>'Projected FS'!$A21</f>
        <v>Depreciation</v>
      </c>
      <c r="B45" s="70"/>
      <c r="C45" s="77"/>
      <c r="D45" s="77">
        <f>IFERROR('Projected FS'!D21/'Projected FS'!C21-1,0)</f>
        <v>0</v>
      </c>
      <c r="E45" s="77">
        <f>IFERROR('Projected FS'!E21/'Projected FS'!D21-1,0)</f>
        <v>0</v>
      </c>
      <c r="F45" s="77">
        <f>IFERROR('Projected FS'!F21/'Projected FS'!E21-1,0)</f>
        <v>0</v>
      </c>
      <c r="G45" s="77">
        <f>IFERROR('Projected FS'!G21/'Projected FS'!F21-1,0)</f>
        <v>0</v>
      </c>
      <c r="H45" s="561">
        <f>IFERROR('Projected FS'!H21/'Projected FS'!G21-1,0)</f>
        <v>0</v>
      </c>
      <c r="I45" s="561">
        <f>IFERROR('Projected FS'!I21/'Projected FS'!H21-1,0)</f>
        <v>0</v>
      </c>
    </row>
    <row r="46" spans="1:9" s="64" customFormat="1" ht="17.100000000000001" customHeight="1">
      <c r="A46" s="53" t="str">
        <f>'Projected FS'!$A22</f>
        <v>Donated Assets Depreciation</v>
      </c>
      <c r="B46" s="70"/>
      <c r="C46" s="77"/>
      <c r="D46" s="77">
        <f>IFERROR('Projected FS'!D22/'Projected FS'!C22-1,0)</f>
        <v>0</v>
      </c>
      <c r="E46" s="77">
        <f>IFERROR('Projected FS'!E22/'Projected FS'!D22-1,0)</f>
        <v>0</v>
      </c>
      <c r="F46" s="77">
        <f>IFERROR('Projected FS'!F22/'Projected FS'!E22-1,0)</f>
        <v>0</v>
      </c>
      <c r="G46" s="77">
        <f>IFERROR('Projected FS'!G22/'Projected FS'!F22-1,0)</f>
        <v>0</v>
      </c>
      <c r="H46" s="562">
        <f>IFERROR('Projected FS'!H22/'Projected FS'!G22-1,0)</f>
        <v>0</v>
      </c>
      <c r="I46" s="562">
        <f>IFERROR('Projected FS'!I22/'Projected FS'!H22-1,0)</f>
        <v>0</v>
      </c>
    </row>
    <row r="47" spans="1:9" s="64" customFormat="1" ht="17.100000000000001" customHeight="1">
      <c r="A47" s="31" t="str">
        <f>'Projected FS'!$A23</f>
        <v>Income Before Interest and Tax</v>
      </c>
      <c r="B47" s="65"/>
      <c r="C47" s="287"/>
      <c r="D47" s="287">
        <f ca="1">IFERROR('Projected FS'!D23/'Projected FS'!C23-1,0)</f>
        <v>0.8716143268369132</v>
      </c>
      <c r="E47" s="287">
        <f ca="1">IFERROR('Projected FS'!E23/'Projected FS'!D23-1,0)</f>
        <v>0.34874005299375699</v>
      </c>
      <c r="F47" s="287">
        <f ca="1">IFERROR('Projected FS'!F23/'Projected FS'!E23-1,0)</f>
        <v>0.28465657871053396</v>
      </c>
      <c r="G47" s="287">
        <f ca="1">IFERROR('Projected FS'!G23/'Projected FS'!F23-1,0)</f>
        <v>0.24356928702797354</v>
      </c>
      <c r="H47" s="575">
        <f ca="1">IFERROR('Projected FS'!H23/'Projected FS'!G23-1,0)</f>
        <v>0.21501445948113584</v>
      </c>
      <c r="I47" s="575">
        <f ca="1">IFERROR('Projected FS'!I23/'Projected FS'!H23-1,0)</f>
        <v>4.7346223524759701E-2</v>
      </c>
    </row>
    <row r="48" spans="1:9" s="64" customFormat="1" ht="17.100000000000001" customHeight="1">
      <c r="A48" s="53" t="str">
        <f>'Projected FS'!$A24</f>
        <v>Interest</v>
      </c>
      <c r="B48" s="70"/>
      <c r="C48" s="77"/>
      <c r="D48" s="77">
        <f>IFERROR('Projected FS'!D24/'Projected FS'!C24-1,0)</f>
        <v>-7.6416800535614948E-2</v>
      </c>
      <c r="E48" s="77">
        <f>IFERROR('Projected FS'!E24/'Projected FS'!D24-1,0)</f>
        <v>-8.8720731681378839E-2</v>
      </c>
      <c r="F48" s="77">
        <f>IFERROR('Projected FS'!F24/'Projected FS'!E24-1,0)</f>
        <v>-0.1043964938693045</v>
      </c>
      <c r="G48" s="77">
        <f>IFERROR('Projected FS'!G24/'Projected FS'!F24-1,0)</f>
        <v>-0.1249920574070299</v>
      </c>
      <c r="H48" s="562">
        <f>IFERROR('Projected FS'!H24/'Projected FS'!G24-1,0)</f>
        <v>-0.15317317342994619</v>
      </c>
      <c r="I48" s="562">
        <f>IFERROR('Projected FS'!I24/'Projected FS'!H24-1,0)</f>
        <v>-0.19395473710658795</v>
      </c>
    </row>
    <row r="49" spans="1:9" s="64" customFormat="1" ht="17.100000000000001" customHeight="1">
      <c r="A49" s="31" t="str">
        <f>'Projected FS'!$A25</f>
        <v>Income Before Tax</v>
      </c>
      <c r="B49" s="65"/>
      <c r="C49" s="287"/>
      <c r="D49" s="287">
        <f ca="1">IFERROR('Projected FS'!D25/'Projected FS'!C25-1,0)</f>
        <v>1.7604953302147353</v>
      </c>
      <c r="E49" s="287">
        <f ca="1">IFERROR('Projected FS'!E25/'Projected FS'!D25-1,0)</f>
        <v>0.48597008442276035</v>
      </c>
      <c r="F49" s="287">
        <f ca="1">IFERROR('Projected FS'!F25/'Projected FS'!E25-1,0)</f>
        <v>0.35950115060430909</v>
      </c>
      <c r="G49" s="287">
        <f ca="1">IFERROR('Projected FS'!G25/'Projected FS'!F25-1,0)</f>
        <v>0.29027795131951573</v>
      </c>
      <c r="H49" s="575">
        <f ca="1">IFERROR('Projected FS'!H25/'Projected FS'!G25-1,0)</f>
        <v>0.24665803723586577</v>
      </c>
      <c r="I49" s="575">
        <f ca="1">IFERROR('Projected FS'!I25/'Projected FS'!H25-1,0)</f>
        <v>6.1433359318203484E-2</v>
      </c>
    </row>
    <row r="50" spans="1:9" s="64" customFormat="1" ht="17.100000000000001" customHeight="1">
      <c r="A50" s="53" t="str">
        <f>'Projected FS'!$A26</f>
        <v>Taxes</v>
      </c>
      <c r="B50" s="70"/>
      <c r="C50" s="77"/>
      <c r="D50" s="77">
        <f>IFERROR('Projected FS'!D26/'Projected FS'!C26-1,0)</f>
        <v>0</v>
      </c>
      <c r="E50" s="77">
        <f>IFERROR('Projected FS'!E26/'Projected FS'!D26-1,0)</f>
        <v>0</v>
      </c>
      <c r="F50" s="77">
        <f>IFERROR('Projected FS'!F26/'Projected FS'!E26-1,0)</f>
        <v>0</v>
      </c>
      <c r="G50" s="77">
        <f>IFERROR('Projected FS'!G26/'Projected FS'!F26-1,0)</f>
        <v>0</v>
      </c>
      <c r="H50" s="562">
        <f>IFERROR('Projected FS'!H26/'Projected FS'!G26-1,0)</f>
        <v>0</v>
      </c>
      <c r="I50" s="562">
        <f>IFERROR('Projected FS'!I26/'Projected FS'!H26-1,0)</f>
        <v>0</v>
      </c>
    </row>
    <row r="51" spans="1:9" s="64" customFormat="1" ht="17.100000000000001" customHeight="1" thickBot="1">
      <c r="A51" s="31" t="str">
        <f>'Projected FS'!$A27</f>
        <v>Net Income</v>
      </c>
      <c r="B51" s="69"/>
      <c r="C51" s="66"/>
      <c r="D51" s="66">
        <f ca="1">IFERROR('Projected FS'!D27/'Projected FS'!C27-1,0)</f>
        <v>1.7604953302147353</v>
      </c>
      <c r="E51" s="66">
        <f ca="1">IFERROR('Projected FS'!E27/'Projected FS'!D27-1,0)</f>
        <v>0.48597008442276035</v>
      </c>
      <c r="F51" s="66">
        <f ca="1">IFERROR('Projected FS'!F27/'Projected FS'!E27-1,0)</f>
        <v>0.35950115060430909</v>
      </c>
      <c r="G51" s="66">
        <f ca="1">IFERROR('Projected FS'!G27/'Projected FS'!F27-1,0)</f>
        <v>0.29027795131951573</v>
      </c>
      <c r="H51" s="576">
        <f ca="1">IFERROR('Projected FS'!H27/'Projected FS'!G27-1,0)</f>
        <v>0.24665803723586577</v>
      </c>
      <c r="I51" s="576">
        <f ca="1">IFERROR('Projected FS'!I27/'Projected FS'!H27-1,0)</f>
        <v>6.1433359318203484E-2</v>
      </c>
    </row>
    <row r="52" spans="1:9" s="64" customFormat="1" ht="17.100000000000001" customHeight="1" thickTop="1">
      <c r="A52" s="33"/>
      <c r="B52" s="70"/>
      <c r="C52" s="71"/>
      <c r="D52" s="72"/>
      <c r="E52" s="72"/>
      <c r="F52" s="72"/>
      <c r="G52" s="72"/>
      <c r="H52" s="72"/>
      <c r="I52" s="72"/>
    </row>
    <row r="53" spans="1:9" ht="32.25" customHeight="1">
      <c r="A53" s="60" t="s">
        <v>3</v>
      </c>
      <c r="B53" s="29" t="s">
        <v>189</v>
      </c>
      <c r="C53" s="29" t="s">
        <v>180</v>
      </c>
      <c r="D53" s="29" t="s">
        <v>181</v>
      </c>
      <c r="E53" s="29" t="s">
        <v>182</v>
      </c>
      <c r="F53" s="29" t="s">
        <v>183</v>
      </c>
      <c r="G53" s="29" t="s">
        <v>184</v>
      </c>
      <c r="H53" s="29" t="s">
        <v>185</v>
      </c>
      <c r="I53" s="29" t="s">
        <v>186</v>
      </c>
    </row>
    <row r="54" spans="1:9" ht="17.100000000000001" customHeight="1">
      <c r="A54" s="33"/>
      <c r="B54" s="27"/>
      <c r="C54" s="73"/>
      <c r="D54" s="73"/>
      <c r="E54" s="73"/>
      <c r="F54" s="73"/>
      <c r="G54" s="73"/>
      <c r="H54" s="566"/>
      <c r="I54" s="566"/>
    </row>
    <row r="55" spans="1:9" s="64" customFormat="1" ht="17.100000000000001" customHeight="1">
      <c r="A55" s="74" t="s">
        <v>263</v>
      </c>
      <c r="B55" s="62"/>
      <c r="C55" s="63"/>
      <c r="D55" s="63"/>
      <c r="E55" s="63"/>
      <c r="F55" s="63"/>
      <c r="G55" s="63"/>
      <c r="H55" s="567"/>
      <c r="I55" s="567"/>
    </row>
    <row r="56" spans="1:9" ht="17.100000000000001" customHeight="1">
      <c r="A56" s="53" t="s">
        <v>195</v>
      </c>
      <c r="B56" s="62"/>
      <c r="C56" s="67">
        <f ca="1">IFERROR('Projected FS'!C12/'Projected FS'!C6,0)</f>
        <v>0.33489858621192253</v>
      </c>
      <c r="D56" s="67">
        <f ca="1">IFERROR('Projected FS'!D12/'Projected FS'!D6,0)</f>
        <v>0.34278929766767013</v>
      </c>
      <c r="E56" s="67">
        <f ca="1">IFERROR('Projected FS'!E12/'Projected FS'!E6,0)</f>
        <v>0.34239365158773788</v>
      </c>
      <c r="F56" s="67">
        <f ca="1">IFERROR('Projected FS'!F12/'Projected FS'!F6,0)</f>
        <v>0.34205791251749912</v>
      </c>
      <c r="G56" s="67">
        <f ca="1">IFERROR('Projected FS'!G12/'Projected FS'!G6,0)</f>
        <v>0.34177028062426856</v>
      </c>
      <c r="H56" s="562">
        <f ca="1">IFERROR('Projected FS'!H12/'Projected FS'!H6,0)</f>
        <v>0.34152162088149368</v>
      </c>
      <c r="I56" s="562">
        <f ca="1">IFERROR('Projected FS'!I12/'Projected FS'!I6,0)</f>
        <v>0.33803651232944348</v>
      </c>
    </row>
    <row r="57" spans="1:9" ht="17.100000000000001" customHeight="1">
      <c r="A57" s="53" t="s">
        <v>209</v>
      </c>
      <c r="B57" s="62"/>
      <c r="C57" s="67">
        <f ca="1">IFERROR('Projected FS'!C27/'Projected FS'!C6,0)</f>
        <v>3.9761412252842007E-2</v>
      </c>
      <c r="D57" s="67">
        <f ca="1">IFERROR('Projected FS'!D27/'Projected FS'!D6,0)</f>
        <v>9.4134813762189809E-2</v>
      </c>
      <c r="E57" s="67">
        <f ca="1">IFERROR('Projected FS'!E27/'Projected FS'!E6,0)</f>
        <v>0.12096552459884312</v>
      </c>
      <c r="F57" s="67">
        <f ca="1">IFERROR('Projected FS'!F27/'Projected FS'!F6,0)</f>
        <v>0.14321021617798183</v>
      </c>
      <c r="G57" s="67">
        <f ca="1">IFERROR('Projected FS'!G27/'Projected FS'!G6,0)</f>
        <v>0.16187154349930466</v>
      </c>
      <c r="H57" s="561">
        <f ca="1">IFERROR('Projected FS'!H27/'Projected FS'!H6,0)</f>
        <v>0.17768451644512762</v>
      </c>
      <c r="I57" s="561">
        <f ca="1">IFERROR('Projected FS'!I27/'Projected FS'!I6,0)</f>
        <v>0.17792255618404873</v>
      </c>
    </row>
    <row r="58" spans="1:9" ht="17.100000000000001" customHeight="1">
      <c r="A58" s="33"/>
      <c r="B58" s="27"/>
      <c r="C58" s="73"/>
      <c r="D58" s="73"/>
      <c r="E58" s="73"/>
      <c r="F58" s="73"/>
      <c r="G58" s="73"/>
      <c r="H58" s="566"/>
      <c r="I58" s="566"/>
    </row>
    <row r="59" spans="1:9" ht="17.100000000000001" customHeight="1">
      <c r="A59" s="74" t="s">
        <v>264</v>
      </c>
      <c r="B59" s="27"/>
      <c r="C59" s="73"/>
      <c r="D59" s="73"/>
      <c r="E59" s="73"/>
      <c r="F59" s="73"/>
      <c r="G59" s="73"/>
      <c r="H59" s="568"/>
      <c r="I59" s="568"/>
    </row>
    <row r="60" spans="1:9" ht="17.100000000000001" customHeight="1">
      <c r="A60" s="53" t="s">
        <v>265</v>
      </c>
      <c r="B60" s="75"/>
      <c r="C60" s="404">
        <f ca="1">IFERROR('Projected FS'!C30/'Projected FS'!C46,0)</f>
        <v>0.1662183518869576</v>
      </c>
      <c r="D60" s="404">
        <f ca="1">IFERROR('Projected FS'!D30/'Projected FS'!D46,0)</f>
        <v>0.44979024018558877</v>
      </c>
      <c r="E60" s="404">
        <f ca="1">IFERROR('Projected FS'!E30/'Projected FS'!E46,0)</f>
        <v>0.90704924532636344</v>
      </c>
      <c r="F60" s="404">
        <f ca="1">IFERROR('Projected FS'!F30/'Projected FS'!F46,0)</f>
        <v>1.6259616735922371</v>
      </c>
      <c r="G60" s="404">
        <f ca="1">IFERROR('Projected FS'!G30/'Projected FS'!G46,0)</f>
        <v>2.7647018482950352</v>
      </c>
      <c r="H60" s="569">
        <f ca="1">IFERROR('Projected FS'!H30/'Projected FS'!H46,0)</f>
        <v>4.6394348622656194</v>
      </c>
      <c r="I60" s="569">
        <f ca="1">IFERROR('Projected FS'!I30/'Projected FS'!I46,0)</f>
        <v>7.8437737915104808</v>
      </c>
    </row>
    <row r="61" spans="1:9" ht="17.100000000000001" customHeight="1">
      <c r="A61" s="53" t="s">
        <v>266</v>
      </c>
      <c r="B61" s="75"/>
      <c r="C61" s="404">
        <f ca="1">IFERROR('Projected FS'!C34/'Projected FS'!C46,0)</f>
        <v>0.51929670206611955</v>
      </c>
      <c r="D61" s="404">
        <f ca="1">IFERROR('Projected FS'!D34/'Projected FS'!D46,0)</f>
        <v>0.89859338048207449</v>
      </c>
      <c r="E61" s="404">
        <f ca="1">IFERROR('Projected FS'!E34/'Projected FS'!E46,0)</f>
        <v>1.4815712853482925</v>
      </c>
      <c r="F61" s="404">
        <f ca="1">IFERROR('Projected FS'!F34/'Projected FS'!F46,0)</f>
        <v>2.3712195906374718</v>
      </c>
      <c r="G61" s="404">
        <f ca="1">IFERROR('Projected FS'!G34/'Projected FS'!G46,0)</f>
        <v>3.7527674257069852</v>
      </c>
      <c r="H61" s="570">
        <f ca="1">IFERROR('Projected FS'!H34/'Projected FS'!H46,0)</f>
        <v>5.996497741279347</v>
      </c>
      <c r="I61" s="570">
        <f ca="1">IFERROR('Projected FS'!I34/'Projected FS'!I46,0)</f>
        <v>9.6986303239779499</v>
      </c>
    </row>
    <row r="62" spans="1:9" ht="17.100000000000001" customHeight="1">
      <c r="A62" s="53" t="s">
        <v>267</v>
      </c>
      <c r="B62" s="75"/>
      <c r="C62" s="404">
        <f ca="1">('Projected FS'!C34-'Projected FS'!C31)/'Projected FS'!C46</f>
        <v>0.41083392596397977</v>
      </c>
      <c r="D62" s="404">
        <f ca="1">('Projected FS'!D34-'Projected FS'!D31)/'Projected FS'!D46</f>
        <v>0.76072473321096834</v>
      </c>
      <c r="E62" s="404">
        <f ca="1">('Projected FS'!E34-'Projected FS'!E31)/'Projected FS'!E46</f>
        <v>1.3050828222039985</v>
      </c>
      <c r="F62" s="404">
        <f ca="1">('Projected FS'!F34-'Projected FS'!F31)/'Projected FS'!F46</f>
        <v>2.1422824650566836</v>
      </c>
      <c r="G62" s="404">
        <f ca="1">('Projected FS'!G34-'Projected FS'!G31)/'Projected FS'!G46</f>
        <v>3.449241776392368</v>
      </c>
      <c r="H62" s="569">
        <f ca="1">IFERROR(('Projected FS'!H34-'Projected FS'!H31)/'Projected FS'!H46,0)</f>
        <v>5.5796191444231473</v>
      </c>
      <c r="I62" s="569">
        <f ca="1">IFERROR(('Projected FS'!I34-'Projected FS'!I31)/'Projected FS'!I46,0)</f>
        <v>9.1288335956299083</v>
      </c>
    </row>
    <row r="63" spans="1:9" ht="17.100000000000001" customHeight="1">
      <c r="A63" s="53"/>
      <c r="B63" s="27"/>
      <c r="C63" s="404"/>
      <c r="D63" s="404"/>
      <c r="E63" s="404"/>
      <c r="F63" s="404"/>
      <c r="G63" s="404"/>
      <c r="H63" s="570"/>
      <c r="I63" s="570"/>
    </row>
    <row r="64" spans="1:9" ht="17.100000000000001" customHeight="1">
      <c r="A64" s="74" t="s">
        <v>268</v>
      </c>
      <c r="B64" s="27"/>
      <c r="C64" s="404"/>
      <c r="D64" s="404"/>
      <c r="E64" s="404"/>
      <c r="F64" s="404"/>
      <c r="G64" s="404"/>
      <c r="H64" s="569"/>
      <c r="I64" s="569"/>
    </row>
    <row r="65" spans="1:9" ht="17.100000000000001" customHeight="1">
      <c r="A65" s="53" t="s">
        <v>269</v>
      </c>
      <c r="B65" s="75"/>
      <c r="C65" s="404">
        <f ca="1">IFERROR('Projected FS'!C6/'Projected FS'!C33,0)</f>
        <v>8</v>
      </c>
      <c r="D65" s="404">
        <f ca="1">IFERROR('Projected FS'!D6/'Projected FS'!D33,0)</f>
        <v>8.0000000000000089</v>
      </c>
      <c r="E65" s="404">
        <f ca="1">IFERROR('Projected FS'!E6/'Projected FS'!E33,0)</f>
        <v>8.0000000000000142</v>
      </c>
      <c r="F65" s="404">
        <f ca="1">IFERROR('Projected FS'!F6/'Projected FS'!F33,0)</f>
        <v>8</v>
      </c>
      <c r="G65" s="404">
        <f ca="1">IFERROR('Projected FS'!G6/'Projected FS'!G33,0)</f>
        <v>8</v>
      </c>
      <c r="H65" s="570">
        <f ca="1">IFERROR('Projected FS'!H6/'Projected FS'!H33,0)</f>
        <v>8</v>
      </c>
      <c r="I65" s="570">
        <f ca="1">IFERROR('Projected FS'!I6/'Projected FS'!I33,0)</f>
        <v>8</v>
      </c>
    </row>
    <row r="66" spans="1:9" ht="17.100000000000001" customHeight="1">
      <c r="A66" s="53" t="s">
        <v>270</v>
      </c>
      <c r="B66" s="75"/>
      <c r="C66" s="404">
        <f ca="1">IFERROR('Projected FS'!C9/'Projected FS'!C42,0)</f>
        <v>0</v>
      </c>
      <c r="D66" s="404">
        <f ca="1">IFERROR('Projected FS'!D9/'Projected FS'!D42,0)</f>
        <v>0</v>
      </c>
      <c r="E66" s="404">
        <f ca="1">IFERROR('Projected FS'!E9/'Projected FS'!E42,0)</f>
        <v>0</v>
      </c>
      <c r="F66" s="404">
        <f ca="1">IFERROR('Projected FS'!F9/'Projected FS'!F42,0)</f>
        <v>0</v>
      </c>
      <c r="G66" s="404">
        <f ca="1">IFERROR('Projected FS'!G9/'Projected FS'!G42,0)</f>
        <v>0</v>
      </c>
      <c r="H66" s="569">
        <f ca="1">IFERROR('Projected FS'!H9/'Projected FS'!H42,0)</f>
        <v>0</v>
      </c>
      <c r="I66" s="569">
        <f ca="1">IFERROR('Projected FS'!I9/'Projected FS'!I42,0)</f>
        <v>0</v>
      </c>
    </row>
    <row r="67" spans="1:9" ht="17.100000000000001" customHeight="1">
      <c r="A67" s="53" t="s">
        <v>271</v>
      </c>
      <c r="B67" s="27"/>
      <c r="C67" s="404">
        <f ca="1">IFERROR('Projected FS'!C11/'Projected FS'!C31,0)</f>
        <v>12</v>
      </c>
      <c r="D67" s="404">
        <f ca="1">IFERROR('Projected FS'!D11/'Projected FS'!D31,0)</f>
        <v>11.857632933104632</v>
      </c>
      <c r="E67" s="404">
        <f ca="1">IFERROR('Projected FS'!E11/'Projected FS'!E31,0)</f>
        <v>11.864771322620518</v>
      </c>
      <c r="F67" s="404">
        <f ca="1">IFERROR('Projected FS'!F11/'Projected FS'!F31,0)</f>
        <v>11.870828848223899</v>
      </c>
      <c r="G67" s="404">
        <f ca="1">IFERROR('Projected FS'!G11/'Projected FS'!G31,0)</f>
        <v>11.876018406759203</v>
      </c>
      <c r="H67" s="570">
        <f ca="1">IFERROR('Projected FS'!H11/'Projected FS'!H31,0)</f>
        <v>11.880504815675858</v>
      </c>
      <c r="I67" s="570">
        <f ca="1">IFERROR('Projected FS'!I11/'Projected FS'!I31,0)</f>
        <v>11.943384403296051</v>
      </c>
    </row>
    <row r="68" spans="1:9" ht="17.100000000000001" customHeight="1">
      <c r="A68" s="53" t="s">
        <v>272</v>
      </c>
      <c r="B68" s="68"/>
      <c r="C68" s="404">
        <f ca="1">IFERROR(365/C65,0)</f>
        <v>45.625</v>
      </c>
      <c r="D68" s="404">
        <f t="shared" ref="D68:G68" ca="1" si="0">IFERROR(365/D65,0)</f>
        <v>45.62499999999995</v>
      </c>
      <c r="E68" s="404">
        <f t="shared" ca="1" si="0"/>
        <v>45.624999999999922</v>
      </c>
      <c r="F68" s="404">
        <f t="shared" ca="1" si="0"/>
        <v>45.625</v>
      </c>
      <c r="G68" s="404">
        <f t="shared" ca="1" si="0"/>
        <v>45.625</v>
      </c>
      <c r="H68" s="569">
        <f t="shared" ref="H68:I68" ca="1" si="1">IFERROR(365/H65,0)</f>
        <v>45.625</v>
      </c>
      <c r="I68" s="569">
        <f t="shared" ca="1" si="1"/>
        <v>45.625</v>
      </c>
    </row>
    <row r="69" spans="1:9" ht="17.100000000000001" customHeight="1">
      <c r="A69" s="53" t="s">
        <v>273</v>
      </c>
      <c r="B69" s="68"/>
      <c r="C69" s="404">
        <f ca="1">IFERROR(365/C66,0)</f>
        <v>0</v>
      </c>
      <c r="D69" s="404">
        <f t="shared" ref="D69:G69" ca="1" si="2">IFERROR(365/D66,0)</f>
        <v>0</v>
      </c>
      <c r="E69" s="404">
        <f t="shared" ca="1" si="2"/>
        <v>0</v>
      </c>
      <c r="F69" s="404">
        <f t="shared" ca="1" si="2"/>
        <v>0</v>
      </c>
      <c r="G69" s="404">
        <f t="shared" ca="1" si="2"/>
        <v>0</v>
      </c>
      <c r="H69" s="570">
        <f t="shared" ref="H69:I69" ca="1" si="3">IFERROR(365/H66,0)</f>
        <v>0</v>
      </c>
      <c r="I69" s="570">
        <f t="shared" ca="1" si="3"/>
        <v>0</v>
      </c>
    </row>
    <row r="70" spans="1:9" ht="17.100000000000001" customHeight="1">
      <c r="A70" s="53" t="s">
        <v>274</v>
      </c>
      <c r="B70" s="27"/>
      <c r="C70" s="404">
        <f ca="1">IFERROR(365/C67,0)</f>
        <v>30.416666666666668</v>
      </c>
      <c r="D70" s="404">
        <f t="shared" ref="D70:G70" ca="1" si="4">IFERROR(365/D67,0)</f>
        <v>30.781860263272094</v>
      </c>
      <c r="E70" s="404">
        <f t="shared" ca="1" si="4"/>
        <v>30.76334048715438</v>
      </c>
      <c r="F70" s="404">
        <f t="shared" ca="1" si="4"/>
        <v>30.747642364889366</v>
      </c>
      <c r="G70" s="404">
        <f t="shared" ca="1" si="4"/>
        <v>30.734206322235174</v>
      </c>
      <c r="H70" s="569">
        <f t="shared" ref="H70:I70" ca="1" si="5">IFERROR(365/H67,0)</f>
        <v>30.72260023146465</v>
      </c>
      <c r="I70" s="569">
        <f t="shared" ca="1" si="5"/>
        <v>30.560851738077684</v>
      </c>
    </row>
    <row r="71" spans="1:9" ht="17.100000000000001" customHeight="1">
      <c r="A71" s="53" t="s">
        <v>275</v>
      </c>
      <c r="B71" s="27"/>
      <c r="C71" s="404">
        <f ca="1">C68+C70-C69</f>
        <v>76.041666666666671</v>
      </c>
      <c r="D71" s="404">
        <f t="shared" ref="D71:G71" ca="1" si="6">D68+D70-D69</f>
        <v>76.406860263272051</v>
      </c>
      <c r="E71" s="404">
        <f t="shared" ca="1" si="6"/>
        <v>76.388340487154295</v>
      </c>
      <c r="F71" s="404">
        <f t="shared" ca="1" si="6"/>
        <v>76.372642364889373</v>
      </c>
      <c r="G71" s="404">
        <f t="shared" ca="1" si="6"/>
        <v>76.359206322235167</v>
      </c>
      <c r="H71" s="570">
        <f t="shared" ref="H71:I71" ca="1" si="7">H68+H70-H69</f>
        <v>76.347600231464654</v>
      </c>
      <c r="I71" s="570">
        <f t="shared" ca="1" si="7"/>
        <v>76.185851738077687</v>
      </c>
    </row>
    <row r="72" spans="1:9" ht="17.100000000000001" customHeight="1">
      <c r="A72" s="53"/>
      <c r="B72" s="27"/>
      <c r="C72" s="404"/>
      <c r="D72" s="404"/>
      <c r="E72" s="404"/>
      <c r="F72" s="404"/>
      <c r="G72" s="404"/>
      <c r="H72" s="569"/>
      <c r="I72" s="569"/>
    </row>
    <row r="73" spans="1:9" ht="17.100000000000001" customHeight="1">
      <c r="A73" s="74" t="s">
        <v>276</v>
      </c>
      <c r="B73" s="27"/>
      <c r="C73" s="73"/>
      <c r="D73" s="73"/>
      <c r="E73" s="73"/>
      <c r="F73" s="73"/>
      <c r="G73" s="73"/>
      <c r="H73" s="568"/>
      <c r="I73" s="568"/>
    </row>
    <row r="74" spans="1:9" ht="17.100000000000001" customHeight="1">
      <c r="A74" s="53" t="s">
        <v>209</v>
      </c>
      <c r="B74" s="62"/>
      <c r="C74" s="67">
        <f t="shared" ref="C74:I74" ca="1" si="8">C57</f>
        <v>3.9761412252842007E-2</v>
      </c>
      <c r="D74" s="67">
        <f t="shared" ca="1" si="8"/>
        <v>9.4134813762189809E-2</v>
      </c>
      <c r="E74" s="67">
        <f t="shared" ca="1" si="8"/>
        <v>0.12096552459884312</v>
      </c>
      <c r="F74" s="67">
        <f t="shared" ca="1" si="8"/>
        <v>0.14321021617798183</v>
      </c>
      <c r="G74" s="67">
        <f t="shared" ca="1" si="8"/>
        <v>0.16187154349930466</v>
      </c>
      <c r="H74" s="562">
        <f t="shared" ca="1" si="8"/>
        <v>0.17768451644512762</v>
      </c>
      <c r="I74" s="562">
        <f t="shared" ca="1" si="8"/>
        <v>0.17792255618404873</v>
      </c>
    </row>
    <row r="75" spans="1:9" ht="17.100000000000001" customHeight="1">
      <c r="A75" s="53" t="s">
        <v>277</v>
      </c>
      <c r="B75" s="75"/>
      <c r="C75" s="76">
        <f ca="1">IFERROR('Projected FS'!C6/'Projected FS'!C40,0)</f>
        <v>0.84271683514864593</v>
      </c>
      <c r="D75" s="76">
        <f ca="1">IFERROR('Projected FS'!D6/'Projected FS'!D40,0)</f>
        <v>0.92971945652188259</v>
      </c>
      <c r="E75" s="76">
        <f ca="1">IFERROR('Projected FS'!E6/'Projected FS'!E40,0)</f>
        <v>0.98279955221971704</v>
      </c>
      <c r="F75" s="76">
        <f ca="1">IFERROR('Projected FS'!F6/'Projected FS'!F40,0)</f>
        <v>1.0021054629223765</v>
      </c>
      <c r="G75" s="76">
        <f ca="1">IFERROR('Projected FS'!G6/'Projected FS'!G40,0)</f>
        <v>0.99347102300994494</v>
      </c>
      <c r="H75" s="571">
        <f ca="1">IFERROR('Projected FS'!H6/'Projected FS'!H40,0)</f>
        <v>0.9651163361405819</v>
      </c>
      <c r="I75" s="571">
        <f ca="1">IFERROR('Projected FS'!I6/'Projected FS'!I40,0)</f>
        <v>0.88711355304303052</v>
      </c>
    </row>
    <row r="76" spans="1:9" ht="15.75">
      <c r="A76" s="53" t="s">
        <v>278</v>
      </c>
      <c r="B76" s="75"/>
      <c r="C76" s="76">
        <f ca="1">IFERROR('Projected FS'!C40/'Projected FS'!C52,0)</f>
        <v>1.7563372535334398</v>
      </c>
      <c r="D76" s="76">
        <f ca="1">IFERROR('Projected FS'!D40/'Projected FS'!D52,0)</f>
        <v>1.5968323443838406</v>
      </c>
      <c r="E76" s="76">
        <f ca="1">IFERROR('Projected FS'!E40/'Projected FS'!E52,0)</f>
        <v>1.4464289636526184</v>
      </c>
      <c r="F76" s="76">
        <f ca="1">IFERROR('Projected FS'!F40/'Projected FS'!F52,0)</f>
        <v>1.3203190018831654</v>
      </c>
      <c r="G76" s="76">
        <f ca="1">IFERROR('Projected FS'!G40/'Projected FS'!G52,0)</f>
        <v>1.2216160204342328</v>
      </c>
      <c r="H76" s="572">
        <f ca="1">IFERROR('Projected FS'!H40/'Projected FS'!H52,0)</f>
        <v>1.1472031191329113</v>
      </c>
      <c r="I76" s="572">
        <f ca="1">IFERROR('Projected FS'!I40/'Projected FS'!I52,0)</f>
        <v>1.0944404443332245</v>
      </c>
    </row>
    <row r="77" spans="1:9" ht="15.75">
      <c r="A77" s="74" t="s">
        <v>276</v>
      </c>
      <c r="B77" s="65"/>
      <c r="C77" s="66">
        <f t="shared" ref="C77:I77" ca="1" si="9">C74*C75*C76</f>
        <v>5.8850666345164587E-2</v>
      </c>
      <c r="D77" s="66">
        <f t="shared" ca="1" si="9"/>
        <v>0.13975311867507509</v>
      </c>
      <c r="E77" s="66">
        <f t="shared" ca="1" si="9"/>
        <v>0.17195850977577121</v>
      </c>
      <c r="F77" s="66">
        <f t="shared" ca="1" si="9"/>
        <v>0.18948127728659953</v>
      </c>
      <c r="G77" s="66">
        <f t="shared" ca="1" si="9"/>
        <v>0.19645379907987043</v>
      </c>
      <c r="H77" s="559">
        <f t="shared" ca="1" si="9"/>
        <v>0.19672953737123849</v>
      </c>
      <c r="I77" s="559">
        <f t="shared" ca="1" si="9"/>
        <v>0.17274375565260777</v>
      </c>
    </row>
    <row r="80" spans="1:9" ht="27.75">
      <c r="A80" s="778" t="str">
        <f>'Scenario Analysis'!A5</f>
        <v>Scenario 2</v>
      </c>
      <c r="B80" s="778"/>
      <c r="C80" s="778"/>
      <c r="D80" s="778"/>
      <c r="E80" s="778"/>
      <c r="F80" s="778"/>
      <c r="G80" s="778"/>
    </row>
    <row r="81" spans="1:9" s="61" customFormat="1" ht="24.95" customHeight="1">
      <c r="A81" s="60" t="s">
        <v>261</v>
      </c>
      <c r="B81" s="29" t="s">
        <v>189</v>
      </c>
      <c r="C81" s="29" t="s">
        <v>180</v>
      </c>
      <c r="D81" s="29" t="s">
        <v>181</v>
      </c>
      <c r="E81" s="29" t="s">
        <v>182</v>
      </c>
      <c r="F81" s="29" t="s">
        <v>183</v>
      </c>
      <c r="G81" s="29" t="s">
        <v>184</v>
      </c>
      <c r="H81" s="29" t="s">
        <v>185</v>
      </c>
      <c r="I81" s="29" t="s">
        <v>186</v>
      </c>
    </row>
    <row r="82" spans="1:9" outlineLevel="1">
      <c r="A82" s="578" t="s">
        <v>190</v>
      </c>
      <c r="B82" s="578"/>
      <c r="C82" s="578">
        <f>IFERROR('Projected FS'!C98/'Projected FS'!C98,0)</f>
        <v>1</v>
      </c>
      <c r="D82" s="578">
        <f ca="1">IFERROR('Projected FS'!D98/'Projected FS'!D98,0)</f>
        <v>1</v>
      </c>
      <c r="E82" s="578">
        <f ca="1">IFERROR('Projected FS'!E98/'Projected FS'!E98,0)</f>
        <v>1</v>
      </c>
      <c r="F82" s="578">
        <f ca="1">IFERROR('Projected FS'!F98/'Projected FS'!F98,0)</f>
        <v>1</v>
      </c>
      <c r="G82" s="578">
        <f ca="1">IFERROR('Projected FS'!G98/'Projected FS'!G98,0)</f>
        <v>1</v>
      </c>
      <c r="H82" s="578">
        <f ca="1">IFERROR('Projected FS'!H98/'Projected FS'!H98,0)</f>
        <v>1</v>
      </c>
      <c r="I82" s="578">
        <f ca="1">IFERROR('Projected FS'!I98/'Projected FS'!I98,0)</f>
        <v>1</v>
      </c>
    </row>
    <row r="83" spans="1:9" outlineLevel="1">
      <c r="A83" s="579" t="s">
        <v>191</v>
      </c>
      <c r="B83" s="579"/>
      <c r="C83" s="579"/>
      <c r="D83" s="579"/>
      <c r="E83" s="579"/>
      <c r="F83" s="579"/>
      <c r="G83" s="579"/>
      <c r="H83" s="579"/>
      <c r="I83" s="579"/>
    </row>
    <row r="84" spans="1:9" outlineLevel="1">
      <c r="A84" s="580" t="s">
        <v>192</v>
      </c>
      <c r="B84" s="580"/>
      <c r="C84" s="580">
        <f ca="1">IFERROR('Projected FS'!C100/'Projected FS'!C98,0)</f>
        <v>5.5425117815673122E-2</v>
      </c>
      <c r="D84" s="580">
        <f ca="1">IFERROR('Projected FS'!D100/'Projected FS'!D98,0)</f>
        <v>4.7534406359925493E-2</v>
      </c>
      <c r="E84" s="580">
        <f ca="1">IFERROR('Projected FS'!E100/'Projected FS'!E98,0)</f>
        <v>4.7930052439857748E-2</v>
      </c>
      <c r="F84" s="580">
        <f ca="1">IFERROR('Projected FS'!F100/'Projected FS'!F98,0)</f>
        <v>4.8265791510096412E-2</v>
      </c>
      <c r="G84" s="580">
        <f ca="1">IFERROR('Projected FS'!G100/'Projected FS'!G98,0)</f>
        <v>4.8553423403327106E-2</v>
      </c>
      <c r="H84" s="580">
        <f ca="1">IFERROR('Projected FS'!H100/'Projected FS'!H98,0)</f>
        <v>4.8802083146101807E-2</v>
      </c>
      <c r="I84" s="580">
        <f ca="1">IFERROR('Projected FS'!I100/'Projected FS'!I98,0)</f>
        <v>5.2287191698152033E-2</v>
      </c>
    </row>
    <row r="85" spans="1:9" outlineLevel="1">
      <c r="A85" s="581" t="s">
        <v>193</v>
      </c>
      <c r="B85" s="581"/>
      <c r="C85" s="581">
        <f ca="1">IFERROR('Projected FS'!C101/'Projected FS'!C98,0)</f>
        <v>0.66510141378807752</v>
      </c>
      <c r="D85" s="581">
        <f ca="1">IFERROR('Projected FS'!D101/'Projected FS'!D98,0)</f>
        <v>0.66510141378807752</v>
      </c>
      <c r="E85" s="581">
        <f ca="1">IFERROR('Projected FS'!E101/'Projected FS'!E98,0)</f>
        <v>0.66510141378807752</v>
      </c>
      <c r="F85" s="581">
        <f ca="1">IFERROR('Projected FS'!F101/'Projected FS'!F98,0)</f>
        <v>0.66510141378807752</v>
      </c>
      <c r="G85" s="581">
        <f ca="1">IFERROR('Projected FS'!G101/'Projected FS'!G98,0)</f>
        <v>0.66510141378807752</v>
      </c>
      <c r="H85" s="581">
        <f ca="1">IFERROR('Projected FS'!H101/'Projected FS'!H98,0)</f>
        <v>0.66510141378807752</v>
      </c>
      <c r="I85" s="581">
        <f ca="1">IFERROR('Projected FS'!I101/'Projected FS'!I98,0)</f>
        <v>0.66510141378807752</v>
      </c>
    </row>
    <row r="86" spans="1:9" outlineLevel="1">
      <c r="A86" s="582" t="s">
        <v>194</v>
      </c>
      <c r="B86" s="582"/>
      <c r="C86" s="582">
        <f ca="1">IFERROR('Projected FS'!C102/'Projected FS'!C98,0)</f>
        <v>-5.5425117815673122E-2</v>
      </c>
      <c r="D86" s="582">
        <f ca="1">IFERROR('Projected FS'!D102/'Projected FS'!D98,0)</f>
        <v>-5.5425117815673122E-2</v>
      </c>
      <c r="E86" s="582">
        <f ca="1">IFERROR('Projected FS'!E102/'Projected FS'!E98,0)</f>
        <v>-5.5425117815673122E-2</v>
      </c>
      <c r="F86" s="582">
        <f ca="1">IFERROR('Projected FS'!F102/'Projected FS'!F98,0)</f>
        <v>-5.5425117815673122E-2</v>
      </c>
      <c r="G86" s="582">
        <f ca="1">IFERROR('Projected FS'!G102/'Projected FS'!G98,0)</f>
        <v>-5.5425117815673122E-2</v>
      </c>
      <c r="H86" s="582">
        <f ca="1">IFERROR('Projected FS'!H102/'Projected FS'!H98,0)</f>
        <v>-5.5425117815673122E-2</v>
      </c>
      <c r="I86" s="582">
        <f ca="1">IFERROR('Projected FS'!I102/'Projected FS'!I98,0)</f>
        <v>-5.5425117815673122E-2</v>
      </c>
    </row>
    <row r="87" spans="1:9" outlineLevel="1">
      <c r="A87" s="583" t="s">
        <v>191</v>
      </c>
      <c r="B87" s="583"/>
      <c r="C87" s="583">
        <f ca="1">IFERROR('Projected FS'!C103/'Projected FS'!C98,0)</f>
        <v>0.66510141378807752</v>
      </c>
      <c r="D87" s="583">
        <f ca="1">IFERROR('Projected FS'!D103/'Projected FS'!D98,0)</f>
        <v>0.65721070233232992</v>
      </c>
      <c r="E87" s="583">
        <f ca="1">IFERROR('Projected FS'!E103/'Projected FS'!E98,0)</f>
        <v>0.65760634841226207</v>
      </c>
      <c r="F87" s="583">
        <f ca="1">IFERROR('Projected FS'!F103/'Projected FS'!F98,0)</f>
        <v>0.65794208748250071</v>
      </c>
      <c r="G87" s="583">
        <f ca="1">IFERROR('Projected FS'!G103/'Projected FS'!G98,0)</f>
        <v>0.65822971937573149</v>
      </c>
      <c r="H87" s="583">
        <f ca="1">IFERROR('Projected FS'!H103/'Projected FS'!H98,0)</f>
        <v>0.65847837911850637</v>
      </c>
      <c r="I87" s="583">
        <f ca="1">IFERROR('Projected FS'!I103/'Projected FS'!I98,0)</f>
        <v>0.66196348767055646</v>
      </c>
    </row>
    <row r="88" spans="1:9" outlineLevel="1">
      <c r="A88" s="578" t="s">
        <v>195</v>
      </c>
      <c r="B88" s="578"/>
      <c r="C88" s="578">
        <f ca="1">IFERROR('Projected FS'!C104/'Projected FS'!C98,0)</f>
        <v>0.33489858621192253</v>
      </c>
      <c r="D88" s="578">
        <f ca="1">IFERROR('Projected FS'!D104/'Projected FS'!D98,0)</f>
        <v>0.34278929766767013</v>
      </c>
      <c r="E88" s="578">
        <f ca="1">IFERROR('Projected FS'!E104/'Projected FS'!E98,0)</f>
        <v>0.34239365158773788</v>
      </c>
      <c r="F88" s="578">
        <f ca="1">IFERROR('Projected FS'!F104/'Projected FS'!F98,0)</f>
        <v>0.34205791251749929</v>
      </c>
      <c r="G88" s="578">
        <f ca="1">IFERROR('Projected FS'!G104/'Projected FS'!G98,0)</f>
        <v>0.34177028062426856</v>
      </c>
      <c r="H88" s="578">
        <f ca="1">IFERROR('Projected FS'!H104/'Projected FS'!H98,0)</f>
        <v>0.34152162088149368</v>
      </c>
      <c r="I88" s="578">
        <f ca="1">IFERROR('Projected FS'!I104/'Projected FS'!I98,0)</f>
        <v>0.33803651232944348</v>
      </c>
    </row>
    <row r="89" spans="1:9" outlineLevel="1">
      <c r="A89" s="579" t="s">
        <v>196</v>
      </c>
      <c r="B89" s="579"/>
      <c r="C89" s="579"/>
      <c r="D89" s="579"/>
      <c r="E89" s="579"/>
      <c r="F89" s="579"/>
      <c r="G89" s="579"/>
      <c r="H89" s="579"/>
      <c r="I89" s="579"/>
    </row>
    <row r="90" spans="1:9" outlineLevel="1">
      <c r="A90" s="580" t="s">
        <v>197</v>
      </c>
      <c r="B90" s="580"/>
      <c r="C90" s="580">
        <f>IFERROR('Projected FS'!C106/'Projected FS'!C98,0)</f>
        <v>0</v>
      </c>
      <c r="D90" s="580">
        <f ca="1">IFERROR('Projected FS'!D106/'Projected FS'!D98,0)</f>
        <v>0</v>
      </c>
      <c r="E90" s="580">
        <f ca="1">IFERROR('Projected FS'!E106/'Projected FS'!E98,0)</f>
        <v>0</v>
      </c>
      <c r="F90" s="580">
        <f ca="1">IFERROR('Projected FS'!F106/'Projected FS'!F98,0)</f>
        <v>0</v>
      </c>
      <c r="G90" s="580">
        <f ca="1">IFERROR('Projected FS'!G106/'Projected FS'!G98,0)</f>
        <v>0</v>
      </c>
      <c r="H90" s="580">
        <f ca="1">IFERROR('Projected FS'!H106/'Projected FS'!H98,0)</f>
        <v>0</v>
      </c>
      <c r="I90" s="580">
        <f ca="1">IFERROR('Projected FS'!I106/'Projected FS'!I98,0)</f>
        <v>0</v>
      </c>
    </row>
    <row r="91" spans="1:9" outlineLevel="1">
      <c r="A91" s="584" t="s">
        <v>198</v>
      </c>
      <c r="B91" s="584"/>
      <c r="C91" s="584">
        <f>IFERROR('Projected FS'!C107/'Projected FS'!C98,0)</f>
        <v>0</v>
      </c>
      <c r="D91" s="584">
        <f ca="1">IFERROR('Projected FS'!D107/'Projected FS'!D98,0)</f>
        <v>0</v>
      </c>
      <c r="E91" s="584">
        <f ca="1">IFERROR('Projected FS'!E107/'Projected FS'!E98,0)</f>
        <v>0</v>
      </c>
      <c r="F91" s="584">
        <f ca="1">IFERROR('Projected FS'!F107/'Projected FS'!F98,0)</f>
        <v>0</v>
      </c>
      <c r="G91" s="584">
        <f ca="1">IFERROR('Projected FS'!G107/'Projected FS'!G98,0)</f>
        <v>0</v>
      </c>
      <c r="H91" s="584">
        <f ca="1">IFERROR('Projected FS'!H107/'Projected FS'!H98,0)</f>
        <v>0</v>
      </c>
      <c r="I91" s="584">
        <f ca="1">IFERROR('Projected FS'!I107/'Projected FS'!I98,0)</f>
        <v>0</v>
      </c>
    </row>
    <row r="92" spans="1:9" outlineLevel="1">
      <c r="A92" s="580" t="s">
        <v>259</v>
      </c>
      <c r="B92" s="580"/>
      <c r="C92" s="580">
        <f>IFERROR('Projected FS'!C108/'Projected FS'!C98,0)</f>
        <v>0</v>
      </c>
      <c r="D92" s="580"/>
      <c r="E92" s="580"/>
      <c r="F92" s="580"/>
      <c r="G92" s="580"/>
      <c r="H92" s="580"/>
      <c r="I92" s="580"/>
    </row>
    <row r="93" spans="1:9" outlineLevel="1">
      <c r="A93" s="579" t="s">
        <v>199</v>
      </c>
      <c r="B93" s="579"/>
      <c r="C93" s="579">
        <f>IFERROR('Projected FS'!C109/'Projected FS'!C98,0)</f>
        <v>9.5860001931355313E-2</v>
      </c>
      <c r="D93" s="579">
        <f ca="1">IFERROR('Projected FS'!D109/'Projected FS'!D98,0)</f>
        <v>8.6323329354994066E-2</v>
      </c>
      <c r="E93" s="579">
        <f ca="1">IFERROR('Projected FS'!E109/'Projected FS'!E98,0)</f>
        <v>7.8382436684291151E-2</v>
      </c>
      <c r="F93" s="579">
        <f ca="1">IFERROR('Projected FS'!F109/'Projected FS'!F98,0)</f>
        <v>7.167057141170198E-2</v>
      </c>
      <c r="G93" s="579">
        <f ca="1">IFERROR('Projected FS'!G109/'Projected FS'!G98,0)</f>
        <v>6.592397676858093E-2</v>
      </c>
      <c r="H93" s="579">
        <f ca="1">IFERROR('Projected FS'!H109/'Projected FS'!H98,0)</f>
        <v>6.0948697963900622E-2</v>
      </c>
      <c r="I93" s="579">
        <f ca="1">IFERROR('Projected FS'!I109/'Projected FS'!I98,0)</f>
        <v>6.0372953613362819E-2</v>
      </c>
    </row>
    <row r="94" spans="1:9" outlineLevel="1">
      <c r="A94" s="582" t="s">
        <v>200</v>
      </c>
      <c r="B94" s="582"/>
      <c r="C94" s="582">
        <f>IFERROR('Projected FS'!C110/'Projected FS'!C98,0)</f>
        <v>7.3649727720886751E-2</v>
      </c>
      <c r="D94" s="582">
        <f ca="1">IFERROR('Projected FS'!D110/'Projected FS'!D98,0)</f>
        <v>5.7032200387359767E-2</v>
      </c>
      <c r="E94" s="582">
        <f ca="1">IFERROR('Projected FS'!E110/'Projected FS'!E98,0)</f>
        <v>5.4251792497029147E-2</v>
      </c>
      <c r="F94" s="582">
        <f ca="1">IFERROR('Projected FS'!F110/'Projected FS'!F98,0)</f>
        <v>5.1968428571696722E-2</v>
      </c>
      <c r="G94" s="582">
        <f ca="1">IFERROR('Projected FS'!G110/'Projected FS'!G98,0)</f>
        <v>5.0077829999072954E-2</v>
      </c>
      <c r="H94" s="582">
        <f ca="1">IFERROR('Projected FS'!H110/'Projected FS'!H98,0)</f>
        <v>4.8503147520058583E-2</v>
      </c>
      <c r="I94" s="582">
        <f ca="1">IFERROR('Projected FS'!I110/'Projected FS'!I98,0)</f>
        <v>5.0332824169309807E-2</v>
      </c>
    </row>
    <row r="95" spans="1:9" outlineLevel="1">
      <c r="A95" s="581" t="s">
        <v>201</v>
      </c>
      <c r="B95" s="581"/>
      <c r="C95" s="581">
        <f>IFERROR('Projected FS'!C111/'Projected FS'!C98,0)</f>
        <v>0</v>
      </c>
      <c r="D95" s="581">
        <f ca="1">IFERROR('Projected FS'!D111/'Projected FS'!D98,0)</f>
        <v>0</v>
      </c>
      <c r="E95" s="581">
        <f ca="1">IFERROR('Projected FS'!E111/'Projected FS'!E98,0)</f>
        <v>0</v>
      </c>
      <c r="F95" s="581">
        <f ca="1">IFERROR('Projected FS'!F111/'Projected FS'!F98,0)</f>
        <v>0</v>
      </c>
      <c r="G95" s="581">
        <f ca="1">IFERROR('Projected FS'!G111/'Projected FS'!G98,0)</f>
        <v>0</v>
      </c>
      <c r="H95" s="581">
        <f ca="1">IFERROR('Projected FS'!H111/'Projected FS'!H98,0)</f>
        <v>0</v>
      </c>
      <c r="I95" s="581">
        <f ca="1">IFERROR('Projected FS'!I111/'Projected FS'!I98,0)</f>
        <v>0</v>
      </c>
    </row>
    <row r="96" spans="1:9" outlineLevel="1">
      <c r="A96" s="580" t="s">
        <v>202</v>
      </c>
      <c r="B96" s="580"/>
      <c r="C96" s="580">
        <f ca="1">IFERROR('Projected FS'!C112/'Projected FS'!C98,0)</f>
        <v>0.16538885655968044</v>
      </c>
      <c r="D96" s="580">
        <f ca="1">IFERROR('Projected FS'!D112/'Projected FS'!D98,0)</f>
        <v>0.19943376792531628</v>
      </c>
      <c r="E96" s="580">
        <f ca="1">IFERROR('Projected FS'!E112/'Projected FS'!E98,0)</f>
        <v>0.20975942240641759</v>
      </c>
      <c r="F96" s="580">
        <f ca="1">IFERROR('Projected FS'!F112/'Projected FS'!F98,0)</f>
        <v>0.21841891253410056</v>
      </c>
      <c r="G96" s="580">
        <f ca="1">IFERROR('Projected FS'!G112/'Projected FS'!G98,0)</f>
        <v>0.22576847385661469</v>
      </c>
      <c r="H96" s="580">
        <f ca="1">IFERROR('Projected FS'!H112/'Projected FS'!H98,0)</f>
        <v>0.2320697753975344</v>
      </c>
      <c r="I96" s="580">
        <f ca="1">IFERROR('Projected FS'!I112/'Projected FS'!I98,0)</f>
        <v>0.22733073454677083</v>
      </c>
    </row>
    <row r="97" spans="1:9" outlineLevel="1">
      <c r="A97" s="581" t="s">
        <v>203</v>
      </c>
      <c r="B97" s="581"/>
      <c r="C97" s="581">
        <f>IFERROR('Projected FS'!C113/'Projected FS'!C98,0)</f>
        <v>0</v>
      </c>
      <c r="D97" s="581">
        <f ca="1">IFERROR('Projected FS'!D113/'Projected FS'!D98,0)</f>
        <v>0</v>
      </c>
      <c r="E97" s="581">
        <f ca="1">IFERROR('Projected FS'!E113/'Projected FS'!E98,0)</f>
        <v>0</v>
      </c>
      <c r="F97" s="581">
        <f ca="1">IFERROR('Projected FS'!F113/'Projected FS'!F98,0)</f>
        <v>0</v>
      </c>
      <c r="G97" s="581">
        <f ca="1">IFERROR('Projected FS'!G113/'Projected FS'!G98,0)</f>
        <v>0</v>
      </c>
      <c r="H97" s="581">
        <f ca="1">IFERROR('Projected FS'!H113/'Projected FS'!H98,0)</f>
        <v>0</v>
      </c>
      <c r="I97" s="581">
        <f ca="1">IFERROR('Projected FS'!I113/'Projected FS'!I98,0)</f>
        <v>0</v>
      </c>
    </row>
    <row r="98" spans="1:9" outlineLevel="1">
      <c r="A98" s="582" t="s">
        <v>204</v>
      </c>
      <c r="B98" s="582"/>
      <c r="C98" s="582">
        <f>IFERROR('Projected FS'!C114/'Projected FS'!C98,0)</f>
        <v>0</v>
      </c>
      <c r="D98" s="582">
        <f ca="1">IFERROR('Projected FS'!D114/'Projected FS'!D98,0)</f>
        <v>0</v>
      </c>
      <c r="E98" s="582">
        <f ca="1">IFERROR('Projected FS'!E114/'Projected FS'!E98,0)</f>
        <v>0</v>
      </c>
      <c r="F98" s="582">
        <f ca="1">IFERROR('Projected FS'!F114/'Projected FS'!F98,0)</f>
        <v>0</v>
      </c>
      <c r="G98" s="582">
        <f ca="1">IFERROR('Projected FS'!G114/'Projected FS'!G98,0)</f>
        <v>0</v>
      </c>
      <c r="H98" s="582">
        <f ca="1">IFERROR('Projected FS'!H114/'Projected FS'!H98,0)</f>
        <v>0</v>
      </c>
      <c r="I98" s="582">
        <f ca="1">IFERROR('Projected FS'!I114/'Projected FS'!I98,0)</f>
        <v>0</v>
      </c>
    </row>
    <row r="99" spans="1:9" outlineLevel="1">
      <c r="A99" s="579" t="s">
        <v>205</v>
      </c>
      <c r="B99" s="579"/>
      <c r="C99" s="579">
        <f ca="1">IFERROR('Projected FS'!C115/'Projected FS'!C98,0)</f>
        <v>0.16538885655968044</v>
      </c>
      <c r="D99" s="579">
        <f ca="1">IFERROR('Projected FS'!D115/'Projected FS'!D98,0)</f>
        <v>0.19943376792531628</v>
      </c>
      <c r="E99" s="579">
        <f ca="1">IFERROR('Projected FS'!E115/'Projected FS'!E98,0)</f>
        <v>0.20975942240641759</v>
      </c>
      <c r="F99" s="579">
        <f ca="1">IFERROR('Projected FS'!F115/'Projected FS'!F98,0)</f>
        <v>0.21841891253410056</v>
      </c>
      <c r="G99" s="579">
        <f ca="1">IFERROR('Projected FS'!G115/'Projected FS'!G98,0)</f>
        <v>0.22576847385661469</v>
      </c>
      <c r="H99" s="579">
        <f ca="1">IFERROR('Projected FS'!H115/'Projected FS'!H98,0)</f>
        <v>0.2320697753975344</v>
      </c>
      <c r="I99" s="579">
        <f ca="1">IFERROR('Projected FS'!I115/'Projected FS'!I98,0)</f>
        <v>0.22733073454677083</v>
      </c>
    </row>
    <row r="100" spans="1:9" outlineLevel="1">
      <c r="A100" s="582" t="s">
        <v>206</v>
      </c>
      <c r="B100" s="582"/>
      <c r="C100" s="582">
        <f>IFERROR('Projected FS'!C116/'Projected FS'!C98,0)</f>
        <v>0</v>
      </c>
      <c r="D100" s="582">
        <f ca="1">IFERROR('Projected FS'!D116/'Projected FS'!D98,0)</f>
        <v>0</v>
      </c>
      <c r="E100" s="582">
        <f ca="1">IFERROR('Projected FS'!E116/'Projected FS'!E98,0)</f>
        <v>0</v>
      </c>
      <c r="F100" s="582">
        <f ca="1">IFERROR('Projected FS'!F116/'Projected FS'!F98,0)</f>
        <v>0</v>
      </c>
      <c r="G100" s="582">
        <f ca="1">IFERROR('Projected FS'!G116/'Projected FS'!G98,0)</f>
        <v>0</v>
      </c>
      <c r="H100" s="582">
        <f ca="1">IFERROR('Projected FS'!H116/'Projected FS'!H98,0)</f>
        <v>0</v>
      </c>
      <c r="I100" s="582">
        <f ca="1">IFERROR('Projected FS'!I116/'Projected FS'!I98,0)</f>
        <v>0</v>
      </c>
    </row>
    <row r="101" spans="1:9" outlineLevel="1">
      <c r="A101" s="579" t="s">
        <v>207</v>
      </c>
      <c r="B101" s="579"/>
      <c r="C101" s="579">
        <f ca="1">IFERROR('Projected FS'!C117/'Projected FS'!C98,0)</f>
        <v>0.16538885655968044</v>
      </c>
      <c r="D101" s="579">
        <f ca="1">IFERROR('Projected FS'!D117/'Projected FS'!D98,0)</f>
        <v>0.19943376792531628</v>
      </c>
      <c r="E101" s="579">
        <f ca="1">IFERROR('Projected FS'!E117/'Projected FS'!E98,0)</f>
        <v>0.20975942240641759</v>
      </c>
      <c r="F101" s="579">
        <f ca="1">IFERROR('Projected FS'!F117/'Projected FS'!F98,0)</f>
        <v>0.21841891253410056</v>
      </c>
      <c r="G101" s="579">
        <f ca="1">IFERROR('Projected FS'!G117/'Projected FS'!G98,0)</f>
        <v>0.22576847385661469</v>
      </c>
      <c r="H101" s="579">
        <f ca="1">IFERROR('Projected FS'!H117/'Projected FS'!H98,0)</f>
        <v>0.2320697753975344</v>
      </c>
      <c r="I101" s="579">
        <f ca="1">IFERROR('Projected FS'!I117/'Projected FS'!I98,0)</f>
        <v>0.22733073454677083</v>
      </c>
    </row>
    <row r="102" spans="1:9" outlineLevel="1">
      <c r="A102" s="582" t="s">
        <v>208</v>
      </c>
      <c r="B102" s="582"/>
      <c r="C102" s="582">
        <f>IFERROR('Projected FS'!C118/'Projected FS'!C98,0)</f>
        <v>0</v>
      </c>
      <c r="D102" s="582">
        <f ca="1">IFERROR('Projected FS'!D118/'Projected FS'!D98,0)</f>
        <v>0</v>
      </c>
      <c r="E102" s="582">
        <f ca="1">IFERROR('Projected FS'!E118/'Projected FS'!E98,0)</f>
        <v>0</v>
      </c>
      <c r="F102" s="582">
        <f ca="1">IFERROR('Projected FS'!F118/'Projected FS'!F98,0)</f>
        <v>0</v>
      </c>
      <c r="G102" s="582">
        <f ca="1">IFERROR('Projected FS'!G118/'Projected FS'!G98,0)</f>
        <v>0</v>
      </c>
      <c r="H102" s="582">
        <f ca="1">IFERROR('Projected FS'!H118/'Projected FS'!H98,0)</f>
        <v>0</v>
      </c>
      <c r="I102" s="582">
        <f ca="1">IFERROR('Projected FS'!I118/'Projected FS'!I98,0)</f>
        <v>0</v>
      </c>
    </row>
    <row r="103" spans="1:9" ht="15.75" outlineLevel="1" thickBot="1">
      <c r="A103" s="585" t="s">
        <v>209</v>
      </c>
      <c r="B103" s="585">
        <f ca="1">IFERROR('Projected FS'!B119/'Projected FS'!B98,0)</f>
        <v>0</v>
      </c>
      <c r="C103" s="585">
        <f ca="1">IFERROR('Projected FS'!C119/'Projected FS'!C98,0)</f>
        <v>0.16538885655968044</v>
      </c>
      <c r="D103" s="585">
        <f ca="1">IFERROR('Projected FS'!D119/'Projected FS'!D98,0)</f>
        <v>0.19943376792531628</v>
      </c>
      <c r="E103" s="585">
        <f ca="1">IFERROR('Projected FS'!E119/'Projected FS'!E98,0)</f>
        <v>0.20975942240641759</v>
      </c>
      <c r="F103" s="585">
        <f ca="1">IFERROR('Projected FS'!F119/'Projected FS'!F98,0)</f>
        <v>0.21841891253410056</v>
      </c>
      <c r="G103" s="585">
        <f ca="1">IFERROR('Projected FS'!G119/'Projected FS'!G98,0)</f>
        <v>0.22576847385661469</v>
      </c>
      <c r="H103" s="585">
        <f ca="1">IFERROR('Projected FS'!H119/'Projected FS'!H98,0)</f>
        <v>0.2320697753975344</v>
      </c>
      <c r="I103" s="585">
        <f ca="1">IFERROR('Projected FS'!I119/'Projected FS'!I98,0)</f>
        <v>0.22733073454677083</v>
      </c>
    </row>
    <row r="104" spans="1:9" ht="15.75" outlineLevel="1" thickTop="1">
      <c r="A104" s="27"/>
      <c r="B104" s="27"/>
      <c r="C104" s="27"/>
      <c r="D104" s="27"/>
      <c r="E104" s="27"/>
      <c r="F104" s="27"/>
      <c r="G104" s="27"/>
      <c r="H104" s="27"/>
      <c r="I104" s="27"/>
    </row>
    <row r="105" spans="1:9" ht="15.75" outlineLevel="1">
      <c r="A105" s="60" t="s">
        <v>262</v>
      </c>
      <c r="B105" s="29" t="s">
        <v>189</v>
      </c>
      <c r="C105" s="29" t="s">
        <v>180</v>
      </c>
      <c r="D105" s="29" t="s">
        <v>181</v>
      </c>
      <c r="E105" s="29" t="s">
        <v>182</v>
      </c>
      <c r="F105" s="29" t="s">
        <v>183</v>
      </c>
      <c r="G105" s="29" t="s">
        <v>184</v>
      </c>
      <c r="H105" s="29" t="s">
        <v>185</v>
      </c>
      <c r="I105" s="29" t="s">
        <v>186</v>
      </c>
    </row>
    <row r="106" spans="1:9" outlineLevel="1">
      <c r="A106" s="578" t="s">
        <v>190</v>
      </c>
      <c r="B106" s="578"/>
      <c r="C106" s="578"/>
      <c r="D106" s="578">
        <f ca="1">IFERROR(('Projected FS'!D98-'Projected FS'!C98)/'Projected FS'!C98,0)</f>
        <v>0.16599999999999998</v>
      </c>
      <c r="E106" s="578">
        <f ca="1">IFERROR(('Projected FS'!E98-'Projected FS'!D98)/'Projected FS'!D98,0)</f>
        <v>0.15637507146941107</v>
      </c>
      <c r="F106" s="578">
        <f ca="1">IFERROR(('Projected FS'!F98-'Projected FS'!E98)/'Projected FS'!E98,0)</f>
        <v>0.14833127317676129</v>
      </c>
      <c r="G106" s="578">
        <f ca="1">IFERROR(('Projected FS'!G98-'Projected FS'!F98)/'Projected FS'!F98,0)</f>
        <v>0.1415285252960172</v>
      </c>
      <c r="H106" s="578">
        <f ca="1">IFERROR(('Projected FS'!H98-'Projected FS'!G98)/'Projected FS'!G98,0)</f>
        <v>0.1357121303560655</v>
      </c>
      <c r="I106" s="578">
        <f ca="1">IFERROR(('Projected FS'!I98-'Projected FS'!H98)/'Projected FS'!H98,0)</f>
        <v>6.0013284623048356E-2</v>
      </c>
    </row>
    <row r="107" spans="1:9" outlineLevel="1">
      <c r="A107" s="579" t="s">
        <v>191</v>
      </c>
      <c r="B107" s="579"/>
      <c r="C107" s="579"/>
      <c r="D107" s="579"/>
      <c r="E107" s="579"/>
      <c r="F107" s="579"/>
      <c r="G107" s="579"/>
      <c r="H107" s="579"/>
      <c r="I107" s="579"/>
    </row>
    <row r="108" spans="1:9" outlineLevel="1">
      <c r="A108" s="580" t="s">
        <v>192</v>
      </c>
      <c r="B108" s="580"/>
      <c r="C108" s="580"/>
      <c r="D108" s="580">
        <f ca="1">IFERROR(('Projected FS'!D100-'Projected FS'!C100)/'Projected FS'!C100,0)</f>
        <v>0</v>
      </c>
      <c r="E108" s="580">
        <f ca="1">IFERROR(('Projected FS'!E100-'Projected FS'!D100)/'Projected FS'!D100,0)</f>
        <v>0.16599999999999993</v>
      </c>
      <c r="F108" s="580">
        <f ca="1">IFERROR(('Projected FS'!F100-'Projected FS'!E100)/'Projected FS'!E100,0)</f>
        <v>0.15637507146941115</v>
      </c>
      <c r="G108" s="580">
        <f ca="1">IFERROR(('Projected FS'!G100-'Projected FS'!F100)/'Projected FS'!F100,0)</f>
        <v>0.1483312731767612</v>
      </c>
      <c r="H108" s="580">
        <f ca="1">IFERROR(('Projected FS'!H100-'Projected FS'!G100)/'Projected FS'!G100,0)</f>
        <v>0.14152852529601725</v>
      </c>
      <c r="I108" s="580">
        <f ca="1">IFERROR(('Projected FS'!I100-'Projected FS'!H100)/'Projected FS'!H100,0)</f>
        <v>0.13571213035606544</v>
      </c>
    </row>
    <row r="109" spans="1:9" outlineLevel="1">
      <c r="A109" s="579" t="s">
        <v>193</v>
      </c>
      <c r="B109" s="579"/>
      <c r="C109" s="579"/>
      <c r="D109" s="579">
        <f ca="1">IFERROR(('Projected FS'!D101-'Projected FS'!C101)/'Projected FS'!C101,0)</f>
        <v>0.16600000000000009</v>
      </c>
      <c r="E109" s="579">
        <f ca="1">IFERROR(('Projected FS'!E101-'Projected FS'!D101)/'Projected FS'!D101,0)</f>
        <v>0.15637507146941099</v>
      </c>
      <c r="F109" s="579">
        <f ca="1">IFERROR(('Projected FS'!F101-'Projected FS'!E101)/'Projected FS'!E101,0)</f>
        <v>0.14833127317676134</v>
      </c>
      <c r="G109" s="579">
        <f ca="1">IFERROR(('Projected FS'!G101-'Projected FS'!F101)/'Projected FS'!F101,0)</f>
        <v>0.1415285252960172</v>
      </c>
      <c r="H109" s="579">
        <f ca="1">IFERROR(('Projected FS'!H101-'Projected FS'!G101)/'Projected FS'!G101,0)</f>
        <v>0.13571213035606558</v>
      </c>
      <c r="I109" s="579">
        <f ca="1">IFERROR(('Projected FS'!I101-'Projected FS'!H101)/'Projected FS'!H101,0)</f>
        <v>6.0013284623048294E-2</v>
      </c>
    </row>
    <row r="110" spans="1:9" outlineLevel="1">
      <c r="A110" s="580" t="s">
        <v>194</v>
      </c>
      <c r="B110" s="580"/>
      <c r="C110" s="580"/>
      <c r="D110" s="580">
        <f ca="1">IFERROR(('Projected FS'!D102-'Projected FS'!C102)/'Projected FS'!C102,0)</f>
        <v>0.16599999999999993</v>
      </c>
      <c r="E110" s="580">
        <f ca="1">IFERROR(('Projected FS'!E102-'Projected FS'!D102)/'Projected FS'!D102,0)</f>
        <v>0.15637507146941115</v>
      </c>
      <c r="F110" s="580">
        <f ca="1">IFERROR(('Projected FS'!F102-'Projected FS'!E102)/'Projected FS'!E102,0)</f>
        <v>0.1483312731767612</v>
      </c>
      <c r="G110" s="580">
        <f ca="1">IFERROR(('Projected FS'!G102-'Projected FS'!F102)/'Projected FS'!F102,0)</f>
        <v>0.14152852529601725</v>
      </c>
      <c r="H110" s="580">
        <f ca="1">IFERROR(('Projected FS'!H102-'Projected FS'!G102)/'Projected FS'!G102,0)</f>
        <v>0.13571213035606544</v>
      </c>
      <c r="I110" s="580">
        <f ca="1">IFERROR(('Projected FS'!I102-'Projected FS'!H102)/'Projected FS'!H102,0)</f>
        <v>6.0013284623048384E-2</v>
      </c>
    </row>
    <row r="111" spans="1:9" outlineLevel="1">
      <c r="A111" s="583" t="s">
        <v>191</v>
      </c>
      <c r="B111" s="583"/>
      <c r="C111" s="583"/>
      <c r="D111" s="583">
        <f ca="1">IFERROR(('Projected FS'!D103-'Projected FS'!C103)/'Projected FS'!C103,0)</f>
        <v>0.15216666666666673</v>
      </c>
      <c r="E111" s="583">
        <f ca="1">IFERROR(('Projected FS'!E103-'Projected FS'!D103)/'Projected FS'!D103,0)</f>
        <v>0.15707121847726496</v>
      </c>
      <c r="F111" s="583">
        <f ca="1">IFERROR(('Projected FS'!F103-'Projected FS'!E103)/'Projected FS'!E103,0)</f>
        <v>0.14891755047611091</v>
      </c>
      <c r="G111" s="583">
        <f ca="1">IFERROR(('Projected FS'!G103-'Projected FS'!F103)/'Projected FS'!F103,0)</f>
        <v>0.14202756619513962</v>
      </c>
      <c r="H111" s="583">
        <f ca="1">IFERROR(('Projected FS'!H103-'Projected FS'!G103)/'Projected FS'!G103,0)</f>
        <v>0.13614116884808089</v>
      </c>
      <c r="I111" s="583">
        <f ca="1">IFERROR(('Projected FS'!I103-'Projected FS'!H103)/'Projected FS'!H103,0)</f>
        <v>6.5623584794896092E-2</v>
      </c>
    </row>
    <row r="112" spans="1:9" outlineLevel="1">
      <c r="A112" s="586" t="s">
        <v>195</v>
      </c>
      <c r="B112" s="586"/>
      <c r="C112" s="586"/>
      <c r="D112" s="586">
        <f ca="1">IFERROR(('Projected FS'!D104-'Projected FS'!C104)/'Projected FS'!C104,0)</f>
        <v>0.19347270348755546</v>
      </c>
      <c r="E112" s="586">
        <f ca="1">IFERROR(('Projected FS'!E104-'Projected FS'!D104)/'Projected FS'!D104,0)</f>
        <v>0.15504038783993043</v>
      </c>
      <c r="F112" s="586">
        <f ca="1">IFERROR(('Projected FS'!F104-'Projected FS'!E104)/'Projected FS'!E104,0)</f>
        <v>0.14720526026094202</v>
      </c>
      <c r="G112" s="586">
        <f ca="1">IFERROR(('Projected FS'!G104-'Projected FS'!F104)/'Projected FS'!F104,0)</f>
        <v>0.14056862932842737</v>
      </c>
      <c r="H112" s="586">
        <f ca="1">IFERROR(('Projected FS'!H104-'Projected FS'!G104)/'Projected FS'!G104,0)</f>
        <v>0.13488582712781277</v>
      </c>
      <c r="I112" s="586">
        <f ca="1">IFERROR(('Projected FS'!I104-'Projected FS'!H104)/'Projected FS'!H104,0)</f>
        <v>4.9196220233416431E-2</v>
      </c>
    </row>
    <row r="113" spans="1:9" outlineLevel="1">
      <c r="A113" s="579" t="s">
        <v>196</v>
      </c>
      <c r="B113" s="579"/>
      <c r="C113" s="579"/>
      <c r="D113" s="579"/>
      <c r="E113" s="579"/>
      <c r="F113" s="579"/>
      <c r="G113" s="579"/>
      <c r="H113" s="579"/>
      <c r="I113" s="579"/>
    </row>
    <row r="114" spans="1:9" outlineLevel="1">
      <c r="A114" s="580" t="s">
        <v>197</v>
      </c>
      <c r="B114" s="580"/>
      <c r="C114" s="580"/>
      <c r="D114" s="580">
        <f>IFERROR(('Projected FS'!D106-'Projected FS'!C106)/'Projected FS'!C106,0)</f>
        <v>0</v>
      </c>
      <c r="E114" s="580">
        <f>IFERROR(('Projected FS'!E106-'Projected FS'!D106)/'Projected FS'!D106,0)</f>
        <v>0</v>
      </c>
      <c r="F114" s="580">
        <f>IFERROR(('Projected FS'!F106-'Projected FS'!E106)/'Projected FS'!E106,0)</f>
        <v>0</v>
      </c>
      <c r="G114" s="580">
        <f>IFERROR(('Projected FS'!G106-'Projected FS'!F106)/'Projected FS'!F106,0)</f>
        <v>0</v>
      </c>
      <c r="H114" s="580">
        <f>IFERROR(('Projected FS'!H106-'Projected FS'!G106)/'Projected FS'!G106,0)</f>
        <v>0</v>
      </c>
      <c r="I114" s="580">
        <f>IFERROR(('Projected FS'!I106-'Projected FS'!H106)/'Projected FS'!H106,0)</f>
        <v>0</v>
      </c>
    </row>
    <row r="115" spans="1:9" outlineLevel="1">
      <c r="A115" s="581" t="s">
        <v>198</v>
      </c>
      <c r="B115" s="581"/>
      <c r="C115" s="581"/>
      <c r="D115" s="581">
        <f>IFERROR(('Projected FS'!D107-'Projected FS'!C107)/'Projected FS'!C107,0)</f>
        <v>0</v>
      </c>
      <c r="E115" s="581">
        <f>IFERROR(('Projected FS'!E107-'Projected FS'!D107)/'Projected FS'!D107,0)</f>
        <v>0</v>
      </c>
      <c r="F115" s="581">
        <f>IFERROR(('Projected FS'!F107-'Projected FS'!E107)/'Projected FS'!E107,0)</f>
        <v>0</v>
      </c>
      <c r="G115" s="581">
        <f>IFERROR(('Projected FS'!G107-'Projected FS'!F107)/'Projected FS'!F107,0)</f>
        <v>0</v>
      </c>
      <c r="H115" s="581">
        <f>IFERROR(('Projected FS'!H107-'Projected FS'!G107)/'Projected FS'!G107,0)</f>
        <v>0</v>
      </c>
      <c r="I115" s="581">
        <f>IFERROR(('Projected FS'!I107-'Projected FS'!H107)/'Projected FS'!H107,0)</f>
        <v>0</v>
      </c>
    </row>
    <row r="116" spans="1:9" outlineLevel="1">
      <c r="A116" s="586" t="s">
        <v>279</v>
      </c>
      <c r="B116" s="586"/>
      <c r="C116" s="586"/>
      <c r="D116" s="586"/>
      <c r="E116" s="586"/>
      <c r="F116" s="586"/>
      <c r="G116" s="586"/>
      <c r="H116" s="586"/>
      <c r="I116" s="586"/>
    </row>
    <row r="117" spans="1:9" outlineLevel="1">
      <c r="A117" s="579" t="s">
        <v>199</v>
      </c>
      <c r="B117" s="579"/>
      <c r="C117" s="579"/>
      <c r="D117" s="579">
        <f>IFERROR(('Projected FS'!D109-'Projected FS'!C109)/'Projected FS'!C109,0)</f>
        <v>0.05</v>
      </c>
      <c r="E117" s="579">
        <f>IFERROR(('Projected FS'!E109-'Projected FS'!D109)/'Projected FS'!D109,0)</f>
        <v>0.05</v>
      </c>
      <c r="F117" s="579">
        <f>IFERROR(('Projected FS'!F109-'Projected FS'!E109)/'Projected FS'!E109,0)</f>
        <v>5.0000000000000079E-2</v>
      </c>
      <c r="G117" s="579">
        <f>IFERROR(('Projected FS'!G109-'Projected FS'!F109)/'Projected FS'!F109,0)</f>
        <v>5.0000000000000107E-2</v>
      </c>
      <c r="H117" s="579">
        <f>IFERROR(('Projected FS'!H109-'Projected FS'!G109)/'Projected FS'!G109,0)</f>
        <v>4.9999999999999996E-2</v>
      </c>
      <c r="I117" s="579">
        <f>IFERROR(('Projected FS'!I109-'Projected FS'!H109)/'Projected FS'!H109,0)</f>
        <v>4.9999999999999975E-2</v>
      </c>
    </row>
    <row r="118" spans="1:9" outlineLevel="1">
      <c r="A118" s="582" t="s">
        <v>200</v>
      </c>
      <c r="B118" s="582"/>
      <c r="C118" s="582"/>
      <c r="D118" s="582">
        <f ca="1">IFERROR(('Projected FS'!D110-'Projected FS'!C110)/'Projected FS'!C110,0)</f>
        <v>-9.7083618507356709E-2</v>
      </c>
      <c r="E118" s="582">
        <f ca="1">IFERROR(('Projected FS'!E110-'Projected FS'!D110)/'Projected FS'!D110,0)</f>
        <v>9.9999999999999922E-2</v>
      </c>
      <c r="F118" s="582">
        <f ca="1">IFERROR(('Projected FS'!F110-'Projected FS'!E110)/'Projected FS'!E110,0)</f>
        <v>0.10000000000000017</v>
      </c>
      <c r="G118" s="582">
        <f ca="1">IFERROR(('Projected FS'!G110-'Projected FS'!F110)/'Projected FS'!F110,0)</f>
        <v>0.10000000000000016</v>
      </c>
      <c r="H118" s="582">
        <f ca="1">IFERROR(('Projected FS'!H110-'Projected FS'!G110)/'Projected FS'!G110,0)</f>
        <v>0.10000000000000003</v>
      </c>
      <c r="I118" s="582">
        <f ca="1">IFERROR(('Projected FS'!I110-'Projected FS'!H110)/'Projected FS'!H110,0)</f>
        <v>0.10000000000000003</v>
      </c>
    </row>
    <row r="119" spans="1:9" outlineLevel="1">
      <c r="A119" s="584" t="s">
        <v>201</v>
      </c>
      <c r="B119" s="584"/>
      <c r="C119" s="584"/>
      <c r="D119" s="584">
        <f>IFERROR(('Projected FS'!D111-'Projected FS'!C111)/'Projected FS'!C111,0)</f>
        <v>0</v>
      </c>
      <c r="E119" s="584">
        <f>IFERROR(('Projected FS'!E111-'Projected FS'!D111)/'Projected FS'!D111,0)</f>
        <v>0</v>
      </c>
      <c r="F119" s="584">
        <f>IFERROR(('Projected FS'!F111-'Projected FS'!E111)/'Projected FS'!E111,0)</f>
        <v>0</v>
      </c>
      <c r="G119" s="584">
        <f>IFERROR(('Projected FS'!G111-'Projected FS'!F111)/'Projected FS'!F111,0)</f>
        <v>0</v>
      </c>
      <c r="H119" s="584">
        <f>IFERROR(('Projected FS'!H111-'Projected FS'!G111)/'Projected FS'!G111,0)</f>
        <v>0</v>
      </c>
      <c r="I119" s="584">
        <f>IFERROR(('Projected FS'!I111-'Projected FS'!H111)/'Projected FS'!H111,0)</f>
        <v>0</v>
      </c>
    </row>
    <row r="120" spans="1:9" outlineLevel="1">
      <c r="A120" s="587" t="s">
        <v>202</v>
      </c>
      <c r="B120" s="587"/>
      <c r="C120" s="587"/>
      <c r="D120" s="587">
        <f ca="1">IFERROR(('Projected FS'!D112-'Projected FS'!C112)/'Projected FS'!C112,0)</f>
        <v>0.40601838744200375</v>
      </c>
      <c r="E120" s="587">
        <f ca="1">IFERROR(('Projected FS'!E112-'Projected FS'!D112)/'Projected FS'!D112,0)</f>
        <v>0.21624622349529757</v>
      </c>
      <c r="F120" s="587">
        <f ca="1">IFERROR(('Projected FS'!F112-'Projected FS'!E112)/'Projected FS'!E112,0)</f>
        <v>0.19573778874256481</v>
      </c>
      <c r="G120" s="587">
        <f ca="1">IFERROR(('Projected FS'!G112-'Projected FS'!F112)/'Projected FS'!F112,0)</f>
        <v>0.17993973154516635</v>
      </c>
      <c r="H120" s="587">
        <f ca="1">IFERROR(('Projected FS'!H112-'Projected FS'!G112)/'Projected FS'!G112,0)</f>
        <v>0.16741037623958482</v>
      </c>
      <c r="I120" s="587">
        <f ca="1">IFERROR(('Projected FS'!I112-'Projected FS'!H112)/'Projected FS'!H112,0)</f>
        <v>3.8367009275146802E-2</v>
      </c>
    </row>
    <row r="121" spans="1:9" outlineLevel="1">
      <c r="A121" s="581" t="s">
        <v>203</v>
      </c>
      <c r="B121" s="581"/>
      <c r="C121" s="581"/>
      <c r="D121" s="581">
        <f>IFERROR(('Projected FS'!D113-'Projected FS'!C113)/'Projected FS'!C113,0)</f>
        <v>0</v>
      </c>
      <c r="E121" s="581">
        <f>IFERROR(('Projected FS'!E113-'Projected FS'!D113)/'Projected FS'!D113,0)</f>
        <v>0</v>
      </c>
      <c r="F121" s="581">
        <f>IFERROR(('Projected FS'!F113-'Projected FS'!E113)/'Projected FS'!E113,0)</f>
        <v>0</v>
      </c>
      <c r="G121" s="581">
        <f>IFERROR(('Projected FS'!G113-'Projected FS'!F113)/'Projected FS'!F113,0)</f>
        <v>0</v>
      </c>
      <c r="H121" s="581">
        <f>IFERROR(('Projected FS'!H113-'Projected FS'!G113)/'Projected FS'!G113,0)</f>
        <v>0</v>
      </c>
      <c r="I121" s="581">
        <f>IFERROR(('Projected FS'!I113-'Projected FS'!H113)/'Projected FS'!H113,0)</f>
        <v>0</v>
      </c>
    </row>
    <row r="122" spans="1:9" outlineLevel="1">
      <c r="A122" s="582" t="s">
        <v>204</v>
      </c>
      <c r="B122" s="582"/>
      <c r="C122" s="582"/>
      <c r="D122" s="582">
        <f>IFERROR(('Projected FS'!D114-'Projected FS'!C114)/'Projected FS'!C114,0)</f>
        <v>0</v>
      </c>
      <c r="E122" s="582">
        <f>IFERROR(('Projected FS'!E114-'Projected FS'!D114)/'Projected FS'!D114,0)</f>
        <v>0</v>
      </c>
      <c r="F122" s="582">
        <f>IFERROR(('Projected FS'!F114-'Projected FS'!E114)/'Projected FS'!E114,0)</f>
        <v>0</v>
      </c>
      <c r="G122" s="582">
        <f>IFERROR(('Projected FS'!G114-'Projected FS'!F114)/'Projected FS'!F114,0)</f>
        <v>0</v>
      </c>
      <c r="H122" s="582">
        <f>IFERROR(('Projected FS'!H114-'Projected FS'!G114)/'Projected FS'!G114,0)</f>
        <v>0</v>
      </c>
      <c r="I122" s="582">
        <f>IFERROR(('Projected FS'!I114-'Projected FS'!H114)/'Projected FS'!H114,0)</f>
        <v>0</v>
      </c>
    </row>
    <row r="123" spans="1:9" outlineLevel="1">
      <c r="A123" s="588" t="s">
        <v>205</v>
      </c>
      <c r="B123" s="588"/>
      <c r="C123" s="588"/>
      <c r="D123" s="588">
        <f ca="1">IFERROR(('Projected FS'!D115-'Projected FS'!C115)/'Projected FS'!C115,0)</f>
        <v>0.40601838744200375</v>
      </c>
      <c r="E123" s="588">
        <f ca="1">IFERROR(('Projected FS'!E115-'Projected FS'!D115)/'Projected FS'!D115,0)</f>
        <v>0.21624622349529757</v>
      </c>
      <c r="F123" s="588">
        <f ca="1">IFERROR(('Projected FS'!F115-'Projected FS'!E115)/'Projected FS'!E115,0)</f>
        <v>0.19573778874256481</v>
      </c>
      <c r="G123" s="588">
        <f ca="1">IFERROR(('Projected FS'!G115-'Projected FS'!F115)/'Projected FS'!F115,0)</f>
        <v>0.17993973154516635</v>
      </c>
      <c r="H123" s="588">
        <f ca="1">IFERROR(('Projected FS'!H115-'Projected FS'!G115)/'Projected FS'!G115,0)</f>
        <v>0.16741037623958482</v>
      </c>
      <c r="I123" s="588">
        <f ca="1">IFERROR(('Projected FS'!I115-'Projected FS'!H115)/'Projected FS'!H115,0)</f>
        <v>3.8367009275146802E-2</v>
      </c>
    </row>
    <row r="124" spans="1:9" outlineLevel="1">
      <c r="A124" s="582" t="s">
        <v>206</v>
      </c>
      <c r="B124" s="582"/>
      <c r="C124" s="582"/>
      <c r="D124" s="582">
        <f>IFERROR(('Projected FS'!D116-'Projected FS'!C116)/'Projected FS'!C116,0)</f>
        <v>0</v>
      </c>
      <c r="E124" s="582">
        <f>IFERROR(('Projected FS'!E116-'Projected FS'!D116)/'Projected FS'!D116,0)</f>
        <v>0</v>
      </c>
      <c r="F124" s="582">
        <f>IFERROR(('Projected FS'!F116-'Projected FS'!E116)/'Projected FS'!E116,0)</f>
        <v>0</v>
      </c>
      <c r="G124" s="582">
        <f>IFERROR(('Projected FS'!G116-'Projected FS'!F116)/'Projected FS'!F116,0)</f>
        <v>0</v>
      </c>
      <c r="H124" s="582">
        <f>IFERROR(('Projected FS'!H116-'Projected FS'!G116)/'Projected FS'!G116,0)</f>
        <v>0</v>
      </c>
      <c r="I124" s="582">
        <f>IFERROR(('Projected FS'!I116-'Projected FS'!H116)/'Projected FS'!H116,0)</f>
        <v>0</v>
      </c>
    </row>
    <row r="125" spans="1:9" outlineLevel="1">
      <c r="A125" s="588" t="s">
        <v>207</v>
      </c>
      <c r="B125" s="588"/>
      <c r="C125" s="588"/>
      <c r="D125" s="588">
        <f ca="1">IFERROR(('Projected FS'!D117-'Projected FS'!C117)/'Projected FS'!C117,0)</f>
        <v>0.40601838744200375</v>
      </c>
      <c r="E125" s="588">
        <f ca="1">IFERROR(('Projected FS'!E117-'Projected FS'!D117)/'Projected FS'!D117,0)</f>
        <v>0.21624622349529757</v>
      </c>
      <c r="F125" s="588">
        <f ca="1">IFERROR(('Projected FS'!F117-'Projected FS'!E117)/'Projected FS'!E117,0)</f>
        <v>0.19573778874256481</v>
      </c>
      <c r="G125" s="588">
        <f ca="1">IFERROR(('Projected FS'!G117-'Projected FS'!F117)/'Projected FS'!F117,0)</f>
        <v>0.17993973154516635</v>
      </c>
      <c r="H125" s="588">
        <f ca="1">IFERROR(('Projected FS'!H117-'Projected FS'!G117)/'Projected FS'!G117,0)</f>
        <v>0.16741037623958482</v>
      </c>
      <c r="I125" s="588">
        <f ca="1">IFERROR(('Projected FS'!I117-'Projected FS'!H117)/'Projected FS'!H117,0)</f>
        <v>3.8367009275146802E-2</v>
      </c>
    </row>
    <row r="126" spans="1:9" outlineLevel="1">
      <c r="A126" s="582" t="s">
        <v>208</v>
      </c>
      <c r="B126" s="582"/>
      <c r="C126" s="582"/>
      <c r="D126" s="582">
        <f>IFERROR(('Projected FS'!D118-'Projected FS'!C118)/'Projected FS'!C118,0)</f>
        <v>0</v>
      </c>
      <c r="E126" s="582">
        <f>IFERROR(('Projected FS'!E118-'Projected FS'!D118)/'Projected FS'!D118,0)</f>
        <v>0</v>
      </c>
      <c r="F126" s="582">
        <f>IFERROR(('Projected FS'!F118-'Projected FS'!E118)/'Projected FS'!E118,0)</f>
        <v>0</v>
      </c>
      <c r="G126" s="582">
        <f>IFERROR(('Projected FS'!G118-'Projected FS'!F118)/'Projected FS'!F118,0)</f>
        <v>0</v>
      </c>
      <c r="H126" s="582">
        <f>IFERROR(('Projected FS'!H118-'Projected FS'!G118)/'Projected FS'!G118,0)</f>
        <v>0</v>
      </c>
      <c r="I126" s="582">
        <f>IFERROR(('Projected FS'!I118-'Projected FS'!H118)/'Projected FS'!H118,0)</f>
        <v>0</v>
      </c>
    </row>
    <row r="127" spans="1:9" ht="15.75" outlineLevel="1" thickBot="1">
      <c r="A127" s="589" t="s">
        <v>209</v>
      </c>
      <c r="B127" s="589"/>
      <c r="C127" s="589"/>
      <c r="D127" s="589">
        <f ca="1">IFERROR(('Projected FS'!D119-'Projected FS'!C119)/'Projected FS'!C119,0)</f>
        <v>0.40601838744200375</v>
      </c>
      <c r="E127" s="589">
        <f ca="1">IFERROR(('Projected FS'!E119-'Projected FS'!D119)/'Projected FS'!D119,0)</f>
        <v>0.21624622349529757</v>
      </c>
      <c r="F127" s="589">
        <f ca="1">IFERROR(('Projected FS'!F119-'Projected FS'!E119)/'Projected FS'!E119,0)</f>
        <v>0.19573778874256481</v>
      </c>
      <c r="G127" s="589">
        <f ca="1">IFERROR(('Projected FS'!G119-'Projected FS'!F119)/'Projected FS'!F119,0)</f>
        <v>0.17993973154516635</v>
      </c>
      <c r="H127" s="589">
        <f ca="1">IFERROR(('Projected FS'!H119-'Projected FS'!G119)/'Projected FS'!G119,0)</f>
        <v>0.16741037623958482</v>
      </c>
      <c r="I127" s="589">
        <f ca="1">IFERROR(('Projected FS'!I119-'Projected FS'!H119)/'Projected FS'!H119,0)</f>
        <v>3.8367009275146802E-2</v>
      </c>
    </row>
    <row r="128" spans="1:9" ht="16.5" outlineLevel="1" thickTop="1">
      <c r="A128" s="33"/>
      <c r="B128" s="70"/>
      <c r="C128" s="71"/>
      <c r="D128" s="72"/>
      <c r="E128" s="72"/>
      <c r="F128" s="72"/>
      <c r="G128" s="72"/>
      <c r="H128" s="72"/>
      <c r="I128" s="72"/>
    </row>
    <row r="129" spans="1:9" ht="15.75" outlineLevel="1">
      <c r="A129" s="60" t="s">
        <v>3</v>
      </c>
      <c r="B129" s="29" t="s">
        <v>189</v>
      </c>
      <c r="C129" s="29" t="s">
        <v>180</v>
      </c>
      <c r="D129" s="29" t="s">
        <v>181</v>
      </c>
      <c r="E129" s="29" t="s">
        <v>182</v>
      </c>
      <c r="F129" s="29" t="s">
        <v>183</v>
      </c>
      <c r="G129" s="29" t="s">
        <v>184</v>
      </c>
      <c r="H129" s="29" t="s">
        <v>185</v>
      </c>
      <c r="I129" s="29" t="s">
        <v>186</v>
      </c>
    </row>
    <row r="130" spans="1:9" outlineLevel="1">
      <c r="A130" s="566"/>
      <c r="B130" s="566"/>
      <c r="C130" s="566"/>
      <c r="D130" s="566"/>
      <c r="E130" s="566"/>
      <c r="F130" s="566"/>
      <c r="G130" s="566"/>
      <c r="H130" s="566"/>
      <c r="I130" s="566"/>
    </row>
    <row r="131" spans="1:9" outlineLevel="1">
      <c r="A131" s="590" t="s">
        <v>263</v>
      </c>
      <c r="B131" s="590"/>
      <c r="C131" s="590"/>
      <c r="D131" s="590"/>
      <c r="E131" s="590"/>
      <c r="F131" s="590"/>
      <c r="G131" s="590"/>
      <c r="H131" s="590"/>
      <c r="I131" s="590"/>
    </row>
    <row r="132" spans="1:9" outlineLevel="1">
      <c r="A132" s="582" t="s">
        <v>195</v>
      </c>
      <c r="B132" s="582"/>
      <c r="C132" s="582">
        <f>IFERROR('Projected FS'!C98/'Projected FS'!C98,0)</f>
        <v>1</v>
      </c>
      <c r="D132" s="582">
        <f ca="1">IFERROR('Projected FS'!D98/'Projected FS'!D98,0)</f>
        <v>1</v>
      </c>
      <c r="E132" s="582">
        <f ca="1">IFERROR('Projected FS'!E98/'Projected FS'!E98,0)</f>
        <v>1</v>
      </c>
      <c r="F132" s="582">
        <f ca="1">IFERROR('Projected FS'!F98/'Projected FS'!F98,0)</f>
        <v>1</v>
      </c>
      <c r="G132" s="582">
        <f ca="1">IFERROR('Projected FS'!G98/'Projected FS'!G98,0)</f>
        <v>1</v>
      </c>
      <c r="H132" s="582">
        <f ca="1">IFERROR('Projected FS'!H98/'Projected FS'!H98,0)</f>
        <v>1</v>
      </c>
      <c r="I132" s="582">
        <f ca="1">IFERROR('Projected FS'!I98/'Projected FS'!I98,0)</f>
        <v>1</v>
      </c>
    </row>
    <row r="133" spans="1:9" outlineLevel="1">
      <c r="A133" s="581" t="s">
        <v>209</v>
      </c>
      <c r="B133" s="581"/>
      <c r="C133" s="581">
        <f ca="1">IFERROR('Projected FS'!C119/'Projected FS'!C98,0)</f>
        <v>0.16538885655968044</v>
      </c>
      <c r="D133" s="581">
        <f ca="1">IFERROR('Projected FS'!D119/'Projected FS'!D98,0)</f>
        <v>0.19943376792531628</v>
      </c>
      <c r="E133" s="581">
        <f ca="1">IFERROR('Projected FS'!E119/'Projected FS'!E98,0)</f>
        <v>0.20975942240641759</v>
      </c>
      <c r="F133" s="581">
        <f ca="1">IFERROR('Projected FS'!F119/'Projected FS'!F98,0)</f>
        <v>0.21841891253410056</v>
      </c>
      <c r="G133" s="581">
        <f ca="1">IFERROR('Projected FS'!G119/'Projected FS'!G98,0)</f>
        <v>0.22576847385661469</v>
      </c>
      <c r="H133" s="581">
        <f ca="1">IFERROR('Projected FS'!H119/'Projected FS'!H98,0)</f>
        <v>0.2320697753975344</v>
      </c>
      <c r="I133" s="581">
        <f ca="1">IFERROR('Projected FS'!I119/'Projected FS'!I98,0)</f>
        <v>0.22733073454677083</v>
      </c>
    </row>
    <row r="134" spans="1:9" outlineLevel="1">
      <c r="A134" s="566"/>
      <c r="B134" s="566"/>
      <c r="C134" s="566"/>
      <c r="D134" s="566"/>
      <c r="E134" s="566"/>
      <c r="F134" s="566"/>
      <c r="G134" s="566"/>
      <c r="H134" s="566"/>
      <c r="I134" s="566"/>
    </row>
    <row r="135" spans="1:9" outlineLevel="1">
      <c r="A135" s="596" t="s">
        <v>264</v>
      </c>
      <c r="B135" s="568"/>
      <c r="C135" s="568"/>
      <c r="D135" s="568"/>
      <c r="E135" s="568"/>
      <c r="F135" s="568"/>
      <c r="G135" s="568"/>
      <c r="H135" s="568"/>
      <c r="I135" s="568"/>
    </row>
    <row r="136" spans="1:9" outlineLevel="1">
      <c r="A136" s="591" t="s">
        <v>265</v>
      </c>
      <c r="B136" s="591"/>
      <c r="C136" s="591">
        <f ca="1">IFERROR('Projected FS'!C123/'Projected FS'!C137,0)</f>
        <v>0</v>
      </c>
      <c r="D136" s="591">
        <f ca="1">IFERROR('Projected FS'!D123/'Projected FS'!D137,0)</f>
        <v>0</v>
      </c>
      <c r="E136" s="591">
        <f ca="1">IFERROR('Projected FS'!E123/'Projected FS'!E137,0)</f>
        <v>0</v>
      </c>
      <c r="F136" s="591">
        <f ca="1">IFERROR('Projected FS'!F123/'Projected FS'!F137,0)</f>
        <v>0</v>
      </c>
      <c r="G136" s="591">
        <f ca="1">IFERROR('Projected FS'!G123/'Projected FS'!G137,0)</f>
        <v>0</v>
      </c>
      <c r="H136" s="591">
        <f ca="1">IFERROR('Projected FS'!H123/'Projected FS'!H137,0)</f>
        <v>0</v>
      </c>
      <c r="I136" s="591">
        <f ca="1">IFERROR('Projected FS'!I123/'Projected FS'!I137,0)</f>
        <v>0</v>
      </c>
    </row>
    <row r="137" spans="1:9" outlineLevel="1">
      <c r="A137" s="592" t="s">
        <v>266</v>
      </c>
      <c r="B137" s="592"/>
      <c r="C137" s="592">
        <f ca="1">IFERROR('Projected FS'!C124/'Projected FS'!C138,0)</f>
        <v>0</v>
      </c>
      <c r="D137" s="592">
        <f ca="1">IFERROR('Projected FS'!D124/'Projected FS'!D138,0)</f>
        <v>0</v>
      </c>
      <c r="E137" s="592">
        <f ca="1">IFERROR('Projected FS'!E124/'Projected FS'!E138,0)</f>
        <v>0</v>
      </c>
      <c r="F137" s="592">
        <f ca="1">IFERROR('Projected FS'!F124/'Projected FS'!F138,0)</f>
        <v>0</v>
      </c>
      <c r="G137" s="592">
        <f ca="1">IFERROR('Projected FS'!G124/'Projected FS'!G138,0)</f>
        <v>0</v>
      </c>
      <c r="H137" s="592">
        <f ca="1">IFERROR('Projected FS'!H124/'Projected FS'!H138,0)</f>
        <v>0</v>
      </c>
      <c r="I137" s="592">
        <f ca="1">IFERROR('Projected FS'!I124/'Projected FS'!I138,0)</f>
        <v>0</v>
      </c>
    </row>
    <row r="138" spans="1:9" outlineLevel="1">
      <c r="A138" s="591" t="s">
        <v>267</v>
      </c>
      <c r="B138" s="591"/>
      <c r="C138" s="591">
        <f>IFERROR('Projected FS'!C125/'Projected FS'!C139,0)</f>
        <v>0</v>
      </c>
      <c r="D138" s="591">
        <f>IFERROR('Projected FS'!D125/'Projected FS'!D139,0)</f>
        <v>0</v>
      </c>
      <c r="E138" s="591">
        <f>IFERROR('Projected FS'!E125/'Projected FS'!E139,0)</f>
        <v>0</v>
      </c>
      <c r="F138" s="591">
        <f>IFERROR('Projected FS'!F125/'Projected FS'!F139,0)</f>
        <v>0</v>
      </c>
      <c r="G138" s="591">
        <f>IFERROR('Projected FS'!G125/'Projected FS'!G139,0)</f>
        <v>0</v>
      </c>
      <c r="H138" s="591">
        <f>IFERROR('Projected FS'!H125/'Projected FS'!H139,0)</f>
        <v>0</v>
      </c>
      <c r="I138" s="591">
        <f>IFERROR('Projected FS'!I125/'Projected FS'!I139,0)</f>
        <v>0</v>
      </c>
    </row>
    <row r="139" spans="1:9" outlineLevel="1">
      <c r="A139" s="592"/>
      <c r="B139" s="592"/>
      <c r="C139" s="592"/>
      <c r="D139" s="592"/>
      <c r="E139" s="592"/>
      <c r="F139" s="592"/>
      <c r="G139" s="592"/>
      <c r="H139" s="592"/>
      <c r="I139" s="592"/>
    </row>
    <row r="140" spans="1:9" outlineLevel="1">
      <c r="A140" s="595" t="s">
        <v>268</v>
      </c>
      <c r="B140" s="591"/>
      <c r="C140" s="591"/>
      <c r="D140" s="591"/>
      <c r="E140" s="591"/>
      <c r="F140" s="591"/>
      <c r="G140" s="591"/>
      <c r="H140" s="591"/>
      <c r="I140" s="591"/>
    </row>
    <row r="141" spans="1:9" outlineLevel="1">
      <c r="A141" s="592" t="s">
        <v>269</v>
      </c>
      <c r="B141" s="592"/>
      <c r="C141" s="592">
        <f>IFERROR('Projected FS'!C98/'Projected FS'!C126,0)</f>
        <v>8</v>
      </c>
      <c r="D141" s="592">
        <f ca="1">IFERROR('Projected FS'!D98/'Projected FS'!D126,0)</f>
        <v>8.0000000000000089</v>
      </c>
      <c r="E141" s="592">
        <f ca="1">IFERROR('Projected FS'!E98/'Projected FS'!E126,0)</f>
        <v>8.0000000000000089</v>
      </c>
      <c r="F141" s="592">
        <f ca="1">IFERROR('Projected FS'!F98/'Projected FS'!F126,0)</f>
        <v>8.0000000000000089</v>
      </c>
      <c r="G141" s="592">
        <f ca="1">IFERROR('Projected FS'!G98/'Projected FS'!G126,0)</f>
        <v>8.0000000000000089</v>
      </c>
      <c r="H141" s="592">
        <f ca="1">IFERROR('Projected FS'!H98/'Projected FS'!H126,0)</f>
        <v>8.0000000000000089</v>
      </c>
      <c r="I141" s="592">
        <f ca="1">IFERROR('Projected FS'!I98/'Projected FS'!I126,0)</f>
        <v>8.0000000000000089</v>
      </c>
    </row>
    <row r="142" spans="1:9" outlineLevel="1">
      <c r="A142" s="591" t="s">
        <v>270</v>
      </c>
      <c r="B142" s="591"/>
      <c r="C142" s="591">
        <f ca="1">IFERROR('Projected FS'!C101/'Projected FS'!C133,0)</f>
        <v>0</v>
      </c>
      <c r="D142" s="591">
        <f ca="1">IFERROR('Projected FS'!D101/'Projected FS'!D133,0)</f>
        <v>0</v>
      </c>
      <c r="E142" s="591">
        <f ca="1">IFERROR('Projected FS'!E101/'Projected FS'!E133,0)</f>
        <v>0</v>
      </c>
      <c r="F142" s="591">
        <f ca="1">IFERROR('Projected FS'!F101/'Projected FS'!F133,0)</f>
        <v>0</v>
      </c>
      <c r="G142" s="591">
        <f ca="1">IFERROR('Projected FS'!G101/'Projected FS'!G133,0)</f>
        <v>0</v>
      </c>
      <c r="H142" s="591">
        <f ca="1">IFERROR('Projected FS'!H101/'Projected FS'!H133,0)</f>
        <v>0</v>
      </c>
      <c r="I142" s="591">
        <f ca="1">IFERROR('Projected FS'!I101/'Projected FS'!I133,0)</f>
        <v>0</v>
      </c>
    </row>
    <row r="143" spans="1:9" outlineLevel="1">
      <c r="A143" s="592" t="s">
        <v>271</v>
      </c>
      <c r="B143" s="592"/>
      <c r="C143" s="592">
        <f ca="1">IFERROR('Projected FS'!C103/'Projected FS'!C124,0)</f>
        <v>12</v>
      </c>
      <c r="D143" s="592">
        <f ca="1">IFERROR('Projected FS'!D103/'Projected FS'!D124,0)</f>
        <v>11.857632933104632</v>
      </c>
      <c r="E143" s="592">
        <f ca="1">IFERROR('Projected FS'!E103/'Projected FS'!E124,0)</f>
        <v>11.864771322620518</v>
      </c>
      <c r="F143" s="592">
        <f ca="1">IFERROR('Projected FS'!F103/'Projected FS'!F124,0)</f>
        <v>11.870828848223896</v>
      </c>
      <c r="G143" s="592">
        <f ca="1">IFERROR('Projected FS'!G103/'Projected FS'!G124,0)</f>
        <v>11.876018406759203</v>
      </c>
      <c r="H143" s="592">
        <f ca="1">IFERROR('Projected FS'!H103/'Projected FS'!H124,0)</f>
        <v>11.880504815675858</v>
      </c>
      <c r="I143" s="592">
        <f ca="1">IFERROR('Projected FS'!I103/'Projected FS'!I124,0)</f>
        <v>11.943384403296051</v>
      </c>
    </row>
    <row r="144" spans="1:9" outlineLevel="1">
      <c r="A144" s="591" t="s">
        <v>272</v>
      </c>
      <c r="B144" s="591"/>
      <c r="C144" s="591">
        <f>IFERROR(365/C141,0)</f>
        <v>45.625</v>
      </c>
      <c r="D144" s="591">
        <f t="shared" ref="D144:G144" ca="1" si="10">IFERROR(365/D141,0)</f>
        <v>45.62499999999995</v>
      </c>
      <c r="E144" s="591">
        <f t="shared" ca="1" si="10"/>
        <v>45.62499999999995</v>
      </c>
      <c r="F144" s="591">
        <f t="shared" ca="1" si="10"/>
        <v>45.62499999999995</v>
      </c>
      <c r="G144" s="591">
        <f t="shared" ca="1" si="10"/>
        <v>45.62499999999995</v>
      </c>
      <c r="H144" s="591">
        <f t="shared" ref="H144:I144" ca="1" si="11">IFERROR(365/H141,0)</f>
        <v>45.62499999999995</v>
      </c>
      <c r="I144" s="591">
        <f t="shared" ca="1" si="11"/>
        <v>45.62499999999995</v>
      </c>
    </row>
    <row r="145" spans="1:9" outlineLevel="1">
      <c r="A145" s="592" t="s">
        <v>273</v>
      </c>
      <c r="B145" s="592"/>
      <c r="C145" s="592">
        <f t="shared" ref="C145:G145" ca="1" si="12">IFERROR(365/C142,0)</f>
        <v>0</v>
      </c>
      <c r="D145" s="592">
        <f t="shared" ca="1" si="12"/>
        <v>0</v>
      </c>
      <c r="E145" s="592">
        <f t="shared" ca="1" si="12"/>
        <v>0</v>
      </c>
      <c r="F145" s="592">
        <f t="shared" ca="1" si="12"/>
        <v>0</v>
      </c>
      <c r="G145" s="592">
        <f t="shared" ca="1" si="12"/>
        <v>0</v>
      </c>
      <c r="H145" s="592">
        <f t="shared" ref="H145:I145" ca="1" si="13">IFERROR(365/H142,0)</f>
        <v>0</v>
      </c>
      <c r="I145" s="592">
        <f t="shared" ca="1" si="13"/>
        <v>0</v>
      </c>
    </row>
    <row r="146" spans="1:9" outlineLevel="1">
      <c r="A146" s="591" t="s">
        <v>274</v>
      </c>
      <c r="B146" s="591"/>
      <c r="C146" s="591">
        <f t="shared" ref="C146:G146" ca="1" si="14">IFERROR(365/C143,0)</f>
        <v>30.416666666666668</v>
      </c>
      <c r="D146" s="591">
        <f t="shared" ca="1" si="14"/>
        <v>30.781860263272094</v>
      </c>
      <c r="E146" s="591">
        <f t="shared" ca="1" si="14"/>
        <v>30.76334048715438</v>
      </c>
      <c r="F146" s="591">
        <f t="shared" ca="1" si="14"/>
        <v>30.747642364889373</v>
      </c>
      <c r="G146" s="591">
        <f t="shared" ca="1" si="14"/>
        <v>30.734206322235174</v>
      </c>
      <c r="H146" s="591">
        <f t="shared" ref="H146:I146" ca="1" si="15">IFERROR(365/H143,0)</f>
        <v>30.72260023146465</v>
      </c>
      <c r="I146" s="591">
        <f t="shared" ca="1" si="15"/>
        <v>30.560851738077684</v>
      </c>
    </row>
    <row r="147" spans="1:9" outlineLevel="1">
      <c r="A147" s="592" t="s">
        <v>275</v>
      </c>
      <c r="B147" s="592"/>
      <c r="C147" s="592">
        <f ca="1">C144+C146-C145</f>
        <v>76.041666666666671</v>
      </c>
      <c r="D147" s="592">
        <f t="shared" ref="D147:G147" ca="1" si="16">D144+D146-D145</f>
        <v>76.406860263272051</v>
      </c>
      <c r="E147" s="592">
        <f t="shared" ca="1" si="16"/>
        <v>76.388340487154323</v>
      </c>
      <c r="F147" s="592">
        <f t="shared" ca="1" si="16"/>
        <v>76.372642364889316</v>
      </c>
      <c r="G147" s="592">
        <f t="shared" ca="1" si="16"/>
        <v>76.359206322235124</v>
      </c>
      <c r="H147" s="592">
        <f t="shared" ref="H147:I147" ca="1" si="17">H144+H146-H145</f>
        <v>76.347600231464597</v>
      </c>
      <c r="I147" s="592">
        <f t="shared" ca="1" si="17"/>
        <v>76.185851738077631</v>
      </c>
    </row>
    <row r="148" spans="1:9" outlineLevel="1">
      <c r="A148" s="591"/>
      <c r="B148" s="591"/>
      <c r="C148" s="591"/>
      <c r="D148" s="591"/>
      <c r="E148" s="591"/>
      <c r="F148" s="591"/>
      <c r="G148" s="591"/>
      <c r="H148" s="591"/>
      <c r="I148" s="591"/>
    </row>
    <row r="149" spans="1:9" outlineLevel="1">
      <c r="A149" s="596" t="s">
        <v>276</v>
      </c>
      <c r="B149" s="568"/>
      <c r="C149" s="568"/>
      <c r="D149" s="568"/>
      <c r="E149" s="568"/>
      <c r="F149" s="568"/>
      <c r="G149" s="568"/>
      <c r="H149" s="568"/>
      <c r="I149" s="568"/>
    </row>
    <row r="150" spans="1:9" outlineLevel="1">
      <c r="A150" s="582" t="s">
        <v>209</v>
      </c>
      <c r="B150" s="582"/>
      <c r="C150" s="582">
        <f ca="1">IFERROR('Projected FS'!C119/'Projected FS'!C98,0)</f>
        <v>0.16538885655968044</v>
      </c>
      <c r="D150" s="582">
        <f ca="1">IFERROR('Projected FS'!D119/'Projected FS'!D98,0)</f>
        <v>0.19943376792531628</v>
      </c>
      <c r="E150" s="582">
        <f ca="1">IFERROR('Projected FS'!E119/'Projected FS'!E98,0)</f>
        <v>0.20975942240641759</v>
      </c>
      <c r="F150" s="582">
        <f ca="1">IFERROR('Projected FS'!F119/'Projected FS'!F98,0)</f>
        <v>0.21841891253410056</v>
      </c>
      <c r="G150" s="582">
        <f ca="1">IFERROR('Projected FS'!G119/'Projected FS'!G98,0)</f>
        <v>0.22576847385661469</v>
      </c>
      <c r="H150" s="582">
        <f ca="1">IFERROR('Projected FS'!H119/'Projected FS'!H98,0)</f>
        <v>0.2320697753975344</v>
      </c>
      <c r="I150" s="582">
        <f ca="1">IFERROR('Projected FS'!I119/'Projected FS'!I98,0)</f>
        <v>0.22733073454677083</v>
      </c>
    </row>
    <row r="151" spans="1:9" outlineLevel="1">
      <c r="A151" s="593" t="s">
        <v>277</v>
      </c>
      <c r="B151" s="593"/>
      <c r="C151" s="593">
        <f ca="1">IFERROR('Projected FS'!C98/'Projected FS'!C131,0)</f>
        <v>0.74688574370683403</v>
      </c>
      <c r="D151" s="593">
        <f ca="1">IFERROR('Projected FS'!D98/'Projected FS'!D131,0)</f>
        <v>0.74199807536782958</v>
      </c>
      <c r="E151" s="593">
        <f ca="1">IFERROR('Projected FS'!E98/'Projected FS'!E131,0)</f>
        <v>0.72715508734674428</v>
      </c>
      <c r="F151" s="593">
        <f ca="1">IFERROR('Projected FS'!F98/'Projected FS'!F131,0)</f>
        <v>0.70621354524950897</v>
      </c>
      <c r="G151" s="593">
        <f ca="1">IFERROR('Projected FS'!G98/'Projected FS'!G131,0)</f>
        <v>0.68202935643362894</v>
      </c>
      <c r="H151" s="593">
        <f ca="1">IFERROR('Projected FS'!H98/'Projected FS'!H131,0)</f>
        <v>0.65656563027677617</v>
      </c>
      <c r="I151" s="593">
        <f ca="1">IFERROR('Projected FS'!I98/'Projected FS'!I131,0)</f>
        <v>0.60089732971856225</v>
      </c>
    </row>
    <row r="152" spans="1:9" outlineLevel="1">
      <c r="A152" s="594" t="s">
        <v>278</v>
      </c>
      <c r="B152" s="594"/>
      <c r="C152" s="594">
        <f ca="1">IFERROR('Projected FS'!C40/'Projected FS'!C52,0)</f>
        <v>1.7563372535334398</v>
      </c>
      <c r="D152" s="594">
        <f ca="1">IFERROR('Projected FS'!D40/'Projected FS'!D52,0)</f>
        <v>1.5968323443838406</v>
      </c>
      <c r="E152" s="594">
        <f ca="1">IFERROR('Projected FS'!E40/'Projected FS'!E52,0)</f>
        <v>1.4464289636526184</v>
      </c>
      <c r="F152" s="594">
        <f ca="1">IFERROR('Projected FS'!F40/'Projected FS'!F52,0)</f>
        <v>1.3203190018831654</v>
      </c>
      <c r="G152" s="594">
        <f ca="1">IFERROR('Projected FS'!G40/'Projected FS'!G52,0)</f>
        <v>1.2216160204342328</v>
      </c>
      <c r="H152" s="594">
        <f ca="1">IFERROR('Projected FS'!H40/'Projected FS'!H52,0)</f>
        <v>1.1472031191329113</v>
      </c>
      <c r="I152" s="594">
        <f ca="1">IFERROR('Projected FS'!I40/'Projected FS'!I52,0)</f>
        <v>1.0944404443332245</v>
      </c>
    </row>
    <row r="153" spans="1:9" outlineLevel="1">
      <c r="A153" s="579" t="s">
        <v>276</v>
      </c>
      <c r="B153" s="579"/>
      <c r="C153" s="579">
        <f t="shared" ref="C153:I153" ca="1" si="18">C150*C151*C152</f>
        <v>0.21695433273178022</v>
      </c>
      <c r="D153" s="579">
        <f t="shared" ca="1" si="18"/>
        <v>0.23629840713685962</v>
      </c>
      <c r="E153" s="579">
        <f t="shared" ca="1" si="18"/>
        <v>0.22062038341180903</v>
      </c>
      <c r="F153" s="579">
        <f t="shared" ca="1" si="18"/>
        <v>0.20365972699907633</v>
      </c>
      <c r="G153" s="579">
        <f t="shared" ca="1" si="18"/>
        <v>0.18810532285265674</v>
      </c>
      <c r="H153" s="579">
        <f t="shared" ca="1" si="18"/>
        <v>0.17479823605677924</v>
      </c>
      <c r="I153" s="579">
        <f t="shared" ca="1" si="18"/>
        <v>0.14950322566600632</v>
      </c>
    </row>
    <row r="155" spans="1:9" ht="27.75">
      <c r="A155" s="778" t="str">
        <f>'Scenario Analysis'!A6</f>
        <v>Scenario 3</v>
      </c>
      <c r="B155" s="778"/>
      <c r="C155" s="778"/>
      <c r="D155" s="778"/>
      <c r="E155" s="778"/>
      <c r="F155" s="778"/>
      <c r="G155" s="778"/>
    </row>
    <row r="156" spans="1:9" ht="15.75" outlineLevel="1">
      <c r="A156" s="60" t="s">
        <v>261</v>
      </c>
      <c r="B156" s="29" t="s">
        <v>189</v>
      </c>
      <c r="C156" s="29" t="s">
        <v>180</v>
      </c>
      <c r="D156" s="29" t="s">
        <v>181</v>
      </c>
      <c r="E156" s="29" t="s">
        <v>182</v>
      </c>
      <c r="F156" s="29" t="s">
        <v>183</v>
      </c>
      <c r="G156" s="29" t="s">
        <v>184</v>
      </c>
      <c r="H156" s="29" t="s">
        <v>185</v>
      </c>
      <c r="I156" s="29" t="s">
        <v>186</v>
      </c>
    </row>
    <row r="157" spans="1:9" outlineLevel="1">
      <c r="A157" s="578" t="s">
        <v>190</v>
      </c>
      <c r="B157" s="578"/>
      <c r="C157" s="578">
        <f>IFERROR('Projected FS'!C189/'Projected FS'!C189,0)</f>
        <v>1</v>
      </c>
      <c r="D157" s="578">
        <f ca="1">IFERROR('Projected FS'!D189/'Projected FS'!D189,0)</f>
        <v>1</v>
      </c>
      <c r="E157" s="578">
        <f ca="1">IFERROR('Projected FS'!E189/'Projected FS'!E189,0)</f>
        <v>1</v>
      </c>
      <c r="F157" s="578">
        <f ca="1">IFERROR('Projected FS'!F189/'Projected FS'!F189,0)</f>
        <v>1</v>
      </c>
      <c r="G157" s="578">
        <f ca="1">IFERROR('Projected FS'!G189/'Projected FS'!G189,0)</f>
        <v>1</v>
      </c>
      <c r="H157" s="578">
        <f ca="1">IFERROR('Projected FS'!H189/'Projected FS'!H189,0)</f>
        <v>1</v>
      </c>
      <c r="I157" s="578">
        <f ca="1">IFERROR('Projected FS'!I189/'Projected FS'!I189,0)</f>
        <v>1</v>
      </c>
    </row>
    <row r="158" spans="1:9" outlineLevel="1">
      <c r="A158" s="579" t="s">
        <v>191</v>
      </c>
      <c r="B158" s="579"/>
      <c r="C158" s="579"/>
      <c r="D158" s="579"/>
      <c r="E158" s="579"/>
      <c r="F158" s="579"/>
      <c r="G158" s="579"/>
      <c r="H158" s="579"/>
      <c r="I158" s="579"/>
    </row>
    <row r="159" spans="1:9" outlineLevel="1">
      <c r="A159" s="580" t="s">
        <v>192</v>
      </c>
      <c r="B159" s="580"/>
      <c r="C159" s="580">
        <f ca="1">IFERROR('Projected FS'!C191/'Projected FS'!C189,0)</f>
        <v>5.5425117815673129E-2</v>
      </c>
      <c r="D159" s="580">
        <f ca="1">IFERROR('Projected FS'!D191/'Projected FS'!D189,0)</f>
        <v>4.7534406359925493E-2</v>
      </c>
      <c r="E159" s="580">
        <f ca="1">IFERROR('Projected FS'!E191/'Projected FS'!E189,0)</f>
        <v>4.7930052439857748E-2</v>
      </c>
      <c r="F159" s="580">
        <f ca="1">IFERROR('Projected FS'!F191/'Projected FS'!F189,0)</f>
        <v>4.8265791510096426E-2</v>
      </c>
      <c r="G159" s="580">
        <f ca="1">IFERROR('Projected FS'!G191/'Projected FS'!G189,0)</f>
        <v>4.8553423403327106E-2</v>
      </c>
      <c r="H159" s="580">
        <f ca="1">IFERROR('Projected FS'!H191/'Projected FS'!H189,0)</f>
        <v>4.8802083146101821E-2</v>
      </c>
      <c r="I159" s="580">
        <f ca="1">IFERROR('Projected FS'!I191/'Projected FS'!I189,0)</f>
        <v>5.228719169815204E-2</v>
      </c>
    </row>
    <row r="160" spans="1:9" outlineLevel="1">
      <c r="A160" s="581" t="s">
        <v>193</v>
      </c>
      <c r="B160" s="581"/>
      <c r="C160" s="581">
        <f ca="1">IFERROR('Projected FS'!C192/'Projected FS'!C189,0)</f>
        <v>0.66510141378807752</v>
      </c>
      <c r="D160" s="581">
        <f ca="1">IFERROR('Projected FS'!D192/'Projected FS'!D189,0)</f>
        <v>0.60463764889825233</v>
      </c>
      <c r="E160" s="581">
        <f ca="1">IFERROR('Projected FS'!E192/'Projected FS'!E189,0)</f>
        <v>0.60463764889825211</v>
      </c>
      <c r="F160" s="581">
        <f ca="1">IFERROR('Projected FS'!F192/'Projected FS'!F189,0)</f>
        <v>0.60463764889825233</v>
      </c>
      <c r="G160" s="581">
        <f ca="1">IFERROR('Projected FS'!G192/'Projected FS'!G189,0)</f>
        <v>0.60463764889825211</v>
      </c>
      <c r="H160" s="581">
        <f ca="1">IFERROR('Projected FS'!H192/'Projected FS'!H189,0)</f>
        <v>0.60463764889825222</v>
      </c>
      <c r="I160" s="581">
        <f ca="1">IFERROR('Projected FS'!I192/'Projected FS'!I189,0)</f>
        <v>0.60463764889825222</v>
      </c>
    </row>
    <row r="161" spans="1:9" outlineLevel="1">
      <c r="A161" s="582" t="s">
        <v>194</v>
      </c>
      <c r="B161" s="582"/>
      <c r="C161" s="582">
        <f ca="1">IFERROR('Projected FS'!C193/'Projected FS'!C189,0)</f>
        <v>-5.5425117815673129E-2</v>
      </c>
      <c r="D161" s="582">
        <f ca="1">IFERROR('Projected FS'!D193/'Projected FS'!D189,0)</f>
        <v>-5.5425117815673129E-2</v>
      </c>
      <c r="E161" s="582">
        <f ca="1">IFERROR('Projected FS'!E193/'Projected FS'!E189,0)</f>
        <v>-5.5425117815673136E-2</v>
      </c>
      <c r="F161" s="582">
        <f ca="1">IFERROR('Projected FS'!F193/'Projected FS'!F189,0)</f>
        <v>-5.5425117815673136E-2</v>
      </c>
      <c r="G161" s="582">
        <f ca="1">IFERROR('Projected FS'!G193/'Projected FS'!G189,0)</f>
        <v>-5.5425117815673136E-2</v>
      </c>
      <c r="H161" s="582">
        <f ca="1">IFERROR('Projected FS'!H193/'Projected FS'!H189,0)</f>
        <v>-5.5425117815673136E-2</v>
      </c>
      <c r="I161" s="582">
        <f ca="1">IFERROR('Projected FS'!I193/'Projected FS'!I189,0)</f>
        <v>-5.5425117815673136E-2</v>
      </c>
    </row>
    <row r="162" spans="1:9" outlineLevel="1">
      <c r="A162" s="583" t="s">
        <v>191</v>
      </c>
      <c r="B162" s="583"/>
      <c r="C162" s="583">
        <f ca="1">IFERROR('Projected FS'!C194/'Projected FS'!C189,0)</f>
        <v>0.66510141378807752</v>
      </c>
      <c r="D162" s="583">
        <f ca="1">IFERROR('Projected FS'!D194/'Projected FS'!D189,0)</f>
        <v>0.59674693744250473</v>
      </c>
      <c r="E162" s="583">
        <f ca="1">IFERROR('Projected FS'!E194/'Projected FS'!E189,0)</f>
        <v>0.59714258352243677</v>
      </c>
      <c r="F162" s="583">
        <f ca="1">IFERROR('Projected FS'!F194/'Projected FS'!F189,0)</f>
        <v>0.59747832259267564</v>
      </c>
      <c r="G162" s="583">
        <f ca="1">IFERROR('Projected FS'!G194/'Projected FS'!G189,0)</f>
        <v>0.59776595448590619</v>
      </c>
      <c r="H162" s="583">
        <f ca="1">IFERROR('Projected FS'!H194/'Projected FS'!H189,0)</f>
        <v>0.59801461422868096</v>
      </c>
      <c r="I162" s="583">
        <f ca="1">IFERROR('Projected FS'!I194/'Projected FS'!I189,0)</f>
        <v>0.60149972278073105</v>
      </c>
    </row>
    <row r="163" spans="1:9" outlineLevel="1">
      <c r="A163" s="578" t="s">
        <v>195</v>
      </c>
      <c r="B163" s="578"/>
      <c r="C163" s="578">
        <f ca="1">IFERROR('Projected FS'!C195/'Projected FS'!C189,0)</f>
        <v>0.33489858621192248</v>
      </c>
      <c r="D163" s="578">
        <f ca="1">IFERROR('Projected FS'!D195/'Projected FS'!D189,0)</f>
        <v>0.40325306255749532</v>
      </c>
      <c r="E163" s="578">
        <f ca="1">IFERROR('Projected FS'!E195/'Projected FS'!E189,0)</f>
        <v>0.40285741647756323</v>
      </c>
      <c r="F163" s="578">
        <f ca="1">IFERROR('Projected FS'!F195/'Projected FS'!F189,0)</f>
        <v>0.40252167740732436</v>
      </c>
      <c r="G163" s="578">
        <f ca="1">IFERROR('Projected FS'!G195/'Projected FS'!G189,0)</f>
        <v>0.40223404551409386</v>
      </c>
      <c r="H163" s="578">
        <f ca="1">IFERROR('Projected FS'!H195/'Projected FS'!H189,0)</f>
        <v>0.40198538577131909</v>
      </c>
      <c r="I163" s="578">
        <f ca="1">IFERROR('Projected FS'!I195/'Projected FS'!I189,0)</f>
        <v>0.39850027721926895</v>
      </c>
    </row>
    <row r="164" spans="1:9" outlineLevel="1">
      <c r="A164" s="579" t="s">
        <v>196</v>
      </c>
      <c r="B164" s="579"/>
      <c r="C164" s="579"/>
      <c r="D164" s="579"/>
      <c r="E164" s="579"/>
      <c r="F164" s="579"/>
      <c r="G164" s="579"/>
      <c r="H164" s="579"/>
      <c r="I164" s="579"/>
    </row>
    <row r="165" spans="1:9" outlineLevel="1">
      <c r="A165" s="580" t="s">
        <v>197</v>
      </c>
      <c r="B165" s="580"/>
      <c r="C165" s="580">
        <f>IFERROR('Projected FS'!C197/'Projected FS'!C189,0)</f>
        <v>0</v>
      </c>
      <c r="D165" s="580">
        <f ca="1">IFERROR('Projected FS'!D197/'Projected FS'!D189,0)</f>
        <v>0</v>
      </c>
      <c r="E165" s="580">
        <f ca="1">IFERROR('Projected FS'!E197/'Projected FS'!E189,0)</f>
        <v>0</v>
      </c>
      <c r="F165" s="580">
        <f ca="1">IFERROR('Projected FS'!F197/'Projected FS'!F189,0)</f>
        <v>0</v>
      </c>
      <c r="G165" s="580">
        <f ca="1">IFERROR('Projected FS'!G197/'Projected FS'!G189,0)</f>
        <v>0</v>
      </c>
      <c r="H165" s="580">
        <f ca="1">IFERROR('Projected FS'!H197/'Projected FS'!H189,0)</f>
        <v>0</v>
      </c>
      <c r="I165" s="580">
        <f ca="1">IFERROR('Projected FS'!I197/'Projected FS'!I189,0)</f>
        <v>0</v>
      </c>
    </row>
    <row r="166" spans="1:9" outlineLevel="1">
      <c r="A166" s="584" t="s">
        <v>198</v>
      </c>
      <c r="B166" s="584"/>
      <c r="C166" s="584">
        <f>IFERROR('Projected FS'!C198/'Projected FS'!C189,0)</f>
        <v>0</v>
      </c>
      <c r="D166" s="584">
        <f ca="1">IFERROR('Projected FS'!D198/'Projected FS'!D189,0)</f>
        <v>0</v>
      </c>
      <c r="E166" s="584">
        <f ca="1">IFERROR('Projected FS'!E198/'Projected FS'!E189,0)</f>
        <v>0</v>
      </c>
      <c r="F166" s="584">
        <f ca="1">IFERROR('Projected FS'!F198/'Projected FS'!F189,0)</f>
        <v>0</v>
      </c>
      <c r="G166" s="584">
        <f ca="1">IFERROR('Projected FS'!G198/'Projected FS'!G189,0)</f>
        <v>0</v>
      </c>
      <c r="H166" s="584">
        <f ca="1">IFERROR('Projected FS'!H198/'Projected FS'!H189,0)</f>
        <v>0</v>
      </c>
      <c r="I166" s="584">
        <f ca="1">IFERROR('Projected FS'!I198/'Projected FS'!I189,0)</f>
        <v>0</v>
      </c>
    </row>
    <row r="167" spans="1:9" outlineLevel="1">
      <c r="A167" s="580" t="s">
        <v>259</v>
      </c>
      <c r="B167" s="580"/>
      <c r="C167" s="580">
        <f>IFERROR('Projected FS'!C199/'Projected FS'!C189,0)</f>
        <v>0</v>
      </c>
      <c r="D167" s="580"/>
      <c r="E167" s="580"/>
      <c r="F167" s="580"/>
      <c r="G167" s="580"/>
      <c r="H167" s="580"/>
      <c r="I167" s="580"/>
    </row>
    <row r="168" spans="1:9" outlineLevel="1">
      <c r="A168" s="579" t="s">
        <v>199</v>
      </c>
      <c r="B168" s="579"/>
      <c r="C168" s="579">
        <f>IFERROR('Projected FS'!C200/'Projected FS'!C189,0)</f>
        <v>0.10784250217277473</v>
      </c>
      <c r="D168" s="579">
        <f ca="1">IFERROR('Projected FS'!D200/'Projected FS'!D189,0)</f>
        <v>9.7113745524368328E-2</v>
      </c>
      <c r="E168" s="579">
        <f ca="1">IFERROR('Projected FS'!E200/'Projected FS'!E189,0)</f>
        <v>8.8180241269827528E-2</v>
      </c>
      <c r="F168" s="579">
        <f ca="1">IFERROR('Projected FS'!F200/'Projected FS'!F189,0)</f>
        <v>8.0629392838164726E-2</v>
      </c>
      <c r="G168" s="579">
        <f ca="1">IFERROR('Projected FS'!G200/'Projected FS'!G189,0)</f>
        <v>7.4164473864653524E-2</v>
      </c>
      <c r="H168" s="579">
        <f ca="1">IFERROR('Projected FS'!H200/'Projected FS'!H189,0)</f>
        <v>6.8567285209388193E-2</v>
      </c>
      <c r="I168" s="579">
        <f ca="1">IFERROR('Projected FS'!I200/'Projected FS'!I189,0)</f>
        <v>6.7919572815033163E-2</v>
      </c>
    </row>
    <row r="169" spans="1:9" outlineLevel="1">
      <c r="A169" s="582" t="s">
        <v>200</v>
      </c>
      <c r="B169" s="582"/>
      <c r="C169" s="582">
        <f>IFERROR('Projected FS'!C201/'Projected FS'!C189,0)</f>
        <v>8.2855943685997593E-2</v>
      </c>
      <c r="D169" s="582">
        <f ca="1">IFERROR('Projected FS'!D201/'Projected FS'!D189,0)</f>
        <v>5.8328386759799754E-2</v>
      </c>
      <c r="E169" s="582">
        <f ca="1">IFERROR('Projected FS'!E201/'Projected FS'!E189,0)</f>
        <v>5.5484787781052522E-2</v>
      </c>
      <c r="F169" s="582">
        <f ca="1">IFERROR('Projected FS'!F201/'Projected FS'!F189,0)</f>
        <v>5.3149529221053454E-2</v>
      </c>
      <c r="G169" s="582">
        <f ca="1">IFERROR('Projected FS'!G201/'Projected FS'!G189,0)</f>
        <v>5.1215962499051873E-2</v>
      </c>
      <c r="H169" s="582">
        <f ca="1">IFERROR('Projected FS'!H201/'Projected FS'!H189,0)</f>
        <v>4.9605491781878092E-2</v>
      </c>
      <c r="I169" s="582">
        <f ca="1">IFERROR('Projected FS'!I201/'Projected FS'!I189,0)</f>
        <v>5.1476751991339567E-2</v>
      </c>
    </row>
    <row r="170" spans="1:9" outlineLevel="1">
      <c r="A170" s="581" t="s">
        <v>201</v>
      </c>
      <c r="B170" s="581"/>
      <c r="C170" s="581">
        <f>IFERROR('Projected FS'!C202/'Projected FS'!C189,0)</f>
        <v>0</v>
      </c>
      <c r="D170" s="581">
        <f ca="1">IFERROR('Projected FS'!D202/'Projected FS'!D189,0)</f>
        <v>0</v>
      </c>
      <c r="E170" s="581">
        <f ca="1">IFERROR('Projected FS'!E202/'Projected FS'!E189,0)</f>
        <v>0</v>
      </c>
      <c r="F170" s="581">
        <f ca="1">IFERROR('Projected FS'!F202/'Projected FS'!F189,0)</f>
        <v>0</v>
      </c>
      <c r="G170" s="581">
        <f ca="1">IFERROR('Projected FS'!G202/'Projected FS'!G189,0)</f>
        <v>0</v>
      </c>
      <c r="H170" s="581">
        <f ca="1">IFERROR('Projected FS'!H202/'Projected FS'!H189,0)</f>
        <v>0</v>
      </c>
      <c r="I170" s="581">
        <f ca="1">IFERROR('Projected FS'!I202/'Projected FS'!I189,0)</f>
        <v>0</v>
      </c>
    </row>
    <row r="171" spans="1:9" outlineLevel="1">
      <c r="A171" s="580" t="s">
        <v>202</v>
      </c>
      <c r="B171" s="580"/>
      <c r="C171" s="580">
        <f ca="1">IFERROR('Projected FS'!C203/'Projected FS'!C189,0)</f>
        <v>0.14420014035315015</v>
      </c>
      <c r="D171" s="580">
        <f ca="1">IFERROR('Projected FS'!D203/'Projected FS'!D189,0)</f>
        <v>0.24781093027332723</v>
      </c>
      <c r="E171" s="580">
        <f ca="1">IFERROR('Projected FS'!E203/'Projected FS'!E189,0)</f>
        <v>0.25919238742668321</v>
      </c>
      <c r="F171" s="580">
        <f ca="1">IFERROR('Projected FS'!F203/'Projected FS'!F189,0)</f>
        <v>0.26874275534810615</v>
      </c>
      <c r="G171" s="580">
        <f ca="1">IFERROR('Projected FS'!G203/'Projected FS'!G189,0)</f>
        <v>0.27685360915038842</v>
      </c>
      <c r="H171" s="580">
        <f ca="1">IFERROR('Projected FS'!H203/'Projected FS'!H189,0)</f>
        <v>0.28381260878005277</v>
      </c>
      <c r="I171" s="580">
        <f ca="1">IFERROR('Projected FS'!I203/'Projected FS'!I189,0)</f>
        <v>0.27910395241289621</v>
      </c>
    </row>
    <row r="172" spans="1:9" outlineLevel="1">
      <c r="A172" s="581" t="s">
        <v>203</v>
      </c>
      <c r="B172" s="581"/>
      <c r="C172" s="581">
        <f>IFERROR('Projected FS'!C204/'Projected FS'!C189,0)</f>
        <v>2.2861368875069501E-3</v>
      </c>
      <c r="D172" s="581">
        <f ca="1">IFERROR('Projected FS'!D204/'Projected FS'!D189,0)</f>
        <v>1.9606662843112779E-3</v>
      </c>
      <c r="E172" s="581">
        <f ca="1">IFERROR('Projected FS'!E204/'Projected FS'!E189,0)</f>
        <v>1.6955279759013225E-3</v>
      </c>
      <c r="F172" s="581">
        <f ca="1">IFERROR('Projected FS'!F204/'Projected FS'!F189,0)</f>
        <v>1.4765146743855441E-3</v>
      </c>
      <c r="G172" s="581">
        <f ca="1">IFERROR('Projected FS'!G204/'Projected FS'!G189,0)</f>
        <v>1.2934540326118081E-3</v>
      </c>
      <c r="H172" s="581">
        <f ca="1">IFERROR('Projected FS'!H204/'Projected FS'!H189,0)</f>
        <v>1.1388925045700514E-3</v>
      </c>
      <c r="I172" s="581">
        <f ca="1">IFERROR('Projected FS'!I204/'Projected FS'!I189,0)</f>
        <v>1.0744134258421612E-3</v>
      </c>
    </row>
    <row r="173" spans="1:9" outlineLevel="1">
      <c r="A173" s="582" t="s">
        <v>204</v>
      </c>
      <c r="B173" s="582"/>
      <c r="C173" s="582">
        <f>IFERROR('Projected FS'!C205/'Projected FS'!C189,0)</f>
        <v>0</v>
      </c>
      <c r="D173" s="582">
        <f ca="1">IFERROR('Projected FS'!D205/'Projected FS'!D189,0)</f>
        <v>0</v>
      </c>
      <c r="E173" s="582">
        <f ca="1">IFERROR('Projected FS'!E205/'Projected FS'!E189,0)</f>
        <v>0</v>
      </c>
      <c r="F173" s="582">
        <f ca="1">IFERROR('Projected FS'!F205/'Projected FS'!F189,0)</f>
        <v>0</v>
      </c>
      <c r="G173" s="582">
        <f ca="1">IFERROR('Projected FS'!G205/'Projected FS'!G189,0)</f>
        <v>0</v>
      </c>
      <c r="H173" s="582">
        <f ca="1">IFERROR('Projected FS'!H205/'Projected FS'!H189,0)</f>
        <v>0</v>
      </c>
      <c r="I173" s="582">
        <f ca="1">IFERROR('Projected FS'!I205/'Projected FS'!I189,0)</f>
        <v>0</v>
      </c>
    </row>
    <row r="174" spans="1:9" outlineLevel="1">
      <c r="A174" s="579" t="s">
        <v>205</v>
      </c>
      <c r="B174" s="579"/>
      <c r="C174" s="579">
        <f ca="1">IFERROR('Projected FS'!C206/'Projected FS'!C189,0)</f>
        <v>0.1419140034656432</v>
      </c>
      <c r="D174" s="579">
        <f ca="1">IFERROR('Projected FS'!D206/'Projected FS'!D189,0)</f>
        <v>0.24585026398901597</v>
      </c>
      <c r="E174" s="579">
        <f ca="1">IFERROR('Projected FS'!E206/'Projected FS'!E189,0)</f>
        <v>0.25749685945078188</v>
      </c>
      <c r="F174" s="579">
        <f ca="1">IFERROR('Projected FS'!F206/'Projected FS'!F189,0)</f>
        <v>0.26726624067372062</v>
      </c>
      <c r="G174" s="579">
        <f ca="1">IFERROR('Projected FS'!G206/'Projected FS'!G189,0)</f>
        <v>0.2755601551177766</v>
      </c>
      <c r="H174" s="579">
        <f ca="1">IFERROR('Projected FS'!H206/'Projected FS'!H189,0)</f>
        <v>0.28267371627548271</v>
      </c>
      <c r="I174" s="579">
        <f ca="1">IFERROR('Projected FS'!I206/'Projected FS'!I189,0)</f>
        <v>0.27802953898705401</v>
      </c>
    </row>
    <row r="175" spans="1:9" outlineLevel="1">
      <c r="A175" s="582" t="s">
        <v>206</v>
      </c>
      <c r="B175" s="582"/>
      <c r="C175" s="582">
        <f>IFERROR('Projected FS'!C207/'Projected FS'!C189,0)</f>
        <v>0</v>
      </c>
      <c r="D175" s="582">
        <f ca="1">IFERROR('Projected FS'!D207/'Projected FS'!D189,0)</f>
        <v>0</v>
      </c>
      <c r="E175" s="582">
        <f ca="1">IFERROR('Projected FS'!E207/'Projected FS'!E189,0)</f>
        <v>0</v>
      </c>
      <c r="F175" s="582">
        <f ca="1">IFERROR('Projected FS'!F207/'Projected FS'!F189,0)</f>
        <v>0</v>
      </c>
      <c r="G175" s="582">
        <f ca="1">IFERROR('Projected FS'!G207/'Projected FS'!G189,0)</f>
        <v>0</v>
      </c>
      <c r="H175" s="582">
        <f ca="1">IFERROR('Projected FS'!H207/'Projected FS'!H189,0)</f>
        <v>0</v>
      </c>
      <c r="I175" s="582">
        <f ca="1">IFERROR('Projected FS'!I207/'Projected FS'!I189,0)</f>
        <v>0</v>
      </c>
    </row>
    <row r="176" spans="1:9" outlineLevel="1">
      <c r="A176" s="579" t="s">
        <v>207</v>
      </c>
      <c r="B176" s="579"/>
      <c r="C176" s="579">
        <f ca="1">IFERROR('Projected FS'!C208/'Projected FS'!C189,0)</f>
        <v>0.1419140034656432</v>
      </c>
      <c r="D176" s="579">
        <f ca="1">IFERROR('Projected FS'!D208/'Projected FS'!D189,0)</f>
        <v>0.24585026398901597</v>
      </c>
      <c r="E176" s="579">
        <f ca="1">IFERROR('Projected FS'!E208/'Projected FS'!E189,0)</f>
        <v>0.25749685945078188</v>
      </c>
      <c r="F176" s="579">
        <f ca="1">IFERROR('Projected FS'!F208/'Projected FS'!F189,0)</f>
        <v>0.26726624067372062</v>
      </c>
      <c r="G176" s="579">
        <f ca="1">IFERROR('Projected FS'!G208/'Projected FS'!G189,0)</f>
        <v>0.2755601551177766</v>
      </c>
      <c r="H176" s="579">
        <f ca="1">IFERROR('Projected FS'!H208/'Projected FS'!H189,0)</f>
        <v>0.28267371627548271</v>
      </c>
      <c r="I176" s="579">
        <f ca="1">IFERROR('Projected FS'!I208/'Projected FS'!I189,0)</f>
        <v>0.27802953898705401</v>
      </c>
    </row>
    <row r="177" spans="1:9" outlineLevel="1">
      <c r="A177" s="582" t="s">
        <v>208</v>
      </c>
      <c r="B177" s="582"/>
      <c r="C177" s="582">
        <f>IFERROR('Projected FS'!C209/'Projected FS'!C189,0)</f>
        <v>0</v>
      </c>
      <c r="D177" s="582">
        <f ca="1">IFERROR('Projected FS'!D209/'Projected FS'!D189,0)</f>
        <v>0</v>
      </c>
      <c r="E177" s="582">
        <f ca="1">IFERROR('Projected FS'!E209/'Projected FS'!E189,0)</f>
        <v>0</v>
      </c>
      <c r="F177" s="582">
        <f ca="1">IFERROR('Projected FS'!F209/'Projected FS'!F189,0)</f>
        <v>0</v>
      </c>
      <c r="G177" s="582">
        <f ca="1">IFERROR('Projected FS'!G209/'Projected FS'!G189,0)</f>
        <v>0</v>
      </c>
      <c r="H177" s="582">
        <f ca="1">IFERROR('Projected FS'!H209/'Projected FS'!H189,0)</f>
        <v>0</v>
      </c>
      <c r="I177" s="582">
        <f ca="1">IFERROR('Projected FS'!I209/'Projected FS'!I189,0)</f>
        <v>0</v>
      </c>
    </row>
    <row r="178" spans="1:9" ht="15.75" outlineLevel="1" thickBot="1">
      <c r="A178" s="585" t="s">
        <v>209</v>
      </c>
      <c r="B178" s="585">
        <f ca="1">IFERROR('Projected FS'!B210/'Projected FS'!B189,0)</f>
        <v>0</v>
      </c>
      <c r="C178" s="585">
        <f ca="1">IFERROR('Projected FS'!C210/'Projected FS'!C189,0)</f>
        <v>0.1419140034656432</v>
      </c>
      <c r="D178" s="585">
        <f ca="1">IFERROR('Projected FS'!D210/'Projected FS'!D189,0)</f>
        <v>0.24585026398901597</v>
      </c>
      <c r="E178" s="585">
        <f ca="1">IFERROR('Projected FS'!E210/'Projected FS'!E189,0)</f>
        <v>0.25749685945078188</v>
      </c>
      <c r="F178" s="585">
        <f ca="1">IFERROR('Projected FS'!F210/'Projected FS'!F189,0)</f>
        <v>0.26726624067372062</v>
      </c>
      <c r="G178" s="585">
        <f ca="1">IFERROR('Projected FS'!G210/'Projected FS'!G189,0)</f>
        <v>0.2755601551177766</v>
      </c>
      <c r="H178" s="585">
        <f ca="1">IFERROR('Projected FS'!H210/'Projected FS'!H189,0)</f>
        <v>0.28267371627548271</v>
      </c>
      <c r="I178" s="585">
        <f ca="1">IFERROR('Projected FS'!I210/'Projected FS'!I189,0)</f>
        <v>0.27802953898705401</v>
      </c>
    </row>
    <row r="179" spans="1:9" ht="15.75" outlineLevel="1" thickTop="1"/>
    <row r="180" spans="1:9" ht="15.75" outlineLevel="1">
      <c r="A180" s="29" t="s">
        <v>262</v>
      </c>
      <c r="B180" s="29" t="s">
        <v>189</v>
      </c>
      <c r="C180" s="29" t="s">
        <v>180</v>
      </c>
      <c r="D180" s="29" t="s">
        <v>181</v>
      </c>
      <c r="E180" s="29" t="s">
        <v>182</v>
      </c>
      <c r="F180" s="29" t="s">
        <v>183</v>
      </c>
      <c r="G180" s="29" t="s">
        <v>184</v>
      </c>
      <c r="H180" s="29" t="s">
        <v>185</v>
      </c>
      <c r="I180" s="29" t="s">
        <v>186</v>
      </c>
    </row>
    <row r="181" spans="1:9" outlineLevel="1">
      <c r="A181" s="578" t="s">
        <v>190</v>
      </c>
      <c r="B181" s="578"/>
      <c r="C181" s="578"/>
      <c r="D181" s="578">
        <f ca="1">IFERROR(('Projected FS'!D189-'Projected FS'!C189)/'Projected FS'!C189,0)</f>
        <v>0.16600000000000001</v>
      </c>
      <c r="E181" s="578">
        <f ca="1">IFERROR(('Projected FS'!E189-'Projected FS'!D189)/'Projected FS'!D189,0)</f>
        <v>0.15637507146941121</v>
      </c>
      <c r="F181" s="578">
        <f ca="1">IFERROR(('Projected FS'!F189-'Projected FS'!E189)/'Projected FS'!E189,0)</f>
        <v>0.14833127317676104</v>
      </c>
      <c r="G181" s="578">
        <f ca="1">IFERROR(('Projected FS'!G189-'Projected FS'!F189)/'Projected FS'!F189,0)</f>
        <v>0.14152852529601742</v>
      </c>
      <c r="H181" s="578">
        <f ca="1">IFERROR(('Projected FS'!H189-'Projected FS'!G189)/'Projected FS'!G189,0)</f>
        <v>0.13571213035606547</v>
      </c>
      <c r="I181" s="578">
        <f ca="1">IFERROR(('Projected FS'!I189-'Projected FS'!H189)/'Projected FS'!H189,0)</f>
        <v>6.0013284623048418E-2</v>
      </c>
    </row>
    <row r="182" spans="1:9" outlineLevel="1">
      <c r="A182" s="579" t="s">
        <v>191</v>
      </c>
      <c r="B182" s="579"/>
      <c r="C182" s="579"/>
      <c r="D182" s="579"/>
      <c r="E182" s="579"/>
      <c r="F182" s="579"/>
      <c r="G182" s="579"/>
      <c r="H182" s="579"/>
      <c r="I182" s="579"/>
    </row>
    <row r="183" spans="1:9" outlineLevel="1">
      <c r="A183" s="580" t="s">
        <v>192</v>
      </c>
      <c r="B183" s="580"/>
      <c r="C183" s="580"/>
      <c r="D183" s="580">
        <f ca="1">IFERROR(('Projected FS'!D191-'Projected FS'!C191)/'Projected FS'!C191,0)</f>
        <v>0</v>
      </c>
      <c r="E183" s="580">
        <f ca="1">IFERROR(('Projected FS'!E191-'Projected FS'!D191)/'Projected FS'!D191,0)</f>
        <v>0.16599999999999995</v>
      </c>
      <c r="F183" s="580">
        <f ca="1">IFERROR(('Projected FS'!F191-'Projected FS'!E191)/'Projected FS'!E191,0)</f>
        <v>0.15637507146941135</v>
      </c>
      <c r="G183" s="580">
        <f ca="1">IFERROR(('Projected FS'!G191-'Projected FS'!F191)/'Projected FS'!F191,0)</f>
        <v>0.14833127317676104</v>
      </c>
      <c r="H183" s="580">
        <f ca="1">IFERROR(('Projected FS'!H191-'Projected FS'!G191)/'Projected FS'!G191,0)</f>
        <v>0.14152852529601745</v>
      </c>
      <c r="I183" s="580">
        <f ca="1">IFERROR(('Projected FS'!I191-'Projected FS'!H191)/'Projected FS'!H191,0)</f>
        <v>0.13571213035606547</v>
      </c>
    </row>
    <row r="184" spans="1:9" outlineLevel="1">
      <c r="A184" s="588" t="s">
        <v>193</v>
      </c>
      <c r="B184" s="579"/>
      <c r="C184" s="579"/>
      <c r="D184" s="579">
        <f ca="1">IFERROR(('Projected FS'!D192-'Projected FS'!C192)/'Projected FS'!C192,0)</f>
        <v>6.0000000000000095E-2</v>
      </c>
      <c r="E184" s="579">
        <f ca="1">IFERROR(('Projected FS'!E192-'Projected FS'!D192)/'Projected FS'!D192,0)</f>
        <v>0.15637507146941082</v>
      </c>
      <c r="F184" s="579">
        <f ca="1">IFERROR(('Projected FS'!F192-'Projected FS'!E192)/'Projected FS'!E192,0)</f>
        <v>0.1483312731767614</v>
      </c>
      <c r="G184" s="579">
        <f ca="1">IFERROR(('Projected FS'!G192-'Projected FS'!F192)/'Projected FS'!F192,0)</f>
        <v>0.14152852529601709</v>
      </c>
      <c r="H184" s="579">
        <f ca="1">IFERROR(('Projected FS'!H192-'Projected FS'!G192)/'Projected FS'!G192,0)</f>
        <v>0.13571213035606555</v>
      </c>
      <c r="I184" s="579">
        <f ca="1">IFERROR(('Projected FS'!I192-'Projected FS'!H192)/'Projected FS'!H192,0)</f>
        <v>6.0013284623048391E-2</v>
      </c>
    </row>
    <row r="185" spans="1:9" outlineLevel="1">
      <c r="A185" s="580" t="s">
        <v>194</v>
      </c>
      <c r="B185" s="580"/>
      <c r="C185" s="580"/>
      <c r="D185" s="580">
        <f ca="1">IFERROR(('Projected FS'!D193-'Projected FS'!C193)/'Projected FS'!C193,0)</f>
        <v>0.16599999999999995</v>
      </c>
      <c r="E185" s="580">
        <f ca="1">IFERROR(('Projected FS'!E193-'Projected FS'!D193)/'Projected FS'!D193,0)</f>
        <v>0.15637507146941135</v>
      </c>
      <c r="F185" s="580">
        <f ca="1">IFERROR(('Projected FS'!F193-'Projected FS'!E193)/'Projected FS'!E193,0)</f>
        <v>0.14833127317676104</v>
      </c>
      <c r="G185" s="580">
        <f ca="1">IFERROR(('Projected FS'!G193-'Projected FS'!F193)/'Projected FS'!F193,0)</f>
        <v>0.14152852529601745</v>
      </c>
      <c r="H185" s="580">
        <f ca="1">IFERROR(('Projected FS'!H193-'Projected FS'!G193)/'Projected FS'!G193,0)</f>
        <v>0.13571213035606547</v>
      </c>
      <c r="I185" s="580">
        <f ca="1">IFERROR(('Projected FS'!I193-'Projected FS'!H193)/'Projected FS'!H193,0)</f>
        <v>6.0013284623048377E-2</v>
      </c>
    </row>
    <row r="186" spans="1:9" outlineLevel="1">
      <c r="A186" s="583" t="s">
        <v>191</v>
      </c>
      <c r="B186" s="583"/>
      <c r="C186" s="583"/>
      <c r="D186" s="583">
        <f ca="1">IFERROR(('Projected FS'!D194-'Projected FS'!C194)/'Projected FS'!C194,0)</f>
        <v>4.6166666666666703E-2</v>
      </c>
      <c r="E186" s="583">
        <f ca="1">IFERROR(('Projected FS'!E194-'Projected FS'!D194)/'Projected FS'!D194,0)</f>
        <v>0.15714175368468797</v>
      </c>
      <c r="F186" s="583">
        <f ca="1">IFERROR(('Projected FS'!F194-'Projected FS'!E194)/'Projected FS'!E194,0)</f>
        <v>0.14897691407496727</v>
      </c>
      <c r="G186" s="583">
        <f ca="1">IFERROR(('Projected FS'!G194-'Projected FS'!F194)/'Projected FS'!F194,0)</f>
        <v>0.14207806826434258</v>
      </c>
      <c r="H186" s="583">
        <f ca="1">IFERROR(('Projected FS'!H194-'Projected FS'!G194)/'Projected FS'!G194,0)</f>
        <v>0.13618456590392697</v>
      </c>
      <c r="I186" s="583">
        <f ca="1">IFERROR(('Projected FS'!I194-'Projected FS'!H194)/'Projected FS'!H194,0)</f>
        <v>6.6190828240927049E-2</v>
      </c>
    </row>
    <row r="187" spans="1:9" outlineLevel="1">
      <c r="A187" s="586" t="s">
        <v>195</v>
      </c>
      <c r="B187" s="586"/>
      <c r="C187" s="586"/>
      <c r="D187" s="586">
        <f ca="1">IFERROR(('Projected FS'!D195-'Projected FS'!C195)/'Projected FS'!C195,0)</f>
        <v>0.40398643141629526</v>
      </c>
      <c r="E187" s="586">
        <f ca="1">IFERROR(('Projected FS'!E195-'Projected FS'!D195)/'Projected FS'!D195,0)</f>
        <v>0.15524051030561889</v>
      </c>
      <c r="F187" s="586">
        <f ca="1">IFERROR(('Projected FS'!F195-'Projected FS'!E195)/'Projected FS'!E195,0)</f>
        <v>0.14737426045162957</v>
      </c>
      <c r="G187" s="586">
        <f ca="1">IFERROR(('Projected FS'!G195-'Projected FS'!F195)/'Projected FS'!F195,0)</f>
        <v>0.14071281764761845</v>
      </c>
      <c r="H187" s="586">
        <f ca="1">IFERROR(('Projected FS'!H195-'Projected FS'!G195)/'Projected FS'!G195,0)</f>
        <v>0.13501003691233532</v>
      </c>
      <c r="I187" s="586">
        <f ca="1">IFERROR(('Projected FS'!I195-'Projected FS'!H195)/'Projected FS'!H195,0)</f>
        <v>5.0823245645790362E-2</v>
      </c>
    </row>
    <row r="188" spans="1:9" outlineLevel="1">
      <c r="A188" s="579" t="s">
        <v>196</v>
      </c>
      <c r="B188" s="579"/>
      <c r="C188" s="579"/>
      <c r="D188" s="579"/>
      <c r="E188" s="579"/>
      <c r="F188" s="579"/>
      <c r="G188" s="579"/>
      <c r="H188" s="579"/>
      <c r="I188" s="579"/>
    </row>
    <row r="189" spans="1:9" outlineLevel="1">
      <c r="A189" s="580" t="s">
        <v>197</v>
      </c>
      <c r="B189" s="580"/>
      <c r="C189" s="580"/>
      <c r="D189" s="580">
        <f>IFERROR(('Projected FS'!D197-'Projected FS'!C197)/'Projected FS'!C197,0)</f>
        <v>0</v>
      </c>
      <c r="E189" s="580">
        <f>IFERROR(('Projected FS'!E197-'Projected FS'!D197)/'Projected FS'!D197,0)</f>
        <v>0</v>
      </c>
      <c r="F189" s="580">
        <f>IFERROR(('Projected FS'!F197-'Projected FS'!E197)/'Projected FS'!E197,0)</f>
        <v>0</v>
      </c>
      <c r="G189" s="580">
        <f>IFERROR(('Projected FS'!G197-'Projected FS'!F197)/'Projected FS'!F197,0)</f>
        <v>0</v>
      </c>
      <c r="H189" s="580">
        <f>IFERROR(('Projected FS'!H197-'Projected FS'!G197)/'Projected FS'!G197,0)</f>
        <v>0</v>
      </c>
      <c r="I189" s="580">
        <f>IFERROR(('Projected FS'!I197-'Projected FS'!H197)/'Projected FS'!H197,0)</f>
        <v>0</v>
      </c>
    </row>
    <row r="190" spans="1:9" outlineLevel="1">
      <c r="A190" s="581" t="s">
        <v>198</v>
      </c>
      <c r="B190" s="581"/>
      <c r="C190" s="581"/>
      <c r="D190" s="581">
        <f>IFERROR(('Projected FS'!D198-'Projected FS'!C198)/'Projected FS'!C198,0)</f>
        <v>0</v>
      </c>
      <c r="E190" s="581">
        <f>IFERROR(('Projected FS'!E198-'Projected FS'!D198)/'Projected FS'!D198,0)</f>
        <v>0</v>
      </c>
      <c r="F190" s="581">
        <f>IFERROR(('Projected FS'!F198-'Projected FS'!E198)/'Projected FS'!E198,0)</f>
        <v>0</v>
      </c>
      <c r="G190" s="581">
        <f>IFERROR(('Projected FS'!G198-'Projected FS'!F198)/'Projected FS'!F198,0)</f>
        <v>0</v>
      </c>
      <c r="H190" s="581">
        <f>IFERROR(('Projected FS'!H198-'Projected FS'!G198)/'Projected FS'!G198,0)</f>
        <v>0</v>
      </c>
      <c r="I190" s="581">
        <f>IFERROR(('Projected FS'!I198-'Projected FS'!H198)/'Projected FS'!H198,0)</f>
        <v>0</v>
      </c>
    </row>
    <row r="191" spans="1:9" outlineLevel="1">
      <c r="A191" s="586" t="s">
        <v>279</v>
      </c>
      <c r="B191" s="586"/>
      <c r="C191" s="586"/>
      <c r="D191" s="586"/>
      <c r="E191" s="586"/>
      <c r="F191" s="586"/>
      <c r="G191" s="586"/>
      <c r="H191" s="586"/>
      <c r="I191" s="586"/>
    </row>
    <row r="192" spans="1:9" outlineLevel="1">
      <c r="A192" s="579" t="s">
        <v>199</v>
      </c>
      <c r="B192" s="579"/>
      <c r="C192" s="579"/>
      <c r="D192" s="579">
        <f>IFERROR(('Projected FS'!D200-'Projected FS'!C200)/'Projected FS'!C200,0)</f>
        <v>0.05</v>
      </c>
      <c r="E192" s="579">
        <f>IFERROR(('Projected FS'!E200-'Projected FS'!D200)/'Projected FS'!D200,0)</f>
        <v>0.05</v>
      </c>
      <c r="F192" s="579">
        <f>IFERROR(('Projected FS'!F200-'Projected FS'!E200)/'Projected FS'!E200,0)</f>
        <v>5.0000000000000079E-2</v>
      </c>
      <c r="G192" s="579">
        <f>IFERROR(('Projected FS'!G200-'Projected FS'!F200)/'Projected FS'!F200,0)</f>
        <v>5.0000000000000107E-2</v>
      </c>
      <c r="H192" s="579">
        <f>IFERROR(('Projected FS'!H200-'Projected FS'!G200)/'Projected FS'!G200,0)</f>
        <v>4.9999999999999996E-2</v>
      </c>
      <c r="I192" s="579">
        <f>IFERROR(('Projected FS'!I200-'Projected FS'!H200)/'Projected FS'!H200,0)</f>
        <v>4.9999999999999975E-2</v>
      </c>
    </row>
    <row r="193" spans="1:9" outlineLevel="1">
      <c r="A193" s="582" t="s">
        <v>200</v>
      </c>
      <c r="B193" s="582"/>
      <c r="C193" s="582"/>
      <c r="D193" s="582">
        <f ca="1">IFERROR(('Projected FS'!D201-'Projected FS'!C201)/'Projected FS'!C201,0)</f>
        <v>-0.17916692591577893</v>
      </c>
      <c r="E193" s="582">
        <f ca="1">IFERROR(('Projected FS'!E201-'Projected FS'!D201)/'Projected FS'!D201,0)</f>
        <v>9.9999999999999895E-2</v>
      </c>
      <c r="F193" s="582">
        <f ca="1">IFERROR(('Projected FS'!F201-'Projected FS'!E201)/'Projected FS'!E201,0)</f>
        <v>0.10000000000000014</v>
      </c>
      <c r="G193" s="582">
        <f ca="1">IFERROR(('Projected FS'!G201-'Projected FS'!F201)/'Projected FS'!F201,0)</f>
        <v>0.10000000000000017</v>
      </c>
      <c r="H193" s="582">
        <f ca="1">IFERROR(('Projected FS'!H201-'Projected FS'!G201)/'Projected FS'!G201,0)</f>
        <v>0.10000000000000016</v>
      </c>
      <c r="I193" s="582">
        <f ca="1">IFERROR(('Projected FS'!I201-'Projected FS'!H201)/'Projected FS'!H201,0)</f>
        <v>0.10000000000000003</v>
      </c>
    </row>
    <row r="194" spans="1:9" outlineLevel="1">
      <c r="A194" s="584" t="s">
        <v>201</v>
      </c>
      <c r="B194" s="584"/>
      <c r="C194" s="584"/>
      <c r="D194" s="584">
        <f>IFERROR(('Projected FS'!D202-'Projected FS'!C202)/'Projected FS'!C202,0)</f>
        <v>0</v>
      </c>
      <c r="E194" s="584">
        <f>IFERROR(('Projected FS'!E202-'Projected FS'!D202)/'Projected FS'!D202,0)</f>
        <v>0</v>
      </c>
      <c r="F194" s="584">
        <f>IFERROR(('Projected FS'!F202-'Projected FS'!E202)/'Projected FS'!E202,0)</f>
        <v>0</v>
      </c>
      <c r="G194" s="584">
        <f>IFERROR(('Projected FS'!G202-'Projected FS'!F202)/'Projected FS'!F202,0)</f>
        <v>0</v>
      </c>
      <c r="H194" s="584">
        <f>IFERROR(('Projected FS'!H202-'Projected FS'!G202)/'Projected FS'!G202,0)</f>
        <v>0</v>
      </c>
      <c r="I194" s="584">
        <f>IFERROR(('Projected FS'!I202-'Projected FS'!H202)/'Projected FS'!H202,0)</f>
        <v>0</v>
      </c>
    </row>
    <row r="195" spans="1:9" outlineLevel="1">
      <c r="A195" s="587" t="s">
        <v>202</v>
      </c>
      <c r="B195" s="587"/>
      <c r="C195" s="587"/>
      <c r="D195" s="587">
        <f ca="1">IFERROR(('Projected FS'!D203-'Projected FS'!C203)/'Projected FS'!C203,0)</f>
        <v>1.003795169623684</v>
      </c>
      <c r="E195" s="587">
        <f ca="1">IFERROR(('Projected FS'!E203-'Projected FS'!D203)/'Projected FS'!D203,0)</f>
        <v>0.20948505057574701</v>
      </c>
      <c r="F195" s="587">
        <f ca="1">IFERROR(('Projected FS'!F203-'Projected FS'!E203)/'Projected FS'!E203,0)</f>
        <v>0.19064341923705494</v>
      </c>
      <c r="G195" s="587">
        <f ca="1">IFERROR(('Projected FS'!G203-'Projected FS'!F203)/'Projected FS'!F203,0)</f>
        <v>0.17598069487289722</v>
      </c>
      <c r="H195" s="587">
        <f ca="1">IFERROR(('Projected FS'!H203-'Projected FS'!G203)/'Projected FS'!G203,0)</f>
        <v>0.16425942045211031</v>
      </c>
      <c r="I195" s="587">
        <f ca="1">IFERROR(('Projected FS'!I203-'Projected FS'!H203)/'Projected FS'!H203,0)</f>
        <v>4.2426897875238616E-2</v>
      </c>
    </row>
    <row r="196" spans="1:9" outlineLevel="1">
      <c r="A196" s="581" t="s">
        <v>203</v>
      </c>
      <c r="B196" s="581"/>
      <c r="C196" s="581"/>
      <c r="D196" s="581">
        <f>IFERROR(('Projected FS'!D204-'Projected FS'!C204)/'Projected FS'!C204,0)</f>
        <v>0</v>
      </c>
      <c r="E196" s="581">
        <f>IFERROR(('Projected FS'!E204-'Projected FS'!D204)/'Projected FS'!D204,0)</f>
        <v>0</v>
      </c>
      <c r="F196" s="581">
        <f>IFERROR(('Projected FS'!F204-'Projected FS'!E204)/'Projected FS'!E204,0)</f>
        <v>0</v>
      </c>
      <c r="G196" s="581">
        <f>IFERROR(('Projected FS'!G204-'Projected FS'!F204)/'Projected FS'!F204,0)</f>
        <v>0</v>
      </c>
      <c r="H196" s="581">
        <f>IFERROR(('Projected FS'!H204-'Projected FS'!G204)/'Projected FS'!G204,0)</f>
        <v>0</v>
      </c>
      <c r="I196" s="581">
        <f>IFERROR(('Projected FS'!I204-'Projected FS'!H204)/'Projected FS'!H204,0)</f>
        <v>0</v>
      </c>
    </row>
    <row r="197" spans="1:9" outlineLevel="1">
      <c r="A197" s="582" t="s">
        <v>204</v>
      </c>
      <c r="B197" s="582"/>
      <c r="C197" s="582"/>
      <c r="D197" s="582">
        <f>IFERROR(('Projected FS'!D205-'Projected FS'!C205)/'Projected FS'!C205,0)</f>
        <v>0</v>
      </c>
      <c r="E197" s="582">
        <f>IFERROR(('Projected FS'!E205-'Projected FS'!D205)/'Projected FS'!D205,0)</f>
        <v>0</v>
      </c>
      <c r="F197" s="582">
        <f>IFERROR(('Projected FS'!F205-'Projected FS'!E205)/'Projected FS'!E205,0)</f>
        <v>0</v>
      </c>
      <c r="G197" s="582">
        <f>IFERROR(('Projected FS'!G205-'Projected FS'!F205)/'Projected FS'!F205,0)</f>
        <v>0</v>
      </c>
      <c r="H197" s="582">
        <f>IFERROR(('Projected FS'!H205-'Projected FS'!G205)/'Projected FS'!G205,0)</f>
        <v>0</v>
      </c>
      <c r="I197" s="582">
        <f>IFERROR(('Projected FS'!I205-'Projected FS'!H205)/'Projected FS'!H205,0)</f>
        <v>0</v>
      </c>
    </row>
    <row r="198" spans="1:9" outlineLevel="1">
      <c r="A198" s="588" t="s">
        <v>205</v>
      </c>
      <c r="B198" s="588"/>
      <c r="C198" s="588"/>
      <c r="D198" s="588">
        <f ca="1">IFERROR(('Projected FS'!D206-'Projected FS'!C206)/'Projected FS'!C206,0)</f>
        <v>1.019965618689576</v>
      </c>
      <c r="E198" s="588">
        <f ca="1">IFERROR(('Projected FS'!E206-'Projected FS'!D206)/'Projected FS'!D206,0)</f>
        <v>0.21115570274047057</v>
      </c>
      <c r="F198" s="588">
        <f ca="1">IFERROR(('Projected FS'!F206-'Projected FS'!E206)/'Projected FS'!E206,0)</f>
        <v>0.19189874037544613</v>
      </c>
      <c r="G198" s="588">
        <f ca="1">IFERROR(('Projected FS'!G206-'Projected FS'!F206)/'Projected FS'!F206,0)</f>
        <v>0.176952901754445</v>
      </c>
      <c r="H198" s="588">
        <f ca="1">IFERROR(('Projected FS'!H206-'Projected FS'!G206)/'Projected FS'!G206,0)</f>
        <v>0.16503043906939716</v>
      </c>
      <c r="I198" s="588">
        <f ca="1">IFERROR(('Projected FS'!I206-'Projected FS'!H206)/'Projected FS'!H206,0)</f>
        <v>4.2597835862041675E-2</v>
      </c>
    </row>
    <row r="199" spans="1:9" outlineLevel="1">
      <c r="A199" s="582" t="s">
        <v>206</v>
      </c>
      <c r="B199" s="582"/>
      <c r="C199" s="582"/>
      <c r="D199" s="582">
        <f>IFERROR(('Projected FS'!D207-'Projected FS'!C207)/'Projected FS'!C207,0)</f>
        <v>0</v>
      </c>
      <c r="E199" s="582">
        <f>IFERROR(('Projected FS'!E207-'Projected FS'!D207)/'Projected FS'!D207,0)</f>
        <v>0</v>
      </c>
      <c r="F199" s="582">
        <f>IFERROR(('Projected FS'!F207-'Projected FS'!E207)/'Projected FS'!E207,0)</f>
        <v>0</v>
      </c>
      <c r="G199" s="582">
        <f>IFERROR(('Projected FS'!G207-'Projected FS'!F207)/'Projected FS'!F207,0)</f>
        <v>0</v>
      </c>
      <c r="H199" s="582">
        <f>IFERROR(('Projected FS'!H207-'Projected FS'!G207)/'Projected FS'!G207,0)</f>
        <v>0</v>
      </c>
      <c r="I199" s="582">
        <f>IFERROR(('Projected FS'!I207-'Projected FS'!H207)/'Projected FS'!H207,0)</f>
        <v>0</v>
      </c>
    </row>
    <row r="200" spans="1:9" outlineLevel="1">
      <c r="A200" s="588" t="s">
        <v>207</v>
      </c>
      <c r="B200" s="588"/>
      <c r="C200" s="588"/>
      <c r="D200" s="588">
        <f ca="1">IFERROR(('Projected FS'!D208-'Projected FS'!C208)/'Projected FS'!C208,0)</f>
        <v>1.019965618689576</v>
      </c>
      <c r="E200" s="588">
        <f ca="1">IFERROR(('Projected FS'!E208-'Projected FS'!D208)/'Projected FS'!D208,0)</f>
        <v>0.21115570274047057</v>
      </c>
      <c r="F200" s="588">
        <f ca="1">IFERROR(('Projected FS'!F208-'Projected FS'!E208)/'Projected FS'!E208,0)</f>
        <v>0.19189874037544613</v>
      </c>
      <c r="G200" s="588">
        <f ca="1">IFERROR(('Projected FS'!G208-'Projected FS'!F208)/'Projected FS'!F208,0)</f>
        <v>0.176952901754445</v>
      </c>
      <c r="H200" s="588">
        <f ca="1">IFERROR(('Projected FS'!H208-'Projected FS'!G208)/'Projected FS'!G208,0)</f>
        <v>0.16503043906939716</v>
      </c>
      <c r="I200" s="588">
        <f ca="1">IFERROR(('Projected FS'!I208-'Projected FS'!H208)/'Projected FS'!H208,0)</f>
        <v>4.2597835862041675E-2</v>
      </c>
    </row>
    <row r="201" spans="1:9" outlineLevel="1">
      <c r="A201" s="582" t="s">
        <v>208</v>
      </c>
      <c r="B201" s="582"/>
      <c r="C201" s="582"/>
      <c r="D201" s="582">
        <f>IFERROR(('Projected FS'!D209-'Projected FS'!C209)/'Projected FS'!C209,0)</f>
        <v>0</v>
      </c>
      <c r="E201" s="582">
        <f>IFERROR(('Projected FS'!E209-'Projected FS'!D209)/'Projected FS'!D209,0)</f>
        <v>0</v>
      </c>
      <c r="F201" s="582">
        <f>IFERROR(('Projected FS'!F209-'Projected FS'!E209)/'Projected FS'!E209,0)</f>
        <v>0</v>
      </c>
      <c r="G201" s="582">
        <f>IFERROR(('Projected FS'!G209-'Projected FS'!F209)/'Projected FS'!F209,0)</f>
        <v>0</v>
      </c>
      <c r="H201" s="582">
        <f>IFERROR(('Projected FS'!H209-'Projected FS'!G209)/'Projected FS'!G209,0)</f>
        <v>0</v>
      </c>
      <c r="I201" s="582">
        <f>IFERROR(('Projected FS'!I209-'Projected FS'!H209)/'Projected FS'!H209,0)</f>
        <v>0</v>
      </c>
    </row>
    <row r="202" spans="1:9" ht="15.75" outlineLevel="1" thickBot="1">
      <c r="A202" s="589" t="s">
        <v>209</v>
      </c>
      <c r="B202" s="589"/>
      <c r="C202" s="589"/>
      <c r="D202" s="589">
        <f ca="1">IFERROR(('Projected FS'!D210-'Projected FS'!C210)/'Projected FS'!C210,0)</f>
        <v>1.019965618689576</v>
      </c>
      <c r="E202" s="589">
        <f ca="1">IFERROR(('Projected FS'!E210-'Projected FS'!D210)/'Projected FS'!D210,0)</f>
        <v>0.21115570274047057</v>
      </c>
      <c r="F202" s="589">
        <f ca="1">IFERROR(('Projected FS'!F210-'Projected FS'!E210)/'Projected FS'!E210,0)</f>
        <v>0.19189874037544613</v>
      </c>
      <c r="G202" s="589">
        <f ca="1">IFERROR(('Projected FS'!G210-'Projected FS'!F210)/'Projected FS'!F210,0)</f>
        <v>0.176952901754445</v>
      </c>
      <c r="H202" s="589">
        <f ca="1">IFERROR(('Projected FS'!H210-'Projected FS'!G210)/'Projected FS'!G210,0)</f>
        <v>0.16503043906939716</v>
      </c>
      <c r="I202" s="589">
        <f ca="1">IFERROR(('Projected FS'!I210-'Projected FS'!H210)/'Projected FS'!H210,0)</f>
        <v>4.2597835862041675E-2</v>
      </c>
    </row>
    <row r="203" spans="1:9" ht="15.75" outlineLevel="1" thickTop="1"/>
    <row r="204" spans="1:9" ht="15.75" outlineLevel="1">
      <c r="A204" s="60" t="s">
        <v>3</v>
      </c>
      <c r="B204" s="29" t="s">
        <v>189</v>
      </c>
      <c r="C204" s="29" t="s">
        <v>180</v>
      </c>
      <c r="D204" s="29" t="s">
        <v>181</v>
      </c>
      <c r="E204" s="29" t="s">
        <v>182</v>
      </c>
      <c r="F204" s="29" t="s">
        <v>183</v>
      </c>
      <c r="G204" s="29" t="s">
        <v>184</v>
      </c>
      <c r="H204" s="29" t="s">
        <v>185</v>
      </c>
      <c r="I204" s="29" t="s">
        <v>186</v>
      </c>
    </row>
    <row r="205" spans="1:9" outlineLevel="1">
      <c r="A205" s="566"/>
      <c r="B205" s="566"/>
      <c r="C205" s="566"/>
      <c r="D205" s="566"/>
      <c r="E205" s="566"/>
      <c r="F205" s="566"/>
      <c r="G205" s="566"/>
      <c r="H205" s="566"/>
      <c r="I205" s="566"/>
    </row>
    <row r="206" spans="1:9" outlineLevel="1">
      <c r="A206" s="590" t="s">
        <v>263</v>
      </c>
      <c r="B206" s="590"/>
      <c r="C206" s="590"/>
      <c r="D206" s="590"/>
      <c r="E206" s="590"/>
      <c r="F206" s="590"/>
      <c r="G206" s="590"/>
      <c r="H206" s="590"/>
      <c r="I206" s="590"/>
    </row>
    <row r="207" spans="1:9" outlineLevel="1">
      <c r="A207" s="582" t="s">
        <v>195</v>
      </c>
      <c r="B207" s="582"/>
      <c r="C207" s="582">
        <f>IFERROR('Projected FS'!C189/'Projected FS'!C189,0)</f>
        <v>1</v>
      </c>
      <c r="D207" s="582">
        <f ca="1">IFERROR('Projected FS'!D189/'Projected FS'!D189,0)</f>
        <v>1</v>
      </c>
      <c r="E207" s="582">
        <f ca="1">IFERROR('Projected FS'!E189/'Projected FS'!E189,0)</f>
        <v>1</v>
      </c>
      <c r="F207" s="582">
        <f ca="1">IFERROR('Projected FS'!F189/'Projected FS'!F189,0)</f>
        <v>1</v>
      </c>
      <c r="G207" s="582">
        <f ca="1">IFERROR('Projected FS'!G189/'Projected FS'!G189,0)</f>
        <v>1</v>
      </c>
      <c r="H207" s="582">
        <f ca="1">IFERROR('Projected FS'!H189/'Projected FS'!H189,0)</f>
        <v>1</v>
      </c>
      <c r="I207" s="582">
        <f ca="1">IFERROR('Projected FS'!I189/'Projected FS'!I189,0)</f>
        <v>1</v>
      </c>
    </row>
    <row r="208" spans="1:9" outlineLevel="1">
      <c r="A208" s="581" t="s">
        <v>209</v>
      </c>
      <c r="B208" s="581"/>
      <c r="C208" s="581">
        <f ca="1">IFERROR('Projected FS'!C210/'Projected FS'!C189,0)</f>
        <v>0.1419140034656432</v>
      </c>
      <c r="D208" s="581">
        <f ca="1">IFERROR('Projected FS'!D210/'Projected FS'!D189,0)</f>
        <v>0.24585026398901597</v>
      </c>
      <c r="E208" s="581">
        <f ca="1">IFERROR('Projected FS'!E210/'Projected FS'!E189,0)</f>
        <v>0.25749685945078188</v>
      </c>
      <c r="F208" s="581">
        <f ca="1">IFERROR('Projected FS'!F210/'Projected FS'!F189,0)</f>
        <v>0.26726624067372062</v>
      </c>
      <c r="G208" s="581">
        <f ca="1">IFERROR('Projected FS'!G210/'Projected FS'!G189,0)</f>
        <v>0.2755601551177766</v>
      </c>
      <c r="H208" s="581">
        <f ca="1">IFERROR('Projected FS'!H210/'Projected FS'!H189,0)</f>
        <v>0.28267371627548271</v>
      </c>
      <c r="I208" s="581">
        <f ca="1">IFERROR('Projected FS'!I210/'Projected FS'!I189,0)</f>
        <v>0.27802953898705401</v>
      </c>
    </row>
    <row r="209" spans="1:9" outlineLevel="1">
      <c r="A209" s="566"/>
      <c r="B209" s="566"/>
      <c r="C209" s="566"/>
      <c r="D209" s="566"/>
      <c r="E209" s="566"/>
      <c r="F209" s="566"/>
      <c r="G209" s="566"/>
      <c r="H209" s="566"/>
      <c r="I209" s="566"/>
    </row>
    <row r="210" spans="1:9" outlineLevel="1">
      <c r="A210" s="596" t="s">
        <v>264</v>
      </c>
      <c r="B210" s="568"/>
      <c r="C210" s="568"/>
      <c r="D210" s="568"/>
      <c r="E210" s="568"/>
      <c r="F210" s="568"/>
      <c r="G210" s="568"/>
      <c r="H210" s="568"/>
      <c r="I210" s="568"/>
    </row>
    <row r="211" spans="1:9" outlineLevel="1">
      <c r="A211" s="591" t="s">
        <v>265</v>
      </c>
      <c r="B211" s="591"/>
      <c r="C211" s="591">
        <f ca="1">IFERROR('Projected FS'!C214/'Projected FS'!B228,0)</f>
        <v>0</v>
      </c>
      <c r="D211" s="591">
        <f ca="1">IFERROR('Projected FS'!D214/'Projected FS'!C228,0)</f>
        <v>0</v>
      </c>
      <c r="E211" s="591">
        <f ca="1">IFERROR('Projected FS'!E214/'Projected FS'!D228,0)</f>
        <v>0</v>
      </c>
      <c r="F211" s="591">
        <f ca="1">IFERROR('Projected FS'!F214/'Projected FS'!E228,0)</f>
        <v>0</v>
      </c>
      <c r="G211" s="591">
        <f ca="1">IFERROR('Projected FS'!G214/'Projected FS'!F228,0)</f>
        <v>0</v>
      </c>
      <c r="H211" s="591">
        <f ca="1">IFERROR('Projected FS'!H214/'Projected FS'!G228,0)</f>
        <v>0</v>
      </c>
      <c r="I211" s="591">
        <f ca="1">IFERROR('Projected FS'!I214/'Projected FS'!H228,0)</f>
        <v>0</v>
      </c>
    </row>
    <row r="212" spans="1:9" outlineLevel="1">
      <c r="A212" s="592" t="s">
        <v>266</v>
      </c>
      <c r="B212" s="592"/>
      <c r="C212" s="592">
        <f ca="1">IFERROR('Projected FS'!C218/'Projected FS'!C228,0)</f>
        <v>0</v>
      </c>
      <c r="D212" s="592">
        <f ca="1">IFERROR('Projected FS'!D218/'Projected FS'!D228,0)</f>
        <v>0</v>
      </c>
      <c r="E212" s="592">
        <f ca="1">IFERROR('Projected FS'!E218/'Projected FS'!E228,0)</f>
        <v>0</v>
      </c>
      <c r="F212" s="592">
        <f ca="1">IFERROR('Projected FS'!F218/'Projected FS'!F228,0)</f>
        <v>0</v>
      </c>
      <c r="G212" s="592">
        <f ca="1">IFERROR('Projected FS'!G218/'Projected FS'!G228,0)</f>
        <v>0</v>
      </c>
      <c r="H212" s="592">
        <f ca="1">IFERROR('Projected FS'!H218/'Projected FS'!H228,0)</f>
        <v>0</v>
      </c>
      <c r="I212" s="592">
        <f ca="1">IFERROR('Projected FS'!I218/'Projected FS'!I228,0)</f>
        <v>0</v>
      </c>
    </row>
    <row r="213" spans="1:9" outlineLevel="1">
      <c r="A213" s="591" t="s">
        <v>267</v>
      </c>
      <c r="B213" s="591"/>
      <c r="C213" s="591">
        <f ca="1">IFERROR(('Projected FS'!C218-'Projected FS'!C215)/'Projected FS'!C228,0)</f>
        <v>0</v>
      </c>
      <c r="D213" s="591">
        <f ca="1">IFERROR(('Projected FS'!D218-'Projected FS'!D215)/'Projected FS'!D228,0)</f>
        <v>0</v>
      </c>
      <c r="E213" s="591">
        <f ca="1">IFERROR(('Projected FS'!E218-'Projected FS'!E215)/'Projected FS'!E228,0)</f>
        <v>0</v>
      </c>
      <c r="F213" s="591">
        <f ca="1">IFERROR(('Projected FS'!F218-'Projected FS'!F215)/'Projected FS'!F228,0)</f>
        <v>0</v>
      </c>
      <c r="G213" s="591">
        <f ca="1">IFERROR(('Projected FS'!G218-'Projected FS'!G215)/'Projected FS'!G228,0)</f>
        <v>0</v>
      </c>
      <c r="H213" s="591">
        <f ca="1">IFERROR(('Projected FS'!H218-'Projected FS'!H215)/'Projected FS'!H228,0)</f>
        <v>0</v>
      </c>
      <c r="I213" s="591">
        <f ca="1">IFERROR(('Projected FS'!I218-'Projected FS'!I215)/'Projected FS'!I228,0)</f>
        <v>0</v>
      </c>
    </row>
    <row r="214" spans="1:9" outlineLevel="1">
      <c r="A214" s="592"/>
      <c r="B214" s="592"/>
      <c r="C214" s="592"/>
      <c r="D214" s="592"/>
      <c r="E214" s="592"/>
      <c r="F214" s="592"/>
      <c r="G214" s="592"/>
      <c r="H214" s="592"/>
      <c r="I214" s="592"/>
    </row>
    <row r="215" spans="1:9" outlineLevel="1">
      <c r="A215" s="595" t="s">
        <v>268</v>
      </c>
      <c r="B215" s="591"/>
      <c r="C215" s="591"/>
      <c r="D215" s="591"/>
      <c r="E215" s="591"/>
      <c r="F215" s="591"/>
      <c r="G215" s="591"/>
      <c r="H215" s="591"/>
      <c r="I215" s="591"/>
    </row>
    <row r="216" spans="1:9" outlineLevel="1">
      <c r="A216" s="592" t="s">
        <v>269</v>
      </c>
      <c r="B216" s="592"/>
      <c r="C216" s="592">
        <f>IFERROR('Projected FS'!C189/'Projected FS'!C217,0)</f>
        <v>8</v>
      </c>
      <c r="D216" s="592">
        <f ca="1">IFERROR('Projected FS'!D189/'Projected FS'!D217,0)</f>
        <v>8</v>
      </c>
      <c r="E216" s="592">
        <f ca="1">IFERROR('Projected FS'!E189/'Projected FS'!E217,0)</f>
        <v>8</v>
      </c>
      <c r="F216" s="592">
        <f ca="1">IFERROR('Projected FS'!F189/'Projected FS'!F217,0)</f>
        <v>8</v>
      </c>
      <c r="G216" s="592">
        <f ca="1">IFERROR('Projected FS'!G189/'Projected FS'!G217,0)</f>
        <v>8</v>
      </c>
      <c r="H216" s="592">
        <f ca="1">IFERROR('Projected FS'!H189/'Projected FS'!H217,0)</f>
        <v>8</v>
      </c>
      <c r="I216" s="592">
        <f ca="1">IFERROR('Projected FS'!I189/'Projected FS'!I217,0)</f>
        <v>8</v>
      </c>
    </row>
    <row r="217" spans="1:9" outlineLevel="1">
      <c r="A217" s="591" t="s">
        <v>270</v>
      </c>
      <c r="B217" s="591"/>
      <c r="C217" s="591">
        <f ca="1">IFERROR('Projected FS'!C192/'Projected FS'!C224,0)</f>
        <v>0</v>
      </c>
      <c r="D217" s="591">
        <f ca="1">IFERROR('Projected FS'!D192/'Projected FS'!D224,0)</f>
        <v>0</v>
      </c>
      <c r="E217" s="591">
        <f ca="1">IFERROR('Projected FS'!E192/'Projected FS'!E224,0)</f>
        <v>0</v>
      </c>
      <c r="F217" s="591">
        <f ca="1">IFERROR('Projected FS'!F192/'Projected FS'!F224,0)</f>
        <v>0</v>
      </c>
      <c r="G217" s="591">
        <f ca="1">IFERROR('Projected FS'!G192/'Projected FS'!G224,0)</f>
        <v>0</v>
      </c>
      <c r="H217" s="591">
        <f ca="1">IFERROR('Projected FS'!H192/'Projected FS'!H224,0)</f>
        <v>0</v>
      </c>
      <c r="I217" s="591">
        <f ca="1">IFERROR('Projected FS'!I192/'Projected FS'!I224,0)</f>
        <v>0</v>
      </c>
    </row>
    <row r="218" spans="1:9" outlineLevel="1">
      <c r="A218" s="592" t="s">
        <v>271</v>
      </c>
      <c r="B218" s="592"/>
      <c r="C218" s="592">
        <f ca="1">IFERROR('Projected FS'!C194/'Projected FS'!C215,0)</f>
        <v>12</v>
      </c>
      <c r="D218" s="592">
        <f ca="1">IFERROR('Projected FS'!D194/'Projected FS'!D215,0)</f>
        <v>10.766723842195541</v>
      </c>
      <c r="E218" s="592">
        <f ca="1">IFERROR('Projected FS'!E194/'Projected FS'!E215,0)</f>
        <v>10.773862231711425</v>
      </c>
      <c r="F218" s="592">
        <f ca="1">IFERROR('Projected FS'!F194/'Projected FS'!F215,0)</f>
        <v>10.779919757314806</v>
      </c>
      <c r="G218" s="592">
        <f ca="1">IFERROR('Projected FS'!G194/'Projected FS'!G215,0)</f>
        <v>10.785109315850109</v>
      </c>
      <c r="H218" s="592">
        <f ca="1">IFERROR('Projected FS'!H194/'Projected FS'!H215,0)</f>
        <v>10.789595724766761</v>
      </c>
      <c r="I218" s="592">
        <f ca="1">IFERROR('Projected FS'!I194/'Projected FS'!I215,0)</f>
        <v>10.852475312386954</v>
      </c>
    </row>
    <row r="219" spans="1:9" outlineLevel="1">
      <c r="A219" s="591" t="s">
        <v>272</v>
      </c>
      <c r="B219" s="591"/>
      <c r="C219" s="591">
        <f>IFERROR(365/C216,0)</f>
        <v>45.625</v>
      </c>
      <c r="D219" s="591">
        <f t="shared" ref="D219:G219" ca="1" si="19">IFERROR(365/D216,0)</f>
        <v>45.625</v>
      </c>
      <c r="E219" s="591">
        <f t="shared" ca="1" si="19"/>
        <v>45.625</v>
      </c>
      <c r="F219" s="591">
        <f t="shared" ca="1" si="19"/>
        <v>45.625</v>
      </c>
      <c r="G219" s="591">
        <f t="shared" ca="1" si="19"/>
        <v>45.625</v>
      </c>
      <c r="H219" s="591">
        <f t="shared" ref="H219:I219" ca="1" si="20">IFERROR(365/H216,0)</f>
        <v>45.625</v>
      </c>
      <c r="I219" s="591">
        <f t="shared" ca="1" si="20"/>
        <v>45.625</v>
      </c>
    </row>
    <row r="220" spans="1:9" outlineLevel="1">
      <c r="A220" s="592" t="s">
        <v>273</v>
      </c>
      <c r="B220" s="592"/>
      <c r="C220" s="592">
        <f t="shared" ref="C220:G220" ca="1" si="21">IFERROR(365/C217,0)</f>
        <v>0</v>
      </c>
      <c r="D220" s="592">
        <f t="shared" ca="1" si="21"/>
        <v>0</v>
      </c>
      <c r="E220" s="592">
        <f t="shared" ca="1" si="21"/>
        <v>0</v>
      </c>
      <c r="F220" s="592">
        <f t="shared" ca="1" si="21"/>
        <v>0</v>
      </c>
      <c r="G220" s="592">
        <f t="shared" ca="1" si="21"/>
        <v>0</v>
      </c>
      <c r="H220" s="592">
        <f t="shared" ref="H220:I220" ca="1" si="22">IFERROR(365/H217,0)</f>
        <v>0</v>
      </c>
      <c r="I220" s="592">
        <f t="shared" ca="1" si="22"/>
        <v>0</v>
      </c>
    </row>
    <row r="221" spans="1:9" outlineLevel="1">
      <c r="A221" s="591" t="s">
        <v>274</v>
      </c>
      <c r="B221" s="591"/>
      <c r="C221" s="591">
        <f t="shared" ref="C221:G221" ca="1" si="23">IFERROR(365/C218,0)</f>
        <v>30.416666666666668</v>
      </c>
      <c r="D221" s="591">
        <f t="shared" ca="1" si="23"/>
        <v>33.900748765333759</v>
      </c>
      <c r="E221" s="591">
        <f t="shared" ca="1" si="23"/>
        <v>33.878287298464912</v>
      </c>
      <c r="F221" s="591">
        <f t="shared" ca="1" si="23"/>
        <v>33.859250181554103</v>
      </c>
      <c r="G221" s="591">
        <f t="shared" ca="1" si="23"/>
        <v>33.842957851487462</v>
      </c>
      <c r="H221" s="591">
        <f t="shared" ref="H221:I221" ca="1" si="24">IFERROR(365/H218,0)</f>
        <v>33.82888565158823</v>
      </c>
      <c r="I221" s="591">
        <f t="shared" ca="1" si="24"/>
        <v>33.632880010645231</v>
      </c>
    </row>
    <row r="222" spans="1:9" outlineLevel="1">
      <c r="A222" s="592" t="s">
        <v>275</v>
      </c>
      <c r="B222" s="592"/>
      <c r="C222" s="592">
        <f ca="1">C219+C221-C220</f>
        <v>76.041666666666671</v>
      </c>
      <c r="D222" s="592">
        <f t="shared" ref="D222" ca="1" si="25">D219+D221-D220</f>
        <v>79.525748765333759</v>
      </c>
      <c r="E222" s="592">
        <f t="shared" ref="E222" ca="1" si="26">E219+E221-E220</f>
        <v>79.503287298464912</v>
      </c>
      <c r="F222" s="592">
        <f t="shared" ref="F222" ca="1" si="27">F219+F221-F220</f>
        <v>79.484250181554103</v>
      </c>
      <c r="G222" s="592">
        <f t="shared" ref="G222:H222" ca="1" si="28">G219+G221-G220</f>
        <v>79.467957851487455</v>
      </c>
      <c r="H222" s="592">
        <f t="shared" ca="1" si="28"/>
        <v>79.453885651588223</v>
      </c>
      <c r="I222" s="592">
        <f t="shared" ref="I222" ca="1" si="29">I219+I221-I220</f>
        <v>79.257880010645238</v>
      </c>
    </row>
    <row r="223" spans="1:9" outlineLevel="1">
      <c r="A223" s="591"/>
      <c r="B223" s="591"/>
      <c r="C223" s="591"/>
      <c r="D223" s="591"/>
      <c r="E223" s="591"/>
      <c r="F223" s="591"/>
      <c r="G223" s="591"/>
      <c r="H223" s="591"/>
      <c r="I223" s="591"/>
    </row>
    <row r="224" spans="1:9" outlineLevel="1">
      <c r="A224" s="596" t="s">
        <v>276</v>
      </c>
      <c r="B224" s="568"/>
      <c r="C224" s="568"/>
      <c r="D224" s="568"/>
      <c r="E224" s="568"/>
      <c r="F224" s="568"/>
      <c r="G224" s="568"/>
      <c r="H224" s="568"/>
      <c r="I224" s="568"/>
    </row>
    <row r="225" spans="1:9" outlineLevel="1">
      <c r="A225" s="582" t="s">
        <v>209</v>
      </c>
      <c r="B225" s="582"/>
      <c r="C225" s="582">
        <f ca="1">IFERROR('Projected FS'!C210/'Projected FS'!C189,0)</f>
        <v>0.1419140034656432</v>
      </c>
      <c r="D225" s="582">
        <f ca="1">IFERROR('Projected FS'!D210/'Projected FS'!D189,0)</f>
        <v>0.24585026398901597</v>
      </c>
      <c r="E225" s="582">
        <f ca="1">IFERROR('Projected FS'!E210/'Projected FS'!E189,0)</f>
        <v>0.25749685945078188</v>
      </c>
      <c r="F225" s="582">
        <f ca="1">IFERROR('Projected FS'!F210/'Projected FS'!F189,0)</f>
        <v>0.26726624067372062</v>
      </c>
      <c r="G225" s="582">
        <f ca="1">IFERROR('Projected FS'!G210/'Projected FS'!G189,0)</f>
        <v>0.2755601551177766</v>
      </c>
      <c r="H225" s="582">
        <f ca="1">IFERROR('Projected FS'!H210/'Projected FS'!H189,0)</f>
        <v>0.28267371627548271</v>
      </c>
      <c r="I225" s="582">
        <f ca="1">IFERROR('Projected FS'!I210/'Projected FS'!I189,0)</f>
        <v>0.27802953898705401</v>
      </c>
    </row>
    <row r="226" spans="1:9" outlineLevel="1">
      <c r="A226" s="593" t="s">
        <v>277</v>
      </c>
      <c r="B226" s="593"/>
      <c r="C226" s="593">
        <f ca="1">IFERROR('Projected FS'!C189/'Projected FS'!C222,0)</f>
        <v>0.78263301930495532</v>
      </c>
      <c r="D226" s="593">
        <f ca="1">IFERROR('Projected FS'!D189/'Projected FS'!D222,0)</f>
        <v>0.74533392523536934</v>
      </c>
      <c r="E226" s="593">
        <f ca="1">IFERROR('Projected FS'!E189/'Projected FS'!E222,0)</f>
        <v>0.70534611353918053</v>
      </c>
      <c r="F226" s="593">
        <f ca="1">IFERROR('Projected FS'!F189/'Projected FS'!F222,0)</f>
        <v>0.66583289155737047</v>
      </c>
      <c r="G226" s="593">
        <f ca="1">IFERROR('Projected FS'!G189/'Projected FS'!G222,0)</f>
        <v>0.62844338725615456</v>
      </c>
      <c r="H226" s="593">
        <f ca="1">IFERROR('Projected FS'!H189/'Projected FS'!H222,0)</f>
        <v>0.59390808164716735</v>
      </c>
      <c r="I226" s="593">
        <f ca="1">IFERROR('Projected FS'!I189/'Projected FS'!I222,0)</f>
        <v>0.53577229109259694</v>
      </c>
    </row>
    <row r="227" spans="1:9" outlineLevel="1">
      <c r="A227" s="594" t="s">
        <v>278</v>
      </c>
      <c r="B227" s="594"/>
      <c r="C227" s="594">
        <f ca="1">IFERROR('Projected FS'!C222/'Projected FS'!C233,0)</f>
        <v>1.0000000000000002</v>
      </c>
      <c r="D227" s="594">
        <f ca="1">IFERROR('Projected FS'!D222/'Projected FS'!D233,0)</f>
        <v>1</v>
      </c>
      <c r="E227" s="594">
        <f ca="1">IFERROR('Projected FS'!E222/'Projected FS'!E233,0)</f>
        <v>1</v>
      </c>
      <c r="F227" s="594">
        <f ca="1">IFERROR('Projected FS'!F222/'Projected FS'!F233,0)</f>
        <v>1</v>
      </c>
      <c r="G227" s="594">
        <f ca="1">IFERROR('Projected FS'!G222/'Projected FS'!G233,0)</f>
        <v>1</v>
      </c>
      <c r="H227" s="594">
        <f ca="1">IFERROR('Projected FS'!H222/'Projected FS'!H233,0)</f>
        <v>1</v>
      </c>
      <c r="I227" s="594">
        <f ca="1">IFERROR('Projected FS'!I222/'Projected FS'!I233,0)</f>
        <v>1</v>
      </c>
    </row>
    <row r="228" spans="1:9" outlineLevel="1">
      <c r="A228" s="579" t="s">
        <v>276</v>
      </c>
      <c r="B228" s="579"/>
      <c r="C228" s="579">
        <f t="shared" ref="C228:I228" ca="1" si="30">C225*C226*C227</f>
        <v>0.11106658501397026</v>
      </c>
      <c r="D228" s="579">
        <f t="shared" ca="1" si="30"/>
        <v>0.18324054227908504</v>
      </c>
      <c r="E228" s="579">
        <f t="shared" ca="1" si="30"/>
        <v>0.1816244090621536</v>
      </c>
      <c r="F228" s="579">
        <f t="shared" ca="1" si="30"/>
        <v>0.17795465384345149</v>
      </c>
      <c r="G228" s="579">
        <f t="shared" ca="1" si="30"/>
        <v>0.17317395727504689</v>
      </c>
      <c r="H228" s="579">
        <f t="shared" ca="1" si="30"/>
        <v>0.16788220456524761</v>
      </c>
      <c r="I228" s="579">
        <f t="shared" ca="1" si="30"/>
        <v>0.14896052309451244</v>
      </c>
    </row>
    <row r="229" spans="1:9" ht="15.75">
      <c r="A229" s="74"/>
      <c r="B229" s="65"/>
      <c r="C229" s="66"/>
      <c r="D229" s="66"/>
      <c r="E229" s="66"/>
      <c r="F229" s="66"/>
      <c r="G229" s="66"/>
      <c r="H229" s="579"/>
      <c r="I229" s="579"/>
    </row>
    <row r="230" spans="1:9" ht="27.75" hidden="1">
      <c r="A230" s="778" t="e">
        <f>'Scenario Analysis'!#REF!</f>
        <v>#REF!</v>
      </c>
      <c r="B230" s="778"/>
      <c r="C230" s="778"/>
      <c r="D230" s="778"/>
      <c r="E230" s="778"/>
      <c r="F230" s="778"/>
      <c r="G230" s="778"/>
    </row>
  </sheetData>
  <sheetProtection formatCells="0" formatColumns="0" formatRows="0" insertColumns="0"/>
  <mergeCells count="7">
    <mergeCell ref="A230:G230"/>
    <mergeCell ref="A155:G155"/>
    <mergeCell ref="A3:G3"/>
    <mergeCell ref="A1:G1"/>
    <mergeCell ref="A2:G2"/>
    <mergeCell ref="A4:G4"/>
    <mergeCell ref="A80:G80"/>
  </mergeCells>
  <phoneticPr fontId="49" type="noConversion"/>
  <printOptions horizontalCentered="1"/>
  <pageMargins left="0.9055118110236221" right="0.70866141732283472" top="0.74803149606299213" bottom="0.74803149606299213" header="0.31496062992125984" footer="0.31496062992125984"/>
  <pageSetup paperSize="9" scale="56" fitToHeight="0" orientation="portrait" errors="blank" r:id="rId1"/>
  <headerFooter>
    <oddFooter>&amp;L&amp;"-,Bold Italic"&amp;8&amp;K01+027Developed By: MAIUMAS Consulting
Hani Omar Skaik&amp;C&amp;A&amp;R&amp;D / &amp;T</oddFooter>
  </headerFooter>
  <legacyDrawingHF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4A8DE-E20C-44AC-9928-44241C616E09}">
  <sheetPr codeName="Sheet4">
    <tabColor rgb="FF002060"/>
    <pageSetUpPr fitToPage="1"/>
  </sheetPr>
  <dimension ref="A1:CO98"/>
  <sheetViews>
    <sheetView topLeftCell="A13" zoomScale="78" zoomScaleNormal="78" workbookViewId="0">
      <pane xSplit="1" topLeftCell="B1" activePane="topRight" state="frozen"/>
      <selection activeCell="A14" sqref="A1:CP86 A66:CP86"/>
      <selection pane="topRight" activeCell="G22" sqref="G22"/>
    </sheetView>
  </sheetViews>
  <sheetFormatPr defaultColWidth="8.88671875" defaultRowHeight="15" outlineLevelRow="1" outlineLevelCol="1"/>
  <cols>
    <col min="1" max="1" width="38.6640625" style="1" customWidth="1"/>
    <col min="2" max="2" width="14.77734375" style="1" customWidth="1"/>
    <col min="3" max="3" width="14" style="1" customWidth="1"/>
    <col min="4" max="16" width="13.33203125" style="1" customWidth="1"/>
    <col min="17" max="17" width="14" style="1" customWidth="1"/>
    <col min="18" max="18" width="12.5546875" style="1" bestFit="1" customWidth="1"/>
    <col min="19" max="19" width="9.77734375" style="1" bestFit="1" customWidth="1"/>
    <col min="20" max="20" width="12.5546875" style="1" bestFit="1" customWidth="1"/>
    <col min="21" max="27" width="8.88671875" style="1"/>
    <col min="28" max="28" width="14.21875" style="1" bestFit="1" customWidth="1"/>
    <col min="29" max="29" width="15.109375" style="1" customWidth="1" outlineLevel="1"/>
    <col min="30" max="37" width="15.44140625" style="1" customWidth="1" outlineLevel="1"/>
    <col min="38" max="40" width="14.21875" style="1" customWidth="1" outlineLevel="1"/>
    <col min="41" max="41" width="14.21875" style="1" bestFit="1" customWidth="1"/>
    <col min="42" max="42" width="15.109375" style="1" customWidth="1" outlineLevel="1"/>
    <col min="43" max="50" width="15.44140625" style="1" customWidth="1" outlineLevel="1"/>
    <col min="51" max="53" width="14.21875" style="1" customWidth="1" outlineLevel="1"/>
    <col min="54" max="54" width="14.21875" style="1" bestFit="1" customWidth="1"/>
    <col min="55" max="55" width="15.109375" style="1" customWidth="1" outlineLevel="1"/>
    <col min="56" max="63" width="15.44140625" style="1" customWidth="1" outlineLevel="1"/>
    <col min="64" max="66" width="14.21875" style="1" customWidth="1" outlineLevel="1"/>
    <col min="67" max="67" width="14.6640625" style="1" bestFit="1" customWidth="1"/>
    <col min="68" max="68" width="15.109375" style="1" customWidth="1" outlineLevel="1"/>
    <col min="69" max="76" width="15.44140625" style="1" customWidth="1" outlineLevel="1"/>
    <col min="77" max="79" width="14.6640625" style="1" customWidth="1" outlineLevel="1"/>
    <col min="80" max="80" width="14.6640625" style="1" bestFit="1" customWidth="1"/>
    <col min="81" max="81" width="15.109375" style="1" customWidth="1" outlineLevel="1"/>
    <col min="82" max="89" width="15.44140625" style="1" customWidth="1" outlineLevel="1"/>
    <col min="90" max="92" width="14.6640625" style="1" customWidth="1" outlineLevel="1"/>
    <col min="93" max="93" width="14.6640625" style="1" bestFit="1" customWidth="1"/>
    <col min="94" max="16384" width="8.88671875" style="1"/>
  </cols>
  <sheetData>
    <row r="1" spans="1:93" ht="62.25" customHeight="1"/>
    <row r="2" spans="1:93" ht="21" customHeight="1">
      <c r="A2" s="543" t="str">
        <f>'Summary. Assumptions. Inputs'!A2:G2</f>
        <v>Al Bawader for Greenhouse Plastics</v>
      </c>
      <c r="B2" s="103"/>
      <c r="C2" s="103"/>
      <c r="D2" s="103"/>
    </row>
    <row r="3" spans="1:93" s="104" customFormat="1" ht="21" customHeight="1" thickBot="1">
      <c r="A3" s="230" t="s">
        <v>299</v>
      </c>
      <c r="B3" s="103"/>
      <c r="C3" s="103"/>
      <c r="D3" s="103"/>
      <c r="E3" s="1"/>
      <c r="F3" s="1"/>
      <c r="G3" s="1"/>
      <c r="H3" s="1"/>
      <c r="I3" s="1"/>
      <c r="J3" s="1"/>
      <c r="K3" s="1"/>
      <c r="L3" s="1"/>
      <c r="M3" s="1"/>
      <c r="N3" s="1"/>
      <c r="O3" s="1"/>
      <c r="P3" s="1"/>
      <c r="Q3" s="1"/>
    </row>
    <row r="4" spans="1:93" s="104" customFormat="1" ht="21" customHeight="1" thickTop="1" thickBot="1">
      <c r="A4" s="140" t="str">
        <f>CONCATENATE("Currency:"," ",'Summary. Assumptions. Inputs'!$J$7)</f>
        <v>Currency: USD</v>
      </c>
      <c r="B4" s="105"/>
      <c r="C4" s="105"/>
      <c r="D4" s="105"/>
      <c r="E4" s="106"/>
      <c r="F4" s="106"/>
      <c r="G4" s="106"/>
      <c r="H4" s="106"/>
      <c r="I4" s="106"/>
      <c r="J4" s="1"/>
      <c r="K4" s="1"/>
      <c r="L4" s="1"/>
      <c r="M4" s="1"/>
      <c r="N4" s="1"/>
      <c r="O4" s="1"/>
      <c r="P4" s="1"/>
      <c r="Q4" s="1"/>
    </row>
    <row r="5" spans="1:93" s="107" customFormat="1" ht="42.75" customHeight="1" thickBot="1">
      <c r="A5" s="127" t="s">
        <v>252</v>
      </c>
      <c r="B5" s="127" t="s">
        <v>301</v>
      </c>
      <c r="C5" s="427" t="s">
        <v>347</v>
      </c>
      <c r="D5" s="427" t="s">
        <v>348</v>
      </c>
      <c r="E5" s="427" t="s">
        <v>349</v>
      </c>
      <c r="F5" s="427" t="s">
        <v>350</v>
      </c>
      <c r="G5" s="427" t="s">
        <v>351</v>
      </c>
      <c r="H5" s="427" t="s">
        <v>352</v>
      </c>
      <c r="I5" s="427" t="s">
        <v>353</v>
      </c>
      <c r="J5" s="427" t="s">
        <v>354</v>
      </c>
      <c r="K5" s="427" t="s">
        <v>355</v>
      </c>
      <c r="L5" s="427" t="s">
        <v>356</v>
      </c>
      <c r="M5" s="427" t="s">
        <v>357</v>
      </c>
      <c r="N5" s="427" t="s">
        <v>358</v>
      </c>
      <c r="O5" s="449" t="s">
        <v>359</v>
      </c>
      <c r="P5" s="427" t="s">
        <v>360</v>
      </c>
      <c r="Q5" s="427" t="s">
        <v>361</v>
      </c>
      <c r="R5" s="427" t="s">
        <v>362</v>
      </c>
      <c r="S5" s="427" t="s">
        <v>363</v>
      </c>
      <c r="T5" s="427" t="s">
        <v>364</v>
      </c>
      <c r="U5" s="427" t="s">
        <v>365</v>
      </c>
      <c r="V5" s="427" t="s">
        <v>366</v>
      </c>
      <c r="W5" s="427" t="s">
        <v>367</v>
      </c>
      <c r="X5" s="427" t="s">
        <v>368</v>
      </c>
      <c r="Y5" s="427" t="s">
        <v>369</v>
      </c>
      <c r="Z5" s="427" t="s">
        <v>370</v>
      </c>
      <c r="AA5" s="427" t="s">
        <v>371</v>
      </c>
      <c r="AB5" s="449" t="s">
        <v>372</v>
      </c>
      <c r="AC5" s="427" t="s">
        <v>373</v>
      </c>
      <c r="AD5" s="427" t="s">
        <v>374</v>
      </c>
      <c r="AE5" s="427" t="s">
        <v>375</v>
      </c>
      <c r="AF5" s="427" t="s">
        <v>376</v>
      </c>
      <c r="AG5" s="427" t="s">
        <v>377</v>
      </c>
      <c r="AH5" s="427" t="s">
        <v>378</v>
      </c>
      <c r="AI5" s="427" t="s">
        <v>379</v>
      </c>
      <c r="AJ5" s="427" t="s">
        <v>380</v>
      </c>
      <c r="AK5" s="427" t="s">
        <v>381</v>
      </c>
      <c r="AL5" s="427" t="s">
        <v>382</v>
      </c>
      <c r="AM5" s="427" t="s">
        <v>383</v>
      </c>
      <c r="AN5" s="427" t="s">
        <v>384</v>
      </c>
      <c r="AO5" s="449" t="s">
        <v>385</v>
      </c>
      <c r="AP5" s="427" t="s">
        <v>386</v>
      </c>
      <c r="AQ5" s="427" t="s">
        <v>387</v>
      </c>
      <c r="AR5" s="427" t="s">
        <v>388</v>
      </c>
      <c r="AS5" s="427" t="s">
        <v>389</v>
      </c>
      <c r="AT5" s="427" t="s">
        <v>390</v>
      </c>
      <c r="AU5" s="427" t="s">
        <v>391</v>
      </c>
      <c r="AV5" s="427" t="s">
        <v>392</v>
      </c>
      <c r="AW5" s="427" t="s">
        <v>393</v>
      </c>
      <c r="AX5" s="427" t="s">
        <v>394</v>
      </c>
      <c r="AY5" s="427" t="s">
        <v>395</v>
      </c>
      <c r="AZ5" s="427" t="s">
        <v>396</v>
      </c>
      <c r="BA5" s="427" t="s">
        <v>397</v>
      </c>
      <c r="BB5" s="449" t="s">
        <v>398</v>
      </c>
      <c r="BC5" s="427" t="s">
        <v>399</v>
      </c>
      <c r="BD5" s="427" t="s">
        <v>400</v>
      </c>
      <c r="BE5" s="427" t="s">
        <v>401</v>
      </c>
      <c r="BF5" s="427" t="s">
        <v>402</v>
      </c>
      <c r="BG5" s="427" t="s">
        <v>403</v>
      </c>
      <c r="BH5" s="427" t="s">
        <v>404</v>
      </c>
      <c r="BI5" s="427" t="s">
        <v>405</v>
      </c>
      <c r="BJ5" s="427" t="s">
        <v>406</v>
      </c>
      <c r="BK5" s="427" t="s">
        <v>407</v>
      </c>
      <c r="BL5" s="427" t="s">
        <v>408</v>
      </c>
      <c r="BM5" s="427" t="s">
        <v>409</v>
      </c>
      <c r="BN5" s="427" t="s">
        <v>410</v>
      </c>
      <c r="BO5" s="449" t="s">
        <v>411</v>
      </c>
      <c r="BP5" s="427" t="s">
        <v>412</v>
      </c>
      <c r="BQ5" s="427" t="s">
        <v>413</v>
      </c>
      <c r="BR5" s="427" t="s">
        <v>414</v>
      </c>
      <c r="BS5" s="427" t="s">
        <v>415</v>
      </c>
      <c r="BT5" s="427" t="s">
        <v>416</v>
      </c>
      <c r="BU5" s="427" t="s">
        <v>417</v>
      </c>
      <c r="BV5" s="427" t="s">
        <v>418</v>
      </c>
      <c r="BW5" s="427" t="s">
        <v>419</v>
      </c>
      <c r="BX5" s="427" t="s">
        <v>420</v>
      </c>
      <c r="BY5" s="427" t="s">
        <v>421</v>
      </c>
      <c r="BZ5" s="427" t="s">
        <v>422</v>
      </c>
      <c r="CA5" s="427" t="s">
        <v>423</v>
      </c>
      <c r="CB5" s="449" t="s">
        <v>424</v>
      </c>
      <c r="CC5" s="427" t="s">
        <v>425</v>
      </c>
      <c r="CD5" s="427" t="s">
        <v>426</v>
      </c>
      <c r="CE5" s="427" t="s">
        <v>427</v>
      </c>
      <c r="CF5" s="427" t="s">
        <v>428</v>
      </c>
      <c r="CG5" s="427" t="s">
        <v>429</v>
      </c>
      <c r="CH5" s="427" t="s">
        <v>430</v>
      </c>
      <c r="CI5" s="427" t="s">
        <v>431</v>
      </c>
      <c r="CJ5" s="427" t="s">
        <v>432</v>
      </c>
      <c r="CK5" s="427" t="s">
        <v>433</v>
      </c>
      <c r="CL5" s="427" t="s">
        <v>434</v>
      </c>
      <c r="CM5" s="427" t="s">
        <v>435</v>
      </c>
      <c r="CN5" s="427" t="s">
        <v>436</v>
      </c>
      <c r="CO5" s="449" t="s">
        <v>437</v>
      </c>
    </row>
    <row r="6" spans="1:93" s="107" customFormat="1" ht="24.95" customHeight="1" thickBot="1">
      <c r="A6" s="122" t="s">
        <v>245</v>
      </c>
      <c r="B6" s="125"/>
      <c r="C6" s="516">
        <f t="shared" ref="C6:N6" ca="1" si="0">B30</f>
        <v>0</v>
      </c>
      <c r="D6" s="516">
        <f t="shared" ca="1" si="0"/>
        <v>0</v>
      </c>
      <c r="E6" s="516">
        <f t="shared" ca="1" si="0"/>
        <v>0</v>
      </c>
      <c r="F6" s="516">
        <f t="shared" ca="1" si="0"/>
        <v>70675.758263160242</v>
      </c>
      <c r="G6" s="516">
        <f t="shared" ca="1" si="0"/>
        <v>142651.51652632048</v>
      </c>
      <c r="H6" s="516">
        <f t="shared" ca="1" si="0"/>
        <v>213327.27478948073</v>
      </c>
      <c r="I6" s="516">
        <f t="shared" ca="1" si="0"/>
        <v>284003.03305264097</v>
      </c>
      <c r="J6" s="516">
        <f t="shared" ca="1" si="0"/>
        <v>354678.79131580121</v>
      </c>
      <c r="K6" s="516">
        <f t="shared" ca="1" si="0"/>
        <v>425354.54957896145</v>
      </c>
      <c r="L6" s="516">
        <f t="shared" ca="1" si="0"/>
        <v>496030.30784212169</v>
      </c>
      <c r="M6" s="516">
        <f t="shared" ca="1" si="0"/>
        <v>566706.06610528193</v>
      </c>
      <c r="N6" s="517">
        <f t="shared" ca="1" si="0"/>
        <v>637381.82436844218</v>
      </c>
      <c r="O6" s="544"/>
      <c r="P6" s="535">
        <f ca="1">N30</f>
        <v>708057.58263160242</v>
      </c>
      <c r="Q6" s="516">
        <f t="shared" ref="Q6:AA6" ca="1" si="1">P30</f>
        <v>694501.72999876272</v>
      </c>
      <c r="R6" s="516">
        <f t="shared" ca="1" si="1"/>
        <v>738604.00611592294</v>
      </c>
      <c r="S6" s="516">
        <f t="shared" ca="1" si="1"/>
        <v>840364.4109830833</v>
      </c>
      <c r="T6" s="516">
        <f t="shared" ca="1" si="1"/>
        <v>942124.81585024344</v>
      </c>
      <c r="U6" s="516">
        <f t="shared" ca="1" si="1"/>
        <v>1043885.2207174036</v>
      </c>
      <c r="V6" s="516">
        <f t="shared" ca="1" si="1"/>
        <v>1145645.6255845637</v>
      </c>
      <c r="W6" s="516">
        <f t="shared" ca="1" si="1"/>
        <v>1247406.0304517238</v>
      </c>
      <c r="X6" s="516">
        <f t="shared" ca="1" si="1"/>
        <v>1349166.435318884</v>
      </c>
      <c r="Y6" s="516">
        <f t="shared" ca="1" si="1"/>
        <v>1450926.8401860441</v>
      </c>
      <c r="Z6" s="516">
        <f t="shared" ca="1" si="1"/>
        <v>1552687.2450532042</v>
      </c>
      <c r="AA6" s="516">
        <f t="shared" ca="1" si="1"/>
        <v>1654447.6499203644</v>
      </c>
      <c r="AB6" s="544"/>
      <c r="AC6" s="516">
        <f ca="1">AA30</f>
        <v>1756208.0547875245</v>
      </c>
      <c r="AD6" s="516">
        <f t="shared" ref="AD6:AN6" ca="1" si="2">AC30</f>
        <v>1765603.6457106846</v>
      </c>
      <c r="AE6" s="516">
        <f t="shared" ca="1" si="2"/>
        <v>1838330.5547588451</v>
      </c>
      <c r="AF6" s="516">
        <f t="shared" ca="1" si="2"/>
        <v>1974388.7819320054</v>
      </c>
      <c r="AG6" s="516">
        <f t="shared" ca="1" si="2"/>
        <v>2110447.0091051655</v>
      </c>
      <c r="AH6" s="516">
        <f t="shared" ca="1" si="2"/>
        <v>2246505.2362783253</v>
      </c>
      <c r="AI6" s="516">
        <f t="shared" ca="1" si="2"/>
        <v>2382563.4634514851</v>
      </c>
      <c r="AJ6" s="516">
        <f t="shared" ca="1" si="2"/>
        <v>2518621.690624645</v>
      </c>
      <c r="AK6" s="516">
        <f t="shared" ca="1" si="2"/>
        <v>2654679.9177978048</v>
      </c>
      <c r="AL6" s="516">
        <f t="shared" ca="1" si="2"/>
        <v>2790738.1449709646</v>
      </c>
      <c r="AM6" s="516">
        <f t="shared" ca="1" si="2"/>
        <v>2926796.3721441245</v>
      </c>
      <c r="AN6" s="516">
        <f t="shared" ca="1" si="2"/>
        <v>3062854.5993172843</v>
      </c>
      <c r="AO6" s="544"/>
      <c r="AP6" s="516">
        <f ca="1">AN30</f>
        <v>3198912.8264904441</v>
      </c>
      <c r="AQ6" s="516">
        <f ca="1">AP30</f>
        <v>3233806.6629136046</v>
      </c>
      <c r="AR6" s="516">
        <f t="shared" ref="AR6:BA6" ca="1" si="3">AQ30</f>
        <v>3338168.1243367651</v>
      </c>
      <c r="AS6" s="516">
        <f t="shared" ca="1" si="3"/>
        <v>3511997.2107599257</v>
      </c>
      <c r="AT6" s="516">
        <f t="shared" ca="1" si="3"/>
        <v>3685826.2971830862</v>
      </c>
      <c r="AU6" s="516">
        <f t="shared" ca="1" si="3"/>
        <v>3859655.3836062467</v>
      </c>
      <c r="AV6" s="516">
        <f t="shared" ca="1" si="3"/>
        <v>4033484.4700294072</v>
      </c>
      <c r="AW6" s="516">
        <f t="shared" ca="1" si="3"/>
        <v>4207313.5564525677</v>
      </c>
      <c r="AX6" s="516">
        <f t="shared" ca="1" si="3"/>
        <v>4381142.6428757282</v>
      </c>
      <c r="AY6" s="516">
        <f t="shared" ca="1" si="3"/>
        <v>4554971.7292988887</v>
      </c>
      <c r="AZ6" s="516">
        <f t="shared" ca="1" si="3"/>
        <v>4728800.8157220492</v>
      </c>
      <c r="BA6" s="516">
        <f t="shared" ca="1" si="3"/>
        <v>4902629.9021452097</v>
      </c>
      <c r="BB6" s="544"/>
      <c r="BC6" s="516">
        <f ca="1">BA30</f>
        <v>5076458.9885683702</v>
      </c>
      <c r="BD6" s="516">
        <f t="shared" ref="BD6:BN6" ca="1" si="4">BC30</f>
        <v>5139591.5131767308</v>
      </c>
      <c r="BE6" s="516">
        <f t="shared" ca="1" si="4"/>
        <v>5278837.3989100913</v>
      </c>
      <c r="BF6" s="516">
        <f t="shared" ca="1" si="4"/>
        <v>5494196.6457684515</v>
      </c>
      <c r="BG6" s="516">
        <f t="shared" ca="1" si="4"/>
        <v>5709555.8926268118</v>
      </c>
      <c r="BH6" s="516">
        <f t="shared" ca="1" si="4"/>
        <v>5924915.139485172</v>
      </c>
      <c r="BI6" s="516">
        <f t="shared" ca="1" si="4"/>
        <v>6140274.3863435322</v>
      </c>
      <c r="BJ6" s="516">
        <f t="shared" ca="1" si="4"/>
        <v>6355633.6332018925</v>
      </c>
      <c r="BK6" s="516">
        <f t="shared" ca="1" si="4"/>
        <v>6570992.8800602527</v>
      </c>
      <c r="BL6" s="516">
        <f t="shared" ca="1" si="4"/>
        <v>6786352.126918613</v>
      </c>
      <c r="BM6" s="516">
        <f t="shared" ca="1" si="4"/>
        <v>7001711.3737769732</v>
      </c>
      <c r="BN6" s="516">
        <f t="shared" ca="1" si="4"/>
        <v>7217070.6206353335</v>
      </c>
      <c r="BO6" s="544"/>
      <c r="BP6" s="516">
        <f ca="1">BN30</f>
        <v>7432429.8674936937</v>
      </c>
      <c r="BQ6" s="516">
        <f t="shared" ref="BQ6" ca="1" si="5">BP30</f>
        <v>7526761.1259086039</v>
      </c>
      <c r="BR6" s="516">
        <f t="shared" ref="BR6" ca="1" si="6">BQ30</f>
        <v>7704407.222573515</v>
      </c>
      <c r="BS6" s="516">
        <f t="shared" ref="BS6" ca="1" si="7">BR30</f>
        <v>7965368.1574884262</v>
      </c>
      <c r="BT6" s="516">
        <f t="shared" ref="BT6" ca="1" si="8">BS30</f>
        <v>8226329.0924033374</v>
      </c>
      <c r="BU6" s="516">
        <f t="shared" ref="BU6" ca="1" si="9">BT30</f>
        <v>8487290.0273182485</v>
      </c>
      <c r="BV6" s="516">
        <f t="shared" ref="BV6" ca="1" si="10">BU30</f>
        <v>8748250.9622331597</v>
      </c>
      <c r="BW6" s="516">
        <f t="shared" ref="BW6" ca="1" si="11">BV30</f>
        <v>9009211.8971480709</v>
      </c>
      <c r="BX6" s="516">
        <f t="shared" ref="BX6" ca="1" si="12">BW30</f>
        <v>9270172.832062982</v>
      </c>
      <c r="BY6" s="516">
        <f t="shared" ref="BY6" ca="1" si="13">BX30</f>
        <v>9531133.7669778932</v>
      </c>
      <c r="BZ6" s="516">
        <f t="shared" ref="BZ6" ca="1" si="14">BY30</f>
        <v>9792094.7018928044</v>
      </c>
      <c r="CA6" s="516">
        <f t="shared" ref="CA6" ca="1" si="15">BZ30</f>
        <v>10053055.636807716</v>
      </c>
      <c r="CB6" s="544"/>
      <c r="CC6" s="516">
        <f ca="1">CA30</f>
        <v>10314016.571722627</v>
      </c>
      <c r="CD6" s="516">
        <f t="shared" ref="CD6" ca="1" si="16">CC30</f>
        <v>10508298.368985251</v>
      </c>
      <c r="CE6" s="516">
        <f t="shared" ref="CE6" ca="1" si="17">CD30</f>
        <v>10744422.832372874</v>
      </c>
      <c r="CF6" s="516">
        <f t="shared" ref="CF6" ca="1" si="18">CE30</f>
        <v>11022389.961885497</v>
      </c>
      <c r="CG6" s="516">
        <f t="shared" ref="CG6" ca="1" si="19">CF30</f>
        <v>11300357.09139812</v>
      </c>
      <c r="CH6" s="516">
        <f t="shared" ref="CH6" ca="1" si="20">CG30</f>
        <v>11578324.220910743</v>
      </c>
      <c r="CI6" s="516">
        <f t="shared" ref="CI6" ca="1" si="21">CH30</f>
        <v>11856291.350423366</v>
      </c>
      <c r="CJ6" s="516">
        <f t="shared" ref="CJ6" ca="1" si="22">CI30</f>
        <v>12134258.479935989</v>
      </c>
      <c r="CK6" s="516">
        <f t="shared" ref="CK6" ca="1" si="23">CJ30</f>
        <v>12412225.609448612</v>
      </c>
      <c r="CL6" s="516">
        <f t="shared" ref="CL6" ca="1" si="24">CK30</f>
        <v>12690192.738961235</v>
      </c>
      <c r="CM6" s="516">
        <f t="shared" ref="CM6" ca="1" si="25">CL30</f>
        <v>12968159.868473858</v>
      </c>
      <c r="CN6" s="516">
        <f t="shared" ref="CN6" ca="1" si="26">CM30</f>
        <v>13246126.997986481</v>
      </c>
      <c r="CO6" s="544"/>
    </row>
    <row r="7" spans="1:93" s="107" customFormat="1" ht="24.95" customHeight="1">
      <c r="A7" s="123" t="s">
        <v>330</v>
      </c>
      <c r="B7" s="116"/>
      <c r="C7" s="116"/>
      <c r="D7" s="116"/>
      <c r="E7" s="116"/>
      <c r="F7" s="116"/>
      <c r="G7" s="116"/>
      <c r="H7" s="116"/>
      <c r="I7" s="116"/>
      <c r="J7" s="116"/>
      <c r="K7" s="116"/>
      <c r="L7" s="116"/>
      <c r="M7" s="116"/>
      <c r="N7" s="117"/>
      <c r="O7" s="445"/>
      <c r="P7" s="441"/>
      <c r="Q7" s="116"/>
      <c r="R7" s="116"/>
      <c r="S7" s="116"/>
      <c r="T7" s="116"/>
      <c r="U7" s="116"/>
      <c r="V7" s="116"/>
      <c r="W7" s="116"/>
      <c r="X7" s="116"/>
      <c r="Y7" s="116"/>
      <c r="Z7" s="116"/>
      <c r="AA7" s="116"/>
      <c r="AB7" s="445"/>
      <c r="AC7" s="116"/>
      <c r="AD7" s="116"/>
      <c r="AE7" s="116"/>
      <c r="AF7" s="116"/>
      <c r="AG7" s="116"/>
      <c r="AH7" s="116"/>
      <c r="AI7" s="116"/>
      <c r="AJ7" s="116"/>
      <c r="AK7" s="116"/>
      <c r="AL7" s="116"/>
      <c r="AM7" s="116"/>
      <c r="AN7" s="116"/>
      <c r="AO7" s="445"/>
      <c r="AP7" s="116"/>
      <c r="AQ7" s="116"/>
      <c r="AR7" s="116"/>
      <c r="AS7" s="116"/>
      <c r="AT7" s="116"/>
      <c r="AU7" s="116"/>
      <c r="AV7" s="116"/>
      <c r="AW7" s="116"/>
      <c r="AX7" s="116"/>
      <c r="AY7" s="116"/>
      <c r="AZ7" s="116"/>
      <c r="BA7" s="116"/>
      <c r="BB7" s="445"/>
      <c r="BC7" s="116"/>
      <c r="BD7" s="116"/>
      <c r="BE7" s="116"/>
      <c r="BF7" s="116"/>
      <c r="BG7" s="116"/>
      <c r="BH7" s="116"/>
      <c r="BI7" s="116"/>
      <c r="BJ7" s="116"/>
      <c r="BK7" s="116"/>
      <c r="BL7" s="116"/>
      <c r="BM7" s="116"/>
      <c r="BN7" s="116"/>
      <c r="BO7" s="445"/>
      <c r="BP7" s="116"/>
      <c r="BQ7" s="116"/>
      <c r="BR7" s="116"/>
      <c r="BS7" s="116"/>
      <c r="BT7" s="116"/>
      <c r="BU7" s="116"/>
      <c r="BV7" s="116"/>
      <c r="BW7" s="116"/>
      <c r="BX7" s="116"/>
      <c r="BY7" s="116"/>
      <c r="BZ7" s="116"/>
      <c r="CA7" s="116"/>
      <c r="CB7" s="445"/>
      <c r="CC7" s="116"/>
      <c r="CD7" s="116"/>
      <c r="CE7" s="116"/>
      <c r="CF7" s="116"/>
      <c r="CG7" s="116"/>
      <c r="CH7" s="116"/>
      <c r="CI7" s="116"/>
      <c r="CJ7" s="116"/>
      <c r="CK7" s="116"/>
      <c r="CL7" s="116"/>
      <c r="CM7" s="116"/>
      <c r="CN7" s="116"/>
      <c r="CO7" s="445"/>
    </row>
    <row r="8" spans="1:93" s="104" customFormat="1" ht="24.95" customHeight="1">
      <c r="A8" s="124" t="s">
        <v>331</v>
      </c>
      <c r="B8" s="518"/>
      <c r="C8" s="518">
        <f ca="1">'Sales Volume, Cost of Productio'!D96*'Summary. Assumptions. Inputs'!$C$32</f>
        <v>0</v>
      </c>
      <c r="D8" s="518">
        <f ca="1">'Sales Volume, Cost of Productio'!E96*'Summary. Assumptions. Inputs'!$C$32+'Sales Volume, Cost of Productio'!D96*'Summary. Assumptions. Inputs'!$C$33</f>
        <v>347338.125</v>
      </c>
      <c r="E8" s="518">
        <f ca="1">'Sales Volume, Cost of Productio'!F96*'Summary. Assumptions. Inputs'!$C$32+'Sales Volume, Cost of Productio'!E96*'Summary. Assumptions. Inputs'!$C$33+'Sales Volume, Cost of Productio'!D96*'Summary. Assumptions. Inputs'!$C$34</f>
        <v>694676.25</v>
      </c>
      <c r="F8" s="518">
        <f ca="1">'Sales Volume, Cost of Productio'!G96*'Summary. Assumptions. Inputs'!$C$32+'Sales Volume, Cost of Productio'!F96*'Summary. Assumptions. Inputs'!$C$33+'Sales Volume, Cost of Productio'!E96*'Summary. Assumptions. Inputs'!$C$34+'Sales Volume, Cost of Productio'!D96*'Summary. Assumptions. Inputs'!$C$35</f>
        <v>694676.25</v>
      </c>
      <c r="G8" s="518">
        <f ca="1">'Sales Volume, Cost of Productio'!H96*'Summary. Assumptions. Inputs'!$C$32+'Sales Volume, Cost of Productio'!G96*'Summary. Assumptions. Inputs'!$C$33+'Sales Volume, Cost of Productio'!F96*'Summary. Assumptions. Inputs'!$C$34+'Sales Volume, Cost of Productio'!E96*'Summary. Assumptions. Inputs'!$C$35+'Sales Volume, Cost of Productio'!D96*'Summary. Assumptions. Inputs'!$C$36</f>
        <v>694676.25</v>
      </c>
      <c r="H8" s="518">
        <f ca="1">'Sales Volume, Cost of Productio'!I96*'Summary. Assumptions. Inputs'!$C$32+'Sales Volume, Cost of Productio'!H96*'Summary. Assumptions. Inputs'!$C$33+'Sales Volume, Cost of Productio'!G96*'Summary. Assumptions. Inputs'!$C$34+'Sales Volume, Cost of Productio'!F96*'Summary. Assumptions. Inputs'!$C$35+'Sales Volume, Cost of Productio'!E96*'Summary. Assumptions. Inputs'!$C$36+'Sales Volume, Cost of Productio'!D96*'Summary. Assumptions. Inputs'!$C$37</f>
        <v>694676.25</v>
      </c>
      <c r="I8" s="518">
        <f ca="1">'Sales Volume, Cost of Productio'!J96*'Summary. Assumptions. Inputs'!$C$32+'Sales Volume, Cost of Productio'!I96*'Summary. Assumptions. Inputs'!$C$33+'Sales Volume, Cost of Productio'!H96*'Summary. Assumptions. Inputs'!$C$34+'Sales Volume, Cost of Productio'!G96*'Summary. Assumptions. Inputs'!$C$35+'Sales Volume, Cost of Productio'!F96*'Summary. Assumptions. Inputs'!$C$36+'Sales Volume, Cost of Productio'!E96*'Summary. Assumptions. Inputs'!$C$37</f>
        <v>694676.25</v>
      </c>
      <c r="J8" s="518">
        <f ca="1">'Sales Volume, Cost of Productio'!K96*'Summary. Assumptions. Inputs'!$C$32+'Sales Volume, Cost of Productio'!J96*'Summary. Assumptions. Inputs'!$C$33+'Sales Volume, Cost of Productio'!I96*'Summary. Assumptions. Inputs'!$C$34+'Sales Volume, Cost of Productio'!H96*'Summary. Assumptions. Inputs'!$C$35+'Sales Volume, Cost of Productio'!G96*'Summary. Assumptions. Inputs'!$C$36+'Sales Volume, Cost of Productio'!F96*'Summary. Assumptions. Inputs'!$C$37</f>
        <v>694676.25</v>
      </c>
      <c r="K8" s="518">
        <f ca="1">'Sales Volume, Cost of Productio'!L96*'Summary. Assumptions. Inputs'!$C$32+'Sales Volume, Cost of Productio'!K96*'Summary. Assumptions. Inputs'!$C$33+'Sales Volume, Cost of Productio'!J96*'Summary. Assumptions. Inputs'!$C$34+'Sales Volume, Cost of Productio'!I96*'Summary. Assumptions. Inputs'!$C$35+'Sales Volume, Cost of Productio'!H96*'Summary. Assumptions. Inputs'!$C$36+'Sales Volume, Cost of Productio'!G96*'Summary. Assumptions. Inputs'!$C$37</f>
        <v>694676.25</v>
      </c>
      <c r="L8" s="518">
        <f ca="1">'Sales Volume, Cost of Productio'!M96*'Summary. Assumptions. Inputs'!$C$32+'Sales Volume, Cost of Productio'!L96*'Summary. Assumptions. Inputs'!$C$33+'Sales Volume, Cost of Productio'!K96*'Summary. Assumptions. Inputs'!$C$34+'Sales Volume, Cost of Productio'!J96*'Summary. Assumptions. Inputs'!$C$35+'Sales Volume, Cost of Productio'!I96*'Summary. Assumptions. Inputs'!$C$36+'Sales Volume, Cost of Productio'!H96*'Summary. Assumptions. Inputs'!$C$37</f>
        <v>694676.25</v>
      </c>
      <c r="M8" s="518">
        <f ca="1">'Sales Volume, Cost of Productio'!N96*'Summary. Assumptions. Inputs'!$C$32+'Sales Volume, Cost of Productio'!M96*'Summary. Assumptions. Inputs'!$C$33+'Sales Volume, Cost of Productio'!L96*'Summary. Assumptions. Inputs'!$C$34+'Sales Volume, Cost of Productio'!K96*'Summary. Assumptions. Inputs'!$C$35+'Sales Volume, Cost of Productio'!J96*'Summary. Assumptions. Inputs'!$C$36+'Sales Volume, Cost of Productio'!I96*'Summary. Assumptions. Inputs'!$C$37</f>
        <v>694676.25</v>
      </c>
      <c r="N8" s="519">
        <f ca="1">'Sales Volume, Cost of Productio'!O96*'Summary. Assumptions. Inputs'!$C$32+'Sales Volume, Cost of Productio'!N96*'Summary. Assumptions. Inputs'!$C$33+'Sales Volume, Cost of Productio'!M96*'Summary. Assumptions. Inputs'!$C$34+'Sales Volume, Cost of Productio'!L96*'Summary. Assumptions. Inputs'!$C$35+'Sales Volume, Cost of Productio'!K96*'Summary. Assumptions. Inputs'!$C$36+'Sales Volume, Cost of Productio'!J96*'Summary. Assumptions. Inputs'!$C$37</f>
        <v>694676.25</v>
      </c>
      <c r="O8" s="545">
        <f ca="1">SUM('Cashflow Projection &amp; Investme'!$B8:$N8)</f>
        <v>7294100.625</v>
      </c>
      <c r="P8" s="536">
        <f ca="1">'Sales Volume, Cost of Productio'!Q96*'Summary. Assumptions. Inputs'!$C$32+'Sales Volume, Cost of Productio'!O96*'Summary. Assumptions. Inputs'!$C$33+'Sales Volume, Cost of Productio'!L96*'Summary. Assumptions. Inputs'!$C$34+'Sales Volume, Cost of Productio'!N96*'Summary. Assumptions. Inputs'!$C$35+'Sales Volume, Cost of Productio'!M96*'Summary. Assumptions. Inputs'!$C$36</f>
        <v>694676.25</v>
      </c>
      <c r="Q8" s="536">
        <f ca="1">'Sales Volume, Cost of Productio'!R96*'Summary. Assumptions. Inputs'!$C$32+'Sales Volume, Cost of Productio'!Q96*'Summary. Assumptions. Inputs'!$C$33+'Sales Volume, Cost of Productio'!O96*'Summary. Assumptions. Inputs'!$C$34+'Sales Volume, Cost of Productio'!L96*'Summary. Assumptions. Inputs'!$C$35+'Sales Volume, Cost of Productio'!N96*'Summary. Assumptions. Inputs'!$C$36</f>
        <v>752334.37874999992</v>
      </c>
      <c r="R8" s="536">
        <f ca="1">'Sales Volume, Cost of Productio'!S96*'Summary. Assumptions. Inputs'!$C$32+'Sales Volume, Cost of Productio'!R96*'Summary. Assumptions. Inputs'!$C$33+'Sales Volume, Cost of Productio'!Q96*'Summary. Assumptions. Inputs'!$C$34+'Sales Volume, Cost of Productio'!O96*'Summary. Assumptions. Inputs'!$C$35+'Sales Volume, Cost of Productio'!L96*'Summary. Assumptions. Inputs'!$C$36</f>
        <v>809992.50749999995</v>
      </c>
      <c r="S8" s="536">
        <f ca="1">'Sales Volume, Cost of Productio'!T96*'Summary. Assumptions. Inputs'!$C$32+'Sales Volume, Cost of Productio'!S96*'Summary. Assumptions. Inputs'!$C$33+'Sales Volume, Cost of Productio'!R96*'Summary. Assumptions. Inputs'!$C$34+'Sales Volume, Cost of Productio'!Q96*'Summary. Assumptions. Inputs'!$C$35+'Sales Volume, Cost of Productio'!O96*'Summary. Assumptions. Inputs'!$C$36</f>
        <v>809992.50749999995</v>
      </c>
      <c r="T8" s="536">
        <f ca="1">'Sales Volume, Cost of Productio'!U96*'Summary. Assumptions. Inputs'!$C$32+'Sales Volume, Cost of Productio'!T96*'Summary. Assumptions. Inputs'!$C$33+'Sales Volume, Cost of Productio'!S96*'Summary. Assumptions. Inputs'!$C$34+'Sales Volume, Cost of Productio'!R96*'Summary. Assumptions. Inputs'!$C$35+'Sales Volume, Cost of Productio'!P96*'Summary. Assumptions. Inputs'!$C$36</f>
        <v>809992.50749999995</v>
      </c>
      <c r="U8" s="536">
        <f ca="1">'Sales Volume, Cost of Productio'!V96*'Summary. Assumptions. Inputs'!$C$32+'Sales Volume, Cost of Productio'!U96*'Summary. Assumptions. Inputs'!$C$33+'Sales Volume, Cost of Productio'!T96*'Summary. Assumptions. Inputs'!$C$34+'Sales Volume, Cost of Productio'!S96*'Summary. Assumptions. Inputs'!$C$35+'Sales Volume, Cost of Productio'!Q96*'Summary. Assumptions. Inputs'!$C$36</f>
        <v>809992.50749999995</v>
      </c>
      <c r="V8" s="536">
        <f ca="1">'Sales Volume, Cost of Productio'!W96*'Summary. Assumptions. Inputs'!$C$32+'Sales Volume, Cost of Productio'!V96*'Summary. Assumptions. Inputs'!$C$33+'Sales Volume, Cost of Productio'!U96*'Summary. Assumptions. Inputs'!$C$34+'Sales Volume, Cost of Productio'!T96*'Summary. Assumptions. Inputs'!$C$35+'Sales Volume, Cost of Productio'!R96*'Summary. Assumptions. Inputs'!$C$36</f>
        <v>809992.50749999995</v>
      </c>
      <c r="W8" s="536">
        <f ca="1">'Sales Volume, Cost of Productio'!X96*'Summary. Assumptions. Inputs'!$C$32+'Sales Volume, Cost of Productio'!W96*'Summary. Assumptions. Inputs'!$C$33+'Sales Volume, Cost of Productio'!V96*'Summary. Assumptions. Inputs'!$C$34+'Sales Volume, Cost of Productio'!U96*'Summary. Assumptions. Inputs'!$C$35+'Sales Volume, Cost of Productio'!S96*'Summary. Assumptions. Inputs'!$C$36</f>
        <v>809992.50749999995</v>
      </c>
      <c r="X8" s="536">
        <f ca="1">'Sales Volume, Cost of Productio'!Y96*'Summary. Assumptions. Inputs'!$C$32+'Sales Volume, Cost of Productio'!X96*'Summary. Assumptions. Inputs'!$C$33+'Sales Volume, Cost of Productio'!W96*'Summary. Assumptions. Inputs'!$C$34+'Sales Volume, Cost of Productio'!V96*'Summary. Assumptions. Inputs'!$C$35+'Sales Volume, Cost of Productio'!T96*'Summary. Assumptions. Inputs'!$C$36</f>
        <v>809992.50749999995</v>
      </c>
      <c r="Y8" s="536">
        <f ca="1">'Sales Volume, Cost of Productio'!Z96*'Summary. Assumptions. Inputs'!$C$32+'Sales Volume, Cost of Productio'!Y96*'Summary. Assumptions. Inputs'!$C$33+'Sales Volume, Cost of Productio'!X96*'Summary. Assumptions. Inputs'!$C$34+'Sales Volume, Cost of Productio'!W96*'Summary. Assumptions. Inputs'!$C$35+'Sales Volume, Cost of Productio'!U96*'Summary. Assumptions. Inputs'!$C$36</f>
        <v>809992.50749999995</v>
      </c>
      <c r="Z8" s="536">
        <f ca="1">'Sales Volume, Cost of Productio'!AA96*'Summary. Assumptions. Inputs'!$C$32+'Sales Volume, Cost of Productio'!Z96*'Summary. Assumptions. Inputs'!$C$33+'Sales Volume, Cost of Productio'!Y96*'Summary. Assumptions. Inputs'!$C$34+'Sales Volume, Cost of Productio'!X96*'Summary. Assumptions. Inputs'!$C$35+'Sales Volume, Cost of Productio'!V96*'Summary. Assumptions. Inputs'!$C$36</f>
        <v>809992.50749999995</v>
      </c>
      <c r="AA8" s="536">
        <f ca="1">'Sales Volume, Cost of Productio'!AB96*'Summary. Assumptions. Inputs'!$C$32+'Sales Volume, Cost of Productio'!AA96*'Summary. Assumptions. Inputs'!$C$33+'Sales Volume, Cost of Productio'!Z96*'Summary. Assumptions. Inputs'!$C$34+'Sales Volume, Cost of Productio'!Y96*'Summary. Assumptions. Inputs'!$C$35+'Sales Volume, Cost of Productio'!W96*'Summary. Assumptions. Inputs'!$C$36</f>
        <v>809992.50749999995</v>
      </c>
      <c r="AB8" s="545">
        <f ca="1">SUM(P8:AA8)</f>
        <v>9546935.7037500013</v>
      </c>
      <c r="AC8" s="518">
        <f ca="1">'Sales Volume, Cost of Productio'!AD96*'Summary. Assumptions. Inputs'!$C$32+'Sales Volume, Cost of Productio'!AB96*'Summary. Assumptions. Inputs'!$C$33+'Sales Volume, Cost of Productio'!AA96*'Summary. Assumptions. Inputs'!$C$34+'Sales Volume, Cost of Productio'!Z96*'Summary. Assumptions. Inputs'!$C$35+'Sales Volume, Cost of Productio'!Y96*'Summary. Assumptions. Inputs'!$C$36+'Sales Volume, Cost of Productio'!X96*'Summary. Assumptions. Inputs'!$C$37</f>
        <v>809992.50749999995</v>
      </c>
      <c r="AD8" s="518">
        <f ca="1">'Sales Volume, Cost of Productio'!AE96*'Summary. Assumptions. Inputs'!$C$32+'Sales Volume, Cost of Productio'!AD96*'Summary. Assumptions. Inputs'!$C$33+'Sales Volume, Cost of Productio'!AB96*'Summary. Assumptions. Inputs'!$C$34+'Sales Volume, Cost of Productio'!AA96*'Summary. Assumptions. Inputs'!$C$35+'Sales Volume, Cost of Productio'!AB96*'Summary. Assumptions. Inputs'!$C$36+'Sales Volume, Cost of Productio'!Z96*'Summary. Assumptions. Inputs'!$C$37</f>
        <v>873323.82562500006</v>
      </c>
      <c r="AE8" s="518">
        <f ca="1">'Sales Volume, Cost of Productio'!AF96*'Summary. Assumptions. Inputs'!$C$32+'Sales Volume, Cost of Productio'!AE96*'Summary. Assumptions. Inputs'!$C$33+'Sales Volume, Cost of Productio'!AD96*'Summary. Assumptions. Inputs'!$C$34+'Sales Volume, Cost of Productio'!AB96*'Summary. Assumptions. Inputs'!$C$35+'Sales Volume, Cost of Productio'!AA96*'Summary. Assumptions. Inputs'!$C$36+'Sales Volume, Cost of Productio'!Z96*'Summary. Assumptions. Inputs'!$C$37</f>
        <v>936655.14375000005</v>
      </c>
      <c r="AF8" s="518">
        <f ca="1">'Sales Volume, Cost of Productio'!AG96*'Summary. Assumptions. Inputs'!$C$32+'Sales Volume, Cost of Productio'!AF96*'Summary. Assumptions. Inputs'!$C$33+'Sales Volume, Cost of Productio'!AE96*'Summary. Assumptions. Inputs'!$C$34+'Sales Volume, Cost of Productio'!AD96*'Summary. Assumptions. Inputs'!$C$35+'Sales Volume, Cost of Productio'!AB96*'Summary. Assumptions. Inputs'!$C$36+'Sales Volume, Cost of Productio'!AA96*'Summary. Assumptions. Inputs'!$C$37</f>
        <v>936655.14375000005</v>
      </c>
      <c r="AG8" s="518">
        <f ca="1">'Sales Volume, Cost of Productio'!AH96*'Summary. Assumptions. Inputs'!$C$32+'Sales Volume, Cost of Productio'!AG96*'Summary. Assumptions. Inputs'!$C$33+'Sales Volume, Cost of Productio'!AF96*'Summary. Assumptions. Inputs'!$C$34+'Sales Volume, Cost of Productio'!AE96*'Summary. Assumptions. Inputs'!$C$35+'Sales Volume, Cost of Productio'!AD96*'Summary. Assumptions. Inputs'!$C$36+'Sales Volume, Cost of Productio'!AB96*'Summary. Assumptions. Inputs'!$C$37</f>
        <v>936655.14375000005</v>
      </c>
      <c r="AH8" s="518">
        <f ca="1">'Sales Volume, Cost of Productio'!AI96*'Summary. Assumptions. Inputs'!$C$32+'Sales Volume, Cost of Productio'!AH96*'Summary. Assumptions. Inputs'!$C$33+'Sales Volume, Cost of Productio'!AG96*'Summary. Assumptions. Inputs'!$C$34+'Sales Volume, Cost of Productio'!AF96*'Summary. Assumptions. Inputs'!$C$35+'Sales Volume, Cost of Productio'!AE96*'Summary. Assumptions. Inputs'!$C$36+'Sales Volume, Cost of Productio'!AD96*'Summary. Assumptions. Inputs'!$C$37</f>
        <v>936655.14375000005</v>
      </c>
      <c r="AI8" s="518">
        <f ca="1">'Sales Volume, Cost of Productio'!AJ96*'Summary. Assumptions. Inputs'!$C$32+'Sales Volume, Cost of Productio'!AI96*'Summary. Assumptions. Inputs'!$C$33+'Sales Volume, Cost of Productio'!AH96*'Summary. Assumptions. Inputs'!$C$34+'Sales Volume, Cost of Productio'!AG96*'Summary. Assumptions. Inputs'!$C$35+'Sales Volume, Cost of Productio'!AF96*'Summary. Assumptions. Inputs'!$C$36+'Sales Volume, Cost of Productio'!AE96*'Summary. Assumptions. Inputs'!$C$37</f>
        <v>936655.14375000005</v>
      </c>
      <c r="AJ8" s="518">
        <f ca="1">'Sales Volume, Cost of Productio'!AK96*'Summary. Assumptions. Inputs'!$C$32+'Sales Volume, Cost of Productio'!AJ96*'Summary. Assumptions. Inputs'!$C$33+'Sales Volume, Cost of Productio'!AI96*'Summary. Assumptions. Inputs'!$C$34+'Sales Volume, Cost of Productio'!AH96*'Summary. Assumptions. Inputs'!$C$35+'Sales Volume, Cost of Productio'!AG96*'Summary. Assumptions. Inputs'!$C$36+'Sales Volume, Cost of Productio'!AF96*'Summary. Assumptions. Inputs'!$C$37</f>
        <v>936655.14375000005</v>
      </c>
      <c r="AK8" s="518">
        <f ca="1">'Sales Volume, Cost of Productio'!AL96*'Summary. Assumptions. Inputs'!$C$32+'Sales Volume, Cost of Productio'!AK96*'Summary. Assumptions. Inputs'!$C$33+'Sales Volume, Cost of Productio'!AJ96*'Summary. Assumptions. Inputs'!$C$34+'Sales Volume, Cost of Productio'!AI96*'Summary. Assumptions. Inputs'!$C$35+'Sales Volume, Cost of Productio'!AH96*'Summary. Assumptions. Inputs'!$C$36+'Sales Volume, Cost of Productio'!AG96*'Summary. Assumptions. Inputs'!$C$37</f>
        <v>936655.14375000005</v>
      </c>
      <c r="AL8" s="518">
        <f ca="1">'Sales Volume, Cost of Productio'!AM96*'Summary. Assumptions. Inputs'!$C$32+'Sales Volume, Cost of Productio'!AL96*'Summary. Assumptions. Inputs'!$C$33+'Sales Volume, Cost of Productio'!AK96*'Summary. Assumptions. Inputs'!$C$34+'Sales Volume, Cost of Productio'!AJ96*'Summary. Assumptions. Inputs'!$C$35+'Sales Volume, Cost of Productio'!AI96*'Summary. Assumptions. Inputs'!$C$36+'Sales Volume, Cost of Productio'!AH96*'Summary. Assumptions. Inputs'!$C$37</f>
        <v>936655.14375000005</v>
      </c>
      <c r="AM8" s="518">
        <f ca="1">'Sales Volume, Cost of Productio'!AN96*'Summary. Assumptions. Inputs'!$C$32+'Sales Volume, Cost of Productio'!AM96*'Summary. Assumptions. Inputs'!$C$33+'Sales Volume, Cost of Productio'!AL96*'Summary. Assumptions. Inputs'!$C$34+'Sales Volume, Cost of Productio'!AK96*'Summary. Assumptions. Inputs'!$C$35+'Sales Volume, Cost of Productio'!AJ96*'Summary. Assumptions. Inputs'!$C$36+'Sales Volume, Cost of Productio'!AI96*'Summary. Assumptions. Inputs'!$C$37</f>
        <v>936655.14375000005</v>
      </c>
      <c r="AN8" s="518">
        <f ca="1">'Sales Volume, Cost of Productio'!AO96*'Summary. Assumptions. Inputs'!$C$32+'Sales Volume, Cost of Productio'!AN96*'Summary. Assumptions. Inputs'!$C$33+'Sales Volume, Cost of Productio'!AM96*'Summary. Assumptions. Inputs'!$C$34+'Sales Volume, Cost of Productio'!AL96*'Summary. Assumptions. Inputs'!$C$35+'Sales Volume, Cost of Productio'!AK96*'Summary. Assumptions. Inputs'!$C$36+'Sales Volume, Cost of Productio'!AJ96*'Summary. Assumptions. Inputs'!$C$37</f>
        <v>936655.14375000005</v>
      </c>
      <c r="AO8" s="545">
        <f ca="1">SUM(AC8:AN8)</f>
        <v>11049867.770625001</v>
      </c>
      <c r="AP8" s="518">
        <f ca="1">'Sales Volume, Cost of Productio'!AQ96*'Summary. Assumptions. Inputs'!$C$32+'Sales Volume, Cost of Productio'!AO96*'Summary. Assumptions. Inputs'!$C$33+'Sales Volume, Cost of Productio'!AN96*'Summary. Assumptions. Inputs'!$C$34+'Sales Volume, Cost of Productio'!AM96*'Summary. Assumptions. Inputs'!$C$35+'Sales Volume, Cost of Productio'!AL96*'Summary. Assumptions. Inputs'!$C$36+'Sales Volume, Cost of Productio'!AK96*'Summary. Assumptions. Inputs'!$C$37</f>
        <v>936655.14375000005</v>
      </c>
      <c r="AQ8" s="518">
        <f ca="1">'Sales Volume, Cost of Productio'!AR96*'Summary. Assumptions. Inputs'!$C$32+'Sales Volume, Cost of Productio'!AQ96*'Summary. Assumptions. Inputs'!$C$33+'Sales Volume, Cost of Productio'!AO96*'Summary. Assumptions. Inputs'!$C$34+'Sales Volume, Cost of Productio'!AN96*'Summary. Assumptions. Inputs'!$C$35+'Sales Volume, Cost of Productio'!AO96*'Summary. Assumptions. Inputs'!$C$36+'Sales Volume, Cost of Productio'!AM96*'Summary. Assumptions. Inputs'!$C$37</f>
        <v>1006122.7687499999</v>
      </c>
      <c r="AR8" s="518">
        <f ca="1">'Sales Volume, Cost of Productio'!AS96*'Summary. Assumptions. Inputs'!$C$32+'Sales Volume, Cost of Productio'!AR96*'Summary. Assumptions. Inputs'!$C$33+'Sales Volume, Cost of Productio'!AQ96*'Summary. Assumptions. Inputs'!$C$34+'Sales Volume, Cost of Productio'!AO96*'Summary. Assumptions. Inputs'!$C$35+'Sales Volume, Cost of Productio'!AN96*'Summary. Assumptions. Inputs'!$C$36+'Sales Volume, Cost of Productio'!AM96*'Summary. Assumptions. Inputs'!$C$37</f>
        <v>1075590.3937499998</v>
      </c>
      <c r="AS8" s="518">
        <f ca="1">'Sales Volume, Cost of Productio'!AT96*'Summary. Assumptions. Inputs'!$C$32+'Sales Volume, Cost of Productio'!AS96*'Summary. Assumptions. Inputs'!$C$33+'Sales Volume, Cost of Productio'!AR96*'Summary. Assumptions. Inputs'!$C$34+'Sales Volume, Cost of Productio'!AQ96*'Summary. Assumptions. Inputs'!$C$35+'Sales Volume, Cost of Productio'!AO96*'Summary. Assumptions. Inputs'!$C$36+'Sales Volume, Cost of Productio'!AN96*'Summary. Assumptions. Inputs'!$C$37</f>
        <v>1075590.3937499998</v>
      </c>
      <c r="AT8" s="518">
        <f ca="1">'Sales Volume, Cost of Productio'!AU96*'Summary. Assumptions. Inputs'!$C$32+'Sales Volume, Cost of Productio'!AT96*'Summary. Assumptions. Inputs'!$C$33+'Sales Volume, Cost of Productio'!AS96*'Summary. Assumptions. Inputs'!$C$34+'Sales Volume, Cost of Productio'!AR96*'Summary. Assumptions. Inputs'!$C$35+'Sales Volume, Cost of Productio'!AQ96*'Summary. Assumptions. Inputs'!$C$36+'Sales Volume, Cost of Productio'!AO96*'Summary. Assumptions. Inputs'!$C$37</f>
        <v>1075590.3937499998</v>
      </c>
      <c r="AU8" s="518">
        <f ca="1">'Sales Volume, Cost of Productio'!AV96*'Summary. Assumptions. Inputs'!$C$32+'Sales Volume, Cost of Productio'!AU96*'Summary. Assumptions. Inputs'!$C$33+'Sales Volume, Cost of Productio'!AT96*'Summary. Assumptions. Inputs'!$C$34+'Sales Volume, Cost of Productio'!AS96*'Summary. Assumptions. Inputs'!$C$35+'Sales Volume, Cost of Productio'!AR96*'Summary. Assumptions. Inputs'!$C$36+'Sales Volume, Cost of Productio'!AQ96*'Summary. Assumptions. Inputs'!$C$37</f>
        <v>1075590.3937499998</v>
      </c>
      <c r="AV8" s="518">
        <f ca="1">'Sales Volume, Cost of Productio'!AW96*'Summary. Assumptions. Inputs'!$C$32+'Sales Volume, Cost of Productio'!AV96*'Summary. Assumptions. Inputs'!$C$33+'Sales Volume, Cost of Productio'!AU96*'Summary. Assumptions. Inputs'!$C$34+'Sales Volume, Cost of Productio'!AT96*'Summary. Assumptions. Inputs'!$C$35+'Sales Volume, Cost of Productio'!AS96*'Summary. Assumptions. Inputs'!$C$36+'Sales Volume, Cost of Productio'!AR96*'Summary. Assumptions. Inputs'!$C$37</f>
        <v>1075590.3937499998</v>
      </c>
      <c r="AW8" s="518">
        <f ca="1">'Sales Volume, Cost of Productio'!AX96*'Summary. Assumptions. Inputs'!$C$32+'Sales Volume, Cost of Productio'!AW96*'Summary. Assumptions. Inputs'!$C$33+'Sales Volume, Cost of Productio'!AV96*'Summary. Assumptions. Inputs'!$C$34+'Sales Volume, Cost of Productio'!AU96*'Summary. Assumptions. Inputs'!$C$35+'Sales Volume, Cost of Productio'!AT96*'Summary. Assumptions. Inputs'!$C$36+'Sales Volume, Cost of Productio'!AS96*'Summary. Assumptions. Inputs'!$C$37</f>
        <v>1075590.3937499998</v>
      </c>
      <c r="AX8" s="518">
        <f ca="1">'Sales Volume, Cost of Productio'!AY96*'Summary. Assumptions. Inputs'!$C$32+'Sales Volume, Cost of Productio'!AX96*'Summary. Assumptions. Inputs'!$C$33+'Sales Volume, Cost of Productio'!AW96*'Summary. Assumptions. Inputs'!$C$34+'Sales Volume, Cost of Productio'!AV96*'Summary. Assumptions. Inputs'!$C$35+'Sales Volume, Cost of Productio'!AU96*'Summary. Assumptions. Inputs'!$C$36+'Sales Volume, Cost of Productio'!AT96*'Summary. Assumptions. Inputs'!$C$37</f>
        <v>1075590.3937499998</v>
      </c>
      <c r="AY8" s="518">
        <f ca="1">'Sales Volume, Cost of Productio'!AZ96*'Summary. Assumptions. Inputs'!$C$32+'Sales Volume, Cost of Productio'!AY96*'Summary. Assumptions. Inputs'!$C$33+'Sales Volume, Cost of Productio'!AX96*'Summary. Assumptions. Inputs'!$C$34+'Sales Volume, Cost of Productio'!AW96*'Summary. Assumptions. Inputs'!$C$35+'Sales Volume, Cost of Productio'!AV96*'Summary. Assumptions. Inputs'!$C$36+'Sales Volume, Cost of Productio'!AU96*'Summary. Assumptions. Inputs'!$C$37</f>
        <v>1075590.3937499998</v>
      </c>
      <c r="AZ8" s="518">
        <f ca="1">'Sales Volume, Cost of Productio'!BA96*'Summary. Assumptions. Inputs'!$C$32+'Sales Volume, Cost of Productio'!AZ96*'Summary. Assumptions. Inputs'!$C$33+'Sales Volume, Cost of Productio'!AY96*'Summary. Assumptions. Inputs'!$C$34+'Sales Volume, Cost of Productio'!AX96*'Summary. Assumptions. Inputs'!$C$35+'Sales Volume, Cost of Productio'!AW96*'Summary. Assumptions. Inputs'!$C$36+'Sales Volume, Cost of Productio'!AV96*'Summary. Assumptions. Inputs'!$C$37</f>
        <v>1075590.3937499998</v>
      </c>
      <c r="BA8" s="518">
        <f ca="1">'Sales Volume, Cost of Productio'!BB96*'Summary. Assumptions. Inputs'!$C$32+'Sales Volume, Cost of Productio'!BA96*'Summary. Assumptions. Inputs'!$C$33+'Sales Volume, Cost of Productio'!AZ96*'Summary. Assumptions. Inputs'!$C$34+'Sales Volume, Cost of Productio'!AY96*'Summary. Assumptions. Inputs'!$C$35+'Sales Volume, Cost of Productio'!AX96*'Summary. Assumptions. Inputs'!$C$36+'Sales Volume, Cost of Productio'!AW96*'Summary. Assumptions. Inputs'!$C$37</f>
        <v>1075590.3937499998</v>
      </c>
      <c r="BB8" s="545">
        <f ca="1">SUM(AP8:BA8)</f>
        <v>12698681.850000001</v>
      </c>
      <c r="BC8" s="518">
        <f ca="1">'Sales Volume, Cost of Productio'!BD96*'Summary. Assumptions. Inputs'!$C$32+'Sales Volume, Cost of Productio'!BB96*'Summary. Assumptions. Inputs'!$C$33+'Sales Volume, Cost of Productio'!BA96*'Summary. Assumptions. Inputs'!$C$34+'Sales Volume, Cost of Productio'!AZ96*'Summary. Assumptions. Inputs'!$C$35+'Sales Volume, Cost of Productio'!AY96*'Summary. Assumptions. Inputs'!$C$36+'Sales Volume, Cost of Productio'!AX96*'Summary. Assumptions. Inputs'!$C$37</f>
        <v>1075590.3937499998</v>
      </c>
      <c r="BD8" s="518">
        <f ca="1">'Sales Volume, Cost of Productio'!BE96*'Summary. Assumptions. Inputs'!$C$32+'Sales Volume, Cost of Productio'!BD96*'Summary. Assumptions. Inputs'!$C$33+'Sales Volume, Cost of Productio'!BB96*'Summary. Assumptions. Inputs'!$C$34+'Sales Volume, Cost of Productio'!BA96*'Summary. Assumptions. Inputs'!$C$35+'Sales Volume, Cost of Productio'!BB96*'Summary. Assumptions. Inputs'!$C$36+'Sales Volume, Cost of Productio'!AZ96*'Summary. Assumptions. Inputs'!$C$37</f>
        <v>1151703.7548749996</v>
      </c>
      <c r="BE8" s="518">
        <f ca="1">'Sales Volume, Cost of Productio'!BF96*'Summary. Assumptions. Inputs'!$C$32+'Sales Volume, Cost of Productio'!BE96*'Summary. Assumptions. Inputs'!$C$33+'Sales Volume, Cost of Productio'!BD96*'Summary. Assumptions. Inputs'!$C$34+'Sales Volume, Cost of Productio'!BB96*'Summary. Assumptions. Inputs'!$C$35+'Sales Volume, Cost of Productio'!BA96*'Summary. Assumptions. Inputs'!$C$36+'Sales Volume, Cost of Productio'!AZ96*'Summary. Assumptions. Inputs'!$C$37</f>
        <v>1227817.1159999997</v>
      </c>
      <c r="BF8" s="518">
        <f ca="1">'Sales Volume, Cost of Productio'!BG96*'Summary. Assumptions. Inputs'!$C$32+'Sales Volume, Cost of Productio'!BF96*'Summary. Assumptions. Inputs'!$C$33+'Sales Volume, Cost of Productio'!BE96*'Summary. Assumptions. Inputs'!$C$34+'Sales Volume, Cost of Productio'!BD96*'Summary. Assumptions. Inputs'!$C$35+'Sales Volume, Cost of Productio'!BB96*'Summary. Assumptions. Inputs'!$C$36+'Sales Volume, Cost of Productio'!BA96*'Summary. Assumptions. Inputs'!$C$37</f>
        <v>1227817.1159999997</v>
      </c>
      <c r="BG8" s="518">
        <f ca="1">'Sales Volume, Cost of Productio'!BH96*'Summary. Assumptions. Inputs'!$C$32+'Sales Volume, Cost of Productio'!BG96*'Summary. Assumptions. Inputs'!$C$33+'Sales Volume, Cost of Productio'!BF96*'Summary. Assumptions. Inputs'!$C$34+'Sales Volume, Cost of Productio'!BE96*'Summary. Assumptions. Inputs'!$C$35+'Sales Volume, Cost of Productio'!BD96*'Summary. Assumptions. Inputs'!$C$36+'Sales Volume, Cost of Productio'!BB96*'Summary. Assumptions. Inputs'!$C$37</f>
        <v>1227817.1159999997</v>
      </c>
      <c r="BH8" s="518">
        <f ca="1">'Sales Volume, Cost of Productio'!BI96*'Summary. Assumptions. Inputs'!$C$32+'Sales Volume, Cost of Productio'!BH96*'Summary. Assumptions. Inputs'!$C$33+'Sales Volume, Cost of Productio'!BG96*'Summary. Assumptions. Inputs'!$C$34+'Sales Volume, Cost of Productio'!BF96*'Summary. Assumptions. Inputs'!$C$35+'Sales Volume, Cost of Productio'!BE96*'Summary. Assumptions. Inputs'!$C$36+'Sales Volume, Cost of Productio'!BD96*'Summary. Assumptions. Inputs'!$C$37</f>
        <v>1227817.1159999997</v>
      </c>
      <c r="BI8" s="518">
        <f ca="1">'Sales Volume, Cost of Productio'!BJ96*'Summary. Assumptions. Inputs'!$C$32+'Sales Volume, Cost of Productio'!BI96*'Summary. Assumptions. Inputs'!$C$33+'Sales Volume, Cost of Productio'!BH96*'Summary. Assumptions. Inputs'!$C$34+'Sales Volume, Cost of Productio'!BG96*'Summary. Assumptions. Inputs'!$C$35+'Sales Volume, Cost of Productio'!BF96*'Summary. Assumptions. Inputs'!$C$36+'Sales Volume, Cost of Productio'!BE96*'Summary. Assumptions. Inputs'!$C$37</f>
        <v>1227817.1159999997</v>
      </c>
      <c r="BJ8" s="518">
        <f ca="1">'Sales Volume, Cost of Productio'!BK96*'Summary. Assumptions. Inputs'!$C$32+'Sales Volume, Cost of Productio'!BJ96*'Summary. Assumptions. Inputs'!$C$33+'Sales Volume, Cost of Productio'!BI96*'Summary. Assumptions. Inputs'!$C$34+'Sales Volume, Cost of Productio'!BH96*'Summary. Assumptions. Inputs'!$C$35+'Sales Volume, Cost of Productio'!BG96*'Summary. Assumptions. Inputs'!$C$36+'Sales Volume, Cost of Productio'!BF96*'Summary. Assumptions. Inputs'!$C$37</f>
        <v>1227817.1159999997</v>
      </c>
      <c r="BK8" s="518">
        <f ca="1">'Sales Volume, Cost of Productio'!BL96*'Summary. Assumptions. Inputs'!$C$32+'Sales Volume, Cost of Productio'!BK96*'Summary. Assumptions. Inputs'!$C$33+'Sales Volume, Cost of Productio'!BJ96*'Summary. Assumptions. Inputs'!$C$34+'Sales Volume, Cost of Productio'!BI96*'Summary. Assumptions. Inputs'!$C$35+'Sales Volume, Cost of Productio'!BH96*'Summary. Assumptions. Inputs'!$C$36+'Sales Volume, Cost of Productio'!BG96*'Summary. Assumptions. Inputs'!$C$37</f>
        <v>1227817.1159999997</v>
      </c>
      <c r="BL8" s="518">
        <f ca="1">'Sales Volume, Cost of Productio'!BM96*'Summary. Assumptions. Inputs'!$C$32+'Sales Volume, Cost of Productio'!BL96*'Summary. Assumptions. Inputs'!$C$33+'Sales Volume, Cost of Productio'!BK96*'Summary. Assumptions. Inputs'!$C$34+'Sales Volume, Cost of Productio'!BJ96*'Summary. Assumptions. Inputs'!$C$35+'Sales Volume, Cost of Productio'!BI96*'Summary. Assumptions. Inputs'!$C$36+'Sales Volume, Cost of Productio'!BH96*'Summary. Assumptions. Inputs'!$C$37</f>
        <v>1227817.1159999997</v>
      </c>
      <c r="BM8" s="518">
        <f ca="1">'Sales Volume, Cost of Productio'!BN96*'Summary. Assumptions. Inputs'!$C$32+'Sales Volume, Cost of Productio'!BM96*'Summary. Assumptions. Inputs'!$C$33+'Sales Volume, Cost of Productio'!BL96*'Summary. Assumptions. Inputs'!$C$34+'Sales Volume, Cost of Productio'!BK96*'Summary. Assumptions. Inputs'!$C$35+'Sales Volume, Cost of Productio'!BJ96*'Summary. Assumptions. Inputs'!$C$36+'Sales Volume, Cost of Productio'!BI96*'Summary. Assumptions. Inputs'!$C$37</f>
        <v>1227817.1159999997</v>
      </c>
      <c r="BN8" s="518">
        <f ca="1">'Sales Volume, Cost of Productio'!BO96*'Summary. Assumptions. Inputs'!$C$32+'Sales Volume, Cost of Productio'!BN96*'Summary. Assumptions. Inputs'!$C$33+'Sales Volume, Cost of Productio'!BM96*'Summary. Assumptions. Inputs'!$C$34+'Sales Volume, Cost of Productio'!BL96*'Summary. Assumptions. Inputs'!$C$35+'Sales Volume, Cost of Productio'!BK96*'Summary. Assumptions. Inputs'!$C$36+'Sales Volume, Cost of Productio'!BJ96*'Summary. Assumptions. Inputs'!$C$37</f>
        <v>1227817.1159999997</v>
      </c>
      <c r="BO8" s="545">
        <f ca="1">SUM(BC8:BN8)</f>
        <v>14505465.308624998</v>
      </c>
      <c r="BP8" s="518">
        <f ca="1">'Sales Volume, Cost of Productio'!BQ96*'Summary. Assumptions. Inputs'!$C$32+'Sales Volume, Cost of Productio'!BO96*'Summary. Assumptions. Inputs'!$C$33+'Sales Volume, Cost of Productio'!BN96*'Summary. Assumptions. Inputs'!$C$34+'Sales Volume, Cost of Productio'!BM96*'Summary. Assumptions. Inputs'!$C$35+'Sales Volume, Cost of Productio'!BL96*'Summary. Assumptions. Inputs'!$C$36+'Sales Volume, Cost of Productio'!BK96*'Summary. Assumptions. Inputs'!$C$37</f>
        <v>1227817.1159999997</v>
      </c>
      <c r="BQ8" s="518">
        <f ca="1">'Sales Volume, Cost of Productio'!BR96*'Summary. Assumptions. Inputs'!$C$32+'Sales Volume, Cost of Productio'!BQ96*'Summary. Assumptions. Inputs'!$C$33+'Sales Volume, Cost of Productio'!BO96*'Summary. Assumptions. Inputs'!$C$34+'Sales Volume, Cost of Productio'!BN96*'Summary. Assumptions. Inputs'!$C$35+'Sales Volume, Cost of Productio'!BO96*'Summary. Assumptions. Inputs'!$C$36+'Sales Volume, Cost of Productio'!BM96*'Summary. Assumptions. Inputs'!$C$37</f>
        <v>1311131.95425</v>
      </c>
      <c r="BR8" s="518">
        <f ca="1">'Sales Volume, Cost of Productio'!BS96*'Summary. Assumptions. Inputs'!$C$32+'Sales Volume, Cost of Productio'!BR96*'Summary. Assumptions. Inputs'!$C$33+'Sales Volume, Cost of Productio'!BQ96*'Summary. Assumptions. Inputs'!$C$34+'Sales Volume, Cost of Productio'!BO96*'Summary. Assumptions. Inputs'!$C$35+'Sales Volume, Cost of Productio'!BN96*'Summary. Assumptions. Inputs'!$C$36+'Sales Volume, Cost of Productio'!BM96*'Summary. Assumptions. Inputs'!$C$37</f>
        <v>1394446.7925</v>
      </c>
      <c r="BS8" s="518">
        <f ca="1">'Sales Volume, Cost of Productio'!BT96*'Summary. Assumptions. Inputs'!$C$32+'Sales Volume, Cost of Productio'!BS96*'Summary. Assumptions. Inputs'!$C$33+'Sales Volume, Cost of Productio'!BR96*'Summary. Assumptions. Inputs'!$C$34+'Sales Volume, Cost of Productio'!BQ96*'Summary. Assumptions. Inputs'!$C$35+'Sales Volume, Cost of Productio'!BO96*'Summary. Assumptions. Inputs'!$C$36+'Sales Volume, Cost of Productio'!BN96*'Summary. Assumptions. Inputs'!$C$37</f>
        <v>1394446.7925</v>
      </c>
      <c r="BT8" s="518">
        <f ca="1">'Sales Volume, Cost of Productio'!BU96*'Summary. Assumptions. Inputs'!$C$32+'Sales Volume, Cost of Productio'!BT96*'Summary. Assumptions. Inputs'!$C$33+'Sales Volume, Cost of Productio'!BS96*'Summary. Assumptions. Inputs'!$C$34+'Sales Volume, Cost of Productio'!BR96*'Summary. Assumptions. Inputs'!$C$35+'Sales Volume, Cost of Productio'!BQ96*'Summary. Assumptions. Inputs'!$C$36+'Sales Volume, Cost of Productio'!BO96*'Summary. Assumptions. Inputs'!$C$37</f>
        <v>1394446.7925</v>
      </c>
      <c r="BU8" s="518">
        <f ca="1">'Sales Volume, Cost of Productio'!BV96*'Summary. Assumptions. Inputs'!$C$32+'Sales Volume, Cost of Productio'!BU96*'Summary. Assumptions. Inputs'!$C$33+'Sales Volume, Cost of Productio'!BT96*'Summary. Assumptions. Inputs'!$C$34+'Sales Volume, Cost of Productio'!BS96*'Summary. Assumptions. Inputs'!$C$35+'Sales Volume, Cost of Productio'!BR96*'Summary. Assumptions. Inputs'!$C$36+'Sales Volume, Cost of Productio'!BQ96*'Summary. Assumptions. Inputs'!$C$37</f>
        <v>1394446.7925</v>
      </c>
      <c r="BV8" s="518">
        <f ca="1">'Sales Volume, Cost of Productio'!BW96*'Summary. Assumptions. Inputs'!$C$32+'Sales Volume, Cost of Productio'!BV96*'Summary. Assumptions. Inputs'!$C$33+'Sales Volume, Cost of Productio'!BU96*'Summary. Assumptions. Inputs'!$C$34+'Sales Volume, Cost of Productio'!BT96*'Summary. Assumptions. Inputs'!$C$35+'Sales Volume, Cost of Productio'!BS96*'Summary. Assumptions. Inputs'!$C$36+'Sales Volume, Cost of Productio'!BR96*'Summary. Assumptions. Inputs'!$C$37</f>
        <v>1394446.7925</v>
      </c>
      <c r="BW8" s="518">
        <f ca="1">'Sales Volume, Cost of Productio'!BX96*'Summary. Assumptions. Inputs'!$C$32+'Sales Volume, Cost of Productio'!BW96*'Summary. Assumptions. Inputs'!$C$33+'Sales Volume, Cost of Productio'!BV96*'Summary. Assumptions. Inputs'!$C$34+'Sales Volume, Cost of Productio'!BU96*'Summary. Assumptions. Inputs'!$C$35+'Sales Volume, Cost of Productio'!BT96*'Summary. Assumptions. Inputs'!$C$36+'Sales Volume, Cost of Productio'!BS96*'Summary. Assumptions. Inputs'!$C$37</f>
        <v>1394446.7925</v>
      </c>
      <c r="BX8" s="518">
        <f ca="1">'Sales Volume, Cost of Productio'!BY96*'Summary. Assumptions. Inputs'!$C$32+'Sales Volume, Cost of Productio'!BX96*'Summary. Assumptions. Inputs'!$C$33+'Sales Volume, Cost of Productio'!BW96*'Summary. Assumptions. Inputs'!$C$34+'Sales Volume, Cost of Productio'!BV96*'Summary. Assumptions. Inputs'!$C$35+'Sales Volume, Cost of Productio'!BU96*'Summary. Assumptions. Inputs'!$C$36+'Sales Volume, Cost of Productio'!BT96*'Summary. Assumptions. Inputs'!$C$37</f>
        <v>1394446.7925</v>
      </c>
      <c r="BY8" s="518">
        <f ca="1">'Sales Volume, Cost of Productio'!BZ96*'Summary. Assumptions. Inputs'!$C$32+'Sales Volume, Cost of Productio'!BY96*'Summary. Assumptions. Inputs'!$C$33+'Sales Volume, Cost of Productio'!BX96*'Summary. Assumptions. Inputs'!$C$34+'Sales Volume, Cost of Productio'!BW96*'Summary. Assumptions. Inputs'!$C$35+'Sales Volume, Cost of Productio'!BV96*'Summary. Assumptions. Inputs'!$C$36+'Sales Volume, Cost of Productio'!BU96*'Summary. Assumptions. Inputs'!$C$37</f>
        <v>1394446.7925</v>
      </c>
      <c r="BZ8" s="518">
        <f ca="1">'Sales Volume, Cost of Productio'!CA96*'Summary. Assumptions. Inputs'!$C$32+'Sales Volume, Cost of Productio'!BZ96*'Summary. Assumptions. Inputs'!$C$33+'Sales Volume, Cost of Productio'!BY96*'Summary. Assumptions. Inputs'!$C$34+'Sales Volume, Cost of Productio'!BX96*'Summary. Assumptions. Inputs'!$C$35+'Sales Volume, Cost of Productio'!BW96*'Summary. Assumptions. Inputs'!$C$36+'Sales Volume, Cost of Productio'!BV96*'Summary. Assumptions. Inputs'!$C$37</f>
        <v>1394446.7925</v>
      </c>
      <c r="CA8" s="518">
        <f ca="1">'Sales Volume, Cost of Productio'!CB96*'Summary. Assumptions. Inputs'!$C$32+'Sales Volume, Cost of Productio'!CA96*'Summary. Assumptions. Inputs'!$C$33+'Sales Volume, Cost of Productio'!BZ96*'Summary. Assumptions. Inputs'!$C$34+'Sales Volume, Cost of Productio'!BY96*'Summary. Assumptions. Inputs'!$C$35+'Sales Volume, Cost of Productio'!BX96*'Summary. Assumptions. Inputs'!$C$36+'Sales Volume, Cost of Productio'!BW96*'Summary. Assumptions. Inputs'!$C$37</f>
        <v>1394446.7925</v>
      </c>
      <c r="CB8" s="545">
        <f ca="1">SUM(BP8:CA8)</f>
        <v>16483416.995250003</v>
      </c>
      <c r="CC8" s="518">
        <f ca="1">'Sales Volume, Cost of Productio'!CD96*'Summary. Assumptions. Inputs'!$C$32+'Sales Volume, Cost of Productio'!CB96*'Summary. Assumptions. Inputs'!$C$33+'Sales Volume, Cost of Productio'!CA96*'Summary. Assumptions. Inputs'!$C$34+'Sales Volume, Cost of Productio'!BZ96*'Summary. Assumptions. Inputs'!$C$35+'Sales Volume, Cost of Productio'!BY96*'Summary. Assumptions. Inputs'!$C$36+'Sales Volume, Cost of Productio'!BX96*'Summary. Assumptions. Inputs'!$C$37</f>
        <v>1394446.7925</v>
      </c>
      <c r="CD8" s="518">
        <f ca="1">'Sales Volume, Cost of Productio'!CE96*'Summary. Assumptions. Inputs'!$C$32+'Sales Volume, Cost of Productio'!CD96*'Summary. Assumptions. Inputs'!$C$33+'Sales Volume, Cost of Productio'!CB96*'Summary. Assumptions. Inputs'!$C$34+'Sales Volume, Cost of Productio'!CA96*'Summary. Assumptions. Inputs'!$C$35+'Sales Volume, Cost of Productio'!CB96*'Summary. Assumptions. Inputs'!$C$36+'Sales Volume, Cost of Productio'!BZ96*'Summary. Assumptions. Inputs'!$C$37</f>
        <v>1436289.458625</v>
      </c>
      <c r="CE8" s="518">
        <f ca="1">'Sales Volume, Cost of Productio'!CF96*'Summary. Assumptions. Inputs'!$C$32+'Sales Volume, Cost of Productio'!CE96*'Summary. Assumptions. Inputs'!$C$33+'Sales Volume, Cost of Productio'!CD96*'Summary. Assumptions. Inputs'!$C$34+'Sales Volume, Cost of Productio'!CB96*'Summary. Assumptions. Inputs'!$C$35+'Sales Volume, Cost of Productio'!CA96*'Summary. Assumptions. Inputs'!$C$36+'Sales Volume, Cost of Productio'!BZ96*'Summary. Assumptions. Inputs'!$C$37</f>
        <v>1478132.12475</v>
      </c>
      <c r="CF8" s="518">
        <f ca="1">'Sales Volume, Cost of Productio'!CG96*'Summary. Assumptions. Inputs'!$C$32+'Sales Volume, Cost of Productio'!CF96*'Summary. Assumptions. Inputs'!$C$33+'Sales Volume, Cost of Productio'!CE96*'Summary. Assumptions. Inputs'!$C$34+'Sales Volume, Cost of Productio'!CD96*'Summary. Assumptions. Inputs'!$C$35+'Sales Volume, Cost of Productio'!CB96*'Summary. Assumptions. Inputs'!$C$36+'Sales Volume, Cost of Productio'!CA96*'Summary. Assumptions. Inputs'!$C$37</f>
        <v>1478132.12475</v>
      </c>
      <c r="CG8" s="518">
        <f ca="1">'Sales Volume, Cost of Productio'!CH96*'Summary. Assumptions. Inputs'!$C$32+'Sales Volume, Cost of Productio'!CG96*'Summary. Assumptions. Inputs'!$C$33+'Sales Volume, Cost of Productio'!CF96*'Summary. Assumptions. Inputs'!$C$34+'Sales Volume, Cost of Productio'!CE96*'Summary. Assumptions. Inputs'!$C$35+'Sales Volume, Cost of Productio'!CD96*'Summary. Assumptions. Inputs'!$C$36+'Sales Volume, Cost of Productio'!CB96*'Summary. Assumptions. Inputs'!$C$37</f>
        <v>1478132.12475</v>
      </c>
      <c r="CH8" s="518">
        <f ca="1">'Sales Volume, Cost of Productio'!CI96*'Summary. Assumptions. Inputs'!$C$32+'Sales Volume, Cost of Productio'!CH96*'Summary. Assumptions. Inputs'!$C$33+'Sales Volume, Cost of Productio'!CG96*'Summary. Assumptions. Inputs'!$C$34+'Sales Volume, Cost of Productio'!CF96*'Summary. Assumptions. Inputs'!$C$35+'Sales Volume, Cost of Productio'!CE96*'Summary. Assumptions. Inputs'!$C$36+'Sales Volume, Cost of Productio'!CD96*'Summary. Assumptions. Inputs'!$C$37</f>
        <v>1478132.12475</v>
      </c>
      <c r="CI8" s="518">
        <f ca="1">'Sales Volume, Cost of Productio'!CJ96*'Summary. Assumptions. Inputs'!$C$32+'Sales Volume, Cost of Productio'!CI96*'Summary. Assumptions. Inputs'!$C$33+'Sales Volume, Cost of Productio'!CH96*'Summary. Assumptions. Inputs'!$C$34+'Sales Volume, Cost of Productio'!CG96*'Summary. Assumptions. Inputs'!$C$35+'Sales Volume, Cost of Productio'!CF96*'Summary. Assumptions. Inputs'!$C$36+'Sales Volume, Cost of Productio'!CE96*'Summary. Assumptions. Inputs'!$C$37</f>
        <v>1478132.12475</v>
      </c>
      <c r="CJ8" s="518">
        <f ca="1">'Sales Volume, Cost of Productio'!CK96*'Summary. Assumptions. Inputs'!$C$32+'Sales Volume, Cost of Productio'!CJ96*'Summary. Assumptions. Inputs'!$C$33+'Sales Volume, Cost of Productio'!CI96*'Summary. Assumptions. Inputs'!$C$34+'Sales Volume, Cost of Productio'!CH96*'Summary. Assumptions. Inputs'!$C$35+'Sales Volume, Cost of Productio'!CG96*'Summary. Assumptions. Inputs'!$C$36+'Sales Volume, Cost of Productio'!CF96*'Summary. Assumptions. Inputs'!$C$37</f>
        <v>1478132.12475</v>
      </c>
      <c r="CK8" s="518">
        <f ca="1">'Sales Volume, Cost of Productio'!CL96*'Summary. Assumptions. Inputs'!$C$32+'Sales Volume, Cost of Productio'!CK96*'Summary. Assumptions. Inputs'!$C$33+'Sales Volume, Cost of Productio'!CJ96*'Summary. Assumptions. Inputs'!$C$34+'Sales Volume, Cost of Productio'!CI96*'Summary. Assumptions. Inputs'!$C$35+'Sales Volume, Cost of Productio'!CH96*'Summary. Assumptions. Inputs'!$C$36+'Sales Volume, Cost of Productio'!CG96*'Summary. Assumptions. Inputs'!$C$37</f>
        <v>1478132.12475</v>
      </c>
      <c r="CL8" s="518">
        <f ca="1">'Sales Volume, Cost of Productio'!CM96*'Summary. Assumptions. Inputs'!$C$32+'Sales Volume, Cost of Productio'!CL96*'Summary. Assumptions. Inputs'!$C$33+'Sales Volume, Cost of Productio'!CK96*'Summary. Assumptions. Inputs'!$C$34+'Sales Volume, Cost of Productio'!CJ96*'Summary. Assumptions. Inputs'!$C$35+'Sales Volume, Cost of Productio'!CI96*'Summary. Assumptions. Inputs'!$C$36+'Sales Volume, Cost of Productio'!CH96*'Summary. Assumptions. Inputs'!$C$37</f>
        <v>1478132.12475</v>
      </c>
      <c r="CM8" s="518">
        <f ca="1">'Sales Volume, Cost of Productio'!CN96*'Summary. Assumptions. Inputs'!$C$32+'Sales Volume, Cost of Productio'!CM96*'Summary. Assumptions. Inputs'!$C$33+'Sales Volume, Cost of Productio'!CL96*'Summary. Assumptions. Inputs'!$C$34+'Sales Volume, Cost of Productio'!CK96*'Summary. Assumptions. Inputs'!$C$35+'Sales Volume, Cost of Productio'!CJ96*'Summary. Assumptions. Inputs'!$C$36+'Sales Volume, Cost of Productio'!CI96*'Summary. Assumptions. Inputs'!$C$37</f>
        <v>1478132.12475</v>
      </c>
      <c r="CN8" s="518">
        <f ca="1">'Sales Volume, Cost of Productio'!CO96*'Summary. Assumptions. Inputs'!$C$32+'Sales Volume, Cost of Productio'!CN96*'Summary. Assumptions. Inputs'!$C$33+'Sales Volume, Cost of Productio'!CM96*'Summary. Assumptions. Inputs'!$C$34+'Sales Volume, Cost of Productio'!CL96*'Summary. Assumptions. Inputs'!$C$35+'Sales Volume, Cost of Productio'!CK96*'Summary. Assumptions. Inputs'!$C$36+'Sales Volume, Cost of Productio'!CJ96*'Summary. Assumptions. Inputs'!$C$37</f>
        <v>1478132.12475</v>
      </c>
      <c r="CO8" s="545">
        <f ca="1">SUM(CC8:CN8)</f>
        <v>17612057.498624995</v>
      </c>
    </row>
    <row r="9" spans="1:93" s="112" customFormat="1" ht="24.95" customHeight="1" thickBot="1">
      <c r="A9" s="123" t="s">
        <v>332</v>
      </c>
      <c r="B9" s="520">
        <f>SUM(B8:B8)</f>
        <v>0</v>
      </c>
      <c r="C9" s="520">
        <f ca="1">SUBTOTAL(109,C8)</f>
        <v>0</v>
      </c>
      <c r="D9" s="520">
        <f t="shared" ref="D9:N9" ca="1" si="27">SUBTOTAL(109,D8)</f>
        <v>347338.125</v>
      </c>
      <c r="E9" s="520">
        <f t="shared" ca="1" si="27"/>
        <v>694676.25</v>
      </c>
      <c r="F9" s="520">
        <f t="shared" ca="1" si="27"/>
        <v>694676.25</v>
      </c>
      <c r="G9" s="520">
        <f t="shared" ca="1" si="27"/>
        <v>694676.25</v>
      </c>
      <c r="H9" s="520">
        <f t="shared" ca="1" si="27"/>
        <v>694676.25</v>
      </c>
      <c r="I9" s="520">
        <f t="shared" ca="1" si="27"/>
        <v>694676.25</v>
      </c>
      <c r="J9" s="520">
        <f t="shared" ca="1" si="27"/>
        <v>694676.25</v>
      </c>
      <c r="K9" s="520">
        <f t="shared" ca="1" si="27"/>
        <v>694676.25</v>
      </c>
      <c r="L9" s="520">
        <f t="shared" ca="1" si="27"/>
        <v>694676.25</v>
      </c>
      <c r="M9" s="520">
        <f t="shared" ca="1" si="27"/>
        <v>694676.25</v>
      </c>
      <c r="N9" s="521">
        <f t="shared" ca="1" si="27"/>
        <v>694676.25</v>
      </c>
      <c r="O9" s="546">
        <f t="shared" ref="O9" ca="1" si="28">SUM(O8:O8)</f>
        <v>7294100.625</v>
      </c>
      <c r="P9" s="537">
        <f ca="1">SUBTOTAL(109,P8)</f>
        <v>694676.25</v>
      </c>
      <c r="Q9" s="520">
        <f t="shared" ref="Q9:AA9" ca="1" si="29">SUBTOTAL(109,Q8)</f>
        <v>752334.37874999992</v>
      </c>
      <c r="R9" s="520">
        <f t="shared" ca="1" si="29"/>
        <v>809992.50749999995</v>
      </c>
      <c r="S9" s="520">
        <f t="shared" ca="1" si="29"/>
        <v>809992.50749999995</v>
      </c>
      <c r="T9" s="520">
        <f t="shared" ca="1" si="29"/>
        <v>809992.50749999995</v>
      </c>
      <c r="U9" s="520">
        <f t="shared" ca="1" si="29"/>
        <v>809992.50749999995</v>
      </c>
      <c r="V9" s="520">
        <f t="shared" ca="1" si="29"/>
        <v>809992.50749999995</v>
      </c>
      <c r="W9" s="520">
        <f t="shared" ca="1" si="29"/>
        <v>809992.50749999995</v>
      </c>
      <c r="X9" s="520">
        <f t="shared" ca="1" si="29"/>
        <v>809992.50749999995</v>
      </c>
      <c r="Y9" s="520">
        <f t="shared" ca="1" si="29"/>
        <v>809992.50749999995</v>
      </c>
      <c r="Z9" s="520">
        <f t="shared" ca="1" si="29"/>
        <v>809992.50749999995</v>
      </c>
      <c r="AA9" s="520">
        <f t="shared" ca="1" si="29"/>
        <v>809992.50749999995</v>
      </c>
      <c r="AB9" s="546">
        <f t="shared" ref="AB9" ca="1" si="30">SUM(AB8:AB8)</f>
        <v>9546935.7037500013</v>
      </c>
      <c r="AC9" s="520">
        <f ca="1">SUBTOTAL(109,AC8)</f>
        <v>809992.50749999995</v>
      </c>
      <c r="AD9" s="520">
        <f t="shared" ref="AD9:AN9" ca="1" si="31">SUBTOTAL(109,AD8)</f>
        <v>873323.82562500006</v>
      </c>
      <c r="AE9" s="520">
        <f t="shared" ca="1" si="31"/>
        <v>936655.14375000005</v>
      </c>
      <c r="AF9" s="520">
        <f t="shared" ca="1" si="31"/>
        <v>936655.14375000005</v>
      </c>
      <c r="AG9" s="520">
        <f t="shared" ca="1" si="31"/>
        <v>936655.14375000005</v>
      </c>
      <c r="AH9" s="520">
        <f t="shared" ca="1" si="31"/>
        <v>936655.14375000005</v>
      </c>
      <c r="AI9" s="520">
        <f t="shared" ca="1" si="31"/>
        <v>936655.14375000005</v>
      </c>
      <c r="AJ9" s="520">
        <f t="shared" ca="1" si="31"/>
        <v>936655.14375000005</v>
      </c>
      <c r="AK9" s="520">
        <f t="shared" ca="1" si="31"/>
        <v>936655.14375000005</v>
      </c>
      <c r="AL9" s="520">
        <f t="shared" ca="1" si="31"/>
        <v>936655.14375000005</v>
      </c>
      <c r="AM9" s="520">
        <f t="shared" ca="1" si="31"/>
        <v>936655.14375000005</v>
      </c>
      <c r="AN9" s="520">
        <f t="shared" ca="1" si="31"/>
        <v>936655.14375000005</v>
      </c>
      <c r="AO9" s="546">
        <f t="shared" ref="AO9" ca="1" si="32">SUM(AO8:AO8)</f>
        <v>11049867.770625001</v>
      </c>
      <c r="AP9" s="520">
        <f ca="1">SUBTOTAL(109,AP8)</f>
        <v>936655.14375000005</v>
      </c>
      <c r="AQ9" s="520">
        <f t="shared" ref="AQ9:BA9" ca="1" si="33">SUBTOTAL(109,AQ8)</f>
        <v>1006122.7687499999</v>
      </c>
      <c r="AR9" s="520">
        <f t="shared" ca="1" si="33"/>
        <v>1075590.3937499998</v>
      </c>
      <c r="AS9" s="520">
        <f t="shared" ca="1" si="33"/>
        <v>1075590.3937499998</v>
      </c>
      <c r="AT9" s="520">
        <f t="shared" ca="1" si="33"/>
        <v>1075590.3937499998</v>
      </c>
      <c r="AU9" s="520">
        <f t="shared" ca="1" si="33"/>
        <v>1075590.3937499998</v>
      </c>
      <c r="AV9" s="520">
        <f t="shared" ca="1" si="33"/>
        <v>1075590.3937499998</v>
      </c>
      <c r="AW9" s="520">
        <f t="shared" ca="1" si="33"/>
        <v>1075590.3937499998</v>
      </c>
      <c r="AX9" s="520">
        <f t="shared" ca="1" si="33"/>
        <v>1075590.3937499998</v>
      </c>
      <c r="AY9" s="520">
        <f t="shared" ca="1" si="33"/>
        <v>1075590.3937499998</v>
      </c>
      <c r="AZ9" s="520">
        <f t="shared" ca="1" si="33"/>
        <v>1075590.3937499998</v>
      </c>
      <c r="BA9" s="520">
        <f t="shared" ca="1" si="33"/>
        <v>1075590.3937499998</v>
      </c>
      <c r="BB9" s="546">
        <f t="shared" ref="BB9" ca="1" si="34">SUM(BB8:BB8)</f>
        <v>12698681.850000001</v>
      </c>
      <c r="BC9" s="520">
        <f ca="1">SUBTOTAL(109,BC8)</f>
        <v>1075590.3937499998</v>
      </c>
      <c r="BD9" s="520">
        <f t="shared" ref="BD9:BN9" ca="1" si="35">SUBTOTAL(109,BD8)</f>
        <v>1151703.7548749996</v>
      </c>
      <c r="BE9" s="520">
        <f t="shared" ca="1" si="35"/>
        <v>1227817.1159999997</v>
      </c>
      <c r="BF9" s="520">
        <f t="shared" ca="1" si="35"/>
        <v>1227817.1159999997</v>
      </c>
      <c r="BG9" s="520">
        <f t="shared" ca="1" si="35"/>
        <v>1227817.1159999997</v>
      </c>
      <c r="BH9" s="520">
        <f t="shared" ca="1" si="35"/>
        <v>1227817.1159999997</v>
      </c>
      <c r="BI9" s="520">
        <f t="shared" ca="1" si="35"/>
        <v>1227817.1159999997</v>
      </c>
      <c r="BJ9" s="520">
        <f t="shared" ca="1" si="35"/>
        <v>1227817.1159999997</v>
      </c>
      <c r="BK9" s="520">
        <f t="shared" ca="1" si="35"/>
        <v>1227817.1159999997</v>
      </c>
      <c r="BL9" s="520">
        <f t="shared" ca="1" si="35"/>
        <v>1227817.1159999997</v>
      </c>
      <c r="BM9" s="520">
        <f t="shared" ca="1" si="35"/>
        <v>1227817.1159999997</v>
      </c>
      <c r="BN9" s="520">
        <f t="shared" ca="1" si="35"/>
        <v>1227817.1159999997</v>
      </c>
      <c r="BO9" s="546">
        <f t="shared" ref="BO9" ca="1" si="36">SUM(BO8:BO8)</f>
        <v>14505465.308624998</v>
      </c>
      <c r="BP9" s="520">
        <f ca="1">SUBTOTAL(109,BP8)</f>
        <v>1227817.1159999997</v>
      </c>
      <c r="BQ9" s="520">
        <f t="shared" ref="BQ9:CA9" ca="1" si="37">SUBTOTAL(109,BQ8)</f>
        <v>1311131.95425</v>
      </c>
      <c r="BR9" s="520">
        <f t="shared" ca="1" si="37"/>
        <v>1394446.7925</v>
      </c>
      <c r="BS9" s="520">
        <f t="shared" ca="1" si="37"/>
        <v>1394446.7925</v>
      </c>
      <c r="BT9" s="520">
        <f t="shared" ca="1" si="37"/>
        <v>1394446.7925</v>
      </c>
      <c r="BU9" s="520">
        <f t="shared" ca="1" si="37"/>
        <v>1394446.7925</v>
      </c>
      <c r="BV9" s="520">
        <f t="shared" ca="1" si="37"/>
        <v>1394446.7925</v>
      </c>
      <c r="BW9" s="520">
        <f t="shared" ca="1" si="37"/>
        <v>1394446.7925</v>
      </c>
      <c r="BX9" s="520">
        <f t="shared" ca="1" si="37"/>
        <v>1394446.7925</v>
      </c>
      <c r="BY9" s="520">
        <f t="shared" ca="1" si="37"/>
        <v>1394446.7925</v>
      </c>
      <c r="BZ9" s="520">
        <f t="shared" ca="1" si="37"/>
        <v>1394446.7925</v>
      </c>
      <c r="CA9" s="520">
        <f t="shared" ca="1" si="37"/>
        <v>1394446.7925</v>
      </c>
      <c r="CB9" s="546">
        <f t="shared" ref="CB9" ca="1" si="38">SUM(CB8:CB8)</f>
        <v>16483416.995250003</v>
      </c>
      <c r="CC9" s="520">
        <f ca="1">SUBTOTAL(109,CC8)</f>
        <v>1394446.7925</v>
      </c>
      <c r="CD9" s="520">
        <f t="shared" ref="CD9:CN9" ca="1" si="39">SUBTOTAL(109,CD8)</f>
        <v>1436289.458625</v>
      </c>
      <c r="CE9" s="520">
        <f t="shared" ca="1" si="39"/>
        <v>1478132.12475</v>
      </c>
      <c r="CF9" s="520">
        <f t="shared" ca="1" si="39"/>
        <v>1478132.12475</v>
      </c>
      <c r="CG9" s="520">
        <f t="shared" ca="1" si="39"/>
        <v>1478132.12475</v>
      </c>
      <c r="CH9" s="520">
        <f t="shared" ca="1" si="39"/>
        <v>1478132.12475</v>
      </c>
      <c r="CI9" s="520">
        <f t="shared" ca="1" si="39"/>
        <v>1478132.12475</v>
      </c>
      <c r="CJ9" s="520">
        <f t="shared" ca="1" si="39"/>
        <v>1478132.12475</v>
      </c>
      <c r="CK9" s="520">
        <f t="shared" ca="1" si="39"/>
        <v>1478132.12475</v>
      </c>
      <c r="CL9" s="520">
        <f t="shared" ca="1" si="39"/>
        <v>1478132.12475</v>
      </c>
      <c r="CM9" s="520">
        <f t="shared" ca="1" si="39"/>
        <v>1478132.12475</v>
      </c>
      <c r="CN9" s="520">
        <f t="shared" ca="1" si="39"/>
        <v>1478132.12475</v>
      </c>
      <c r="CO9" s="546">
        <f t="shared" ref="CO9" ca="1" si="40">SUM(CO8:CO8)</f>
        <v>17612057.498624995</v>
      </c>
    </row>
    <row r="10" spans="1:93" s="107" customFormat="1" ht="24.95" customHeight="1" thickBot="1">
      <c r="A10" s="122" t="s">
        <v>333</v>
      </c>
      <c r="B10" s="516">
        <f t="shared" ref="B10:O10" si="41">B6+B9</f>
        <v>0</v>
      </c>
      <c r="C10" s="516">
        <f t="shared" ca="1" si="41"/>
        <v>0</v>
      </c>
      <c r="D10" s="516">
        <f t="shared" ca="1" si="41"/>
        <v>347338.125</v>
      </c>
      <c r="E10" s="516">
        <f t="shared" ca="1" si="41"/>
        <v>694676.25</v>
      </c>
      <c r="F10" s="516">
        <f t="shared" ca="1" si="41"/>
        <v>765352.00826316024</v>
      </c>
      <c r="G10" s="516">
        <f t="shared" ca="1" si="41"/>
        <v>837327.76652632048</v>
      </c>
      <c r="H10" s="516">
        <f t="shared" ca="1" si="41"/>
        <v>908003.52478948073</v>
      </c>
      <c r="I10" s="516">
        <f t="shared" ca="1" si="41"/>
        <v>978679.28305264097</v>
      </c>
      <c r="J10" s="516">
        <f t="shared" ca="1" si="41"/>
        <v>1049355.0413158012</v>
      </c>
      <c r="K10" s="516">
        <f t="shared" ca="1" si="41"/>
        <v>1120030.7995789615</v>
      </c>
      <c r="L10" s="516">
        <f t="shared" ca="1" si="41"/>
        <v>1190706.5578421217</v>
      </c>
      <c r="M10" s="516">
        <f t="shared" ca="1" si="41"/>
        <v>1261382.3161052819</v>
      </c>
      <c r="N10" s="517">
        <f t="shared" ca="1" si="41"/>
        <v>1332058.0743684422</v>
      </c>
      <c r="O10" s="544">
        <f t="shared" ca="1" si="41"/>
        <v>7294100.625</v>
      </c>
      <c r="P10" s="535">
        <f t="shared" ref="P10:AB10" ca="1" si="42">P6+P9</f>
        <v>1402733.8326316024</v>
      </c>
      <c r="Q10" s="516">
        <f t="shared" ca="1" si="42"/>
        <v>1446836.1087487626</v>
      </c>
      <c r="R10" s="516">
        <f t="shared" ca="1" si="42"/>
        <v>1548596.513615923</v>
      </c>
      <c r="S10" s="516">
        <f t="shared" ca="1" si="42"/>
        <v>1650356.9184830831</v>
      </c>
      <c r="T10" s="516">
        <f t="shared" ca="1" si="42"/>
        <v>1752117.3233502433</v>
      </c>
      <c r="U10" s="516">
        <f t="shared" ca="1" si="42"/>
        <v>1853877.7282174034</v>
      </c>
      <c r="V10" s="516">
        <f t="shared" ca="1" si="42"/>
        <v>1955638.1330845635</v>
      </c>
      <c r="W10" s="516">
        <f t="shared" ca="1" si="42"/>
        <v>2057398.5379517237</v>
      </c>
      <c r="X10" s="516">
        <f t="shared" ca="1" si="42"/>
        <v>2159158.9428188838</v>
      </c>
      <c r="Y10" s="516">
        <f t="shared" ca="1" si="42"/>
        <v>2260919.3476860439</v>
      </c>
      <c r="Z10" s="516">
        <f t="shared" ca="1" si="42"/>
        <v>2362679.7525532041</v>
      </c>
      <c r="AA10" s="516">
        <f t="shared" ca="1" si="42"/>
        <v>2464440.1574203642</v>
      </c>
      <c r="AB10" s="544">
        <f t="shared" ca="1" si="42"/>
        <v>9546935.7037500013</v>
      </c>
      <c r="AC10" s="516">
        <f t="shared" ref="AC10:BB10" ca="1" si="43">AC6+AC9</f>
        <v>2566200.5622875243</v>
      </c>
      <c r="AD10" s="516">
        <f t="shared" ca="1" si="43"/>
        <v>2638927.4713356849</v>
      </c>
      <c r="AE10" s="516">
        <f t="shared" ca="1" si="43"/>
        <v>2774985.6985088452</v>
      </c>
      <c r="AF10" s="516">
        <f t="shared" ca="1" si="43"/>
        <v>2911043.9256820055</v>
      </c>
      <c r="AG10" s="516">
        <f t="shared" ca="1" si="43"/>
        <v>3047102.1528551653</v>
      </c>
      <c r="AH10" s="516">
        <f t="shared" ca="1" si="43"/>
        <v>3183160.3800283251</v>
      </c>
      <c r="AI10" s="516">
        <f t="shared" ca="1" si="43"/>
        <v>3319218.607201485</v>
      </c>
      <c r="AJ10" s="516">
        <f t="shared" ca="1" si="43"/>
        <v>3455276.8343746448</v>
      </c>
      <c r="AK10" s="516">
        <f t="shared" ca="1" si="43"/>
        <v>3591335.0615478046</v>
      </c>
      <c r="AL10" s="516">
        <f t="shared" ca="1" si="43"/>
        <v>3727393.2887209645</v>
      </c>
      <c r="AM10" s="516">
        <f t="shared" ca="1" si="43"/>
        <v>3863451.5158941243</v>
      </c>
      <c r="AN10" s="516">
        <f t="shared" ca="1" si="43"/>
        <v>3999509.7430672841</v>
      </c>
      <c r="AO10" s="544">
        <f t="shared" ca="1" si="43"/>
        <v>11049867.770625001</v>
      </c>
      <c r="AP10" s="516">
        <f t="shared" ca="1" si="43"/>
        <v>4135567.9702404439</v>
      </c>
      <c r="AQ10" s="516">
        <f t="shared" ca="1" si="43"/>
        <v>4239929.4316636045</v>
      </c>
      <c r="AR10" s="516">
        <f t="shared" ca="1" si="43"/>
        <v>4413758.518086765</v>
      </c>
      <c r="AS10" s="516">
        <f t="shared" ca="1" si="43"/>
        <v>4587587.6045099255</v>
      </c>
      <c r="AT10" s="516">
        <f t="shared" ca="1" si="43"/>
        <v>4761416.690933086</v>
      </c>
      <c r="AU10" s="516">
        <f t="shared" ca="1" si="43"/>
        <v>4935245.7773562465</v>
      </c>
      <c r="AV10" s="516">
        <f t="shared" ca="1" si="43"/>
        <v>5109074.863779407</v>
      </c>
      <c r="AW10" s="516">
        <f t="shared" ca="1" si="43"/>
        <v>5282903.9502025675</v>
      </c>
      <c r="AX10" s="516">
        <f t="shared" ca="1" si="43"/>
        <v>5456733.036625728</v>
      </c>
      <c r="AY10" s="516">
        <f t="shared" ca="1" si="43"/>
        <v>5630562.1230488885</v>
      </c>
      <c r="AZ10" s="516">
        <f t="shared" ca="1" si="43"/>
        <v>5804391.209472049</v>
      </c>
      <c r="BA10" s="516">
        <f t="shared" ca="1" si="43"/>
        <v>5978220.2958952095</v>
      </c>
      <c r="BB10" s="544">
        <f t="shared" ca="1" si="43"/>
        <v>12698681.850000001</v>
      </c>
      <c r="BC10" s="516">
        <f t="shared" ref="BC10:BO10" ca="1" si="44">BC6+BC9</f>
        <v>6152049.38231837</v>
      </c>
      <c r="BD10" s="516">
        <f t="shared" ca="1" si="44"/>
        <v>6291295.2680517305</v>
      </c>
      <c r="BE10" s="516">
        <f t="shared" ca="1" si="44"/>
        <v>6506654.5149100907</v>
      </c>
      <c r="BF10" s="516">
        <f t="shared" ca="1" si="44"/>
        <v>6722013.761768451</v>
      </c>
      <c r="BG10" s="516">
        <f t="shared" ca="1" si="44"/>
        <v>6937373.0086268112</v>
      </c>
      <c r="BH10" s="516">
        <f t="shared" ca="1" si="44"/>
        <v>7152732.2554851715</v>
      </c>
      <c r="BI10" s="516">
        <f t="shared" ca="1" si="44"/>
        <v>7368091.5023435317</v>
      </c>
      <c r="BJ10" s="516">
        <f t="shared" ca="1" si="44"/>
        <v>7583450.7492018919</v>
      </c>
      <c r="BK10" s="516">
        <f t="shared" ca="1" si="44"/>
        <v>7798809.9960602522</v>
      </c>
      <c r="BL10" s="516">
        <f t="shared" ca="1" si="44"/>
        <v>8014169.2429186124</v>
      </c>
      <c r="BM10" s="516">
        <f t="shared" ca="1" si="44"/>
        <v>8229528.4897769727</v>
      </c>
      <c r="BN10" s="516">
        <f t="shared" ca="1" si="44"/>
        <v>8444887.7366353329</v>
      </c>
      <c r="BO10" s="544">
        <f t="shared" ca="1" si="44"/>
        <v>14505465.308624998</v>
      </c>
      <c r="BP10" s="516">
        <f t="shared" ref="BP10:CO10" ca="1" si="45">BP6+BP9</f>
        <v>8660246.9834936932</v>
      </c>
      <c r="BQ10" s="516">
        <f t="shared" ca="1" si="45"/>
        <v>8837893.0801586043</v>
      </c>
      <c r="BR10" s="516">
        <f t="shared" ca="1" si="45"/>
        <v>9098854.0150735155</v>
      </c>
      <c r="BS10" s="516">
        <f t="shared" ca="1" si="45"/>
        <v>9359814.9499884266</v>
      </c>
      <c r="BT10" s="516">
        <f t="shared" ca="1" si="45"/>
        <v>9620775.8849033378</v>
      </c>
      <c r="BU10" s="516">
        <f t="shared" ca="1" si="45"/>
        <v>9881736.819818249</v>
      </c>
      <c r="BV10" s="516">
        <f t="shared" ca="1" si="45"/>
        <v>10142697.75473316</v>
      </c>
      <c r="BW10" s="516">
        <f t="shared" ca="1" si="45"/>
        <v>10403658.689648071</v>
      </c>
      <c r="BX10" s="516">
        <f t="shared" ca="1" si="45"/>
        <v>10664619.624562982</v>
      </c>
      <c r="BY10" s="516">
        <f t="shared" ca="1" si="45"/>
        <v>10925580.559477894</v>
      </c>
      <c r="BZ10" s="516">
        <f t="shared" ca="1" si="45"/>
        <v>11186541.494392805</v>
      </c>
      <c r="CA10" s="516">
        <f t="shared" ca="1" si="45"/>
        <v>11447502.429307716</v>
      </c>
      <c r="CB10" s="544">
        <f t="shared" ca="1" si="45"/>
        <v>16483416.995250003</v>
      </c>
      <c r="CC10" s="516">
        <f t="shared" ca="1" si="45"/>
        <v>11708463.364222627</v>
      </c>
      <c r="CD10" s="516">
        <f t="shared" ca="1" si="45"/>
        <v>11944587.827610251</v>
      </c>
      <c r="CE10" s="516">
        <f t="shared" ca="1" si="45"/>
        <v>12222554.957122874</v>
      </c>
      <c r="CF10" s="516">
        <f t="shared" ca="1" si="45"/>
        <v>12500522.086635496</v>
      </c>
      <c r="CG10" s="516">
        <f t="shared" ca="1" si="45"/>
        <v>12778489.216148119</v>
      </c>
      <c r="CH10" s="516">
        <f t="shared" ca="1" si="45"/>
        <v>13056456.345660742</v>
      </c>
      <c r="CI10" s="516">
        <f t="shared" ca="1" si="45"/>
        <v>13334423.475173365</v>
      </c>
      <c r="CJ10" s="516">
        <f t="shared" ca="1" si="45"/>
        <v>13612390.604685988</v>
      </c>
      <c r="CK10" s="516">
        <f t="shared" ca="1" si="45"/>
        <v>13890357.734198611</v>
      </c>
      <c r="CL10" s="516">
        <f t="shared" ca="1" si="45"/>
        <v>14168324.863711234</v>
      </c>
      <c r="CM10" s="516">
        <f t="shared" ca="1" si="45"/>
        <v>14446291.993223857</v>
      </c>
      <c r="CN10" s="516">
        <f t="shared" ca="1" si="45"/>
        <v>14724259.12273648</v>
      </c>
      <c r="CO10" s="544">
        <f t="shared" ca="1" si="45"/>
        <v>17612057.498624995</v>
      </c>
    </row>
    <row r="11" spans="1:93" s="107" customFormat="1" ht="24.95" customHeight="1">
      <c r="A11" s="123" t="s">
        <v>334</v>
      </c>
      <c r="B11" s="116"/>
      <c r="C11" s="116"/>
      <c r="D11" s="116"/>
      <c r="E11" s="116"/>
      <c r="F11" s="116"/>
      <c r="G11" s="116"/>
      <c r="H11" s="116"/>
      <c r="I11" s="116"/>
      <c r="J11" s="116"/>
      <c r="K11" s="116"/>
      <c r="L11" s="116"/>
      <c r="M11" s="116"/>
      <c r="N11" s="117"/>
      <c r="O11" s="445"/>
      <c r="P11" s="441"/>
      <c r="Q11" s="116"/>
      <c r="R11" s="116"/>
      <c r="S11" s="116"/>
      <c r="T11" s="116"/>
      <c r="U11" s="116"/>
      <c r="V11" s="116"/>
      <c r="W11" s="116"/>
      <c r="X11" s="116"/>
      <c r="Y11" s="116"/>
      <c r="Z11" s="116"/>
      <c r="AA11" s="116"/>
      <c r="AB11" s="445"/>
      <c r="AC11" s="116"/>
      <c r="AD11" s="116"/>
      <c r="AE11" s="116"/>
      <c r="AF11" s="116"/>
      <c r="AG11" s="116"/>
      <c r="AH11" s="116"/>
      <c r="AI11" s="116"/>
      <c r="AJ11" s="116"/>
      <c r="AK11" s="116"/>
      <c r="AL11" s="116"/>
      <c r="AM11" s="116"/>
      <c r="AN11" s="116"/>
      <c r="AO11" s="445"/>
      <c r="AP11" s="116"/>
      <c r="AQ11" s="116"/>
      <c r="AR11" s="116"/>
      <c r="AS11" s="116"/>
      <c r="AT11" s="116"/>
      <c r="AU11" s="116"/>
      <c r="AV11" s="116"/>
      <c r="AW11" s="116"/>
      <c r="AX11" s="116"/>
      <c r="AY11" s="116"/>
      <c r="AZ11" s="116"/>
      <c r="BA11" s="116"/>
      <c r="BB11" s="445"/>
      <c r="BC11" s="116"/>
      <c r="BD11" s="116"/>
      <c r="BE11" s="116"/>
      <c r="BF11" s="116"/>
      <c r="BG11" s="116"/>
      <c r="BH11" s="116"/>
      <c r="BI11" s="116"/>
      <c r="BJ11" s="116"/>
      <c r="BK11" s="116"/>
      <c r="BL11" s="116"/>
      <c r="BM11" s="116"/>
      <c r="BN11" s="116"/>
      <c r="BO11" s="445"/>
      <c r="BP11" s="116"/>
      <c r="BQ11" s="116"/>
      <c r="BR11" s="116"/>
      <c r="BS11" s="116"/>
      <c r="BT11" s="116"/>
      <c r="BU11" s="116"/>
      <c r="BV11" s="116"/>
      <c r="BW11" s="116"/>
      <c r="BX11" s="116"/>
      <c r="BY11" s="116"/>
      <c r="BZ11" s="116"/>
      <c r="CA11" s="116"/>
      <c r="CB11" s="445"/>
      <c r="CC11" s="116"/>
      <c r="CD11" s="116"/>
      <c r="CE11" s="116"/>
      <c r="CF11" s="116"/>
      <c r="CG11" s="116"/>
      <c r="CH11" s="116"/>
      <c r="CI11" s="116"/>
      <c r="CJ11" s="116"/>
      <c r="CK11" s="116"/>
      <c r="CL11" s="116"/>
      <c r="CM11" s="116"/>
      <c r="CN11" s="116"/>
      <c r="CO11" s="445"/>
    </row>
    <row r="12" spans="1:93" s="107" customFormat="1" ht="24.95" customHeight="1">
      <c r="A12" s="124" t="s">
        <v>335</v>
      </c>
      <c r="B12" s="518">
        <f ca="1">'Sales Volume, Cost of Productio'!C190*'Summary. Assumptions. Inputs'!$C$38</f>
        <v>462030.15599999996</v>
      </c>
      <c r="C12" s="518">
        <f ca="1">'Sales Volume, Cost of Productio'!D190*'Summary. Assumptions. Inputs'!$C$38+'Sales Volume, Cost of Productio'!C190*'Summary. Assumptions. Inputs'!$C$39</f>
        <v>462030.15599999996</v>
      </c>
      <c r="D12" s="518">
        <f ca="1">'Sales Volume, Cost of Productio'!E190*'Summary. Assumptions. Inputs'!$C$38+'Sales Volume, Cost of Productio'!D190*'Summary. Assumptions. Inputs'!$C$39+'Sales Volume, Cost of Productio'!C190*'Summary. Assumptions. Inputs'!$C$40</f>
        <v>462030.15599999996</v>
      </c>
      <c r="E12" s="518">
        <f ca="1">'Sales Volume, Cost of Productio'!F190*'Summary. Assumptions. Inputs'!$C$38+'Sales Volume, Cost of Productio'!E190*'Summary. Assumptions. Inputs'!$C$39+'Sales Volume, Cost of Productio'!D190*'Summary. Assumptions. Inputs'!$C$40+'Sales Volume, Cost of Productio'!C190*'Summary. Assumptions. Inputs'!$C$41</f>
        <v>462030.15599999996</v>
      </c>
      <c r="F12" s="518">
        <f ca="1">'Sales Volume, Cost of Productio'!G190*'Summary. Assumptions. Inputs'!$C$38+'Sales Volume, Cost of Productio'!F190*'Summary. Assumptions. Inputs'!$C$39+'Sales Volume, Cost of Productio'!E190*'Summary. Assumptions. Inputs'!$C$40+'Sales Volume, Cost of Productio'!D190*'Summary. Assumptions. Inputs'!$C$41+'Sales Volume, Cost of Productio'!C190*'Summary. Assumptions. Inputs'!$C$42</f>
        <v>462030.15599999996</v>
      </c>
      <c r="G12" s="518">
        <f ca="1">'Sales Volume, Cost of Productio'!H190*'Summary. Assumptions. Inputs'!$C$38+'Sales Volume, Cost of Productio'!G190*'Summary. Assumptions. Inputs'!$C$39+'Sales Volume, Cost of Productio'!F190*'Summary. Assumptions. Inputs'!$C$40+'Sales Volume, Cost of Productio'!E190*'Summary. Assumptions. Inputs'!$C$41+'Sales Volume, Cost of Productio'!D190*'Summary. Assumptions. Inputs'!$C$42+'Sales Volume, Cost of Productio'!C190*'Summary. Assumptions. Inputs'!$C$43</f>
        <v>462030.15599999996</v>
      </c>
      <c r="H12" s="518">
        <f ca="1">'Sales Volume, Cost of Productio'!I190*'Summary. Assumptions. Inputs'!$C$38+'Sales Volume, Cost of Productio'!H190*'Summary. Assumptions. Inputs'!$C$39+'Sales Volume, Cost of Productio'!G190*'Summary. Assumptions. Inputs'!$C$40+'Sales Volume, Cost of Productio'!F190*'Summary. Assumptions. Inputs'!$C$41+'Sales Volume, Cost of Productio'!E190*'Summary. Assumptions. Inputs'!$C$42+'Sales Volume, Cost of Productio'!D190*'Summary. Assumptions. Inputs'!$C$43</f>
        <v>462030.15599999996</v>
      </c>
      <c r="I12" s="518">
        <f ca="1">'Sales Volume, Cost of Productio'!J190*'Summary. Assumptions. Inputs'!$C$38+'Sales Volume, Cost of Productio'!I190*'Summary. Assumptions. Inputs'!$C$39+'Sales Volume, Cost of Productio'!H190*'Summary. Assumptions. Inputs'!$C$40+'Sales Volume, Cost of Productio'!G190*'Summary. Assumptions. Inputs'!$C$41+'Sales Volume, Cost of Productio'!F190*'Summary. Assumptions. Inputs'!$C$42+'Sales Volume, Cost of Productio'!E190*'Summary. Assumptions. Inputs'!$C$43</f>
        <v>462030.15599999996</v>
      </c>
      <c r="J12" s="518">
        <f ca="1">'Sales Volume, Cost of Productio'!K190*'Summary. Assumptions. Inputs'!$C$38+'Sales Volume, Cost of Productio'!J190*'Summary. Assumptions. Inputs'!$C$39+'Sales Volume, Cost of Productio'!I190*'Summary. Assumptions. Inputs'!$C$40+'Sales Volume, Cost of Productio'!H190*'Summary. Assumptions. Inputs'!$C$41+'Sales Volume, Cost of Productio'!G190*'Summary. Assumptions. Inputs'!$C$42+'Sales Volume, Cost of Productio'!F190*'Summary. Assumptions. Inputs'!$C$43</f>
        <v>462030.15599999996</v>
      </c>
      <c r="K12" s="518">
        <f ca="1">'Sales Volume, Cost of Productio'!L190*'Summary. Assumptions. Inputs'!$C$38+'Sales Volume, Cost of Productio'!K190*'Summary. Assumptions. Inputs'!$C$39+'Sales Volume, Cost of Productio'!J190*'Summary. Assumptions. Inputs'!$C$40+'Sales Volume, Cost of Productio'!I190*'Summary. Assumptions. Inputs'!$C$41+'Sales Volume, Cost of Productio'!H190*'Summary. Assumptions. Inputs'!$C$42+'Sales Volume, Cost of Productio'!G190*'Summary. Assumptions. Inputs'!$C$43</f>
        <v>462030.15599999996</v>
      </c>
      <c r="L12" s="518">
        <f ca="1">'Sales Volume, Cost of Productio'!M190*'Summary. Assumptions. Inputs'!$C$38+'Sales Volume, Cost of Productio'!L190*'Summary. Assumptions. Inputs'!$C$39+'Sales Volume, Cost of Productio'!K190*'Summary. Assumptions. Inputs'!$C$40+'Sales Volume, Cost of Productio'!J190*'Summary. Assumptions. Inputs'!$C$41+'Sales Volume, Cost of Productio'!I190*'Summary. Assumptions. Inputs'!$C$42+'Sales Volume, Cost of Productio'!H190*'Summary. Assumptions. Inputs'!$C$43</f>
        <v>462030.15599999996</v>
      </c>
      <c r="M12" s="518">
        <f ca="1">'Sales Volume, Cost of Productio'!N190*'Summary. Assumptions. Inputs'!$C$38+'Sales Volume, Cost of Productio'!M190*'Summary. Assumptions. Inputs'!$C$39+'Sales Volume, Cost of Productio'!L190*'Summary. Assumptions. Inputs'!$C$40+'Sales Volume, Cost of Productio'!K190*'Summary. Assumptions. Inputs'!$C$41+'Sales Volume, Cost of Productio'!J190*'Summary. Assumptions. Inputs'!$C$42+'Sales Volume, Cost of Productio'!I190*'Summary. Assumptions. Inputs'!$C$43</f>
        <v>462030.15599999996</v>
      </c>
      <c r="N12" s="519">
        <f ca="1">'Sales Volume, Cost of Productio'!O190*'Summary. Assumptions. Inputs'!$C$38+'Sales Volume, Cost of Productio'!N190*'Summary. Assumptions. Inputs'!$C$39+'Sales Volume, Cost of Productio'!M190*'Summary. Assumptions. Inputs'!$C$40+'Sales Volume, Cost of Productio'!L190*'Summary. Assumptions. Inputs'!$C$41+'Sales Volume, Cost of Productio'!K190*'Summary. Assumptions. Inputs'!$C$42+'Sales Volume, Cost of Productio'!J190*'Summary. Assumptions. Inputs'!$C$43</f>
        <v>462030.15599999996</v>
      </c>
      <c r="O12" s="545">
        <f ca="1">SUM(B12:N12)</f>
        <v>6006392.027999999</v>
      </c>
      <c r="P12" s="536">
        <f ca="1">'Sales Volume, Cost of Productio'!Q190*'Summary. Assumptions. Inputs'!$C$38+'Sales Volume, Cost of Productio'!O190*'Summary. Assumptions. Inputs'!$C$39+'Sales Volume, Cost of Productio'!N190*'Summary. Assumptions. Inputs'!$C$40+'Sales Volume, Cost of Productio'!M190*'Summary. Assumptions. Inputs'!$C$41+'Sales Volume, Cost of Productio'!L190*'Summary. Assumptions. Inputs'!$C$42+'Sales Volume, Cost of Productio'!K190*'Summary. Assumptions. Inputs'!$C$43</f>
        <v>538727.16189599992</v>
      </c>
      <c r="Q12" s="518">
        <f ca="1">'Sales Volume, Cost of Productio'!R190*'Summary. Assumptions. Inputs'!$C$38+'Sales Volume, Cost of Productio'!Q190*'Summary. Assumptions. Inputs'!$C$39+'Sales Volume, Cost of Productio'!O190*'Summary. Assumptions. Inputs'!$C$40+'Sales Volume, Cost of Productio'!N190*'Summary. Assumptions. Inputs'!$C$41+'Sales Volume, Cost of Productio'!M190*'Summary. Assumptions. Inputs'!$C$42+'Sales Volume, Cost of Productio'!L190*'Summary. Assumptions. Inputs'!$C$43</f>
        <v>538727.16189599992</v>
      </c>
      <c r="R12" s="518">
        <f ca="1">'Sales Volume, Cost of Productio'!S190*'Summary. Assumptions. Inputs'!$C$38+'Sales Volume, Cost of Productio'!R190*'Summary. Assumptions. Inputs'!$C$39+'Sales Volume, Cost of Productio'!Q190*'Summary. Assumptions. Inputs'!$C$40+'Sales Volume, Cost of Productio'!O190*'Summary. Assumptions. Inputs'!$C$41+'Sales Volume, Cost of Productio'!N190*'Summary. Assumptions. Inputs'!$C$42+'Sales Volume, Cost of Productio'!M190*'Summary. Assumptions. Inputs'!$C$43</f>
        <v>538727.16189599992</v>
      </c>
      <c r="S12" s="518">
        <f ca="1">'Sales Volume, Cost of Productio'!T190*'Summary. Assumptions. Inputs'!$C$38+'Sales Volume, Cost of Productio'!S190*'Summary. Assumptions. Inputs'!$C$39+'Sales Volume, Cost of Productio'!R190*'Summary. Assumptions. Inputs'!$C$40+'Sales Volume, Cost of Productio'!Q190*'Summary. Assumptions. Inputs'!$C$41+'Sales Volume, Cost of Productio'!O190*'Summary. Assumptions. Inputs'!$C$42+'Sales Volume, Cost of Productio'!N190*'Summary. Assumptions. Inputs'!$C$43</f>
        <v>538727.16189599992</v>
      </c>
      <c r="T12" s="518">
        <f ca="1">'Sales Volume, Cost of Productio'!U190*'Summary. Assumptions. Inputs'!$C$38+'Sales Volume, Cost of Productio'!T190*'Summary. Assumptions. Inputs'!$C$39+'Sales Volume, Cost of Productio'!S190*'Summary. Assumptions. Inputs'!$C$40+'Sales Volume, Cost of Productio'!R190*'Summary. Assumptions. Inputs'!$C$41+'Sales Volume, Cost of Productio'!Q190*'Summary. Assumptions. Inputs'!$C$42+'Sales Volume, Cost of Productio'!O190*'Summary. Assumptions. Inputs'!$C$43</f>
        <v>538727.16189599992</v>
      </c>
      <c r="U12" s="518">
        <f ca="1">'Sales Volume, Cost of Productio'!V190*'Summary. Assumptions. Inputs'!$C$38+'Sales Volume, Cost of Productio'!U190*'Summary. Assumptions. Inputs'!$C$39+'Sales Volume, Cost of Productio'!T190*'Summary. Assumptions. Inputs'!$C$40+'Sales Volume, Cost of Productio'!S190*'Summary. Assumptions. Inputs'!$C$41+'Sales Volume, Cost of Productio'!R190*'Summary. Assumptions. Inputs'!$C$42+'Sales Volume, Cost of Productio'!Q190*'Summary. Assumptions. Inputs'!$C$43</f>
        <v>538727.16189599992</v>
      </c>
      <c r="V12" s="518">
        <f ca="1">'Sales Volume, Cost of Productio'!W190*'Summary. Assumptions. Inputs'!$C$38+'Sales Volume, Cost of Productio'!V190*'Summary. Assumptions. Inputs'!$C$39+'Sales Volume, Cost of Productio'!U190*'Summary. Assumptions. Inputs'!$C$40+'Sales Volume, Cost of Productio'!T190*'Summary. Assumptions. Inputs'!$C$41+'Sales Volume, Cost of Productio'!S190*'Summary. Assumptions. Inputs'!$C$42+'Sales Volume, Cost of Productio'!R190*'Summary. Assumptions. Inputs'!$C$43</f>
        <v>538727.16189599992</v>
      </c>
      <c r="W12" s="518">
        <f ca="1">'Sales Volume, Cost of Productio'!X190*'Summary. Assumptions. Inputs'!$C$38+'Sales Volume, Cost of Productio'!W190*'Summary. Assumptions. Inputs'!$C$39+'Sales Volume, Cost of Productio'!V190*'Summary. Assumptions. Inputs'!$C$40+'Sales Volume, Cost of Productio'!U190*'Summary. Assumptions. Inputs'!$C$41+'Sales Volume, Cost of Productio'!T190*'Summary. Assumptions. Inputs'!$C$42+'Sales Volume, Cost of Productio'!S190*'Summary. Assumptions. Inputs'!$C$43</f>
        <v>538727.16189599992</v>
      </c>
      <c r="X12" s="518">
        <f ca="1">'Sales Volume, Cost of Productio'!Y190*'Summary. Assumptions. Inputs'!$C$38+'Sales Volume, Cost of Productio'!X190*'Summary. Assumptions. Inputs'!$C$39+'Sales Volume, Cost of Productio'!W190*'Summary. Assumptions. Inputs'!$C$40+'Sales Volume, Cost of Productio'!V190*'Summary. Assumptions. Inputs'!$C$41+'Sales Volume, Cost of Productio'!U190*'Summary. Assumptions. Inputs'!$C$42+'Sales Volume, Cost of Productio'!T190*'Summary. Assumptions. Inputs'!$C$43</f>
        <v>538727.16189599992</v>
      </c>
      <c r="Y12" s="518">
        <f ca="1">'Sales Volume, Cost of Productio'!Z190*'Summary. Assumptions. Inputs'!$C$38+'Sales Volume, Cost of Productio'!Y190*'Summary. Assumptions. Inputs'!$C$39+'Sales Volume, Cost of Productio'!X190*'Summary. Assumptions. Inputs'!$C$40+'Sales Volume, Cost of Productio'!W190*'Summary. Assumptions. Inputs'!$C$41+'Sales Volume, Cost of Productio'!V190*'Summary. Assumptions. Inputs'!$C$42+'Sales Volume, Cost of Productio'!U190*'Summary. Assumptions. Inputs'!$C$43</f>
        <v>538727.16189599992</v>
      </c>
      <c r="Z12" s="518">
        <f ca="1">'Sales Volume, Cost of Productio'!AA190*'Summary. Assumptions. Inputs'!$C$38+'Sales Volume, Cost of Productio'!Z190*'Summary. Assumptions. Inputs'!$C$39+'Sales Volume, Cost of Productio'!Y190*'Summary. Assumptions. Inputs'!$C$40+'Sales Volume, Cost of Productio'!X190*'Summary. Assumptions. Inputs'!$C$41+'Sales Volume, Cost of Productio'!W190*'Summary. Assumptions. Inputs'!$C$42+'Sales Volume, Cost of Productio'!V190*'Summary. Assumptions. Inputs'!$C$43</f>
        <v>538727.16189599992</v>
      </c>
      <c r="AA12" s="518">
        <f ca="1">'Sales Volume, Cost of Productio'!AB190*'Summary. Assumptions. Inputs'!$C$38+'Sales Volume, Cost of Productio'!AA190*'Summary. Assumptions. Inputs'!$C$39+'Sales Volume, Cost of Productio'!Z190*'Summary. Assumptions. Inputs'!$C$40+'Sales Volume, Cost of Productio'!Y190*'Summary. Assumptions. Inputs'!$C$41+'Sales Volume, Cost of Productio'!X190*'Summary. Assumptions. Inputs'!$C$42+'Sales Volume, Cost of Productio'!W190*'Summary. Assumptions. Inputs'!$C$43</f>
        <v>538727.16189599992</v>
      </c>
      <c r="AB12" s="545">
        <f ca="1">SUM(P12:AA12)</f>
        <v>6464725.9427519972</v>
      </c>
      <c r="AC12" s="518">
        <f ca="1">'Sales Volume, Cost of Productio'!AD190*'Summary. Assumptions. Inputs'!$C$38+'Sales Volume, Cost of Productio'!AB190*'Summary. Assumptions. Inputs'!$C$39+'Sales Volume, Cost of Productio'!AA190*'Summary. Assumptions. Inputs'!$C$40+'Sales Volume, Cost of Productio'!Z190*'Summary. Assumptions. Inputs'!$C$41+'Sales Volume, Cost of Productio'!Y190*'Summary. Assumptions. Inputs'!$C$42+'Sales Volume, Cost of Productio'!X190*'Summary. Assumptions. Inputs'!$C$43</f>
        <v>622970.66033999994</v>
      </c>
      <c r="AD12" s="518">
        <f ca="1">'Sales Volume, Cost of Productio'!AE190*'Summary. Assumptions. Inputs'!$C$38+'Sales Volume, Cost of Productio'!AD190*'Summary. Assumptions. Inputs'!$C$39+'Sales Volume, Cost of Productio'!AB190*'Summary. Assumptions. Inputs'!$C$40+'Sales Volume, Cost of Productio'!AA190*'Summary. Assumptions. Inputs'!$C$41+'Sales Volume, Cost of Productio'!Z190*'Summary. Assumptions. Inputs'!$C$42+'Sales Volume, Cost of Productio'!Y190*'Summary. Assumptions. Inputs'!$C$43</f>
        <v>622970.66033999994</v>
      </c>
      <c r="AE12" s="518">
        <f ca="1">'Sales Volume, Cost of Productio'!AF190*'Summary. Assumptions. Inputs'!$C$38+'Sales Volume, Cost of Productio'!AE190*'Summary. Assumptions. Inputs'!$C$39+'Sales Volume, Cost of Productio'!AD190*'Summary. Assumptions. Inputs'!$C$40+'Sales Volume, Cost of Productio'!AB190*'Summary. Assumptions. Inputs'!$C$41+'Sales Volume, Cost of Productio'!AA190*'Summary. Assumptions. Inputs'!$C$42+'Sales Volume, Cost of Productio'!Z190*'Summary. Assumptions. Inputs'!$C$43</f>
        <v>622970.66033999994</v>
      </c>
      <c r="AF12" s="518">
        <f ca="1">'Sales Volume, Cost of Productio'!AG190*'Summary. Assumptions. Inputs'!$C$38+'Sales Volume, Cost of Productio'!AF190*'Summary. Assumptions. Inputs'!$C$39+'Sales Volume, Cost of Productio'!AE190*'Summary. Assumptions. Inputs'!$C$40+'Sales Volume, Cost of Productio'!AD190*'Summary. Assumptions. Inputs'!$C$41+'Sales Volume, Cost of Productio'!AB190*'Summary. Assumptions. Inputs'!$C$42+'Sales Volume, Cost of Productio'!AA190*'Summary. Assumptions. Inputs'!$C$43</f>
        <v>622970.66033999994</v>
      </c>
      <c r="AG12" s="518">
        <f ca="1">'Sales Volume, Cost of Productio'!AH190*'Summary. Assumptions. Inputs'!$C$38+'Sales Volume, Cost of Productio'!AG190*'Summary. Assumptions. Inputs'!$C$39+'Sales Volume, Cost of Productio'!AF190*'Summary. Assumptions. Inputs'!$C$40+'Sales Volume, Cost of Productio'!AE190*'Summary. Assumptions. Inputs'!$C$41+'Sales Volume, Cost of Productio'!AD190*'Summary. Assumptions. Inputs'!$C$42+'Sales Volume, Cost of Productio'!AB190*'Summary. Assumptions. Inputs'!$C$43</f>
        <v>622970.66033999994</v>
      </c>
      <c r="AH12" s="518">
        <f ca="1">'Sales Volume, Cost of Productio'!AI190*'Summary. Assumptions. Inputs'!$C$38+'Sales Volume, Cost of Productio'!AH190*'Summary. Assumptions. Inputs'!$C$39+'Sales Volume, Cost of Productio'!AG190*'Summary. Assumptions. Inputs'!$C$40+'Sales Volume, Cost of Productio'!AF190*'Summary. Assumptions. Inputs'!$C$41+'Sales Volume, Cost of Productio'!AE190*'Summary. Assumptions. Inputs'!$C$42+'Sales Volume, Cost of Productio'!AD190*'Summary. Assumptions. Inputs'!$C$43</f>
        <v>622970.66033999994</v>
      </c>
      <c r="AI12" s="518">
        <f ca="1">'Sales Volume, Cost of Productio'!AJ190*'Summary. Assumptions. Inputs'!$C$38+'Sales Volume, Cost of Productio'!AI190*'Summary. Assumptions. Inputs'!$C$39+'Sales Volume, Cost of Productio'!AH190*'Summary. Assumptions. Inputs'!$C$40+'Sales Volume, Cost of Productio'!AG190*'Summary. Assumptions. Inputs'!$C$41+'Sales Volume, Cost of Productio'!AF190*'Summary. Assumptions. Inputs'!$C$42+'Sales Volume, Cost of Productio'!AE190*'Summary. Assumptions. Inputs'!$C$43</f>
        <v>622970.66033999994</v>
      </c>
      <c r="AJ12" s="518">
        <f ca="1">'Sales Volume, Cost of Productio'!AK190*'Summary. Assumptions. Inputs'!$C$38+'Sales Volume, Cost of Productio'!AJ190*'Summary. Assumptions. Inputs'!$C$39+'Sales Volume, Cost of Productio'!AI190*'Summary. Assumptions. Inputs'!$C$40+'Sales Volume, Cost of Productio'!AH190*'Summary. Assumptions. Inputs'!$C$41+'Sales Volume, Cost of Productio'!AG190*'Summary. Assumptions. Inputs'!$C$42+'Sales Volume, Cost of Productio'!AF190*'Summary. Assumptions. Inputs'!$C$43</f>
        <v>622970.66033999994</v>
      </c>
      <c r="AK12" s="518">
        <f ca="1">'Sales Volume, Cost of Productio'!AL190*'Summary. Assumptions. Inputs'!$C$38+'Sales Volume, Cost of Productio'!AK190*'Summary. Assumptions. Inputs'!$C$39+'Sales Volume, Cost of Productio'!AJ190*'Summary. Assumptions. Inputs'!$C$40+'Sales Volume, Cost of Productio'!AI190*'Summary. Assumptions. Inputs'!$C$41+'Sales Volume, Cost of Productio'!AH190*'Summary. Assumptions. Inputs'!$C$42+'Sales Volume, Cost of Productio'!AG190*'Summary. Assumptions. Inputs'!$C$43</f>
        <v>622970.66033999994</v>
      </c>
      <c r="AL12" s="518">
        <f ca="1">'Sales Volume, Cost of Productio'!AM190*'Summary. Assumptions. Inputs'!$C$38+'Sales Volume, Cost of Productio'!AL190*'Summary. Assumptions. Inputs'!$C$39+'Sales Volume, Cost of Productio'!AK190*'Summary. Assumptions. Inputs'!$C$40+'Sales Volume, Cost of Productio'!AJ190*'Summary. Assumptions. Inputs'!$C$41+'Sales Volume, Cost of Productio'!AI190*'Summary. Assumptions. Inputs'!$C$42+'Sales Volume, Cost of Productio'!AH190*'Summary. Assumptions. Inputs'!$C$43</f>
        <v>622970.66033999994</v>
      </c>
      <c r="AM12" s="518">
        <f ca="1">'Sales Volume, Cost of Productio'!AN190*'Summary. Assumptions. Inputs'!$C$38+'Sales Volume, Cost of Productio'!AM190*'Summary. Assumptions. Inputs'!$C$39+'Sales Volume, Cost of Productio'!AL190*'Summary. Assumptions. Inputs'!$C$40+'Sales Volume, Cost of Productio'!AK190*'Summary. Assumptions. Inputs'!$C$41+'Sales Volume, Cost of Productio'!AJ190*'Summary. Assumptions. Inputs'!$C$42+'Sales Volume, Cost of Productio'!AI190*'Summary. Assumptions. Inputs'!$C$43</f>
        <v>622970.66033999994</v>
      </c>
      <c r="AN12" s="518">
        <f ca="1">'Sales Volume, Cost of Productio'!AO190*'Summary. Assumptions. Inputs'!$C$38+'Sales Volume, Cost of Productio'!AN190*'Summary. Assumptions. Inputs'!$C$39+'Sales Volume, Cost of Productio'!AM190*'Summary. Assumptions. Inputs'!$C$40+'Sales Volume, Cost of Productio'!AL190*'Summary. Assumptions. Inputs'!$C$41+'Sales Volume, Cost of Productio'!AK190*'Summary. Assumptions. Inputs'!$C$42+'Sales Volume, Cost of Productio'!AJ190*'Summary. Assumptions. Inputs'!$C$43</f>
        <v>622970.66033999994</v>
      </c>
      <c r="AO12" s="545">
        <f ca="1">SUM(AC12:AN12)</f>
        <v>7475647.9240799993</v>
      </c>
      <c r="AP12" s="518">
        <f ca="1">'Sales Volume, Cost of Productio'!AQ190*'Summary. Assumptions. Inputs'!$C$38+'Sales Volume, Cost of Productio'!AO190*'Summary. Assumptions. Inputs'!$C$39+'Sales Volume, Cost of Productio'!AN190*'Summary. Assumptions. Inputs'!$C$40+'Sales Volume, Cost of Productio'!AM190*'Summary. Assumptions. Inputs'!$C$41+'Sales Volume, Cost of Productio'!AL190*'Summary. Assumptions. Inputs'!$C$42+'Sales Volume, Cost of Productio'!AK190*'Summary. Assumptions. Inputs'!$C$43</f>
        <v>715376.6915399998</v>
      </c>
      <c r="AQ12" s="518">
        <f ca="1">'Sales Volume, Cost of Productio'!AR190*'Summary. Assumptions. Inputs'!$C$38+'Sales Volume, Cost of Productio'!AQ190*'Summary. Assumptions. Inputs'!$C$39+'Sales Volume, Cost of Productio'!AO190*'Summary. Assumptions. Inputs'!$C$40+'Sales Volume, Cost of Productio'!AN190*'Summary. Assumptions. Inputs'!$C$41+'Sales Volume, Cost of Productio'!AM190*'Summary. Assumptions. Inputs'!$C$42+'Sales Volume, Cost of Productio'!AL190*'Summary. Assumptions. Inputs'!$C$43</f>
        <v>715376.6915399998</v>
      </c>
      <c r="AR12" s="518">
        <f ca="1">'Sales Volume, Cost of Productio'!AS190*'Summary. Assumptions. Inputs'!$C$38+'Sales Volume, Cost of Productio'!AR190*'Summary. Assumptions. Inputs'!$C$39+'Sales Volume, Cost of Productio'!AQ190*'Summary. Assumptions. Inputs'!$C$40+'Sales Volume, Cost of Productio'!AO190*'Summary. Assumptions. Inputs'!$C$41+'Sales Volume, Cost of Productio'!AN190*'Summary. Assumptions. Inputs'!$C$42+'Sales Volume, Cost of Productio'!AM190*'Summary. Assumptions. Inputs'!$C$43</f>
        <v>715376.6915399998</v>
      </c>
      <c r="AS12" s="518">
        <f ca="1">'Sales Volume, Cost of Productio'!AT190*'Summary. Assumptions. Inputs'!$C$38+'Sales Volume, Cost of Productio'!AS190*'Summary. Assumptions. Inputs'!$C$39+'Sales Volume, Cost of Productio'!AR190*'Summary. Assumptions. Inputs'!$C$40+'Sales Volume, Cost of Productio'!AQ190*'Summary. Assumptions. Inputs'!$C$41+'Sales Volume, Cost of Productio'!AO190*'Summary. Assumptions. Inputs'!$C$42+'Sales Volume, Cost of Productio'!AN190*'Summary. Assumptions. Inputs'!$C$43</f>
        <v>715376.6915399998</v>
      </c>
      <c r="AT12" s="518">
        <f ca="1">'Sales Volume, Cost of Productio'!AU190*'Summary. Assumptions. Inputs'!$C$38+'Sales Volume, Cost of Productio'!AT190*'Summary. Assumptions. Inputs'!$C$39+'Sales Volume, Cost of Productio'!AS190*'Summary. Assumptions. Inputs'!$C$40+'Sales Volume, Cost of Productio'!AR190*'Summary. Assumptions. Inputs'!$C$41+'Sales Volume, Cost of Productio'!AQ190*'Summary. Assumptions. Inputs'!$C$42+'Sales Volume, Cost of Productio'!AO190*'Summary. Assumptions. Inputs'!$C$43</f>
        <v>715376.6915399998</v>
      </c>
      <c r="AU12" s="518">
        <f ca="1">'Sales Volume, Cost of Productio'!AV190*'Summary. Assumptions. Inputs'!$C$38+'Sales Volume, Cost of Productio'!AU190*'Summary. Assumptions. Inputs'!$C$39+'Sales Volume, Cost of Productio'!AT190*'Summary. Assumptions. Inputs'!$C$40+'Sales Volume, Cost of Productio'!AS190*'Summary. Assumptions. Inputs'!$C$41+'Sales Volume, Cost of Productio'!AR190*'Summary. Assumptions. Inputs'!$C$42+'Sales Volume, Cost of Productio'!AQ190*'Summary. Assumptions. Inputs'!$C$43</f>
        <v>715376.6915399998</v>
      </c>
      <c r="AV12" s="518">
        <f ca="1">'Sales Volume, Cost of Productio'!AW190*'Summary. Assumptions. Inputs'!$C$38+'Sales Volume, Cost of Productio'!AV190*'Summary. Assumptions. Inputs'!$C$39+'Sales Volume, Cost of Productio'!AU190*'Summary. Assumptions. Inputs'!$C$40+'Sales Volume, Cost of Productio'!AT190*'Summary. Assumptions. Inputs'!$C$41+'Sales Volume, Cost of Productio'!AS190*'Summary. Assumptions. Inputs'!$C$42+'Sales Volume, Cost of Productio'!AR190*'Summary. Assumptions. Inputs'!$C$43</f>
        <v>715376.6915399998</v>
      </c>
      <c r="AW12" s="518">
        <f ca="1">'Sales Volume, Cost of Productio'!AX190*'Summary. Assumptions. Inputs'!$C$38+'Sales Volume, Cost of Productio'!AW190*'Summary. Assumptions. Inputs'!$C$39+'Sales Volume, Cost of Productio'!AV190*'Summary. Assumptions. Inputs'!$C$40+'Sales Volume, Cost of Productio'!AU190*'Summary. Assumptions. Inputs'!$C$41+'Sales Volume, Cost of Productio'!AT190*'Summary. Assumptions. Inputs'!$C$42+'Sales Volume, Cost of Productio'!AS190*'Summary. Assumptions. Inputs'!$C$43</f>
        <v>715376.6915399998</v>
      </c>
      <c r="AX12" s="518">
        <f ca="1">'Sales Volume, Cost of Productio'!AY190*'Summary. Assumptions. Inputs'!$C$38+'Sales Volume, Cost of Productio'!AX190*'Summary. Assumptions. Inputs'!$C$39+'Sales Volume, Cost of Productio'!AW190*'Summary. Assumptions. Inputs'!$C$40+'Sales Volume, Cost of Productio'!AV190*'Summary. Assumptions. Inputs'!$C$41+'Sales Volume, Cost of Productio'!AU190*'Summary. Assumptions. Inputs'!$C$42+'Sales Volume, Cost of Productio'!AT190*'Summary. Assumptions. Inputs'!$C$43</f>
        <v>715376.6915399998</v>
      </c>
      <c r="AY12" s="518">
        <f ca="1">'Sales Volume, Cost of Productio'!AZ190*'Summary. Assumptions. Inputs'!$C$38+'Sales Volume, Cost of Productio'!AY190*'Summary. Assumptions. Inputs'!$C$39+'Sales Volume, Cost of Productio'!AX190*'Summary. Assumptions. Inputs'!$C$40+'Sales Volume, Cost of Productio'!AW190*'Summary. Assumptions. Inputs'!$C$41+'Sales Volume, Cost of Productio'!AV190*'Summary. Assumptions. Inputs'!$C$42+'Sales Volume, Cost of Productio'!AU190*'Summary. Assumptions. Inputs'!$C$43</f>
        <v>715376.6915399998</v>
      </c>
      <c r="AZ12" s="518">
        <f ca="1">'Sales Volume, Cost of Productio'!BA190*'Summary. Assumptions. Inputs'!$C$38+'Sales Volume, Cost of Productio'!AZ190*'Summary. Assumptions. Inputs'!$C$39+'Sales Volume, Cost of Productio'!AY190*'Summary. Assumptions. Inputs'!$C$40+'Sales Volume, Cost of Productio'!AX190*'Summary. Assumptions. Inputs'!$C$41+'Sales Volume, Cost of Productio'!AW190*'Summary. Assumptions. Inputs'!$C$42+'Sales Volume, Cost of Productio'!AV190*'Summary. Assumptions. Inputs'!$C$43</f>
        <v>715376.6915399998</v>
      </c>
      <c r="BA12" s="518">
        <f ca="1">'Sales Volume, Cost of Productio'!BB190*'Summary. Assumptions. Inputs'!$C$38+'Sales Volume, Cost of Productio'!BA190*'Summary. Assumptions. Inputs'!$C$39+'Sales Volume, Cost of Productio'!AZ190*'Summary. Assumptions. Inputs'!$C$40+'Sales Volume, Cost of Productio'!AY190*'Summary. Assumptions. Inputs'!$C$41+'Sales Volume, Cost of Productio'!AX190*'Summary. Assumptions. Inputs'!$C$42+'Sales Volume, Cost of Productio'!AW190*'Summary. Assumptions. Inputs'!$C$43</f>
        <v>715376.6915399998</v>
      </c>
      <c r="BB12" s="545">
        <f ca="1">SUM(AP12:BA12)</f>
        <v>8584520.2984799985</v>
      </c>
      <c r="BC12" s="518">
        <f ca="1">'Sales Volume, Cost of Productio'!BD190*'Summary. Assumptions. Inputs'!$C$38+'Sales Volume, Cost of Productio'!BB190*'Summary. Assumptions. Inputs'!$C$39+'Sales Volume, Cost of Productio'!BA190*'Summary. Assumptions. Inputs'!$C$40+'Sales Volume, Cost of Productio'!AZ190*'Summary. Assumptions. Inputs'!$C$41+'Sales Volume, Cost of Productio'!AY190*'Summary. Assumptions. Inputs'!$C$42+'Sales Volume, Cost of Productio'!AX190*'Summary. Assumptions. Inputs'!$C$43</f>
        <v>816622.89972479979</v>
      </c>
      <c r="BD12" s="518">
        <f ca="1">'Sales Volume, Cost of Productio'!BE190*'Summary. Assumptions. Inputs'!$C$38+'Sales Volume, Cost of Productio'!BD190*'Summary. Assumptions. Inputs'!$C$39+'Sales Volume, Cost of Productio'!BB190*'Summary. Assumptions. Inputs'!$C$40+'Sales Volume, Cost of Productio'!BA190*'Summary. Assumptions. Inputs'!$C$41+'Sales Volume, Cost of Productio'!AZ190*'Summary. Assumptions. Inputs'!$C$42+'Sales Volume, Cost of Productio'!AY190*'Summary. Assumptions. Inputs'!$C$43</f>
        <v>816622.89972479979</v>
      </c>
      <c r="BE12" s="518">
        <f ca="1">'Sales Volume, Cost of Productio'!BF190*'Summary. Assumptions. Inputs'!$C$38+'Sales Volume, Cost of Productio'!BE190*'Summary. Assumptions. Inputs'!$C$39+'Sales Volume, Cost of Productio'!BD190*'Summary. Assumptions. Inputs'!$C$40+'Sales Volume, Cost of Productio'!BB190*'Summary. Assumptions. Inputs'!$C$41+'Sales Volume, Cost of Productio'!BA190*'Summary. Assumptions. Inputs'!$C$42+'Sales Volume, Cost of Productio'!AZ190*'Summary. Assumptions. Inputs'!$C$43</f>
        <v>816622.89972479979</v>
      </c>
      <c r="BF12" s="518">
        <f ca="1">'Sales Volume, Cost of Productio'!BG190*'Summary. Assumptions. Inputs'!$C$38+'Sales Volume, Cost of Productio'!BF190*'Summary. Assumptions. Inputs'!$C$39+'Sales Volume, Cost of Productio'!BE190*'Summary. Assumptions. Inputs'!$C$40+'Sales Volume, Cost of Productio'!BD190*'Summary. Assumptions. Inputs'!$C$41+'Sales Volume, Cost of Productio'!BB190*'Summary. Assumptions. Inputs'!$C$42+'Sales Volume, Cost of Productio'!BA190*'Summary. Assumptions. Inputs'!$C$43</f>
        <v>816622.89972479979</v>
      </c>
      <c r="BG12" s="518">
        <f ca="1">'Sales Volume, Cost of Productio'!BH190*'Summary. Assumptions. Inputs'!$C$38+'Sales Volume, Cost of Productio'!BG190*'Summary. Assumptions. Inputs'!$C$39+'Sales Volume, Cost of Productio'!BF190*'Summary. Assumptions. Inputs'!$C$40+'Sales Volume, Cost of Productio'!BE190*'Summary. Assumptions. Inputs'!$C$41+'Sales Volume, Cost of Productio'!BD190*'Summary. Assumptions. Inputs'!$C$42+'Sales Volume, Cost of Productio'!BB190*'Summary. Assumptions. Inputs'!$C$43</f>
        <v>816622.89972479979</v>
      </c>
      <c r="BH12" s="518">
        <f ca="1">'Sales Volume, Cost of Productio'!BI190*'Summary. Assumptions. Inputs'!$C$38+'Sales Volume, Cost of Productio'!BH190*'Summary. Assumptions. Inputs'!$C$39+'Sales Volume, Cost of Productio'!BG190*'Summary. Assumptions. Inputs'!$C$40+'Sales Volume, Cost of Productio'!BF190*'Summary. Assumptions. Inputs'!$C$41+'Sales Volume, Cost of Productio'!BE190*'Summary. Assumptions. Inputs'!$C$42+'Sales Volume, Cost of Productio'!BD190*'Summary. Assumptions. Inputs'!$C$43</f>
        <v>816622.89972479979</v>
      </c>
      <c r="BI12" s="518">
        <f ca="1">'Sales Volume, Cost of Productio'!BJ190*'Summary. Assumptions. Inputs'!$C$38+'Sales Volume, Cost of Productio'!BI190*'Summary. Assumptions. Inputs'!$C$39+'Sales Volume, Cost of Productio'!BH190*'Summary. Assumptions. Inputs'!$C$40+'Sales Volume, Cost of Productio'!BG190*'Summary. Assumptions. Inputs'!$C$41+'Sales Volume, Cost of Productio'!BF190*'Summary. Assumptions. Inputs'!$C$42+'Sales Volume, Cost of Productio'!BE190*'Summary. Assumptions. Inputs'!$C$43</f>
        <v>816622.89972479979</v>
      </c>
      <c r="BJ12" s="518">
        <f ca="1">'Sales Volume, Cost of Productio'!BK190*'Summary. Assumptions. Inputs'!$C$38+'Sales Volume, Cost of Productio'!BJ190*'Summary. Assumptions. Inputs'!$C$39+'Sales Volume, Cost of Productio'!BI190*'Summary. Assumptions. Inputs'!$C$40+'Sales Volume, Cost of Productio'!BH190*'Summary. Assumptions. Inputs'!$C$41+'Sales Volume, Cost of Productio'!BG190*'Summary. Assumptions. Inputs'!$C$42+'Sales Volume, Cost of Productio'!BF190*'Summary. Assumptions. Inputs'!$C$43</f>
        <v>816622.89972479979</v>
      </c>
      <c r="BK12" s="518">
        <f ca="1">'Sales Volume, Cost of Productio'!BL190*'Summary. Assumptions. Inputs'!$C$38+'Sales Volume, Cost of Productio'!BK190*'Summary. Assumptions. Inputs'!$C$39+'Sales Volume, Cost of Productio'!BJ190*'Summary. Assumptions. Inputs'!$C$40+'Sales Volume, Cost of Productio'!BI190*'Summary. Assumptions. Inputs'!$C$41+'Sales Volume, Cost of Productio'!BH190*'Summary. Assumptions. Inputs'!$C$42+'Sales Volume, Cost of Productio'!BG190*'Summary. Assumptions. Inputs'!$C$43</f>
        <v>816622.89972479979</v>
      </c>
      <c r="BL12" s="518">
        <f ca="1">'Sales Volume, Cost of Productio'!BM190*'Summary. Assumptions. Inputs'!$C$38+'Sales Volume, Cost of Productio'!BL190*'Summary. Assumptions. Inputs'!$C$39+'Sales Volume, Cost of Productio'!BK190*'Summary. Assumptions. Inputs'!$C$40+'Sales Volume, Cost of Productio'!BJ190*'Summary. Assumptions. Inputs'!$C$41+'Sales Volume, Cost of Productio'!BI190*'Summary. Assumptions. Inputs'!$C$42+'Sales Volume, Cost of Productio'!BH190*'Summary. Assumptions. Inputs'!$C$43</f>
        <v>816622.89972479979</v>
      </c>
      <c r="BM12" s="518">
        <f ca="1">'Sales Volume, Cost of Productio'!BN190*'Summary. Assumptions. Inputs'!$C$38+'Sales Volume, Cost of Productio'!BM190*'Summary. Assumptions. Inputs'!$C$39+'Sales Volume, Cost of Productio'!BL190*'Summary. Assumptions. Inputs'!$C$40+'Sales Volume, Cost of Productio'!BK190*'Summary. Assumptions. Inputs'!$C$41+'Sales Volume, Cost of Productio'!BJ190*'Summary. Assumptions. Inputs'!$C$42+'Sales Volume, Cost of Productio'!BI190*'Summary. Assumptions. Inputs'!$C$43</f>
        <v>816622.89972479979</v>
      </c>
      <c r="BN12" s="518">
        <f ca="1">'Sales Volume, Cost of Productio'!BO190*'Summary. Assumptions. Inputs'!$C$38+'Sales Volume, Cost of Productio'!BN190*'Summary. Assumptions. Inputs'!$C$39+'Sales Volume, Cost of Productio'!BM190*'Summary. Assumptions. Inputs'!$C$40+'Sales Volume, Cost of Productio'!BL190*'Summary. Assumptions. Inputs'!$C$41+'Sales Volume, Cost of Productio'!BK190*'Summary. Assumptions. Inputs'!$C$42+'Sales Volume, Cost of Productio'!BJ190*'Summary. Assumptions. Inputs'!$C$43</f>
        <v>816622.89972479979</v>
      </c>
      <c r="BO12" s="545">
        <f ca="1">SUM(BC12:BN12)</f>
        <v>9799474.7966975998</v>
      </c>
      <c r="BP12" s="518">
        <f ca="1">'Sales Volume, Cost of Productio'!BQ190*'Summary. Assumptions. Inputs'!$C$38+'Sales Volume, Cost of Productio'!BO190*'Summary. Assumptions. Inputs'!$C$39+'Sales Volume, Cost of Productio'!BN190*'Summary. Assumptions. Inputs'!$C$40+'Sales Volume, Cost of Productio'!BM190*'Summary. Assumptions. Inputs'!$C$41+'Sales Volume, Cost of Productio'!BL190*'Summary. Assumptions. Inputs'!$C$42+'Sales Volume, Cost of Productio'!BK190*'Summary. Assumptions. Inputs'!$C$43</f>
        <v>927448.53314399975</v>
      </c>
      <c r="BQ12" s="518">
        <f ca="1">'Sales Volume, Cost of Productio'!BR190*'Summary. Assumptions. Inputs'!$C$38+'Sales Volume, Cost of Productio'!BQ190*'Summary. Assumptions. Inputs'!$C$39+'Sales Volume, Cost of Productio'!BO190*'Summary. Assumptions. Inputs'!$C$40+'Sales Volume, Cost of Productio'!BN190*'Summary. Assumptions. Inputs'!$C$41+'Sales Volume, Cost of Productio'!BM190*'Summary. Assumptions. Inputs'!$C$42+'Sales Volume, Cost of Productio'!BL190*'Summary. Assumptions. Inputs'!$C$43</f>
        <v>927448.53314399975</v>
      </c>
      <c r="BR12" s="518">
        <f ca="1">'Sales Volume, Cost of Productio'!BS190*'Summary. Assumptions. Inputs'!$C$38+'Sales Volume, Cost of Productio'!BR190*'Summary. Assumptions. Inputs'!$C$39+'Sales Volume, Cost of Productio'!BQ190*'Summary. Assumptions. Inputs'!$C$40+'Sales Volume, Cost of Productio'!BO190*'Summary. Assumptions. Inputs'!$C$41+'Sales Volume, Cost of Productio'!BN190*'Summary. Assumptions. Inputs'!$C$42+'Sales Volume, Cost of Productio'!BM190*'Summary. Assumptions. Inputs'!$C$43</f>
        <v>927448.53314399975</v>
      </c>
      <c r="BS12" s="518">
        <f ca="1">'Sales Volume, Cost of Productio'!BT190*'Summary. Assumptions. Inputs'!$C$38+'Sales Volume, Cost of Productio'!BS190*'Summary. Assumptions. Inputs'!$C$39+'Sales Volume, Cost of Productio'!BR190*'Summary. Assumptions. Inputs'!$C$40+'Sales Volume, Cost of Productio'!BQ190*'Summary. Assumptions. Inputs'!$C$41+'Sales Volume, Cost of Productio'!BO190*'Summary. Assumptions. Inputs'!$C$42+'Sales Volume, Cost of Productio'!BN190*'Summary. Assumptions. Inputs'!$C$43</f>
        <v>927448.53314399975</v>
      </c>
      <c r="BT12" s="518">
        <f ca="1">'Sales Volume, Cost of Productio'!BU190*'Summary. Assumptions. Inputs'!$C$38+'Sales Volume, Cost of Productio'!BT190*'Summary. Assumptions. Inputs'!$C$39+'Sales Volume, Cost of Productio'!BS190*'Summary. Assumptions. Inputs'!$C$40+'Sales Volume, Cost of Productio'!BR190*'Summary. Assumptions. Inputs'!$C$41+'Sales Volume, Cost of Productio'!BQ190*'Summary. Assumptions. Inputs'!$C$42+'Sales Volume, Cost of Productio'!BO190*'Summary. Assumptions. Inputs'!$C$43</f>
        <v>927448.53314399975</v>
      </c>
      <c r="BU12" s="518">
        <f ca="1">'Sales Volume, Cost of Productio'!BV190*'Summary. Assumptions. Inputs'!$C$38+'Sales Volume, Cost of Productio'!BU190*'Summary. Assumptions. Inputs'!$C$39+'Sales Volume, Cost of Productio'!BT190*'Summary. Assumptions. Inputs'!$C$40+'Sales Volume, Cost of Productio'!BS190*'Summary. Assumptions. Inputs'!$C$41+'Sales Volume, Cost of Productio'!BR190*'Summary. Assumptions. Inputs'!$C$42+'Sales Volume, Cost of Productio'!BQ190*'Summary. Assumptions. Inputs'!$C$43</f>
        <v>927448.53314399975</v>
      </c>
      <c r="BV12" s="518">
        <f ca="1">'Sales Volume, Cost of Productio'!BW190*'Summary. Assumptions. Inputs'!$C$38+'Sales Volume, Cost of Productio'!BV190*'Summary. Assumptions. Inputs'!$C$39+'Sales Volume, Cost of Productio'!BU190*'Summary. Assumptions. Inputs'!$C$40+'Sales Volume, Cost of Productio'!BT190*'Summary. Assumptions. Inputs'!$C$41+'Sales Volume, Cost of Productio'!BS190*'Summary. Assumptions. Inputs'!$C$42+'Sales Volume, Cost of Productio'!BR190*'Summary. Assumptions. Inputs'!$C$43</f>
        <v>927448.53314399975</v>
      </c>
      <c r="BW12" s="518">
        <f ca="1">'Sales Volume, Cost of Productio'!BX190*'Summary. Assumptions. Inputs'!$C$38+'Sales Volume, Cost of Productio'!BW190*'Summary. Assumptions. Inputs'!$C$39+'Sales Volume, Cost of Productio'!BV190*'Summary. Assumptions. Inputs'!$C$40+'Sales Volume, Cost of Productio'!BU190*'Summary. Assumptions. Inputs'!$C$41+'Sales Volume, Cost of Productio'!BT190*'Summary. Assumptions. Inputs'!$C$42+'Sales Volume, Cost of Productio'!BS190*'Summary. Assumptions. Inputs'!$C$43</f>
        <v>927448.53314399975</v>
      </c>
      <c r="BX12" s="518">
        <f ca="1">'Sales Volume, Cost of Productio'!BY190*'Summary. Assumptions. Inputs'!$C$38+'Sales Volume, Cost of Productio'!BX190*'Summary. Assumptions. Inputs'!$C$39+'Sales Volume, Cost of Productio'!BW190*'Summary. Assumptions. Inputs'!$C$40+'Sales Volume, Cost of Productio'!BV190*'Summary. Assumptions. Inputs'!$C$41+'Sales Volume, Cost of Productio'!BU190*'Summary. Assumptions. Inputs'!$C$42+'Sales Volume, Cost of Productio'!BT190*'Summary. Assumptions. Inputs'!$C$43</f>
        <v>927448.53314399975</v>
      </c>
      <c r="BY12" s="518">
        <f ca="1">'Sales Volume, Cost of Productio'!BZ190*'Summary. Assumptions. Inputs'!$C$38+'Sales Volume, Cost of Productio'!BY190*'Summary. Assumptions. Inputs'!$C$39+'Sales Volume, Cost of Productio'!BX190*'Summary. Assumptions. Inputs'!$C$40+'Sales Volume, Cost of Productio'!BW190*'Summary. Assumptions. Inputs'!$C$41+'Sales Volume, Cost of Productio'!BV190*'Summary. Assumptions. Inputs'!$C$42+'Sales Volume, Cost of Productio'!BU190*'Summary. Assumptions. Inputs'!$C$43</f>
        <v>927448.53314399975</v>
      </c>
      <c r="BZ12" s="518">
        <f ca="1">'Sales Volume, Cost of Productio'!CA190*'Summary. Assumptions. Inputs'!$C$38+'Sales Volume, Cost of Productio'!BZ190*'Summary. Assumptions. Inputs'!$C$39+'Sales Volume, Cost of Productio'!BY190*'Summary. Assumptions. Inputs'!$C$40+'Sales Volume, Cost of Productio'!BX190*'Summary. Assumptions. Inputs'!$C$41+'Sales Volume, Cost of Productio'!BW190*'Summary. Assumptions. Inputs'!$C$42+'Sales Volume, Cost of Productio'!BV190*'Summary. Assumptions. Inputs'!$C$43</f>
        <v>927448.53314399975</v>
      </c>
      <c r="CA12" s="518">
        <f ca="1">'Sales Volume, Cost of Productio'!CB190*'Summary. Assumptions. Inputs'!$C$38+'Sales Volume, Cost of Productio'!CA190*'Summary. Assumptions. Inputs'!$C$39+'Sales Volume, Cost of Productio'!BZ190*'Summary. Assumptions. Inputs'!$C$40+'Sales Volume, Cost of Productio'!BY190*'Summary. Assumptions. Inputs'!$C$41+'Sales Volume, Cost of Productio'!BX190*'Summary. Assumptions. Inputs'!$C$42+'Sales Volume, Cost of Productio'!BW190*'Summary. Assumptions. Inputs'!$C$43</f>
        <v>927448.53314399975</v>
      </c>
      <c r="CB12" s="545">
        <f ca="1">SUM(BP12:CA12)</f>
        <v>11129382.397727996</v>
      </c>
      <c r="CC12" s="518">
        <f ca="1">'Sales Volume, Cost of Productio'!CD190*'Summary. Assumptions. Inputs'!$C$38+'Sales Volume, Cost of Productio'!CB190*'Summary. Assumptions. Inputs'!$C$39+'Sales Volume, Cost of Productio'!CA190*'Summary. Assumptions. Inputs'!$C$40+'Sales Volume, Cost of Productio'!BZ190*'Summary. Assumptions. Inputs'!$C$41+'Sales Volume, Cost of Productio'!BY190*'Summary. Assumptions. Inputs'!$C$42+'Sales Volume, Cost of Productio'!BX190*'Summary. Assumptions. Inputs'!$C$43</f>
        <v>983107.76593679981</v>
      </c>
      <c r="CD12" s="518">
        <f ca="1">'Sales Volume, Cost of Productio'!CE190*'Summary. Assumptions. Inputs'!$C$38+'Sales Volume, Cost of Productio'!CD190*'Summary. Assumptions. Inputs'!$C$39+'Sales Volume, Cost of Productio'!CB190*'Summary. Assumptions. Inputs'!$C$40+'Sales Volume, Cost of Productio'!CA190*'Summary. Assumptions. Inputs'!$C$41+'Sales Volume, Cost of Productio'!BZ190*'Summary. Assumptions. Inputs'!$C$42+'Sales Volume, Cost of Productio'!BY190*'Summary. Assumptions. Inputs'!$C$43</f>
        <v>983107.76593679981</v>
      </c>
      <c r="CE12" s="518">
        <f ca="1">'Sales Volume, Cost of Productio'!CF190*'Summary. Assumptions. Inputs'!$C$38+'Sales Volume, Cost of Productio'!CE190*'Summary. Assumptions. Inputs'!$C$39+'Sales Volume, Cost of Productio'!CD190*'Summary. Assumptions. Inputs'!$C$40+'Sales Volume, Cost of Productio'!CB190*'Summary. Assumptions. Inputs'!$C$41+'Sales Volume, Cost of Productio'!CA190*'Summary. Assumptions. Inputs'!$C$42+'Sales Volume, Cost of Productio'!BZ190*'Summary. Assumptions. Inputs'!$C$43</f>
        <v>983107.76593679981</v>
      </c>
      <c r="CF12" s="518">
        <f ca="1">'Sales Volume, Cost of Productio'!CG190*'Summary. Assumptions. Inputs'!$C$38+'Sales Volume, Cost of Productio'!CF190*'Summary. Assumptions. Inputs'!$C$39+'Sales Volume, Cost of Productio'!CE190*'Summary. Assumptions. Inputs'!$C$40+'Sales Volume, Cost of Productio'!CD190*'Summary. Assumptions. Inputs'!$C$41+'Sales Volume, Cost of Productio'!CB190*'Summary. Assumptions. Inputs'!$C$42+'Sales Volume, Cost of Productio'!CA190*'Summary. Assumptions. Inputs'!$C$43</f>
        <v>983107.76593679981</v>
      </c>
      <c r="CG12" s="518">
        <f ca="1">'Sales Volume, Cost of Productio'!CH190*'Summary. Assumptions. Inputs'!$C$38+'Sales Volume, Cost of Productio'!CG190*'Summary. Assumptions. Inputs'!$C$39+'Sales Volume, Cost of Productio'!CF190*'Summary. Assumptions. Inputs'!$C$40+'Sales Volume, Cost of Productio'!CE190*'Summary. Assumptions. Inputs'!$C$41+'Sales Volume, Cost of Productio'!CD190*'Summary. Assumptions. Inputs'!$C$42+'Sales Volume, Cost of Productio'!CB190*'Summary. Assumptions. Inputs'!$C$43</f>
        <v>983107.76593679981</v>
      </c>
      <c r="CH12" s="518">
        <f ca="1">'Sales Volume, Cost of Productio'!CI190*'Summary. Assumptions. Inputs'!$C$38+'Sales Volume, Cost of Productio'!CH190*'Summary. Assumptions. Inputs'!$C$39+'Sales Volume, Cost of Productio'!CG190*'Summary. Assumptions. Inputs'!$C$40+'Sales Volume, Cost of Productio'!CF190*'Summary. Assumptions. Inputs'!$C$41+'Sales Volume, Cost of Productio'!CE190*'Summary. Assumptions. Inputs'!$C$42+'Sales Volume, Cost of Productio'!CD190*'Summary. Assumptions. Inputs'!$C$43</f>
        <v>983107.76593679981</v>
      </c>
      <c r="CI12" s="518">
        <f ca="1">'Sales Volume, Cost of Productio'!CJ190*'Summary. Assumptions. Inputs'!$C$38+'Sales Volume, Cost of Productio'!CI190*'Summary. Assumptions. Inputs'!$C$39+'Sales Volume, Cost of Productio'!CH190*'Summary. Assumptions. Inputs'!$C$40+'Sales Volume, Cost of Productio'!CG190*'Summary. Assumptions. Inputs'!$C$41+'Sales Volume, Cost of Productio'!CF190*'Summary. Assumptions. Inputs'!$C$42+'Sales Volume, Cost of Productio'!CE190*'Summary. Assumptions. Inputs'!$C$43</f>
        <v>983107.76593679981</v>
      </c>
      <c r="CJ12" s="518">
        <f ca="1">'Sales Volume, Cost of Productio'!CK190*'Summary. Assumptions. Inputs'!$C$38+'Sales Volume, Cost of Productio'!CJ190*'Summary. Assumptions. Inputs'!$C$39+'Sales Volume, Cost of Productio'!CI190*'Summary. Assumptions. Inputs'!$C$40+'Sales Volume, Cost of Productio'!CH190*'Summary. Assumptions. Inputs'!$C$41+'Sales Volume, Cost of Productio'!CG190*'Summary. Assumptions. Inputs'!$C$42+'Sales Volume, Cost of Productio'!CF190*'Summary. Assumptions. Inputs'!$C$43</f>
        <v>983107.76593679981</v>
      </c>
      <c r="CK12" s="518">
        <f ca="1">'Sales Volume, Cost of Productio'!CL190*'Summary. Assumptions. Inputs'!$C$38+'Sales Volume, Cost of Productio'!CK190*'Summary. Assumptions. Inputs'!$C$39+'Sales Volume, Cost of Productio'!CJ190*'Summary. Assumptions. Inputs'!$C$40+'Sales Volume, Cost of Productio'!CI190*'Summary. Assumptions. Inputs'!$C$41+'Sales Volume, Cost of Productio'!CH190*'Summary. Assumptions. Inputs'!$C$42+'Sales Volume, Cost of Productio'!CG190*'Summary. Assumptions. Inputs'!$C$43</f>
        <v>983107.76593679981</v>
      </c>
      <c r="CL12" s="518">
        <f ca="1">'Sales Volume, Cost of Productio'!CM190*'Summary. Assumptions. Inputs'!$C$38+'Sales Volume, Cost of Productio'!CL190*'Summary. Assumptions. Inputs'!$C$39+'Sales Volume, Cost of Productio'!CK190*'Summary. Assumptions. Inputs'!$C$40+'Sales Volume, Cost of Productio'!CJ190*'Summary. Assumptions. Inputs'!$C$41+'Sales Volume, Cost of Productio'!CI190*'Summary. Assumptions. Inputs'!$C$42+'Sales Volume, Cost of Productio'!CH190*'Summary. Assumptions. Inputs'!$C$43</f>
        <v>983107.76593679981</v>
      </c>
      <c r="CM12" s="518">
        <f ca="1">'Sales Volume, Cost of Productio'!CN190*'Summary. Assumptions. Inputs'!$C$38+'Sales Volume, Cost of Productio'!CM190*'Summary. Assumptions. Inputs'!$C$39+'Sales Volume, Cost of Productio'!CL190*'Summary. Assumptions. Inputs'!$C$40+'Sales Volume, Cost of Productio'!CK190*'Summary. Assumptions. Inputs'!$C$41+'Sales Volume, Cost of Productio'!CJ190*'Summary. Assumptions. Inputs'!$C$42+'Sales Volume, Cost of Productio'!CI190*'Summary. Assumptions. Inputs'!$C$43</f>
        <v>983107.76593679981</v>
      </c>
      <c r="CN12" s="518">
        <f ca="1">'Sales Volume, Cost of Productio'!CO190*'Summary. Assumptions. Inputs'!$C$38+'Sales Volume, Cost of Productio'!CN190*'Summary. Assumptions. Inputs'!$C$39+'Sales Volume, Cost of Productio'!CM190*'Summary. Assumptions. Inputs'!$C$40+'Sales Volume, Cost of Productio'!CL190*'Summary. Assumptions. Inputs'!$C$41+'Sales Volume, Cost of Productio'!CK190*'Summary. Assumptions. Inputs'!$C$42+'Sales Volume, Cost of Productio'!CJ190*'Summary. Assumptions. Inputs'!$C$43</f>
        <v>983107.76593679981</v>
      </c>
      <c r="CO12" s="545">
        <f ca="1">SUM(CC12:CN12)</f>
        <v>11797293.191241594</v>
      </c>
    </row>
    <row r="13" spans="1:93" s="112" customFormat="1" ht="24.95" customHeight="1">
      <c r="A13" s="124" t="s">
        <v>336</v>
      </c>
      <c r="B13" s="518">
        <f>'OPEREX, PAYROL'!E29</f>
        <v>0</v>
      </c>
      <c r="C13" s="518">
        <f>'OPEREX, PAYROL'!F29</f>
        <v>66700</v>
      </c>
      <c r="D13" s="518">
        <f>'OPEREX, PAYROL'!G29</f>
        <v>66700</v>
      </c>
      <c r="E13" s="518">
        <f>'OPEREX, PAYROL'!H29</f>
        <v>66700</v>
      </c>
      <c r="F13" s="518">
        <f>'OPEREX, PAYROL'!I29</f>
        <v>65400</v>
      </c>
      <c r="G13" s="518">
        <f>'OPEREX, PAYROL'!J29</f>
        <v>66700</v>
      </c>
      <c r="H13" s="518">
        <f>'OPEREX, PAYROL'!K29</f>
        <v>66700</v>
      </c>
      <c r="I13" s="518">
        <f>'OPEREX, PAYROL'!L29</f>
        <v>66700</v>
      </c>
      <c r="J13" s="518">
        <f>'OPEREX, PAYROL'!M29</f>
        <v>66700</v>
      </c>
      <c r="K13" s="518">
        <f>'OPEREX, PAYROL'!N29</f>
        <v>66700</v>
      </c>
      <c r="L13" s="518">
        <f>'OPEREX, PAYROL'!O29</f>
        <v>66700</v>
      </c>
      <c r="M13" s="518">
        <f>'OPEREX, PAYROL'!P29</f>
        <v>66700</v>
      </c>
      <c r="N13" s="519">
        <f>'OPEREX, PAYROL'!Q29</f>
        <v>66700</v>
      </c>
      <c r="O13" s="545">
        <f>SUM(B13:N13)</f>
        <v>799100</v>
      </c>
      <c r="P13" s="536">
        <f>N13*(1+'Summary. Assumptions. Inputs'!$C$30)</f>
        <v>70035</v>
      </c>
      <c r="Q13" s="518">
        <f>Table42135[[#This Row],[Year 2
Month 1]]</f>
        <v>70035</v>
      </c>
      <c r="R13" s="518">
        <f>Table42135[[#This Row],[Year 2
Month 1]]</f>
        <v>70035</v>
      </c>
      <c r="S13" s="518">
        <f>Table42135[[#This Row],[Year 2
Month 1]]</f>
        <v>70035</v>
      </c>
      <c r="T13" s="518">
        <f>Table42135[[#This Row],[Year 2
Month 1]]</f>
        <v>70035</v>
      </c>
      <c r="U13" s="518">
        <f>Table42135[[#This Row],[Year 2
Month 1]]</f>
        <v>70035</v>
      </c>
      <c r="V13" s="518">
        <f>Table42135[[#This Row],[Year 2
Month 1]]</f>
        <v>70035</v>
      </c>
      <c r="W13" s="518">
        <f>Table42135[[#This Row],[Year 2
Month 1]]</f>
        <v>70035</v>
      </c>
      <c r="X13" s="518">
        <f>Table42135[[#This Row],[Year 2
Month 1]]</f>
        <v>70035</v>
      </c>
      <c r="Y13" s="518">
        <f>Table42135[[#This Row],[Year 2
Month 1]]</f>
        <v>70035</v>
      </c>
      <c r="Z13" s="518">
        <f>Table42135[[#This Row],[Year 2
Month 1]]</f>
        <v>70035</v>
      </c>
      <c r="AA13" s="518">
        <f>Table42135[[#This Row],[Year 2
Month 1]]</f>
        <v>70035</v>
      </c>
      <c r="AB13" s="545">
        <f>SUM(P13:AA13)</f>
        <v>840420</v>
      </c>
      <c r="AC13" s="518">
        <f>AA13*(1+'Summary. Assumptions. Inputs'!$C$30)</f>
        <v>73536.75</v>
      </c>
      <c r="AD13" s="518">
        <f>Table42135149[[#This Row],[Year 3
Month 1]]</f>
        <v>73536.75</v>
      </c>
      <c r="AE13" s="518">
        <f>Table42135149[[#This Row],[Year 3
Month 1]]</f>
        <v>73536.75</v>
      </c>
      <c r="AF13" s="518">
        <f>Table42135149[[#This Row],[Year 3
Month 1]]</f>
        <v>73536.75</v>
      </c>
      <c r="AG13" s="518">
        <f>Table42135149[[#This Row],[Year 3
Month 1]]</f>
        <v>73536.75</v>
      </c>
      <c r="AH13" s="518">
        <f>Table42135149[[#This Row],[Year 3
Month 1]]</f>
        <v>73536.75</v>
      </c>
      <c r="AI13" s="518">
        <f>Table42135149[[#This Row],[Year 3
Month 1]]</f>
        <v>73536.75</v>
      </c>
      <c r="AJ13" s="518">
        <f>Table42135149[[#This Row],[Year 3
Month 1]]</f>
        <v>73536.75</v>
      </c>
      <c r="AK13" s="518">
        <f>Table42135149[[#This Row],[Year 3
Month 1]]</f>
        <v>73536.75</v>
      </c>
      <c r="AL13" s="518">
        <f>Table42135149[[#This Row],[Year 3
Month 1]]</f>
        <v>73536.75</v>
      </c>
      <c r="AM13" s="518">
        <f>Table42135149[[#This Row],[Year 3
Month 1]]</f>
        <v>73536.75</v>
      </c>
      <c r="AN13" s="518">
        <f>Table42135149[[#This Row],[Year 3
Month 1]]</f>
        <v>73536.75</v>
      </c>
      <c r="AO13" s="545">
        <f>SUM(AC13:AN13)</f>
        <v>882441</v>
      </c>
      <c r="AP13" s="518">
        <f>AN13*(1+'Summary. Assumptions. Inputs'!$C$30)</f>
        <v>77213.587500000009</v>
      </c>
      <c r="AQ13" s="518">
        <f>Table42135150[[#This Row],[Year 4
Month 1]]</f>
        <v>77213.587500000009</v>
      </c>
      <c r="AR13" s="518">
        <f>Table42135150[[#This Row],[Year 4
Month 1]]</f>
        <v>77213.587500000009</v>
      </c>
      <c r="AS13" s="518">
        <f>Table42135150[[#This Row],[Year 4
Month 1]]</f>
        <v>77213.587500000009</v>
      </c>
      <c r="AT13" s="518">
        <f>Table42135150[[#This Row],[Year 4
Month 1]]</f>
        <v>77213.587500000009</v>
      </c>
      <c r="AU13" s="518">
        <f>Table42135150[[#This Row],[Year 4
Month 1]]</f>
        <v>77213.587500000009</v>
      </c>
      <c r="AV13" s="518">
        <f>Table42135150[[#This Row],[Year 4
Month 1]]</f>
        <v>77213.587500000009</v>
      </c>
      <c r="AW13" s="518">
        <f>Table42135150[[#This Row],[Year 4
Month 1]]</f>
        <v>77213.587500000009</v>
      </c>
      <c r="AX13" s="518">
        <f>Table42135150[[#This Row],[Year 4
Month 1]]</f>
        <v>77213.587500000009</v>
      </c>
      <c r="AY13" s="518">
        <f>Table42135150[[#This Row],[Year 4
Month 1]]</f>
        <v>77213.587500000009</v>
      </c>
      <c r="AZ13" s="518">
        <f>Table42135150[[#This Row],[Year 4
Month 1]]</f>
        <v>77213.587500000009</v>
      </c>
      <c r="BA13" s="518">
        <f>Table42135150[[#This Row],[Year 4
Month 1]]</f>
        <v>77213.587500000009</v>
      </c>
      <c r="BB13" s="545">
        <f>SUM(AP13:BA13)</f>
        <v>926563.05000000016</v>
      </c>
      <c r="BC13" s="518">
        <f>BA13*(1+'Summary. Assumptions. Inputs'!$C$30)</f>
        <v>81074.266875000016</v>
      </c>
      <c r="BD13" s="518">
        <f>Table42135150146[[#This Row],[Year 5
Month 1]]</f>
        <v>81074.266875000016</v>
      </c>
      <c r="BE13" s="518">
        <f>Table42135150146[[#This Row],[Year 5
Month 1]]</f>
        <v>81074.266875000016</v>
      </c>
      <c r="BF13" s="518">
        <f>Table42135150146[[#This Row],[Year 5
Month 1]]</f>
        <v>81074.266875000016</v>
      </c>
      <c r="BG13" s="518">
        <f>Table42135150146[[#This Row],[Year 5
Month 1]]</f>
        <v>81074.266875000016</v>
      </c>
      <c r="BH13" s="518">
        <f>Table42135150146[[#This Row],[Year 5
Month 1]]</f>
        <v>81074.266875000016</v>
      </c>
      <c r="BI13" s="518">
        <f>Table42135150146[[#This Row],[Year 5
Month 1]]</f>
        <v>81074.266875000016</v>
      </c>
      <c r="BJ13" s="518">
        <f>Table42135150146[[#This Row],[Year 5
Month 1]]</f>
        <v>81074.266875000016</v>
      </c>
      <c r="BK13" s="518">
        <f>Table42135150146[[#This Row],[Year 5
Month 1]]</f>
        <v>81074.266875000016</v>
      </c>
      <c r="BL13" s="518">
        <f>Table42135150146[[#This Row],[Year 5
Month 1]]</f>
        <v>81074.266875000016</v>
      </c>
      <c r="BM13" s="518">
        <f>Table42135150146[[#This Row],[Year 5
Month 1]]</f>
        <v>81074.266875000016</v>
      </c>
      <c r="BN13" s="518">
        <f>Table42135150146[[#This Row],[Year 5
Month 1]]</f>
        <v>81074.266875000016</v>
      </c>
      <c r="BO13" s="545">
        <f>SUM(BC13:BN13)</f>
        <v>972891.20250000001</v>
      </c>
      <c r="BP13" s="518">
        <f>BN13*(1+'Summary. Assumptions. Inputs'!$C$30)</f>
        <v>85127.980218750017</v>
      </c>
      <c r="BQ13" s="518">
        <f>Table42135150146161[[#This Row],[Year 6
Month 1]]</f>
        <v>85127.980218750017</v>
      </c>
      <c r="BR13" s="518">
        <f>Table42135150146161[[#This Row],[Year 6
Month 1]]</f>
        <v>85127.980218750017</v>
      </c>
      <c r="BS13" s="518">
        <f>Table42135150146161[[#This Row],[Year 6
Month 1]]</f>
        <v>85127.980218750017</v>
      </c>
      <c r="BT13" s="518">
        <f>Table42135150146161[[#This Row],[Year 6
Month 1]]</f>
        <v>85127.980218750017</v>
      </c>
      <c r="BU13" s="518">
        <f>Table42135150146161[[#This Row],[Year 6
Month 1]]</f>
        <v>85127.980218750017</v>
      </c>
      <c r="BV13" s="518">
        <f>Table42135150146161[[#This Row],[Year 6
Month 1]]</f>
        <v>85127.980218750017</v>
      </c>
      <c r="BW13" s="518">
        <f>Table42135150146161[[#This Row],[Year 6
Month 1]]</f>
        <v>85127.980218750017</v>
      </c>
      <c r="BX13" s="518">
        <f>Table42135150146161[[#This Row],[Year 6
Month 1]]</f>
        <v>85127.980218750017</v>
      </c>
      <c r="BY13" s="518">
        <f>Table42135150146161[[#This Row],[Year 6
Month 1]]</f>
        <v>85127.980218750017</v>
      </c>
      <c r="BZ13" s="518">
        <f>Table42135150146161[[#This Row],[Year 6
Month 1]]</f>
        <v>85127.980218750017</v>
      </c>
      <c r="CA13" s="518">
        <f>Table42135150146161[[#This Row],[Year 6
Month 1]]</f>
        <v>85127.980218750017</v>
      </c>
      <c r="CB13" s="545">
        <f>SUM(BP13:CA13)</f>
        <v>1021535.762625</v>
      </c>
      <c r="CC13" s="518">
        <f>CA13*(1+'Summary. Assumptions. Inputs'!$C$30)</f>
        <v>89384.379229687518</v>
      </c>
      <c r="CD13" s="518">
        <f>Table42135150146164[[#This Row],[Year 7
Month 1]]</f>
        <v>89384.379229687518</v>
      </c>
      <c r="CE13" s="518">
        <f>Table42135150146164[[#This Row],[Year 7
Month 1]]</f>
        <v>89384.379229687518</v>
      </c>
      <c r="CF13" s="518">
        <f>Table42135150146164[[#This Row],[Year 7
Month 1]]</f>
        <v>89384.379229687518</v>
      </c>
      <c r="CG13" s="518">
        <f>Table42135150146164[[#This Row],[Year 7
Month 1]]</f>
        <v>89384.379229687518</v>
      </c>
      <c r="CH13" s="518">
        <f>Table42135150146164[[#This Row],[Year 7
Month 1]]</f>
        <v>89384.379229687518</v>
      </c>
      <c r="CI13" s="518">
        <f>Table42135150146164[[#This Row],[Year 7
Month 1]]</f>
        <v>89384.379229687518</v>
      </c>
      <c r="CJ13" s="518">
        <f>Table42135150146164[[#This Row],[Year 7
Month 1]]</f>
        <v>89384.379229687518</v>
      </c>
      <c r="CK13" s="518">
        <f>Table42135150146164[[#This Row],[Year 7
Month 1]]</f>
        <v>89384.379229687518</v>
      </c>
      <c r="CL13" s="518">
        <f>Table42135150146164[[#This Row],[Year 7
Month 1]]</f>
        <v>89384.379229687518</v>
      </c>
      <c r="CM13" s="518">
        <f>Table42135150146164[[#This Row],[Year 7
Month 1]]</f>
        <v>89384.379229687518</v>
      </c>
      <c r="CN13" s="518">
        <f>Table42135150146164[[#This Row],[Year 7
Month 1]]</f>
        <v>89384.379229687518</v>
      </c>
      <c r="CO13" s="545">
        <f>SUM(CC13:CN13)</f>
        <v>1072612.5507562503</v>
      </c>
    </row>
    <row r="14" spans="1:93" s="112" customFormat="1" ht="24.95" customHeight="1">
      <c r="A14" s="124" t="s">
        <v>200</v>
      </c>
      <c r="B14" s="518">
        <f>'OPEREX, PAYROL'!E52</f>
        <v>110000</v>
      </c>
      <c r="C14" s="518">
        <f>'OPEREX, PAYROL'!F52</f>
        <v>41996.05</v>
      </c>
      <c r="D14" s="518">
        <f>'OPEREX, PAYROL'!G52</f>
        <v>41996.05</v>
      </c>
      <c r="E14" s="518">
        <f>'OPEREX, PAYROL'!H52</f>
        <v>41996.05</v>
      </c>
      <c r="F14" s="518">
        <f>'OPEREX, PAYROL'!I52</f>
        <v>41996.05</v>
      </c>
      <c r="G14" s="518">
        <f>'OPEREX, PAYROL'!J52</f>
        <v>41996.05</v>
      </c>
      <c r="H14" s="518">
        <f>'OPEREX, PAYROL'!K52</f>
        <v>41996.05</v>
      </c>
      <c r="I14" s="518">
        <f>'OPEREX, PAYROL'!L52</f>
        <v>41996.05</v>
      </c>
      <c r="J14" s="518">
        <f>'OPEREX, PAYROL'!M52</f>
        <v>41996.05</v>
      </c>
      <c r="K14" s="518">
        <f>'OPEREX, PAYROL'!N52</f>
        <v>41996.05</v>
      </c>
      <c r="L14" s="518">
        <f>'OPEREX, PAYROL'!O52</f>
        <v>41996.05</v>
      </c>
      <c r="M14" s="518">
        <f>'OPEREX, PAYROL'!P52</f>
        <v>41996.05</v>
      </c>
      <c r="N14" s="519">
        <f>'OPEREX, PAYROL'!Q52</f>
        <v>41996.05</v>
      </c>
      <c r="O14" s="545">
        <f>SUM(B14:N14)</f>
        <v>613952.6</v>
      </c>
      <c r="P14" s="536">
        <f ca="1">'OPEREX, PAYROL'!S52</f>
        <v>46195.655000000006</v>
      </c>
      <c r="Q14" s="536">
        <f ca="1">'OPEREX, PAYROL'!T52</f>
        <v>46195.655000000006</v>
      </c>
      <c r="R14" s="536">
        <f ca="1">'OPEREX, PAYROL'!U52</f>
        <v>46195.655000000006</v>
      </c>
      <c r="S14" s="536">
        <f ca="1">'OPEREX, PAYROL'!V52</f>
        <v>46195.655000000006</v>
      </c>
      <c r="T14" s="536">
        <f ca="1">'OPEREX, PAYROL'!W52</f>
        <v>46195.655000000006</v>
      </c>
      <c r="U14" s="536">
        <f ca="1">'OPEREX, PAYROL'!X52</f>
        <v>46195.655000000006</v>
      </c>
      <c r="V14" s="536">
        <f ca="1">'OPEREX, PAYROL'!Y52</f>
        <v>46195.655000000006</v>
      </c>
      <c r="W14" s="536">
        <f ca="1">'OPEREX, PAYROL'!Z52</f>
        <v>46195.655000000006</v>
      </c>
      <c r="X14" s="536">
        <f ca="1">'OPEREX, PAYROL'!AA52</f>
        <v>46195.655000000006</v>
      </c>
      <c r="Y14" s="536">
        <f ca="1">'OPEREX, PAYROL'!AB52</f>
        <v>46195.655000000006</v>
      </c>
      <c r="Z14" s="536">
        <f ca="1">'OPEREX, PAYROL'!AC52</f>
        <v>46195.655000000006</v>
      </c>
      <c r="AA14" s="536">
        <f ca="1">'OPEREX, PAYROL'!AD52</f>
        <v>46195.655000000006</v>
      </c>
      <c r="AB14" s="545">
        <f ca="1">SUM(P14:AA14)</f>
        <v>554347.86000000022</v>
      </c>
      <c r="AC14" s="536">
        <f ca="1">'OPEREX, PAYROL'!AF52</f>
        <v>50815.22050000001</v>
      </c>
      <c r="AD14" s="536">
        <f ca="1">'OPEREX, PAYROL'!AG52</f>
        <v>50815.22050000001</v>
      </c>
      <c r="AE14" s="536">
        <f ca="1">'OPEREX, PAYROL'!AH52</f>
        <v>50815.22050000001</v>
      </c>
      <c r="AF14" s="536">
        <f ca="1">'OPEREX, PAYROL'!AI52</f>
        <v>50815.22050000001</v>
      </c>
      <c r="AG14" s="536">
        <f ca="1">'OPEREX, PAYROL'!AJ52</f>
        <v>50815.22050000001</v>
      </c>
      <c r="AH14" s="536">
        <f ca="1">'OPEREX, PAYROL'!AK52</f>
        <v>50815.22050000001</v>
      </c>
      <c r="AI14" s="536">
        <f ca="1">'OPEREX, PAYROL'!AL52</f>
        <v>50815.22050000001</v>
      </c>
      <c r="AJ14" s="536">
        <f ca="1">'OPEREX, PAYROL'!AM52</f>
        <v>50815.22050000001</v>
      </c>
      <c r="AK14" s="536">
        <f ca="1">'OPEREX, PAYROL'!AN52</f>
        <v>50815.22050000001</v>
      </c>
      <c r="AL14" s="536">
        <f ca="1">'OPEREX, PAYROL'!AO52</f>
        <v>50815.22050000001</v>
      </c>
      <c r="AM14" s="536">
        <f ca="1">'OPEREX, PAYROL'!AP52</f>
        <v>50815.22050000001</v>
      </c>
      <c r="AN14" s="536">
        <f ca="1">'OPEREX, PAYROL'!AQ52</f>
        <v>50815.22050000001</v>
      </c>
      <c r="AO14" s="545">
        <f ca="1">SUM(AC14:AN14)</f>
        <v>609782.64600000007</v>
      </c>
      <c r="AP14" s="536">
        <f ca="1">'OPEREX, PAYROL'!AS52</f>
        <v>55896.74255000001</v>
      </c>
      <c r="AQ14" s="536">
        <f ca="1">'OPEREX, PAYROL'!AT52</f>
        <v>55896.74255000001</v>
      </c>
      <c r="AR14" s="536">
        <f ca="1">'OPEREX, PAYROL'!AU52</f>
        <v>55896.74255000001</v>
      </c>
      <c r="AS14" s="536">
        <f ca="1">'OPEREX, PAYROL'!AV52</f>
        <v>55896.74255000001</v>
      </c>
      <c r="AT14" s="536">
        <f ca="1">'OPEREX, PAYROL'!AW52</f>
        <v>55896.74255000001</v>
      </c>
      <c r="AU14" s="536">
        <f ca="1">'OPEREX, PAYROL'!AX52</f>
        <v>55896.74255000001</v>
      </c>
      <c r="AV14" s="536">
        <f ca="1">'OPEREX, PAYROL'!AY52</f>
        <v>55896.74255000001</v>
      </c>
      <c r="AW14" s="536">
        <f ca="1">'OPEREX, PAYROL'!AZ52</f>
        <v>55896.74255000001</v>
      </c>
      <c r="AX14" s="536">
        <f ca="1">'OPEREX, PAYROL'!BA52</f>
        <v>55896.74255000001</v>
      </c>
      <c r="AY14" s="536">
        <f ca="1">'OPEREX, PAYROL'!BB52</f>
        <v>55896.74255000001</v>
      </c>
      <c r="AZ14" s="536">
        <f ca="1">'OPEREX, PAYROL'!BC52</f>
        <v>55896.74255000001</v>
      </c>
      <c r="BA14" s="536">
        <f ca="1">'OPEREX, PAYROL'!BD52</f>
        <v>55896.74255000001</v>
      </c>
      <c r="BB14" s="545">
        <f ca="1">SUM(AP14:BA14)</f>
        <v>670760.91060000006</v>
      </c>
      <c r="BC14" s="536">
        <f ca="1">'OPEREX, PAYROL'!BF52</f>
        <v>61486.41680500003</v>
      </c>
      <c r="BD14" s="536">
        <f ca="1">'OPEREX, PAYROL'!BG52</f>
        <v>61486.41680500003</v>
      </c>
      <c r="BE14" s="536">
        <f ca="1">'OPEREX, PAYROL'!BH52</f>
        <v>61486.41680500003</v>
      </c>
      <c r="BF14" s="536">
        <f ca="1">'OPEREX, PAYROL'!BI52</f>
        <v>61486.41680500003</v>
      </c>
      <c r="BG14" s="536">
        <f ca="1">'OPEREX, PAYROL'!BJ52</f>
        <v>61486.41680500003</v>
      </c>
      <c r="BH14" s="536">
        <f ca="1">'OPEREX, PAYROL'!BK52</f>
        <v>61486.41680500003</v>
      </c>
      <c r="BI14" s="536">
        <f ca="1">'OPEREX, PAYROL'!BL52</f>
        <v>61486.41680500003</v>
      </c>
      <c r="BJ14" s="536">
        <f ca="1">'OPEREX, PAYROL'!BM52</f>
        <v>61486.41680500003</v>
      </c>
      <c r="BK14" s="536">
        <f ca="1">'OPEREX, PAYROL'!BN52</f>
        <v>61486.41680500003</v>
      </c>
      <c r="BL14" s="536">
        <f ca="1">'OPEREX, PAYROL'!BO52</f>
        <v>61486.41680500003</v>
      </c>
      <c r="BM14" s="536">
        <f ca="1">'OPEREX, PAYROL'!BP52</f>
        <v>61486.41680500003</v>
      </c>
      <c r="BN14" s="536">
        <f ca="1">'OPEREX, PAYROL'!BQ52</f>
        <v>61486.41680500003</v>
      </c>
      <c r="BO14" s="545">
        <f ca="1">SUM(BC14:BN14)</f>
        <v>737837.00166000042</v>
      </c>
      <c r="BP14" s="536">
        <f ca="1">'OPEREX, PAYROL'!BS52</f>
        <v>67635.058485500034</v>
      </c>
      <c r="BQ14" s="536">
        <f ca="1">'OPEREX, PAYROL'!BT52</f>
        <v>67635.058485500034</v>
      </c>
      <c r="BR14" s="536">
        <f ca="1">'OPEREX, PAYROL'!BU52</f>
        <v>67635.058485500034</v>
      </c>
      <c r="BS14" s="536">
        <f ca="1">'OPEREX, PAYROL'!BV52</f>
        <v>67635.058485500034</v>
      </c>
      <c r="BT14" s="536">
        <f ca="1">'OPEREX, PAYROL'!BW52</f>
        <v>67635.058485500034</v>
      </c>
      <c r="BU14" s="536">
        <f ca="1">'OPEREX, PAYROL'!BX52</f>
        <v>67635.058485500034</v>
      </c>
      <c r="BV14" s="536">
        <f ca="1">'OPEREX, PAYROL'!BY52</f>
        <v>67635.058485500034</v>
      </c>
      <c r="BW14" s="536">
        <f ca="1">'OPEREX, PAYROL'!BZ52</f>
        <v>67635.058485500034</v>
      </c>
      <c r="BX14" s="536">
        <f ca="1">'OPEREX, PAYROL'!CA52</f>
        <v>67635.058485500034</v>
      </c>
      <c r="BY14" s="536">
        <f ca="1">'OPEREX, PAYROL'!CB52</f>
        <v>67635.058485500034</v>
      </c>
      <c r="BZ14" s="536">
        <f ca="1">'OPEREX, PAYROL'!CC52</f>
        <v>67635.058485500034</v>
      </c>
      <c r="CA14" s="536">
        <f ca="1">'OPEREX, PAYROL'!CD52</f>
        <v>67635.058485500034</v>
      </c>
      <c r="CB14" s="545">
        <f ca="1">SUM(BP14:CA14)</f>
        <v>811620.70182600047</v>
      </c>
      <c r="CC14" s="536">
        <f ca="1">'OPEREX, PAYROL'!CF52</f>
        <v>74398.564334050039</v>
      </c>
      <c r="CD14" s="536">
        <f ca="1">'OPEREX, PAYROL'!CG52</f>
        <v>74398.564334050039</v>
      </c>
      <c r="CE14" s="536">
        <f ca="1">'OPEREX, PAYROL'!CH52</f>
        <v>74398.564334050039</v>
      </c>
      <c r="CF14" s="536">
        <f ca="1">'OPEREX, PAYROL'!CI52</f>
        <v>74398.564334050039</v>
      </c>
      <c r="CG14" s="536">
        <f ca="1">'OPEREX, PAYROL'!CJ52</f>
        <v>74398.564334050039</v>
      </c>
      <c r="CH14" s="536">
        <f ca="1">'OPEREX, PAYROL'!CK52</f>
        <v>74398.564334050039</v>
      </c>
      <c r="CI14" s="536">
        <f ca="1">'OPEREX, PAYROL'!CL52</f>
        <v>74398.564334050039</v>
      </c>
      <c r="CJ14" s="536">
        <f ca="1">'OPEREX, PAYROL'!CM52</f>
        <v>74398.564334050039</v>
      </c>
      <c r="CK14" s="536">
        <f ca="1">'OPEREX, PAYROL'!CN52</f>
        <v>74398.564334050039</v>
      </c>
      <c r="CL14" s="536">
        <f ca="1">'OPEREX, PAYROL'!CO52</f>
        <v>74398.564334050039</v>
      </c>
      <c r="CM14" s="536">
        <f ca="1">'OPEREX, PAYROL'!CP52</f>
        <v>74398.564334050039</v>
      </c>
      <c r="CN14" s="536">
        <f ca="1">'OPEREX, PAYROL'!CQ52</f>
        <v>74398.564334050039</v>
      </c>
      <c r="CO14" s="545">
        <f ca="1">SUM(CC14:CN14)</f>
        <v>892782.77200860053</v>
      </c>
    </row>
    <row r="15" spans="1:93" s="112" customFormat="1" ht="24.95" customHeight="1">
      <c r="A15" s="124" t="s">
        <v>337</v>
      </c>
      <c r="B15" s="518">
        <f>'OPEREX, PAYROL'!E90</f>
        <v>0</v>
      </c>
      <c r="C15" s="518">
        <f>'OPEREX, PAYROL'!F90</f>
        <v>0</v>
      </c>
      <c r="D15" s="518">
        <f>'OPEREX, PAYROL'!G90</f>
        <v>0</v>
      </c>
      <c r="E15" s="518">
        <f>'OPEREX, PAYROL'!H90</f>
        <v>0</v>
      </c>
      <c r="F15" s="518">
        <f>'OPEREX, PAYROL'!I90</f>
        <v>0</v>
      </c>
      <c r="G15" s="518">
        <f>'OPEREX, PAYROL'!J90</f>
        <v>0</v>
      </c>
      <c r="H15" s="518">
        <f>'OPEREX, PAYROL'!K90</f>
        <v>0</v>
      </c>
      <c r="I15" s="518">
        <f>'OPEREX, PAYROL'!L90</f>
        <v>0</v>
      </c>
      <c r="J15" s="518">
        <f>'OPEREX, PAYROL'!M90</f>
        <v>0</v>
      </c>
      <c r="K15" s="518">
        <f>'OPEREX, PAYROL'!N90</f>
        <v>0</v>
      </c>
      <c r="L15" s="518">
        <f>'OPEREX, PAYROL'!O90</f>
        <v>0</v>
      </c>
      <c r="M15" s="518">
        <f>'OPEREX, PAYROL'!P90</f>
        <v>0</v>
      </c>
      <c r="N15" s="519">
        <f>'OPEREX, PAYROL'!Q90</f>
        <v>0</v>
      </c>
      <c r="O15" s="545">
        <f>SUM(B15:N15)</f>
        <v>0</v>
      </c>
      <c r="P15" s="536">
        <f>'OPEREX, PAYROL'!S90</f>
        <v>0</v>
      </c>
      <c r="Q15" s="518">
        <f>'OPEREX, PAYROL'!T90</f>
        <v>0</v>
      </c>
      <c r="R15" s="518">
        <f>'OPEREX, PAYROL'!U90</f>
        <v>0</v>
      </c>
      <c r="S15" s="518">
        <f>'OPEREX, PAYROL'!V90</f>
        <v>0</v>
      </c>
      <c r="T15" s="518">
        <f>'OPEREX, PAYROL'!W90</f>
        <v>0</v>
      </c>
      <c r="U15" s="518">
        <f>'OPEREX, PAYROL'!X90</f>
        <v>0</v>
      </c>
      <c r="V15" s="518">
        <f>'OPEREX, PAYROL'!Y90</f>
        <v>0</v>
      </c>
      <c r="W15" s="518">
        <f>'OPEREX, PAYROL'!Z90</f>
        <v>0</v>
      </c>
      <c r="X15" s="518">
        <f>'OPEREX, PAYROL'!AA90</f>
        <v>0</v>
      </c>
      <c r="Y15" s="518">
        <f>'OPEREX, PAYROL'!AB90</f>
        <v>0</v>
      </c>
      <c r="Z15" s="518">
        <f>'OPEREX, PAYROL'!AC90</f>
        <v>0</v>
      </c>
      <c r="AA15" s="518">
        <f>'OPEREX, PAYROL'!AD90</f>
        <v>0</v>
      </c>
      <c r="AB15" s="545">
        <f>SUM(P15:AA15)</f>
        <v>0</v>
      </c>
      <c r="AC15" s="518">
        <f>'OPEREX, PAYROL'!AF90</f>
        <v>0</v>
      </c>
      <c r="AD15" s="518">
        <f>'OPEREX, PAYROL'!AG90</f>
        <v>0</v>
      </c>
      <c r="AE15" s="518">
        <f>'OPEREX, PAYROL'!AH90</f>
        <v>0</v>
      </c>
      <c r="AF15" s="518">
        <f>'OPEREX, PAYROL'!AI90</f>
        <v>0</v>
      </c>
      <c r="AG15" s="518">
        <f>'OPEREX, PAYROL'!AJ90</f>
        <v>0</v>
      </c>
      <c r="AH15" s="518">
        <f>'OPEREX, PAYROL'!AK90</f>
        <v>0</v>
      </c>
      <c r="AI15" s="518">
        <f>'OPEREX, PAYROL'!AL90</f>
        <v>0</v>
      </c>
      <c r="AJ15" s="518">
        <f>'OPEREX, PAYROL'!AM90</f>
        <v>0</v>
      </c>
      <c r="AK15" s="518">
        <f>'OPEREX, PAYROL'!AN90</f>
        <v>0</v>
      </c>
      <c r="AL15" s="518">
        <f>'OPEREX, PAYROL'!AO90</f>
        <v>0</v>
      </c>
      <c r="AM15" s="518">
        <f>'OPEREX, PAYROL'!AP90</f>
        <v>0</v>
      </c>
      <c r="AN15" s="518">
        <f>'OPEREX, PAYROL'!AQ90</f>
        <v>0</v>
      </c>
      <c r="AO15" s="545">
        <f>SUM(AC15:AN15)</f>
        <v>0</v>
      </c>
      <c r="AP15" s="518">
        <f>'OPEREX, PAYROL'!AS90</f>
        <v>0</v>
      </c>
      <c r="AQ15" s="518">
        <f>'OPEREX, PAYROL'!AT90</f>
        <v>0</v>
      </c>
      <c r="AR15" s="518">
        <f>'OPEREX, PAYROL'!AU90</f>
        <v>0</v>
      </c>
      <c r="AS15" s="518">
        <f>'OPEREX, PAYROL'!AV90</f>
        <v>0</v>
      </c>
      <c r="AT15" s="518">
        <f>'OPEREX, PAYROL'!AW90</f>
        <v>0</v>
      </c>
      <c r="AU15" s="518">
        <f>'OPEREX, PAYROL'!AX90</f>
        <v>0</v>
      </c>
      <c r="AV15" s="518">
        <f>'OPEREX, PAYROL'!AY90</f>
        <v>0</v>
      </c>
      <c r="AW15" s="518">
        <f>'OPEREX, PAYROL'!AZ90</f>
        <v>0</v>
      </c>
      <c r="AX15" s="518">
        <f>'OPEREX, PAYROL'!BA90</f>
        <v>0</v>
      </c>
      <c r="AY15" s="518">
        <f>'OPEREX, PAYROL'!BB90</f>
        <v>0</v>
      </c>
      <c r="AZ15" s="518">
        <f>'OPEREX, PAYROL'!BC90</f>
        <v>0</v>
      </c>
      <c r="BA15" s="518">
        <f>'OPEREX, PAYROL'!BD90</f>
        <v>0</v>
      </c>
      <c r="BB15" s="545">
        <f>SUM(AP15:BA15)</f>
        <v>0</v>
      </c>
      <c r="BC15" s="518">
        <f>'OPEREX, PAYROL'!BF90</f>
        <v>0</v>
      </c>
      <c r="BD15" s="518">
        <f>'OPEREX, PAYROL'!BG90</f>
        <v>0</v>
      </c>
      <c r="BE15" s="518">
        <f>'OPEREX, PAYROL'!BH90</f>
        <v>0</v>
      </c>
      <c r="BF15" s="518">
        <f>'OPEREX, PAYROL'!BI90</f>
        <v>0</v>
      </c>
      <c r="BG15" s="518">
        <f>'OPEREX, PAYROL'!BJ90</f>
        <v>0</v>
      </c>
      <c r="BH15" s="518">
        <f>'OPEREX, PAYROL'!BK90</f>
        <v>0</v>
      </c>
      <c r="BI15" s="518">
        <f>'OPEREX, PAYROL'!BL90</f>
        <v>0</v>
      </c>
      <c r="BJ15" s="518">
        <f>'OPEREX, PAYROL'!BM90</f>
        <v>0</v>
      </c>
      <c r="BK15" s="518">
        <f>'OPEREX, PAYROL'!BN90</f>
        <v>0</v>
      </c>
      <c r="BL15" s="518">
        <f>'OPEREX, PAYROL'!BO90</f>
        <v>0</v>
      </c>
      <c r="BM15" s="518">
        <f>'OPEREX, PAYROL'!BP90</f>
        <v>0</v>
      </c>
      <c r="BN15" s="518">
        <f>'OPEREX, PAYROL'!BQ90</f>
        <v>0</v>
      </c>
      <c r="BO15" s="545">
        <f>SUM(BC15:BN15)</f>
        <v>0</v>
      </c>
      <c r="BP15" s="518">
        <f>'OPEREX, PAYROL'!BS90</f>
        <v>0</v>
      </c>
      <c r="BQ15" s="518">
        <f>'OPEREX, PAYROL'!BT90</f>
        <v>0</v>
      </c>
      <c r="BR15" s="518">
        <f>'OPEREX, PAYROL'!BU90</f>
        <v>0</v>
      </c>
      <c r="BS15" s="518">
        <f>'OPEREX, PAYROL'!BV90</f>
        <v>0</v>
      </c>
      <c r="BT15" s="518">
        <f>'OPEREX, PAYROL'!BW90</f>
        <v>0</v>
      </c>
      <c r="BU15" s="518">
        <f>'OPEREX, PAYROL'!BX90</f>
        <v>0</v>
      </c>
      <c r="BV15" s="518">
        <f>'OPEREX, PAYROL'!BY90</f>
        <v>0</v>
      </c>
      <c r="BW15" s="518">
        <f>'OPEREX, PAYROL'!BZ90</f>
        <v>0</v>
      </c>
      <c r="BX15" s="518">
        <f>'OPEREX, PAYROL'!CA90</f>
        <v>0</v>
      </c>
      <c r="BY15" s="518">
        <f>'OPEREX, PAYROL'!CB90</f>
        <v>0</v>
      </c>
      <c r="BZ15" s="518">
        <f>'OPEREX, PAYROL'!CC90</f>
        <v>0</v>
      </c>
      <c r="CA15" s="518">
        <f>'OPEREX, PAYROL'!CD90</f>
        <v>0</v>
      </c>
      <c r="CB15" s="545">
        <f>SUM(BP15:CA15)</f>
        <v>0</v>
      </c>
      <c r="CC15" s="518">
        <f>'OPEREX, PAYROL'!CF90</f>
        <v>0</v>
      </c>
      <c r="CD15" s="518">
        <f>'OPEREX, PAYROL'!CG90</f>
        <v>0</v>
      </c>
      <c r="CE15" s="518">
        <f>'OPEREX, PAYROL'!CH90</f>
        <v>0</v>
      </c>
      <c r="CF15" s="518">
        <f>'OPEREX, PAYROL'!CI90</f>
        <v>0</v>
      </c>
      <c r="CG15" s="518">
        <f>'OPEREX, PAYROL'!CJ90</f>
        <v>0</v>
      </c>
      <c r="CH15" s="518">
        <f>'OPEREX, PAYROL'!CK90</f>
        <v>0</v>
      </c>
      <c r="CI15" s="518">
        <f>'OPEREX, PAYROL'!CL90</f>
        <v>0</v>
      </c>
      <c r="CJ15" s="518">
        <f>'OPEREX, PAYROL'!CM90</f>
        <v>0</v>
      </c>
      <c r="CK15" s="518">
        <f>'OPEREX, PAYROL'!CN90</f>
        <v>0</v>
      </c>
      <c r="CL15" s="518">
        <f>'OPEREX, PAYROL'!CO90</f>
        <v>0</v>
      </c>
      <c r="CM15" s="518">
        <f>'OPEREX, PAYROL'!CP90</f>
        <v>0</v>
      </c>
      <c r="CN15" s="518">
        <f>'OPEREX, PAYROL'!CQ90</f>
        <v>0</v>
      </c>
      <c r="CO15" s="545">
        <f>SUM(CC15:CN15)</f>
        <v>0</v>
      </c>
    </row>
    <row r="16" spans="1:93" s="112" customFormat="1" ht="24.95" customHeight="1" thickBot="1">
      <c r="A16" s="124" t="s">
        <v>338</v>
      </c>
      <c r="B16" s="514"/>
      <c r="C16" s="514">
        <f>IFERROR(VLOOKUP('Amortization Table 1'!$A$17,'Amortization Table 1'!$A:$K,7),0)</f>
        <v>53274.285736839716</v>
      </c>
      <c r="D16" s="514">
        <f>IFERROR(VLOOKUP('Amortization Table 1'!$A$17+1,'Amortization Table 1'!$A:$K,7),0)</f>
        <v>53274.285736839716</v>
      </c>
      <c r="E16" s="514">
        <f>IFERROR(VLOOKUP('Amortization Table 1'!$A$17+2,'Amortization Table 1'!$A:$K,7),0)</f>
        <v>53274.285736839716</v>
      </c>
      <c r="F16" s="514">
        <f>IFERROR(VLOOKUP('Amortization Table 1'!$A$17+3,'Amortization Table 1'!$A:$K,7),0)</f>
        <v>53274.285736839716</v>
      </c>
      <c r="G16" s="514">
        <f>IFERROR(VLOOKUP('Amortization Table 1'!$A$17+4,'Amortization Table 1'!$A:$K,7),0)</f>
        <v>53274.285736839716</v>
      </c>
      <c r="H16" s="514">
        <f>IFERROR(VLOOKUP('Amortization Table 1'!$A$17+5,'Amortization Table 1'!$A:$K,7),0)</f>
        <v>53274.285736839716</v>
      </c>
      <c r="I16" s="514">
        <f>IFERROR(VLOOKUP('Amortization Table 1'!$A$17+6,'Amortization Table 1'!$A:$K,7),0)</f>
        <v>53274.285736839716</v>
      </c>
      <c r="J16" s="514">
        <f>IFERROR(VLOOKUP('Amortization Table 1'!$A$17+7,'Amortization Table 1'!$A:$K,7),0)</f>
        <v>53274.285736839716</v>
      </c>
      <c r="K16" s="514">
        <f>IFERROR(VLOOKUP('Amortization Table 1'!$A$17+8,'Amortization Table 1'!$A:$K,7),0)</f>
        <v>53274.285736839716</v>
      </c>
      <c r="L16" s="514">
        <f>IFERROR(VLOOKUP('Amortization Table 1'!$A$17+9,'Amortization Table 1'!$A:$K,7),0)</f>
        <v>53274.285736839716</v>
      </c>
      <c r="M16" s="514">
        <f>IFERROR(VLOOKUP('Amortization Table 1'!$A$17+10,'Amortization Table 1'!$A:$K,7),0)</f>
        <v>53274.285736839716</v>
      </c>
      <c r="N16" s="522">
        <f>IFERROR(VLOOKUP('Amortization Table 1'!$A$17+11,'Amortization Table 1'!$A:$K,7),0)</f>
        <v>53274.285736839716</v>
      </c>
      <c r="O16" s="547">
        <f>SUM(B16:N16)</f>
        <v>639291.42884207657</v>
      </c>
      <c r="P16" s="538">
        <f>IFERROR(VLOOKUP('Amortization Table 1'!$A$17+12,'Amortization Table 1'!$A:$K,7),0)</f>
        <v>53274.285736839716</v>
      </c>
      <c r="Q16" s="514">
        <f>IFERROR(VLOOKUP('Amortization Table 1'!$A$17+13,'Amortization Table 1'!$A:$K,7),0)</f>
        <v>53274.285736839716</v>
      </c>
      <c r="R16" s="514">
        <f>IFERROR(VLOOKUP('Amortization Table 1'!$A$17+14,'Amortization Table 1'!$A:$K,7),0)</f>
        <v>53274.285736839716</v>
      </c>
      <c r="S16" s="514">
        <f>IFERROR(VLOOKUP('Amortization Table 1'!$A$17+15,'Amortization Table 1'!$A:$K,7),0)</f>
        <v>53274.285736839716</v>
      </c>
      <c r="T16" s="514">
        <f>IFERROR(VLOOKUP('Amortization Table 1'!$A$17+16,'Amortization Table 1'!$A:$K,7),0)</f>
        <v>53274.285736839716</v>
      </c>
      <c r="U16" s="514">
        <f>IFERROR(VLOOKUP('Amortization Table 1'!$A$17+17,'Amortization Table 1'!$A:$K,7),0)</f>
        <v>53274.285736839716</v>
      </c>
      <c r="V16" s="514">
        <f>IFERROR(VLOOKUP('Amortization Table 1'!$A$17+18,'Amortization Table 1'!$A:$K,7),0)</f>
        <v>53274.285736839716</v>
      </c>
      <c r="W16" s="514">
        <f>IFERROR(VLOOKUP('Amortization Table 1'!$A$17+19,'Amortization Table 1'!$A:$K,7),0)</f>
        <v>53274.285736839716</v>
      </c>
      <c r="X16" s="514">
        <f>IFERROR(VLOOKUP('Amortization Table 1'!$A$17+20,'Amortization Table 1'!$A:$K,7),0)</f>
        <v>53274.285736839716</v>
      </c>
      <c r="Y16" s="514">
        <f>IFERROR(VLOOKUP('Amortization Table 1'!$A$17+21,'Amortization Table 1'!$A:$K,7),0)</f>
        <v>53274.285736839716</v>
      </c>
      <c r="Z16" s="514">
        <f>IFERROR(VLOOKUP('Amortization Table 1'!$A$17+22,'Amortization Table 1'!$A:$K,7),0)</f>
        <v>53274.285736839716</v>
      </c>
      <c r="AA16" s="514">
        <f>IFERROR(VLOOKUP('Amortization Table 1'!$A$17+23,'Amortization Table 1'!$A:$K,7),0)</f>
        <v>53274.285736839716</v>
      </c>
      <c r="AB16" s="547">
        <f>SUM(P16:AA16)</f>
        <v>639291.42884207657</v>
      </c>
      <c r="AC16" s="514">
        <f>IFERROR(VLOOKUP('Amortization Table 1'!$A$17+12,'Amortization Table 1'!$A:$K,7),0)</f>
        <v>53274.285736839716</v>
      </c>
      <c r="AD16" s="514">
        <f>IFERROR(VLOOKUP('Amortization Table 1'!$A$17+13,'Amortization Table 1'!$A:$K,7),0)</f>
        <v>53274.285736839716</v>
      </c>
      <c r="AE16" s="514">
        <f>IFERROR(VLOOKUP('Amortization Table 1'!$A$17+14,'Amortization Table 1'!$A:$K,7),0)</f>
        <v>53274.285736839716</v>
      </c>
      <c r="AF16" s="514">
        <f>IFERROR(VLOOKUP('Amortization Table 1'!$A$17+15,'Amortization Table 1'!$A:$K,7),0)</f>
        <v>53274.285736839716</v>
      </c>
      <c r="AG16" s="514">
        <f>IFERROR(VLOOKUP('Amortization Table 1'!$A$17+16,'Amortization Table 1'!$A:$K,7),0)</f>
        <v>53274.285736839716</v>
      </c>
      <c r="AH16" s="514">
        <f>IFERROR(VLOOKUP('Amortization Table 1'!$A$17+17,'Amortization Table 1'!$A:$K,7),0)</f>
        <v>53274.285736839716</v>
      </c>
      <c r="AI16" s="514">
        <f>IFERROR(VLOOKUP('Amortization Table 1'!$A$17+18,'Amortization Table 1'!$A:$K,7),0)</f>
        <v>53274.285736839716</v>
      </c>
      <c r="AJ16" s="514">
        <f>IFERROR(VLOOKUP('Amortization Table 1'!$A$17+19,'Amortization Table 1'!$A:$K,7),0)</f>
        <v>53274.285736839716</v>
      </c>
      <c r="AK16" s="514">
        <f>IFERROR(VLOOKUP('Amortization Table 1'!$A$17+20,'Amortization Table 1'!$A:$K,7),0)</f>
        <v>53274.285736839716</v>
      </c>
      <c r="AL16" s="514">
        <f>IFERROR(VLOOKUP('Amortization Table 1'!$A$17+21,'Amortization Table 1'!$A:$K,7),0)</f>
        <v>53274.285736839716</v>
      </c>
      <c r="AM16" s="514">
        <f>IFERROR(VLOOKUP('Amortization Table 1'!$A$17+22,'Amortization Table 1'!$A:$K,7),0)</f>
        <v>53274.285736839716</v>
      </c>
      <c r="AN16" s="514">
        <f>IFERROR(VLOOKUP('Amortization Table 1'!$A$17+23,'Amortization Table 1'!$A:$K,7),0)</f>
        <v>53274.285736839716</v>
      </c>
      <c r="AO16" s="547">
        <f>SUM(AC16:AN16)</f>
        <v>639291.42884207657</v>
      </c>
      <c r="AP16" s="514">
        <f>IFERROR(VLOOKUP('Amortization Table 1'!$A$17+12,'Amortization Table 1'!$A:$K,7),0)</f>
        <v>53274.285736839716</v>
      </c>
      <c r="AQ16" s="514">
        <f>IFERROR(VLOOKUP('Amortization Table 1'!$A$17+13,'Amortization Table 1'!$A:$K,7),0)</f>
        <v>53274.285736839716</v>
      </c>
      <c r="AR16" s="514">
        <f>IFERROR(VLOOKUP('Amortization Table 1'!$A$17+14,'Amortization Table 1'!$A:$K,7),0)</f>
        <v>53274.285736839716</v>
      </c>
      <c r="AS16" s="514">
        <f>IFERROR(VLOOKUP('Amortization Table 1'!$A$17+15,'Amortization Table 1'!$A:$K,7),0)</f>
        <v>53274.285736839716</v>
      </c>
      <c r="AT16" s="514">
        <f>IFERROR(VLOOKUP('Amortization Table 1'!$A$17+16,'Amortization Table 1'!$A:$K,7),0)</f>
        <v>53274.285736839716</v>
      </c>
      <c r="AU16" s="514">
        <f>IFERROR(VLOOKUP('Amortization Table 1'!$A$17+17,'Amortization Table 1'!$A:$K,7),0)</f>
        <v>53274.285736839716</v>
      </c>
      <c r="AV16" s="514">
        <f>IFERROR(VLOOKUP('Amortization Table 1'!$A$17+18,'Amortization Table 1'!$A:$K,7),0)</f>
        <v>53274.285736839716</v>
      </c>
      <c r="AW16" s="514">
        <f>IFERROR(VLOOKUP('Amortization Table 1'!$A$17+19,'Amortization Table 1'!$A:$K,7),0)</f>
        <v>53274.285736839716</v>
      </c>
      <c r="AX16" s="514">
        <f>IFERROR(VLOOKUP('Amortization Table 1'!$A$17+20,'Amortization Table 1'!$A:$K,7),0)</f>
        <v>53274.285736839716</v>
      </c>
      <c r="AY16" s="514">
        <f>IFERROR(VLOOKUP('Amortization Table 1'!$A$17+21,'Amortization Table 1'!$A:$K,7),0)</f>
        <v>53274.285736839716</v>
      </c>
      <c r="AZ16" s="514">
        <f>IFERROR(VLOOKUP('Amortization Table 1'!$A$17+22,'Amortization Table 1'!$A:$K,7),0)</f>
        <v>53274.285736839716</v>
      </c>
      <c r="BA16" s="514">
        <f>IFERROR(VLOOKUP('Amortization Table 1'!$A$17+23,'Amortization Table 1'!$A:$K,7),0)</f>
        <v>53274.285736839716</v>
      </c>
      <c r="BB16" s="547">
        <f>SUM(AP16:BA16)</f>
        <v>639291.42884207657</v>
      </c>
      <c r="BC16" s="514">
        <f>IFERROR(VLOOKUP('Amortization Table 1'!$A$17+12,'Amortization Table 1'!$A:$K,7),0)</f>
        <v>53274.285736839716</v>
      </c>
      <c r="BD16" s="514">
        <f>IFERROR(VLOOKUP('Amortization Table 1'!$A$17+13,'Amortization Table 1'!$A:$K,7),0)</f>
        <v>53274.285736839716</v>
      </c>
      <c r="BE16" s="514">
        <f>IFERROR(VLOOKUP('Amortization Table 1'!$A$17+14,'Amortization Table 1'!$A:$K,7),0)</f>
        <v>53274.285736839716</v>
      </c>
      <c r="BF16" s="514">
        <f>IFERROR(VLOOKUP('Amortization Table 1'!$A$17+15,'Amortization Table 1'!$A:$K,7),0)</f>
        <v>53274.285736839716</v>
      </c>
      <c r="BG16" s="514">
        <f>IFERROR(VLOOKUP('Amortization Table 1'!$A$17+16,'Amortization Table 1'!$A:$K,7),0)</f>
        <v>53274.285736839716</v>
      </c>
      <c r="BH16" s="514">
        <f>IFERROR(VLOOKUP('Amortization Table 1'!$A$17+17,'Amortization Table 1'!$A:$K,7),0)</f>
        <v>53274.285736839716</v>
      </c>
      <c r="BI16" s="514">
        <f>IFERROR(VLOOKUP('Amortization Table 1'!$A$17+18,'Amortization Table 1'!$A:$K,7),0)</f>
        <v>53274.285736839716</v>
      </c>
      <c r="BJ16" s="514">
        <f>IFERROR(VLOOKUP('Amortization Table 1'!$A$17+19,'Amortization Table 1'!$A:$K,7),0)</f>
        <v>53274.285736839716</v>
      </c>
      <c r="BK16" s="514">
        <f>IFERROR(VLOOKUP('Amortization Table 1'!$A$17+20,'Amortization Table 1'!$A:$K,7),0)</f>
        <v>53274.285736839716</v>
      </c>
      <c r="BL16" s="514">
        <f>IFERROR(VLOOKUP('Amortization Table 1'!$A$17+21,'Amortization Table 1'!$A:$K,7),0)</f>
        <v>53274.285736839716</v>
      </c>
      <c r="BM16" s="514">
        <f>IFERROR(VLOOKUP('Amortization Table 1'!$A$17+22,'Amortization Table 1'!$A:$K,7),0)</f>
        <v>53274.285736839716</v>
      </c>
      <c r="BN16" s="514">
        <f>IFERROR(VLOOKUP('Amortization Table 1'!$A$17+23,'Amortization Table 1'!$A:$K,7),0)</f>
        <v>53274.285736839716</v>
      </c>
      <c r="BO16" s="547">
        <f>SUM(BC16:BN16)</f>
        <v>639291.42884207657</v>
      </c>
      <c r="BP16" s="514">
        <f>IFERROR(VLOOKUP('Amortization Table 1'!$A$17+12,'Amortization Table 1'!$A:$K,7),0)</f>
        <v>53274.285736839716</v>
      </c>
      <c r="BQ16" s="514">
        <f>IFERROR(VLOOKUP('Amortization Table 1'!$A$17+13,'Amortization Table 1'!$A:$K,7),0)</f>
        <v>53274.285736839716</v>
      </c>
      <c r="BR16" s="514">
        <f>IFERROR(VLOOKUP('Amortization Table 1'!$A$17+14,'Amortization Table 1'!$A:$K,7),0)</f>
        <v>53274.285736839716</v>
      </c>
      <c r="BS16" s="514">
        <f>IFERROR(VLOOKUP('Amortization Table 1'!$A$17+15,'Amortization Table 1'!$A:$K,7),0)</f>
        <v>53274.285736839716</v>
      </c>
      <c r="BT16" s="514">
        <f>IFERROR(VLOOKUP('Amortization Table 1'!$A$17+16,'Amortization Table 1'!$A:$K,7),0)</f>
        <v>53274.285736839716</v>
      </c>
      <c r="BU16" s="514">
        <f>IFERROR(VLOOKUP('Amortization Table 1'!$A$17+17,'Amortization Table 1'!$A:$K,7),0)</f>
        <v>53274.285736839716</v>
      </c>
      <c r="BV16" s="514">
        <f>IFERROR(VLOOKUP('Amortization Table 1'!$A$17+18,'Amortization Table 1'!$A:$K,7),0)</f>
        <v>53274.285736839716</v>
      </c>
      <c r="BW16" s="514">
        <f>IFERROR(VLOOKUP('Amortization Table 1'!$A$17+19,'Amortization Table 1'!$A:$K,7),0)</f>
        <v>53274.285736839716</v>
      </c>
      <c r="BX16" s="514">
        <f>IFERROR(VLOOKUP('Amortization Table 1'!$A$17+20,'Amortization Table 1'!$A:$K,7),0)</f>
        <v>53274.285736839716</v>
      </c>
      <c r="BY16" s="514">
        <f>IFERROR(VLOOKUP('Amortization Table 1'!$A$17+21,'Amortization Table 1'!$A:$K,7),0)</f>
        <v>53274.285736839716</v>
      </c>
      <c r="BZ16" s="514">
        <f>IFERROR(VLOOKUP('Amortization Table 1'!$A$17+22,'Amortization Table 1'!$A:$K,7),0)</f>
        <v>53274.285736839716</v>
      </c>
      <c r="CA16" s="514">
        <f>IFERROR(VLOOKUP('Amortization Table 1'!$A$17+23,'Amortization Table 1'!$A:$K,7),0)</f>
        <v>53274.285736839716</v>
      </c>
      <c r="CB16" s="547">
        <f>SUM(BP16:CA16)</f>
        <v>639291.42884207657</v>
      </c>
      <c r="CC16" s="514">
        <f>IFERROR(VLOOKUP('Amortization Table 1'!$A$17+73,'Amortization Table 1'!$A:$K,7),0)</f>
        <v>53274.285736839716</v>
      </c>
      <c r="CD16" s="514">
        <f>IFERROR(VLOOKUP('Amortization Table 1'!$A$17+74,'Amortization Table 1'!$A:$K,7),0)</f>
        <v>53274.285736839716</v>
      </c>
      <c r="CE16" s="514">
        <f>IFERROR(VLOOKUP('Amortization Table 1'!$A$17+75,'Amortization Table 1'!$A:$K,7),0)</f>
        <v>53274.285736839716</v>
      </c>
      <c r="CF16" s="514">
        <f>IFERROR(VLOOKUP('Amortization Table 1'!$A$17+76,'Amortization Table 1'!$A:$K,7),0)</f>
        <v>53274.285736839716</v>
      </c>
      <c r="CG16" s="514">
        <f>IFERROR(VLOOKUP('Amortization Table 1'!$A$17+77,'Amortization Table 1'!$A:$K,7),0)</f>
        <v>53274.285736839716</v>
      </c>
      <c r="CH16" s="514">
        <f>IFERROR(VLOOKUP('Amortization Table 1'!$A$17+78,'Amortization Table 1'!$A:$K,7),0)</f>
        <v>53274.285736839716</v>
      </c>
      <c r="CI16" s="514">
        <f>IFERROR(VLOOKUP('Amortization Table 1'!$A$17+79,'Amortization Table 1'!$A:$K,7),0)</f>
        <v>53274.285736839716</v>
      </c>
      <c r="CJ16" s="514">
        <f>IFERROR(VLOOKUP('Amortization Table 1'!$A$17+80,'Amortization Table 1'!$A:$K,7),0)</f>
        <v>53274.285736839716</v>
      </c>
      <c r="CK16" s="514">
        <f>IFERROR(VLOOKUP('Amortization Table 1'!$A$17+81,'Amortization Table 1'!$A:$K,7),0)</f>
        <v>53274.285736839716</v>
      </c>
      <c r="CL16" s="514">
        <f>IFERROR(VLOOKUP('Amortization Table 1'!$A$17+82,'Amortization Table 1'!$A:$K,7),0)</f>
        <v>53274.285736839716</v>
      </c>
      <c r="CM16" s="514">
        <f>IFERROR(VLOOKUP('Amortization Table 1'!$A$17+83,'Amortization Table 1'!$A:$K,7),0)</f>
        <v>53274.285736839716</v>
      </c>
      <c r="CN16" s="514">
        <f>IFERROR(VLOOKUP('Amortization Table 1'!$A$17+84,'Amortization Table 1'!$A:$K,7),0)</f>
        <v>53274.285736839716</v>
      </c>
      <c r="CO16" s="547">
        <f>SUM(CC16:CN16)</f>
        <v>639291.42884207657</v>
      </c>
    </row>
    <row r="17" spans="1:93" s="107" customFormat="1" ht="24.95" customHeight="1" thickBot="1">
      <c r="A17" s="123" t="s">
        <v>339</v>
      </c>
      <c r="B17" s="523">
        <f ca="1">SUBTOTAL(109,B12:B16)</f>
        <v>572030.15599999996</v>
      </c>
      <c r="C17" s="523">
        <f t="shared" ref="C17:O17" ca="1" si="46">SUBTOTAL(109,C12:C16)</f>
        <v>624000.49173683976</v>
      </c>
      <c r="D17" s="523">
        <f t="shared" ca="1" si="46"/>
        <v>624000.49173683976</v>
      </c>
      <c r="E17" s="523">
        <f t="shared" ca="1" si="46"/>
        <v>624000.49173683976</v>
      </c>
      <c r="F17" s="523">
        <f t="shared" ca="1" si="46"/>
        <v>622700.49173683976</v>
      </c>
      <c r="G17" s="523">
        <f t="shared" ca="1" si="46"/>
        <v>624000.49173683976</v>
      </c>
      <c r="H17" s="523">
        <f t="shared" ca="1" si="46"/>
        <v>624000.49173683976</v>
      </c>
      <c r="I17" s="523">
        <f t="shared" ca="1" si="46"/>
        <v>624000.49173683976</v>
      </c>
      <c r="J17" s="523">
        <f t="shared" ca="1" si="46"/>
        <v>624000.49173683976</v>
      </c>
      <c r="K17" s="523">
        <f t="shared" ca="1" si="46"/>
        <v>624000.49173683976</v>
      </c>
      <c r="L17" s="523">
        <f t="shared" ca="1" si="46"/>
        <v>624000.49173683976</v>
      </c>
      <c r="M17" s="523">
        <f t="shared" ca="1" si="46"/>
        <v>624000.49173683976</v>
      </c>
      <c r="N17" s="524">
        <f t="shared" ca="1" si="46"/>
        <v>624000.49173683976</v>
      </c>
      <c r="O17" s="548">
        <f t="shared" ca="1" si="46"/>
        <v>8058736.0568420757</v>
      </c>
      <c r="P17" s="539">
        <f t="shared" ref="P17:AB17" ca="1" si="47">SUBTOTAL(109,P12:P16)</f>
        <v>708232.1026328397</v>
      </c>
      <c r="Q17" s="523">
        <f t="shared" ca="1" si="47"/>
        <v>708232.1026328397</v>
      </c>
      <c r="R17" s="523">
        <f t="shared" ca="1" si="47"/>
        <v>708232.1026328397</v>
      </c>
      <c r="S17" s="523">
        <f t="shared" ca="1" si="47"/>
        <v>708232.1026328397</v>
      </c>
      <c r="T17" s="523">
        <f t="shared" ca="1" si="47"/>
        <v>708232.1026328397</v>
      </c>
      <c r="U17" s="523">
        <f t="shared" ca="1" si="47"/>
        <v>708232.1026328397</v>
      </c>
      <c r="V17" s="523">
        <f t="shared" ca="1" si="47"/>
        <v>708232.1026328397</v>
      </c>
      <c r="W17" s="523">
        <f t="shared" ca="1" si="47"/>
        <v>708232.1026328397</v>
      </c>
      <c r="X17" s="523">
        <f t="shared" ca="1" si="47"/>
        <v>708232.1026328397</v>
      </c>
      <c r="Y17" s="523">
        <f t="shared" ca="1" si="47"/>
        <v>708232.1026328397</v>
      </c>
      <c r="Z17" s="523">
        <f t="shared" ca="1" si="47"/>
        <v>708232.1026328397</v>
      </c>
      <c r="AA17" s="523">
        <f t="shared" ca="1" si="47"/>
        <v>708232.1026328397</v>
      </c>
      <c r="AB17" s="548">
        <f t="shared" ca="1" si="47"/>
        <v>8498785.2315940745</v>
      </c>
      <c r="AC17" s="523">
        <f t="shared" ref="AC17:BB17" ca="1" si="48">SUBTOTAL(109,AC12:AC16)</f>
        <v>800596.91657683975</v>
      </c>
      <c r="AD17" s="523">
        <f t="shared" ca="1" si="48"/>
        <v>800596.91657683975</v>
      </c>
      <c r="AE17" s="523">
        <f t="shared" ca="1" si="48"/>
        <v>800596.91657683975</v>
      </c>
      <c r="AF17" s="523">
        <f t="shared" ca="1" si="48"/>
        <v>800596.91657683975</v>
      </c>
      <c r="AG17" s="523">
        <f t="shared" ca="1" si="48"/>
        <v>800596.91657683975</v>
      </c>
      <c r="AH17" s="523">
        <f t="shared" ca="1" si="48"/>
        <v>800596.91657683975</v>
      </c>
      <c r="AI17" s="523">
        <f t="shared" ca="1" si="48"/>
        <v>800596.91657683975</v>
      </c>
      <c r="AJ17" s="523">
        <f t="shared" ca="1" si="48"/>
        <v>800596.91657683975</v>
      </c>
      <c r="AK17" s="523">
        <f t="shared" ca="1" si="48"/>
        <v>800596.91657683975</v>
      </c>
      <c r="AL17" s="523">
        <f t="shared" ca="1" si="48"/>
        <v>800596.91657683975</v>
      </c>
      <c r="AM17" s="523">
        <f t="shared" ca="1" si="48"/>
        <v>800596.91657683975</v>
      </c>
      <c r="AN17" s="523">
        <f t="shared" ca="1" si="48"/>
        <v>800596.91657683975</v>
      </c>
      <c r="AO17" s="548">
        <f t="shared" ca="1" si="48"/>
        <v>9607162.9989220761</v>
      </c>
      <c r="AP17" s="523">
        <f t="shared" ca="1" si="48"/>
        <v>901761.30732683954</v>
      </c>
      <c r="AQ17" s="523">
        <f t="shared" ca="1" si="48"/>
        <v>901761.30732683954</v>
      </c>
      <c r="AR17" s="523">
        <f t="shared" ca="1" si="48"/>
        <v>901761.30732683954</v>
      </c>
      <c r="AS17" s="523">
        <f t="shared" ca="1" si="48"/>
        <v>901761.30732683954</v>
      </c>
      <c r="AT17" s="523">
        <f t="shared" ca="1" si="48"/>
        <v>901761.30732683954</v>
      </c>
      <c r="AU17" s="523">
        <f t="shared" ca="1" si="48"/>
        <v>901761.30732683954</v>
      </c>
      <c r="AV17" s="523">
        <f t="shared" ca="1" si="48"/>
        <v>901761.30732683954</v>
      </c>
      <c r="AW17" s="523">
        <f t="shared" ca="1" si="48"/>
        <v>901761.30732683954</v>
      </c>
      <c r="AX17" s="523">
        <f t="shared" ca="1" si="48"/>
        <v>901761.30732683954</v>
      </c>
      <c r="AY17" s="523">
        <f t="shared" ca="1" si="48"/>
        <v>901761.30732683954</v>
      </c>
      <c r="AZ17" s="523">
        <f t="shared" ca="1" si="48"/>
        <v>901761.30732683954</v>
      </c>
      <c r="BA17" s="523">
        <f t="shared" ca="1" si="48"/>
        <v>901761.30732683954</v>
      </c>
      <c r="BB17" s="548">
        <f t="shared" ca="1" si="48"/>
        <v>10821135.687922077</v>
      </c>
      <c r="BC17" s="523">
        <f t="shared" ref="BC17:BO17" ca="1" si="49">SUBTOTAL(109,BC12:BC16)</f>
        <v>1012457.8691416396</v>
      </c>
      <c r="BD17" s="523">
        <f t="shared" ca="1" si="49"/>
        <v>1012457.8691416396</v>
      </c>
      <c r="BE17" s="523">
        <f t="shared" ca="1" si="49"/>
        <v>1012457.8691416396</v>
      </c>
      <c r="BF17" s="523">
        <f t="shared" ca="1" si="49"/>
        <v>1012457.8691416396</v>
      </c>
      <c r="BG17" s="523">
        <f t="shared" ca="1" si="49"/>
        <v>1012457.8691416396</v>
      </c>
      <c r="BH17" s="523">
        <f t="shared" ca="1" si="49"/>
        <v>1012457.8691416396</v>
      </c>
      <c r="BI17" s="523">
        <f t="shared" ca="1" si="49"/>
        <v>1012457.8691416396</v>
      </c>
      <c r="BJ17" s="523">
        <f t="shared" ca="1" si="49"/>
        <v>1012457.8691416396</v>
      </c>
      <c r="BK17" s="523">
        <f t="shared" ca="1" si="49"/>
        <v>1012457.8691416396</v>
      </c>
      <c r="BL17" s="523">
        <f t="shared" ca="1" si="49"/>
        <v>1012457.8691416396</v>
      </c>
      <c r="BM17" s="523">
        <f t="shared" ca="1" si="49"/>
        <v>1012457.8691416396</v>
      </c>
      <c r="BN17" s="523">
        <f t="shared" ca="1" si="49"/>
        <v>1012457.8691416396</v>
      </c>
      <c r="BO17" s="548">
        <f t="shared" ca="1" si="49"/>
        <v>12149494.429699678</v>
      </c>
      <c r="BP17" s="523">
        <f t="shared" ref="BP17:CO17" ca="1" si="50">SUBTOTAL(109,BP12:BP16)</f>
        <v>1133485.8575850895</v>
      </c>
      <c r="BQ17" s="523">
        <f t="shared" ca="1" si="50"/>
        <v>1133485.8575850895</v>
      </c>
      <c r="BR17" s="523">
        <f t="shared" ca="1" si="50"/>
        <v>1133485.8575850895</v>
      </c>
      <c r="BS17" s="523">
        <f t="shared" ca="1" si="50"/>
        <v>1133485.8575850895</v>
      </c>
      <c r="BT17" s="523">
        <f t="shared" ca="1" si="50"/>
        <v>1133485.8575850895</v>
      </c>
      <c r="BU17" s="523">
        <f t="shared" ca="1" si="50"/>
        <v>1133485.8575850895</v>
      </c>
      <c r="BV17" s="523">
        <f t="shared" ca="1" si="50"/>
        <v>1133485.8575850895</v>
      </c>
      <c r="BW17" s="523">
        <f t="shared" ca="1" si="50"/>
        <v>1133485.8575850895</v>
      </c>
      <c r="BX17" s="523">
        <f t="shared" ca="1" si="50"/>
        <v>1133485.8575850895</v>
      </c>
      <c r="BY17" s="523">
        <f t="shared" ca="1" si="50"/>
        <v>1133485.8575850895</v>
      </c>
      <c r="BZ17" s="523">
        <f t="shared" ca="1" si="50"/>
        <v>1133485.8575850895</v>
      </c>
      <c r="CA17" s="523">
        <f t="shared" ca="1" si="50"/>
        <v>1133485.8575850895</v>
      </c>
      <c r="CB17" s="548">
        <f t="shared" ca="1" si="50"/>
        <v>13601830.291021073</v>
      </c>
      <c r="CC17" s="523">
        <f t="shared" ca="1" si="50"/>
        <v>1200164.9952373772</v>
      </c>
      <c r="CD17" s="523">
        <f t="shared" ca="1" si="50"/>
        <v>1200164.9952373772</v>
      </c>
      <c r="CE17" s="523">
        <f t="shared" ca="1" si="50"/>
        <v>1200164.9952373772</v>
      </c>
      <c r="CF17" s="523">
        <f t="shared" ca="1" si="50"/>
        <v>1200164.9952373772</v>
      </c>
      <c r="CG17" s="523">
        <f t="shared" ca="1" si="50"/>
        <v>1200164.9952373772</v>
      </c>
      <c r="CH17" s="523">
        <f t="shared" ca="1" si="50"/>
        <v>1200164.9952373772</v>
      </c>
      <c r="CI17" s="523">
        <f t="shared" ca="1" si="50"/>
        <v>1200164.9952373772</v>
      </c>
      <c r="CJ17" s="523">
        <f t="shared" ca="1" si="50"/>
        <v>1200164.9952373772</v>
      </c>
      <c r="CK17" s="523">
        <f t="shared" ca="1" si="50"/>
        <v>1200164.9952373772</v>
      </c>
      <c r="CL17" s="523">
        <f t="shared" ca="1" si="50"/>
        <v>1200164.9952373772</v>
      </c>
      <c r="CM17" s="523">
        <f t="shared" ca="1" si="50"/>
        <v>1200164.9952373772</v>
      </c>
      <c r="CN17" s="523">
        <f t="shared" ca="1" si="50"/>
        <v>1200164.9952373772</v>
      </c>
      <c r="CO17" s="548">
        <f t="shared" ca="1" si="50"/>
        <v>14401979.94284852</v>
      </c>
    </row>
    <row r="18" spans="1:93" s="112" customFormat="1" ht="24.95" customHeight="1" thickBot="1">
      <c r="A18" s="123" t="s">
        <v>340</v>
      </c>
      <c r="B18" s="525">
        <f>'Projected FS'!$B$35</f>
        <v>8416320</v>
      </c>
      <c r="C18" s="118"/>
      <c r="D18" s="118"/>
      <c r="E18" s="118"/>
      <c r="F18" s="118"/>
      <c r="G18" s="118"/>
      <c r="H18" s="118"/>
      <c r="I18" s="118"/>
      <c r="J18" s="118"/>
      <c r="K18" s="118"/>
      <c r="L18" s="118"/>
      <c r="M18" s="118"/>
      <c r="N18" s="119"/>
      <c r="O18" s="446">
        <f>SUM(B18:N18)</f>
        <v>8416320</v>
      </c>
      <c r="P18" s="442"/>
      <c r="Q18" s="118"/>
      <c r="R18" s="118"/>
      <c r="S18" s="118"/>
      <c r="T18" s="118"/>
      <c r="U18" s="118"/>
      <c r="V18" s="118"/>
      <c r="W18" s="118"/>
      <c r="X18" s="118"/>
      <c r="Y18" s="118"/>
      <c r="Z18" s="118"/>
      <c r="AA18" s="118"/>
      <c r="AB18" s="446">
        <f>SUM(P18:AA18)</f>
        <v>0</v>
      </c>
      <c r="AC18" s="118"/>
      <c r="AD18" s="118"/>
      <c r="AE18" s="118"/>
      <c r="AF18" s="118"/>
      <c r="AG18" s="118"/>
      <c r="AH18" s="118"/>
      <c r="AI18" s="118"/>
      <c r="AJ18" s="118"/>
      <c r="AK18" s="118"/>
      <c r="AL18" s="118"/>
      <c r="AM18" s="118"/>
      <c r="AN18" s="118"/>
      <c r="AO18" s="446">
        <f>SUM(AC18:AN18)</f>
        <v>0</v>
      </c>
      <c r="AP18" s="118"/>
      <c r="AQ18" s="118"/>
      <c r="AR18" s="118"/>
      <c r="AS18" s="118"/>
      <c r="AT18" s="118"/>
      <c r="AU18" s="118"/>
      <c r="AV18" s="118"/>
      <c r="AW18" s="118"/>
      <c r="AX18" s="118"/>
      <c r="AY18" s="118"/>
      <c r="AZ18" s="118"/>
      <c r="BA18" s="118"/>
      <c r="BB18" s="446">
        <f>SUM(AP18:BA18)</f>
        <v>0</v>
      </c>
      <c r="BC18" s="118"/>
      <c r="BD18" s="118"/>
      <c r="BE18" s="118"/>
      <c r="BF18" s="118"/>
      <c r="BG18" s="118"/>
      <c r="BH18" s="118"/>
      <c r="BI18" s="118"/>
      <c r="BJ18" s="118"/>
      <c r="BK18" s="118"/>
      <c r="BL18" s="118"/>
      <c r="BM18" s="118"/>
      <c r="BN18" s="118"/>
      <c r="BO18" s="446">
        <f>SUM(BC18:BN18)</f>
        <v>0</v>
      </c>
      <c r="BP18" s="118"/>
      <c r="BQ18" s="118"/>
      <c r="BR18" s="118"/>
      <c r="BS18" s="118"/>
      <c r="BT18" s="118"/>
      <c r="BU18" s="118"/>
      <c r="BV18" s="118"/>
      <c r="BW18" s="118"/>
      <c r="BX18" s="118"/>
      <c r="BY18" s="118"/>
      <c r="BZ18" s="118"/>
      <c r="CA18" s="118"/>
      <c r="CB18" s="446">
        <f>SUM(BP18:CA18)</f>
        <v>0</v>
      </c>
      <c r="CC18" s="118"/>
      <c r="CD18" s="118"/>
      <c r="CE18" s="118"/>
      <c r="CF18" s="118"/>
      <c r="CG18" s="118"/>
      <c r="CH18" s="118"/>
      <c r="CI18" s="118"/>
      <c r="CJ18" s="118"/>
      <c r="CK18" s="118"/>
      <c r="CL18" s="118"/>
      <c r="CM18" s="118"/>
      <c r="CN18" s="118"/>
      <c r="CO18" s="446">
        <f>SUM(CC18:CN18)</f>
        <v>0</v>
      </c>
    </row>
    <row r="19" spans="1:93" s="104" customFormat="1" ht="24.95" customHeight="1" thickBot="1">
      <c r="A19" s="123" t="s">
        <v>341</v>
      </c>
      <c r="B19" s="120"/>
      <c r="C19" s="120"/>
      <c r="D19" s="120"/>
      <c r="E19" s="120"/>
      <c r="F19" s="120"/>
      <c r="G19" s="120"/>
      <c r="H19" s="120"/>
      <c r="I19" s="120"/>
      <c r="J19" s="120"/>
      <c r="K19" s="120"/>
      <c r="L19" s="120"/>
      <c r="M19" s="120"/>
      <c r="N19" s="121"/>
      <c r="O19" s="447">
        <f>SUM(B19:N19)</f>
        <v>0</v>
      </c>
      <c r="P19" s="443"/>
      <c r="Q19" s="120"/>
      <c r="R19" s="120"/>
      <c r="S19" s="120"/>
      <c r="T19" s="120"/>
      <c r="U19" s="120"/>
      <c r="V19" s="120"/>
      <c r="W19" s="120"/>
      <c r="X19" s="120"/>
      <c r="Y19" s="120"/>
      <c r="Z19" s="120"/>
      <c r="AA19" s="120"/>
      <c r="AB19" s="447">
        <f>SUM(P19:AA19)</f>
        <v>0</v>
      </c>
      <c r="AC19" s="120"/>
      <c r="AD19" s="120"/>
      <c r="AE19" s="120"/>
      <c r="AF19" s="120"/>
      <c r="AG19" s="120"/>
      <c r="AH19" s="120"/>
      <c r="AI19" s="120"/>
      <c r="AJ19" s="120"/>
      <c r="AK19" s="120"/>
      <c r="AL19" s="120"/>
      <c r="AM19" s="120"/>
      <c r="AN19" s="120"/>
      <c r="AO19" s="447">
        <f>SUM(AC19:AN19)</f>
        <v>0</v>
      </c>
      <c r="AP19" s="120"/>
      <c r="AQ19" s="120"/>
      <c r="AR19" s="120"/>
      <c r="AS19" s="120"/>
      <c r="AT19" s="120"/>
      <c r="AU19" s="120"/>
      <c r="AV19" s="120"/>
      <c r="AW19" s="120"/>
      <c r="AX19" s="120"/>
      <c r="AY19" s="120"/>
      <c r="AZ19" s="120"/>
      <c r="BA19" s="120"/>
      <c r="BB19" s="447">
        <f>SUM(AP19:BA19)</f>
        <v>0</v>
      </c>
      <c r="BC19" s="120"/>
      <c r="BD19" s="120"/>
      <c r="BE19" s="120"/>
      <c r="BF19" s="120"/>
      <c r="BG19" s="120"/>
      <c r="BH19" s="120"/>
      <c r="BI19" s="120"/>
      <c r="BJ19" s="120"/>
      <c r="BK19" s="120"/>
      <c r="BL19" s="120"/>
      <c r="BM19" s="120"/>
      <c r="BN19" s="120"/>
      <c r="BO19" s="447">
        <f>SUM(BC19:BN19)</f>
        <v>0</v>
      </c>
      <c r="BP19" s="120"/>
      <c r="BQ19" s="120"/>
      <c r="BR19" s="120"/>
      <c r="BS19" s="120"/>
      <c r="BT19" s="120"/>
      <c r="BU19" s="120"/>
      <c r="BV19" s="120"/>
      <c r="BW19" s="120"/>
      <c r="BX19" s="120"/>
      <c r="BY19" s="120"/>
      <c r="BZ19" s="120"/>
      <c r="CA19" s="120"/>
      <c r="CB19" s="447">
        <f>SUM(BP19:CA19)</f>
        <v>0</v>
      </c>
      <c r="CC19" s="120"/>
      <c r="CD19" s="120"/>
      <c r="CE19" s="120"/>
      <c r="CF19" s="120"/>
      <c r="CG19" s="120"/>
      <c r="CH19" s="120"/>
      <c r="CI19" s="120"/>
      <c r="CJ19" s="120"/>
      <c r="CK19" s="120"/>
      <c r="CL19" s="120"/>
      <c r="CM19" s="120"/>
      <c r="CN19" s="120"/>
      <c r="CO19" s="447">
        <f>SUM(CC19:CN19)</f>
        <v>0</v>
      </c>
    </row>
    <row r="20" spans="1:93" ht="24.95" customHeight="1" thickBot="1">
      <c r="A20" s="122" t="s">
        <v>339</v>
      </c>
      <c r="B20" s="516">
        <f t="shared" ref="B20:N20" ca="1" si="51">SUM(B17:B19)</f>
        <v>8988350.1559999995</v>
      </c>
      <c r="C20" s="516">
        <f t="shared" ca="1" si="51"/>
        <v>624000.49173683976</v>
      </c>
      <c r="D20" s="516">
        <f t="shared" ca="1" si="51"/>
        <v>624000.49173683976</v>
      </c>
      <c r="E20" s="516">
        <f t="shared" ca="1" si="51"/>
        <v>624000.49173683976</v>
      </c>
      <c r="F20" s="516">
        <f t="shared" ca="1" si="51"/>
        <v>622700.49173683976</v>
      </c>
      <c r="G20" s="516">
        <f t="shared" ca="1" si="51"/>
        <v>624000.49173683976</v>
      </c>
      <c r="H20" s="516">
        <f t="shared" ca="1" si="51"/>
        <v>624000.49173683976</v>
      </c>
      <c r="I20" s="516">
        <f t="shared" ca="1" si="51"/>
        <v>624000.49173683976</v>
      </c>
      <c r="J20" s="516">
        <f t="shared" ca="1" si="51"/>
        <v>624000.49173683976</v>
      </c>
      <c r="K20" s="516">
        <f t="shared" ca="1" si="51"/>
        <v>624000.49173683976</v>
      </c>
      <c r="L20" s="516">
        <f t="shared" ca="1" si="51"/>
        <v>624000.49173683976</v>
      </c>
      <c r="M20" s="516">
        <f t="shared" ca="1" si="51"/>
        <v>624000.49173683976</v>
      </c>
      <c r="N20" s="517">
        <f t="shared" ca="1" si="51"/>
        <v>624000.49173683976</v>
      </c>
      <c r="O20" s="544">
        <f ca="1">SUM(B20:N20)</f>
        <v>16475056.056842085</v>
      </c>
      <c r="P20" s="535">
        <f t="shared" ref="P20:AA20" ca="1" si="52">SUM(P17:P19)</f>
        <v>708232.1026328397</v>
      </c>
      <c r="Q20" s="516">
        <f t="shared" ca="1" si="52"/>
        <v>708232.1026328397</v>
      </c>
      <c r="R20" s="516">
        <f t="shared" ca="1" si="52"/>
        <v>708232.1026328397</v>
      </c>
      <c r="S20" s="516">
        <f t="shared" ca="1" si="52"/>
        <v>708232.1026328397</v>
      </c>
      <c r="T20" s="516">
        <f t="shared" ca="1" si="52"/>
        <v>708232.1026328397</v>
      </c>
      <c r="U20" s="516">
        <f t="shared" ca="1" si="52"/>
        <v>708232.1026328397</v>
      </c>
      <c r="V20" s="516">
        <f t="shared" ca="1" si="52"/>
        <v>708232.1026328397</v>
      </c>
      <c r="W20" s="516">
        <f t="shared" ca="1" si="52"/>
        <v>708232.1026328397</v>
      </c>
      <c r="X20" s="516">
        <f t="shared" ca="1" si="52"/>
        <v>708232.1026328397</v>
      </c>
      <c r="Y20" s="516">
        <f t="shared" ca="1" si="52"/>
        <v>708232.1026328397</v>
      </c>
      <c r="Z20" s="516">
        <f t="shared" ca="1" si="52"/>
        <v>708232.1026328397</v>
      </c>
      <c r="AA20" s="516">
        <f t="shared" ca="1" si="52"/>
        <v>708232.1026328397</v>
      </c>
      <c r="AB20" s="544">
        <f ca="1">SUM(P20:AA20)</f>
        <v>8498785.2315940745</v>
      </c>
      <c r="AC20" s="516">
        <f t="shared" ref="AC20:AN20" ca="1" si="53">SUM(AC17:AC19)</f>
        <v>800596.91657683975</v>
      </c>
      <c r="AD20" s="516">
        <f t="shared" ca="1" si="53"/>
        <v>800596.91657683975</v>
      </c>
      <c r="AE20" s="516">
        <f t="shared" ca="1" si="53"/>
        <v>800596.91657683975</v>
      </c>
      <c r="AF20" s="516">
        <f t="shared" ca="1" si="53"/>
        <v>800596.91657683975</v>
      </c>
      <c r="AG20" s="516">
        <f t="shared" ca="1" si="53"/>
        <v>800596.91657683975</v>
      </c>
      <c r="AH20" s="516">
        <f t="shared" ca="1" si="53"/>
        <v>800596.91657683975</v>
      </c>
      <c r="AI20" s="516">
        <f t="shared" ca="1" si="53"/>
        <v>800596.91657683975</v>
      </c>
      <c r="AJ20" s="516">
        <f t="shared" ca="1" si="53"/>
        <v>800596.91657683975</v>
      </c>
      <c r="AK20" s="516">
        <f t="shared" ca="1" si="53"/>
        <v>800596.91657683975</v>
      </c>
      <c r="AL20" s="516">
        <f t="shared" ca="1" si="53"/>
        <v>800596.91657683975</v>
      </c>
      <c r="AM20" s="516">
        <f t="shared" ca="1" si="53"/>
        <v>800596.91657683975</v>
      </c>
      <c r="AN20" s="516">
        <f t="shared" ca="1" si="53"/>
        <v>800596.91657683975</v>
      </c>
      <c r="AO20" s="544">
        <f ca="1">SUM(AC20:AN20)</f>
        <v>9607162.9989220779</v>
      </c>
      <c r="AP20" s="516">
        <f t="shared" ref="AP20:BA20" ca="1" si="54">SUM(AP17:AP19)</f>
        <v>901761.30732683954</v>
      </c>
      <c r="AQ20" s="516">
        <f t="shared" ca="1" si="54"/>
        <v>901761.30732683954</v>
      </c>
      <c r="AR20" s="516">
        <f t="shared" ca="1" si="54"/>
        <v>901761.30732683954</v>
      </c>
      <c r="AS20" s="516">
        <f t="shared" ca="1" si="54"/>
        <v>901761.30732683954</v>
      </c>
      <c r="AT20" s="516">
        <f t="shared" ca="1" si="54"/>
        <v>901761.30732683954</v>
      </c>
      <c r="AU20" s="516">
        <f t="shared" ca="1" si="54"/>
        <v>901761.30732683954</v>
      </c>
      <c r="AV20" s="516">
        <f t="shared" ca="1" si="54"/>
        <v>901761.30732683954</v>
      </c>
      <c r="AW20" s="516">
        <f t="shared" ca="1" si="54"/>
        <v>901761.30732683954</v>
      </c>
      <c r="AX20" s="516">
        <f t="shared" ca="1" si="54"/>
        <v>901761.30732683954</v>
      </c>
      <c r="AY20" s="516">
        <f t="shared" ca="1" si="54"/>
        <v>901761.30732683954</v>
      </c>
      <c r="AZ20" s="516">
        <f t="shared" ca="1" si="54"/>
        <v>901761.30732683954</v>
      </c>
      <c r="BA20" s="516">
        <f t="shared" ca="1" si="54"/>
        <v>901761.30732683954</v>
      </c>
      <c r="BB20" s="544">
        <f ca="1">SUM(AP20:BA20)</f>
        <v>10821135.687922075</v>
      </c>
      <c r="BC20" s="516">
        <f t="shared" ref="BC20:BN20" ca="1" si="55">SUM(BC17:BC19)</f>
        <v>1012457.8691416396</v>
      </c>
      <c r="BD20" s="516">
        <f t="shared" ca="1" si="55"/>
        <v>1012457.8691416396</v>
      </c>
      <c r="BE20" s="516">
        <f t="shared" ca="1" si="55"/>
        <v>1012457.8691416396</v>
      </c>
      <c r="BF20" s="516">
        <f t="shared" ca="1" si="55"/>
        <v>1012457.8691416396</v>
      </c>
      <c r="BG20" s="516">
        <f t="shared" ca="1" si="55"/>
        <v>1012457.8691416396</v>
      </c>
      <c r="BH20" s="516">
        <f t="shared" ca="1" si="55"/>
        <v>1012457.8691416396</v>
      </c>
      <c r="BI20" s="516">
        <f t="shared" ca="1" si="55"/>
        <v>1012457.8691416396</v>
      </c>
      <c r="BJ20" s="516">
        <f t="shared" ca="1" si="55"/>
        <v>1012457.8691416396</v>
      </c>
      <c r="BK20" s="516">
        <f t="shared" ca="1" si="55"/>
        <v>1012457.8691416396</v>
      </c>
      <c r="BL20" s="516">
        <f t="shared" ca="1" si="55"/>
        <v>1012457.8691416396</v>
      </c>
      <c r="BM20" s="516">
        <f t="shared" ca="1" si="55"/>
        <v>1012457.8691416396</v>
      </c>
      <c r="BN20" s="516">
        <f t="shared" ca="1" si="55"/>
        <v>1012457.8691416396</v>
      </c>
      <c r="BO20" s="544">
        <f ca="1">SUM(BC20:BN20)</f>
        <v>12149494.429699676</v>
      </c>
      <c r="BP20" s="516">
        <f t="shared" ref="BP20:CA20" ca="1" si="56">SUM(BP17:BP19)</f>
        <v>1133485.8575850895</v>
      </c>
      <c r="BQ20" s="516">
        <f t="shared" ca="1" si="56"/>
        <v>1133485.8575850895</v>
      </c>
      <c r="BR20" s="516">
        <f t="shared" ca="1" si="56"/>
        <v>1133485.8575850895</v>
      </c>
      <c r="BS20" s="516">
        <f t="shared" ca="1" si="56"/>
        <v>1133485.8575850895</v>
      </c>
      <c r="BT20" s="516">
        <f t="shared" ca="1" si="56"/>
        <v>1133485.8575850895</v>
      </c>
      <c r="BU20" s="516">
        <f t="shared" ca="1" si="56"/>
        <v>1133485.8575850895</v>
      </c>
      <c r="BV20" s="516">
        <f t="shared" ca="1" si="56"/>
        <v>1133485.8575850895</v>
      </c>
      <c r="BW20" s="516">
        <f t="shared" ca="1" si="56"/>
        <v>1133485.8575850895</v>
      </c>
      <c r="BX20" s="516">
        <f t="shared" ca="1" si="56"/>
        <v>1133485.8575850895</v>
      </c>
      <c r="BY20" s="516">
        <f t="shared" ca="1" si="56"/>
        <v>1133485.8575850895</v>
      </c>
      <c r="BZ20" s="516">
        <f t="shared" ca="1" si="56"/>
        <v>1133485.8575850895</v>
      </c>
      <c r="CA20" s="516">
        <f t="shared" ca="1" si="56"/>
        <v>1133485.8575850895</v>
      </c>
      <c r="CB20" s="544">
        <f ca="1">SUM(BP20:CA20)</f>
        <v>13601830.291021073</v>
      </c>
      <c r="CC20" s="516">
        <f t="shared" ref="CC20:CN20" ca="1" si="57">SUM(CC17:CC19)</f>
        <v>1200164.9952373772</v>
      </c>
      <c r="CD20" s="516">
        <f t="shared" ca="1" si="57"/>
        <v>1200164.9952373772</v>
      </c>
      <c r="CE20" s="516">
        <f t="shared" ca="1" si="57"/>
        <v>1200164.9952373772</v>
      </c>
      <c r="CF20" s="516">
        <f t="shared" ca="1" si="57"/>
        <v>1200164.9952373772</v>
      </c>
      <c r="CG20" s="516">
        <f t="shared" ca="1" si="57"/>
        <v>1200164.9952373772</v>
      </c>
      <c r="CH20" s="516">
        <f t="shared" ca="1" si="57"/>
        <v>1200164.9952373772</v>
      </c>
      <c r="CI20" s="516">
        <f t="shared" ca="1" si="57"/>
        <v>1200164.9952373772</v>
      </c>
      <c r="CJ20" s="516">
        <f t="shared" ca="1" si="57"/>
        <v>1200164.9952373772</v>
      </c>
      <c r="CK20" s="516">
        <f t="shared" ca="1" si="57"/>
        <v>1200164.9952373772</v>
      </c>
      <c r="CL20" s="516">
        <f t="shared" ca="1" si="57"/>
        <v>1200164.9952373772</v>
      </c>
      <c r="CM20" s="516">
        <f t="shared" ca="1" si="57"/>
        <v>1200164.9952373772</v>
      </c>
      <c r="CN20" s="516">
        <f t="shared" ca="1" si="57"/>
        <v>1200164.9952373772</v>
      </c>
      <c r="CO20" s="544">
        <f ca="1">SUM(CC20:CN20)</f>
        <v>14401979.942848524</v>
      </c>
    </row>
    <row r="21" spans="1:93" ht="24.95" customHeight="1" thickBot="1">
      <c r="A21" s="122" t="s">
        <v>342</v>
      </c>
      <c r="B21" s="516">
        <f t="shared" ref="B21:N21" ca="1" si="58">B10-B20</f>
        <v>-8988350.1559999995</v>
      </c>
      <c r="C21" s="516">
        <f t="shared" ca="1" si="58"/>
        <v>-624000.49173683976</v>
      </c>
      <c r="D21" s="516">
        <f t="shared" ca="1" si="58"/>
        <v>-276662.36673683976</v>
      </c>
      <c r="E21" s="516">
        <f t="shared" ca="1" si="58"/>
        <v>70675.758263160242</v>
      </c>
      <c r="F21" s="516">
        <f t="shared" ca="1" si="58"/>
        <v>142651.51652632048</v>
      </c>
      <c r="G21" s="516">
        <f t="shared" ca="1" si="58"/>
        <v>213327.27478948073</v>
      </c>
      <c r="H21" s="516">
        <f t="shared" ca="1" si="58"/>
        <v>284003.03305264097</v>
      </c>
      <c r="I21" s="516">
        <f t="shared" ca="1" si="58"/>
        <v>354678.79131580121</v>
      </c>
      <c r="J21" s="516">
        <f t="shared" ca="1" si="58"/>
        <v>425354.54957896145</v>
      </c>
      <c r="K21" s="516">
        <f t="shared" ca="1" si="58"/>
        <v>496030.30784212169</v>
      </c>
      <c r="L21" s="516">
        <f t="shared" ca="1" si="58"/>
        <v>566706.06610528193</v>
      </c>
      <c r="M21" s="516">
        <f t="shared" ca="1" si="58"/>
        <v>637381.82436844218</v>
      </c>
      <c r="N21" s="517">
        <f t="shared" ca="1" si="58"/>
        <v>708057.58263160242</v>
      </c>
      <c r="O21" s="448">
        <f ca="1">N30-'Projected FS'!C30</f>
        <v>-9.3132257461547852E-10</v>
      </c>
      <c r="P21" s="535">
        <f t="shared" ref="P21:AA21" ca="1" si="59">P10-P20</f>
        <v>694501.72999876272</v>
      </c>
      <c r="Q21" s="516">
        <f t="shared" ca="1" si="59"/>
        <v>738604.00611592294</v>
      </c>
      <c r="R21" s="516">
        <f t="shared" ca="1" si="59"/>
        <v>840364.4109830833</v>
      </c>
      <c r="S21" s="516">
        <f t="shared" ca="1" si="59"/>
        <v>942124.81585024344</v>
      </c>
      <c r="T21" s="516">
        <f t="shared" ca="1" si="59"/>
        <v>1043885.2207174036</v>
      </c>
      <c r="U21" s="516">
        <f t="shared" ca="1" si="59"/>
        <v>1145645.6255845637</v>
      </c>
      <c r="V21" s="516">
        <f t="shared" ca="1" si="59"/>
        <v>1247406.0304517238</v>
      </c>
      <c r="W21" s="516">
        <f t="shared" ca="1" si="59"/>
        <v>1349166.435318884</v>
      </c>
      <c r="X21" s="516">
        <f t="shared" ca="1" si="59"/>
        <v>1450926.8401860441</v>
      </c>
      <c r="Y21" s="516">
        <f t="shared" ca="1" si="59"/>
        <v>1552687.2450532042</v>
      </c>
      <c r="Z21" s="516">
        <f t="shared" ca="1" si="59"/>
        <v>1654447.6499203644</v>
      </c>
      <c r="AA21" s="516">
        <f t="shared" ca="1" si="59"/>
        <v>1756208.0547875245</v>
      </c>
      <c r="AB21" s="448">
        <f ca="1">AA30-'Projected FS'!D30</f>
        <v>-1365.0000000039581</v>
      </c>
      <c r="AC21" s="516">
        <f t="shared" ref="AC21:AN21" ca="1" si="60">AC10-AC20</f>
        <v>1765603.6457106846</v>
      </c>
      <c r="AD21" s="516">
        <f t="shared" ca="1" si="60"/>
        <v>1838330.5547588451</v>
      </c>
      <c r="AE21" s="516">
        <f t="shared" ca="1" si="60"/>
        <v>1974388.7819320054</v>
      </c>
      <c r="AF21" s="516">
        <f t="shared" ca="1" si="60"/>
        <v>2110447.0091051655</v>
      </c>
      <c r="AG21" s="516">
        <f t="shared" ca="1" si="60"/>
        <v>2246505.2362783253</v>
      </c>
      <c r="AH21" s="516">
        <f t="shared" ca="1" si="60"/>
        <v>2382563.4634514851</v>
      </c>
      <c r="AI21" s="516">
        <f t="shared" ca="1" si="60"/>
        <v>2518621.690624645</v>
      </c>
      <c r="AJ21" s="516">
        <f t="shared" ca="1" si="60"/>
        <v>2654679.9177978048</v>
      </c>
      <c r="AK21" s="516">
        <f t="shared" ca="1" si="60"/>
        <v>2790738.1449709646</v>
      </c>
      <c r="AL21" s="516">
        <f t="shared" ca="1" si="60"/>
        <v>2926796.3721441245</v>
      </c>
      <c r="AM21" s="516">
        <f t="shared" ca="1" si="60"/>
        <v>3062854.5993172843</v>
      </c>
      <c r="AN21" s="516">
        <f t="shared" ca="1" si="60"/>
        <v>3198912.8264904441</v>
      </c>
      <c r="AO21" s="448">
        <f ca="1">Table42135149[[#This Row],[Year 3
Month 12]]-'Projected FS'!E30</f>
        <v>-2798.2500000093132</v>
      </c>
      <c r="AP21" s="516">
        <f t="shared" ref="AP21:BA21" ca="1" si="61">AP10-AP20</f>
        <v>3233806.6629136046</v>
      </c>
      <c r="AQ21" s="516">
        <f t="shared" ca="1" si="61"/>
        <v>3338168.1243367651</v>
      </c>
      <c r="AR21" s="516">
        <f t="shared" ca="1" si="61"/>
        <v>3511997.2107599257</v>
      </c>
      <c r="AS21" s="516">
        <f t="shared" ca="1" si="61"/>
        <v>3685826.2971830862</v>
      </c>
      <c r="AT21" s="516">
        <f t="shared" ca="1" si="61"/>
        <v>3859655.3836062467</v>
      </c>
      <c r="AU21" s="516">
        <f t="shared" ca="1" si="61"/>
        <v>4033484.4700294072</v>
      </c>
      <c r="AV21" s="516">
        <f t="shared" ca="1" si="61"/>
        <v>4207313.5564525677</v>
      </c>
      <c r="AW21" s="516">
        <f t="shared" ca="1" si="61"/>
        <v>4381142.6428757282</v>
      </c>
      <c r="AX21" s="516">
        <f t="shared" ca="1" si="61"/>
        <v>4554971.7292988887</v>
      </c>
      <c r="AY21" s="516">
        <f t="shared" ca="1" si="61"/>
        <v>4728800.8157220492</v>
      </c>
      <c r="AZ21" s="516">
        <f t="shared" ca="1" si="61"/>
        <v>4902629.9021452097</v>
      </c>
      <c r="BA21" s="516">
        <f t="shared" ca="1" si="61"/>
        <v>5076458.9885683702</v>
      </c>
      <c r="BB21" s="448">
        <f ca="1">Table42135150[[#This Row],[Year 4
Month 12]]-'Projected FS'!F30</f>
        <v>-4303.1625000024214</v>
      </c>
      <c r="BC21" s="516">
        <f t="shared" ref="BC21:BN21" ca="1" si="62">BC10-BC20</f>
        <v>5139591.5131767308</v>
      </c>
      <c r="BD21" s="516">
        <f t="shared" ca="1" si="62"/>
        <v>5278837.3989100913</v>
      </c>
      <c r="BE21" s="516">
        <f t="shared" ca="1" si="62"/>
        <v>5494196.6457684515</v>
      </c>
      <c r="BF21" s="516">
        <f t="shared" ca="1" si="62"/>
        <v>5709555.8926268118</v>
      </c>
      <c r="BG21" s="516">
        <f t="shared" ca="1" si="62"/>
        <v>5924915.139485172</v>
      </c>
      <c r="BH21" s="516">
        <f t="shared" ca="1" si="62"/>
        <v>6140274.3863435322</v>
      </c>
      <c r="BI21" s="516">
        <f t="shared" ca="1" si="62"/>
        <v>6355633.6332018925</v>
      </c>
      <c r="BJ21" s="516">
        <f t="shared" ca="1" si="62"/>
        <v>6570992.8800602527</v>
      </c>
      <c r="BK21" s="516">
        <f t="shared" ca="1" si="62"/>
        <v>6786352.126918613</v>
      </c>
      <c r="BL21" s="516">
        <f t="shared" ca="1" si="62"/>
        <v>7001711.3737769732</v>
      </c>
      <c r="BM21" s="516">
        <f t="shared" ca="1" si="62"/>
        <v>7217070.6206353335</v>
      </c>
      <c r="BN21" s="516">
        <f t="shared" ca="1" si="62"/>
        <v>7432429.8674936937</v>
      </c>
      <c r="BO21" s="448">
        <f ca="1">'Projected FS'!G30-Table42135150146[[#This Row],[Year 5
Month 12]]</f>
        <v>5883.3206250024959</v>
      </c>
      <c r="BP21" s="516">
        <f t="shared" ref="BP21:CA21" ca="1" si="63">BP10-BP20</f>
        <v>7526761.1259086039</v>
      </c>
      <c r="BQ21" s="516">
        <f t="shared" ca="1" si="63"/>
        <v>7704407.222573515</v>
      </c>
      <c r="BR21" s="516">
        <f t="shared" ca="1" si="63"/>
        <v>7965368.1574884262</v>
      </c>
      <c r="BS21" s="516">
        <f t="shared" ca="1" si="63"/>
        <v>8226329.0924033374</v>
      </c>
      <c r="BT21" s="516">
        <f t="shared" ca="1" si="63"/>
        <v>8487290.0273182485</v>
      </c>
      <c r="BU21" s="516">
        <f t="shared" ca="1" si="63"/>
        <v>8748250.9622331597</v>
      </c>
      <c r="BV21" s="516">
        <f t="shared" ca="1" si="63"/>
        <v>9009211.8971480709</v>
      </c>
      <c r="BW21" s="516">
        <f t="shared" ca="1" si="63"/>
        <v>9270172.832062982</v>
      </c>
      <c r="BX21" s="516">
        <f t="shared" ca="1" si="63"/>
        <v>9531133.7669778932</v>
      </c>
      <c r="BY21" s="516">
        <f t="shared" ca="1" si="63"/>
        <v>9792094.7018928044</v>
      </c>
      <c r="BZ21" s="516">
        <f t="shared" ca="1" si="63"/>
        <v>10053055.636807716</v>
      </c>
      <c r="CA21" s="516">
        <f t="shared" ca="1" si="63"/>
        <v>10314016.571722627</v>
      </c>
      <c r="CB21" s="448">
        <f ca="1">Table42135150146161[[#This Row],[Year 6
Month 12]]-'Projected FS'!H30</f>
        <v>-7542.4866562392563</v>
      </c>
      <c r="CC21" s="516">
        <f t="shared" ref="CC21:CN21" ca="1" si="64">CC10-CC20</f>
        <v>10508298.368985251</v>
      </c>
      <c r="CD21" s="516">
        <f t="shared" ca="1" si="64"/>
        <v>10744422.832372874</v>
      </c>
      <c r="CE21" s="516">
        <f t="shared" ca="1" si="64"/>
        <v>11022389.961885497</v>
      </c>
      <c r="CF21" s="516">
        <f t="shared" ca="1" si="64"/>
        <v>11300357.09139812</v>
      </c>
      <c r="CG21" s="516">
        <f t="shared" ca="1" si="64"/>
        <v>11578324.220910743</v>
      </c>
      <c r="CH21" s="516">
        <f t="shared" ca="1" si="64"/>
        <v>11856291.350423366</v>
      </c>
      <c r="CI21" s="516">
        <f t="shared" ca="1" si="64"/>
        <v>12134258.479935989</v>
      </c>
      <c r="CJ21" s="516">
        <f t="shared" ca="1" si="64"/>
        <v>12412225.609448612</v>
      </c>
      <c r="CK21" s="516">
        <f t="shared" ca="1" si="64"/>
        <v>12690192.738961235</v>
      </c>
      <c r="CL21" s="516">
        <f t="shared" ca="1" si="64"/>
        <v>12968159.868473858</v>
      </c>
      <c r="CM21" s="516">
        <f t="shared" ca="1" si="64"/>
        <v>13246126.997986481</v>
      </c>
      <c r="CN21" s="516">
        <f t="shared" ca="1" si="64"/>
        <v>13524094.127499104</v>
      </c>
      <c r="CO21" s="448">
        <f ca="1">Table42135150146164[[#This Row],[Year 7
Month 12]]-'Projected FS'!I30</f>
        <v>-9284.6109890453517</v>
      </c>
    </row>
    <row r="22" spans="1:93" ht="24.95" customHeight="1" thickBot="1">
      <c r="A22" s="230" t="s">
        <v>343</v>
      </c>
      <c r="O22" s="549"/>
      <c r="AB22" s="549"/>
      <c r="AO22" s="549"/>
      <c r="BB22" s="549"/>
      <c r="BO22" s="549"/>
      <c r="CB22" s="549"/>
      <c r="CO22" s="549"/>
    </row>
    <row r="23" spans="1:93" s="104" customFormat="1" ht="24.95" customHeight="1" thickTop="1" thickBot="1">
      <c r="A23" s="188" t="str">
        <f>'Summary. Assumptions. Inputs'!G30</f>
        <v>Equity financing</v>
      </c>
      <c r="B23" s="526">
        <f ca="1">IF(B$21&lt;0,B$21*-1,0)-'Summary. Assumptions. Inputs'!$J$31-'Summary. Assumptions. Inputs'!$J$38-'Summary. Assumptions. Inputs'!$J$39</f>
        <v>4400030.1559999995</v>
      </c>
      <c r="C23" s="526">
        <f ca="1">IF(C$21&lt;0,C$21*-1,0)</f>
        <v>624000.49173683976</v>
      </c>
      <c r="D23" s="526">
        <f ca="1">IF(D$21&lt;0,D$21*-1,0)</f>
        <v>276662.36673683976</v>
      </c>
      <c r="E23" s="526">
        <f t="shared" ref="E23:N23" ca="1" si="65">IF(E$21&lt;0,E$21*-1,0)</f>
        <v>0</v>
      </c>
      <c r="F23" s="526">
        <f t="shared" ca="1" si="65"/>
        <v>0</v>
      </c>
      <c r="G23" s="526">
        <f t="shared" ca="1" si="65"/>
        <v>0</v>
      </c>
      <c r="H23" s="526">
        <f t="shared" ca="1" si="65"/>
        <v>0</v>
      </c>
      <c r="I23" s="526">
        <f t="shared" ca="1" si="65"/>
        <v>0</v>
      </c>
      <c r="J23" s="526">
        <f t="shared" ca="1" si="65"/>
        <v>0</v>
      </c>
      <c r="K23" s="526">
        <f t="shared" ca="1" si="65"/>
        <v>0</v>
      </c>
      <c r="L23" s="526">
        <f t="shared" ca="1" si="65"/>
        <v>0</v>
      </c>
      <c r="M23" s="526">
        <f t="shared" ca="1" si="65"/>
        <v>0</v>
      </c>
      <c r="N23" s="527">
        <f t="shared" ca="1" si="65"/>
        <v>0</v>
      </c>
      <c r="O23" s="550">
        <f ca="1">SUM('Cashflow Projection &amp; Investme'!$B23:$N23)</f>
        <v>5300693.0144736785</v>
      </c>
      <c r="P23" s="540">
        <f ca="1">IF(P$21&lt;0,P$21*-1,0)</f>
        <v>0</v>
      </c>
      <c r="Q23" s="526">
        <f ca="1">IF(Q$21&lt;0,Q$21*-1,0)</f>
        <v>0</v>
      </c>
      <c r="R23" s="526">
        <f t="shared" ref="R23:AA23" ca="1" si="66">IF(R$21&lt;0,R$21*-1,0)</f>
        <v>0</v>
      </c>
      <c r="S23" s="526">
        <f t="shared" ca="1" si="66"/>
        <v>0</v>
      </c>
      <c r="T23" s="526">
        <f t="shared" ca="1" si="66"/>
        <v>0</v>
      </c>
      <c r="U23" s="526">
        <f t="shared" ca="1" si="66"/>
        <v>0</v>
      </c>
      <c r="V23" s="526">
        <f t="shared" ca="1" si="66"/>
        <v>0</v>
      </c>
      <c r="W23" s="526">
        <f t="shared" ca="1" si="66"/>
        <v>0</v>
      </c>
      <c r="X23" s="526">
        <f t="shared" ca="1" si="66"/>
        <v>0</v>
      </c>
      <c r="Y23" s="526">
        <f t="shared" ca="1" si="66"/>
        <v>0</v>
      </c>
      <c r="Z23" s="526">
        <f t="shared" ca="1" si="66"/>
        <v>0</v>
      </c>
      <c r="AA23" s="526">
        <f t="shared" ca="1" si="66"/>
        <v>0</v>
      </c>
      <c r="AB23" s="544">
        <f ca="1">SUM(P23:AA23)</f>
        <v>0</v>
      </c>
      <c r="AC23" s="526">
        <f ca="1">IF(AC$21&lt;0,AC$21*-1,0)</f>
        <v>0</v>
      </c>
      <c r="AD23" s="526">
        <f ca="1">IF(AD$21&lt;0,AD$21*-1,0)</f>
        <v>0</v>
      </c>
      <c r="AE23" s="526">
        <f t="shared" ref="AE23:AN23" ca="1" si="67">IF(AE$21&lt;0,AE$21*-1,0)</f>
        <v>0</v>
      </c>
      <c r="AF23" s="526">
        <f t="shared" ca="1" si="67"/>
        <v>0</v>
      </c>
      <c r="AG23" s="526">
        <f t="shared" ca="1" si="67"/>
        <v>0</v>
      </c>
      <c r="AH23" s="526">
        <f t="shared" ca="1" si="67"/>
        <v>0</v>
      </c>
      <c r="AI23" s="526">
        <f t="shared" ca="1" si="67"/>
        <v>0</v>
      </c>
      <c r="AJ23" s="526">
        <f t="shared" ca="1" si="67"/>
        <v>0</v>
      </c>
      <c r="AK23" s="526">
        <f t="shared" ca="1" si="67"/>
        <v>0</v>
      </c>
      <c r="AL23" s="526">
        <f t="shared" ca="1" si="67"/>
        <v>0</v>
      </c>
      <c r="AM23" s="526">
        <f t="shared" ca="1" si="67"/>
        <v>0</v>
      </c>
      <c r="AN23" s="526">
        <f t="shared" ca="1" si="67"/>
        <v>0</v>
      </c>
      <c r="AO23" s="544">
        <f ca="1">SUM(AC23:AN23)</f>
        <v>0</v>
      </c>
      <c r="AP23" s="526">
        <f ca="1">IF(AP$21&lt;0,AP$21*-1,0)</f>
        <v>0</v>
      </c>
      <c r="AQ23" s="526">
        <f ca="1">IF(AQ$21&lt;0,AQ$21*-1,0)</f>
        <v>0</v>
      </c>
      <c r="AR23" s="526">
        <f t="shared" ref="AR23:BA23" ca="1" si="68">IF(AR$21&lt;0,AR$21*-1,0)</f>
        <v>0</v>
      </c>
      <c r="AS23" s="526">
        <f t="shared" ca="1" si="68"/>
        <v>0</v>
      </c>
      <c r="AT23" s="526">
        <f t="shared" ca="1" si="68"/>
        <v>0</v>
      </c>
      <c r="AU23" s="526">
        <f t="shared" ca="1" si="68"/>
        <v>0</v>
      </c>
      <c r="AV23" s="526">
        <f t="shared" ca="1" si="68"/>
        <v>0</v>
      </c>
      <c r="AW23" s="526">
        <f t="shared" ca="1" si="68"/>
        <v>0</v>
      </c>
      <c r="AX23" s="526">
        <f t="shared" ca="1" si="68"/>
        <v>0</v>
      </c>
      <c r="AY23" s="526">
        <f t="shared" ca="1" si="68"/>
        <v>0</v>
      </c>
      <c r="AZ23" s="526">
        <f t="shared" ca="1" si="68"/>
        <v>0</v>
      </c>
      <c r="BA23" s="526">
        <f t="shared" ca="1" si="68"/>
        <v>0</v>
      </c>
      <c r="BB23" s="544">
        <f ca="1">SUM(AP23:BA23)</f>
        <v>0</v>
      </c>
      <c r="BC23" s="526">
        <f ca="1">IF(BC$21&lt;0,BC$21*-1,0)</f>
        <v>0</v>
      </c>
      <c r="BD23" s="526">
        <f ca="1">IF(BD$21&lt;0,BD$21*-1,0)</f>
        <v>0</v>
      </c>
      <c r="BE23" s="526">
        <f t="shared" ref="BE23:BN23" ca="1" si="69">IF(BE$21&lt;0,BE$21*-1,0)</f>
        <v>0</v>
      </c>
      <c r="BF23" s="526">
        <f t="shared" ca="1" si="69"/>
        <v>0</v>
      </c>
      <c r="BG23" s="526">
        <f t="shared" ca="1" si="69"/>
        <v>0</v>
      </c>
      <c r="BH23" s="526">
        <f t="shared" ca="1" si="69"/>
        <v>0</v>
      </c>
      <c r="BI23" s="526">
        <f t="shared" ca="1" si="69"/>
        <v>0</v>
      </c>
      <c r="BJ23" s="526">
        <f t="shared" ca="1" si="69"/>
        <v>0</v>
      </c>
      <c r="BK23" s="526">
        <f t="shared" ca="1" si="69"/>
        <v>0</v>
      </c>
      <c r="BL23" s="526">
        <f t="shared" ca="1" si="69"/>
        <v>0</v>
      </c>
      <c r="BM23" s="526">
        <f t="shared" ca="1" si="69"/>
        <v>0</v>
      </c>
      <c r="BN23" s="526">
        <f t="shared" ca="1" si="69"/>
        <v>0</v>
      </c>
      <c r="BO23" s="544">
        <f ca="1">SUM(BC23:BN23)</f>
        <v>0</v>
      </c>
      <c r="BP23" s="526">
        <f ca="1">IF(BP$21&lt;0,BP$21*-1,0)</f>
        <v>0</v>
      </c>
      <c r="BQ23" s="526">
        <f ca="1">IF(BQ$21&lt;0,BQ$21*-1,0)</f>
        <v>0</v>
      </c>
      <c r="BR23" s="526">
        <f t="shared" ref="BR23:CA23" ca="1" si="70">IF(BR$21&lt;0,BR$21*-1,0)</f>
        <v>0</v>
      </c>
      <c r="BS23" s="526">
        <f t="shared" ca="1" si="70"/>
        <v>0</v>
      </c>
      <c r="BT23" s="526">
        <f t="shared" ca="1" si="70"/>
        <v>0</v>
      </c>
      <c r="BU23" s="526">
        <f t="shared" ca="1" si="70"/>
        <v>0</v>
      </c>
      <c r="BV23" s="526">
        <f t="shared" ca="1" si="70"/>
        <v>0</v>
      </c>
      <c r="BW23" s="526">
        <f t="shared" ca="1" si="70"/>
        <v>0</v>
      </c>
      <c r="BX23" s="526">
        <f t="shared" ca="1" si="70"/>
        <v>0</v>
      </c>
      <c r="BY23" s="526">
        <f t="shared" ca="1" si="70"/>
        <v>0</v>
      </c>
      <c r="BZ23" s="526">
        <f t="shared" ca="1" si="70"/>
        <v>0</v>
      </c>
      <c r="CA23" s="526">
        <f t="shared" ca="1" si="70"/>
        <v>0</v>
      </c>
      <c r="CB23" s="544">
        <f ca="1">SUM(BP23:CA23)</f>
        <v>0</v>
      </c>
      <c r="CC23" s="526">
        <f ca="1">IF(CC$21&lt;0,CC$21*-1,0)</f>
        <v>0</v>
      </c>
      <c r="CD23" s="526">
        <f ca="1">IF(CD$21&lt;0,CD$21*-1,0)</f>
        <v>0</v>
      </c>
      <c r="CE23" s="526">
        <f t="shared" ref="CE23:CN23" ca="1" si="71">IF(CE$21&lt;0,CE$21*-1,0)</f>
        <v>0</v>
      </c>
      <c r="CF23" s="526">
        <f t="shared" ca="1" si="71"/>
        <v>0</v>
      </c>
      <c r="CG23" s="526">
        <f t="shared" ca="1" si="71"/>
        <v>0</v>
      </c>
      <c r="CH23" s="526">
        <f t="shared" ca="1" si="71"/>
        <v>0</v>
      </c>
      <c r="CI23" s="526">
        <f t="shared" ca="1" si="71"/>
        <v>0</v>
      </c>
      <c r="CJ23" s="526">
        <f t="shared" ca="1" si="71"/>
        <v>0</v>
      </c>
      <c r="CK23" s="526">
        <f t="shared" ca="1" si="71"/>
        <v>0</v>
      </c>
      <c r="CL23" s="526">
        <f t="shared" ca="1" si="71"/>
        <v>0</v>
      </c>
      <c r="CM23" s="526">
        <f t="shared" ca="1" si="71"/>
        <v>0</v>
      </c>
      <c r="CN23" s="526">
        <f t="shared" ca="1" si="71"/>
        <v>0</v>
      </c>
      <c r="CO23" s="544">
        <f ca="1">SUM(CC23:CN23)</f>
        <v>0</v>
      </c>
    </row>
    <row r="24" spans="1:93" s="107" customFormat="1" ht="24.95" customHeight="1" thickBot="1">
      <c r="A24" s="123" t="s">
        <v>344</v>
      </c>
      <c r="B24" s="525">
        <f ca="1">B21+SUM(B23)</f>
        <v>-4588320</v>
      </c>
      <c r="C24" s="525">
        <f t="shared" ref="C24:N24" ca="1" si="72">C21+SUM(C23)</f>
        <v>0</v>
      </c>
      <c r="D24" s="525">
        <f t="shared" ca="1" si="72"/>
        <v>0</v>
      </c>
      <c r="E24" s="525">
        <f t="shared" ca="1" si="72"/>
        <v>70675.758263160242</v>
      </c>
      <c r="F24" s="525">
        <f t="shared" ca="1" si="72"/>
        <v>142651.51652632048</v>
      </c>
      <c r="G24" s="525">
        <f t="shared" ca="1" si="72"/>
        <v>213327.27478948073</v>
      </c>
      <c r="H24" s="525">
        <f t="shared" ca="1" si="72"/>
        <v>284003.03305264097</v>
      </c>
      <c r="I24" s="525">
        <f t="shared" ca="1" si="72"/>
        <v>354678.79131580121</v>
      </c>
      <c r="J24" s="525">
        <f t="shared" ca="1" si="72"/>
        <v>425354.54957896145</v>
      </c>
      <c r="K24" s="525">
        <f t="shared" ca="1" si="72"/>
        <v>496030.30784212169</v>
      </c>
      <c r="L24" s="525">
        <f t="shared" ca="1" si="72"/>
        <v>566706.06610528193</v>
      </c>
      <c r="M24" s="525">
        <f t="shared" ca="1" si="72"/>
        <v>637381.82436844218</v>
      </c>
      <c r="N24" s="528">
        <f t="shared" ca="1" si="72"/>
        <v>708057.58263160242</v>
      </c>
      <c r="O24" s="544"/>
      <c r="P24" s="541">
        <f t="shared" ref="P24:AA24" ca="1" si="73">P21+SUM(P23)</f>
        <v>694501.72999876272</v>
      </c>
      <c r="Q24" s="525">
        <f t="shared" ca="1" si="73"/>
        <v>738604.00611592294</v>
      </c>
      <c r="R24" s="525">
        <f t="shared" ca="1" si="73"/>
        <v>840364.4109830833</v>
      </c>
      <c r="S24" s="525">
        <f t="shared" ca="1" si="73"/>
        <v>942124.81585024344</v>
      </c>
      <c r="T24" s="525">
        <f t="shared" ca="1" si="73"/>
        <v>1043885.2207174036</v>
      </c>
      <c r="U24" s="525">
        <f t="shared" ca="1" si="73"/>
        <v>1145645.6255845637</v>
      </c>
      <c r="V24" s="525">
        <f t="shared" ca="1" si="73"/>
        <v>1247406.0304517238</v>
      </c>
      <c r="W24" s="525">
        <f t="shared" ca="1" si="73"/>
        <v>1349166.435318884</v>
      </c>
      <c r="X24" s="525">
        <f t="shared" ca="1" si="73"/>
        <v>1450926.8401860441</v>
      </c>
      <c r="Y24" s="525">
        <f t="shared" ca="1" si="73"/>
        <v>1552687.2450532042</v>
      </c>
      <c r="Z24" s="525">
        <f t="shared" ca="1" si="73"/>
        <v>1654447.6499203644</v>
      </c>
      <c r="AA24" s="525">
        <f t="shared" ca="1" si="73"/>
        <v>1756208.0547875245</v>
      </c>
      <c r="AB24" s="544"/>
      <c r="AC24" s="525">
        <f t="shared" ref="AC24:AN24" ca="1" si="74">AC21+SUM(AC23)</f>
        <v>1765603.6457106846</v>
      </c>
      <c r="AD24" s="525">
        <f t="shared" ca="1" si="74"/>
        <v>1838330.5547588451</v>
      </c>
      <c r="AE24" s="525">
        <f t="shared" ca="1" si="74"/>
        <v>1974388.7819320054</v>
      </c>
      <c r="AF24" s="525">
        <f t="shared" ca="1" si="74"/>
        <v>2110447.0091051655</v>
      </c>
      <c r="AG24" s="525">
        <f t="shared" ca="1" si="74"/>
        <v>2246505.2362783253</v>
      </c>
      <c r="AH24" s="525">
        <f t="shared" ca="1" si="74"/>
        <v>2382563.4634514851</v>
      </c>
      <c r="AI24" s="525">
        <f t="shared" ca="1" si="74"/>
        <v>2518621.690624645</v>
      </c>
      <c r="AJ24" s="525">
        <f t="shared" ca="1" si="74"/>
        <v>2654679.9177978048</v>
      </c>
      <c r="AK24" s="525">
        <f t="shared" ca="1" si="74"/>
        <v>2790738.1449709646</v>
      </c>
      <c r="AL24" s="525">
        <f t="shared" ca="1" si="74"/>
        <v>2926796.3721441245</v>
      </c>
      <c r="AM24" s="525">
        <f t="shared" ca="1" si="74"/>
        <v>3062854.5993172843</v>
      </c>
      <c r="AN24" s="525">
        <f t="shared" ca="1" si="74"/>
        <v>3198912.8264904441</v>
      </c>
      <c r="AO24" s="544"/>
      <c r="AP24" s="525">
        <f t="shared" ref="AP24:BA24" ca="1" si="75">AP21+SUM(AP23)</f>
        <v>3233806.6629136046</v>
      </c>
      <c r="AQ24" s="525">
        <f t="shared" ca="1" si="75"/>
        <v>3338168.1243367651</v>
      </c>
      <c r="AR24" s="525">
        <f t="shared" ca="1" si="75"/>
        <v>3511997.2107599257</v>
      </c>
      <c r="AS24" s="525">
        <f t="shared" ca="1" si="75"/>
        <v>3685826.2971830862</v>
      </c>
      <c r="AT24" s="525">
        <f t="shared" ca="1" si="75"/>
        <v>3859655.3836062467</v>
      </c>
      <c r="AU24" s="525">
        <f t="shared" ca="1" si="75"/>
        <v>4033484.4700294072</v>
      </c>
      <c r="AV24" s="525">
        <f t="shared" ca="1" si="75"/>
        <v>4207313.5564525677</v>
      </c>
      <c r="AW24" s="525">
        <f t="shared" ca="1" si="75"/>
        <v>4381142.6428757282</v>
      </c>
      <c r="AX24" s="525">
        <f t="shared" ca="1" si="75"/>
        <v>4554971.7292988887</v>
      </c>
      <c r="AY24" s="525">
        <f t="shared" ca="1" si="75"/>
        <v>4728800.8157220492</v>
      </c>
      <c r="AZ24" s="525">
        <f t="shared" ca="1" si="75"/>
        <v>4902629.9021452097</v>
      </c>
      <c r="BA24" s="525">
        <f t="shared" ca="1" si="75"/>
        <v>5076458.9885683702</v>
      </c>
      <c r="BB24" s="544"/>
      <c r="BC24" s="525">
        <f t="shared" ref="BC24:BN24" ca="1" si="76">BC21+SUM(BC23)</f>
        <v>5139591.5131767308</v>
      </c>
      <c r="BD24" s="525">
        <f t="shared" ca="1" si="76"/>
        <v>5278837.3989100913</v>
      </c>
      <c r="BE24" s="525">
        <f t="shared" ca="1" si="76"/>
        <v>5494196.6457684515</v>
      </c>
      <c r="BF24" s="525">
        <f t="shared" ca="1" si="76"/>
        <v>5709555.8926268118</v>
      </c>
      <c r="BG24" s="525">
        <f t="shared" ca="1" si="76"/>
        <v>5924915.139485172</v>
      </c>
      <c r="BH24" s="525">
        <f t="shared" ca="1" si="76"/>
        <v>6140274.3863435322</v>
      </c>
      <c r="BI24" s="525">
        <f t="shared" ca="1" si="76"/>
        <v>6355633.6332018925</v>
      </c>
      <c r="BJ24" s="525">
        <f t="shared" ca="1" si="76"/>
        <v>6570992.8800602527</v>
      </c>
      <c r="BK24" s="525">
        <f t="shared" ca="1" si="76"/>
        <v>6786352.126918613</v>
      </c>
      <c r="BL24" s="525">
        <f t="shared" ca="1" si="76"/>
        <v>7001711.3737769732</v>
      </c>
      <c r="BM24" s="525">
        <f t="shared" ca="1" si="76"/>
        <v>7217070.6206353335</v>
      </c>
      <c r="BN24" s="525">
        <f t="shared" ca="1" si="76"/>
        <v>7432429.8674936937</v>
      </c>
      <c r="BO24" s="544"/>
      <c r="BP24" s="525">
        <f t="shared" ref="BP24:CA24" ca="1" si="77">BP21+SUM(BP23)</f>
        <v>7526761.1259086039</v>
      </c>
      <c r="BQ24" s="525">
        <f t="shared" ca="1" si="77"/>
        <v>7704407.222573515</v>
      </c>
      <c r="BR24" s="525">
        <f t="shared" ca="1" si="77"/>
        <v>7965368.1574884262</v>
      </c>
      <c r="BS24" s="525">
        <f t="shared" ca="1" si="77"/>
        <v>8226329.0924033374</v>
      </c>
      <c r="BT24" s="525">
        <f t="shared" ca="1" si="77"/>
        <v>8487290.0273182485</v>
      </c>
      <c r="BU24" s="525">
        <f t="shared" ca="1" si="77"/>
        <v>8748250.9622331597</v>
      </c>
      <c r="BV24" s="525">
        <f t="shared" ca="1" si="77"/>
        <v>9009211.8971480709</v>
      </c>
      <c r="BW24" s="525">
        <f t="shared" ca="1" si="77"/>
        <v>9270172.832062982</v>
      </c>
      <c r="BX24" s="525">
        <f t="shared" ca="1" si="77"/>
        <v>9531133.7669778932</v>
      </c>
      <c r="BY24" s="525">
        <f t="shared" ca="1" si="77"/>
        <v>9792094.7018928044</v>
      </c>
      <c r="BZ24" s="525">
        <f t="shared" ca="1" si="77"/>
        <v>10053055.636807716</v>
      </c>
      <c r="CA24" s="525">
        <f t="shared" ca="1" si="77"/>
        <v>10314016.571722627</v>
      </c>
      <c r="CB24" s="544"/>
      <c r="CC24" s="525">
        <f t="shared" ref="CC24:CN24" ca="1" si="78">CC21+SUM(CC23)</f>
        <v>10508298.368985251</v>
      </c>
      <c r="CD24" s="525">
        <f t="shared" ca="1" si="78"/>
        <v>10744422.832372874</v>
      </c>
      <c r="CE24" s="525">
        <f t="shared" ca="1" si="78"/>
        <v>11022389.961885497</v>
      </c>
      <c r="CF24" s="525">
        <f t="shared" ca="1" si="78"/>
        <v>11300357.09139812</v>
      </c>
      <c r="CG24" s="525">
        <f t="shared" ca="1" si="78"/>
        <v>11578324.220910743</v>
      </c>
      <c r="CH24" s="525">
        <f t="shared" ca="1" si="78"/>
        <v>11856291.350423366</v>
      </c>
      <c r="CI24" s="525">
        <f t="shared" ca="1" si="78"/>
        <v>12134258.479935989</v>
      </c>
      <c r="CJ24" s="525">
        <f t="shared" ca="1" si="78"/>
        <v>12412225.609448612</v>
      </c>
      <c r="CK24" s="525">
        <f t="shared" ca="1" si="78"/>
        <v>12690192.738961235</v>
      </c>
      <c r="CL24" s="525">
        <f t="shared" ca="1" si="78"/>
        <v>12968159.868473858</v>
      </c>
      <c r="CM24" s="525">
        <f t="shared" ca="1" si="78"/>
        <v>13246126.997986481</v>
      </c>
      <c r="CN24" s="525">
        <f t="shared" ca="1" si="78"/>
        <v>13524094.127499104</v>
      </c>
      <c r="CO24" s="544"/>
    </row>
    <row r="25" spans="1:93" s="104" customFormat="1" ht="24.95" customHeight="1" thickBot="1">
      <c r="A25" s="188" t="str">
        <f>'Summary. Assumptions. Inputs'!G31</f>
        <v>Debt financing</v>
      </c>
      <c r="B25" s="529">
        <f>'Summary. Assumptions. Inputs'!J31</f>
        <v>4588320</v>
      </c>
      <c r="C25" s="530"/>
      <c r="D25" s="530"/>
      <c r="E25" s="530"/>
      <c r="F25" s="530"/>
      <c r="G25" s="530"/>
      <c r="H25" s="530"/>
      <c r="I25" s="530"/>
      <c r="J25" s="530"/>
      <c r="K25" s="530"/>
      <c r="L25" s="530"/>
      <c r="M25" s="530"/>
      <c r="N25" s="531"/>
      <c r="O25" s="550">
        <f>SUM('Cashflow Projection &amp; Investme'!$B25:$N25)</f>
        <v>4588320</v>
      </c>
      <c r="P25" s="542"/>
      <c r="Q25" s="530"/>
      <c r="R25" s="530"/>
      <c r="S25" s="530"/>
      <c r="T25" s="530"/>
      <c r="U25" s="530"/>
      <c r="V25" s="530"/>
      <c r="W25" s="530"/>
      <c r="X25" s="530"/>
      <c r="Y25" s="530"/>
      <c r="Z25" s="530"/>
      <c r="AA25" s="530"/>
      <c r="AB25" s="550">
        <f>SUM('Cashflow Projection &amp; Investme'!$B25:$N25)</f>
        <v>4588320</v>
      </c>
      <c r="AC25" s="530"/>
      <c r="AD25" s="530"/>
      <c r="AE25" s="530"/>
      <c r="AF25" s="530"/>
      <c r="AG25" s="530"/>
      <c r="AH25" s="530"/>
      <c r="AI25" s="530"/>
      <c r="AJ25" s="530"/>
      <c r="AK25" s="530"/>
      <c r="AL25" s="530"/>
      <c r="AM25" s="530"/>
      <c r="AN25" s="530"/>
      <c r="AO25" s="550">
        <f>SUM('Cashflow Projection &amp; Investme'!$B25:$N25)</f>
        <v>4588320</v>
      </c>
      <c r="AP25" s="530"/>
      <c r="AQ25" s="530"/>
      <c r="AR25" s="530"/>
      <c r="AS25" s="530"/>
      <c r="AT25" s="530"/>
      <c r="AU25" s="530"/>
      <c r="AV25" s="530"/>
      <c r="AW25" s="530"/>
      <c r="AX25" s="530"/>
      <c r="AY25" s="530"/>
      <c r="AZ25" s="530"/>
      <c r="BA25" s="530"/>
      <c r="BB25" s="550">
        <f>SUM('Cashflow Projection &amp; Investme'!$B25:$N25)</f>
        <v>4588320</v>
      </c>
      <c r="BC25" s="530"/>
      <c r="BD25" s="530"/>
      <c r="BE25" s="530"/>
      <c r="BF25" s="530"/>
      <c r="BG25" s="530"/>
      <c r="BH25" s="530"/>
      <c r="BI25" s="530"/>
      <c r="BJ25" s="530"/>
      <c r="BK25" s="530"/>
      <c r="BL25" s="530"/>
      <c r="BM25" s="530"/>
      <c r="BN25" s="530"/>
      <c r="BO25" s="550">
        <f>SUM('Cashflow Projection &amp; Investme'!$B25:$N25)</f>
        <v>4588320</v>
      </c>
      <c r="BP25" s="530"/>
      <c r="BQ25" s="530"/>
      <c r="BR25" s="530"/>
      <c r="BS25" s="530"/>
      <c r="BT25" s="530"/>
      <c r="BU25" s="530"/>
      <c r="BV25" s="530"/>
      <c r="BW25" s="530"/>
      <c r="BX25" s="530"/>
      <c r="BY25" s="530"/>
      <c r="BZ25" s="530"/>
      <c r="CA25" s="530"/>
      <c r="CB25" s="550">
        <f>SUM('Cashflow Projection &amp; Investme'!$B25:$N25)</f>
        <v>4588320</v>
      </c>
      <c r="CC25" s="530"/>
      <c r="CD25" s="530"/>
      <c r="CE25" s="530"/>
      <c r="CF25" s="530"/>
      <c r="CG25" s="530"/>
      <c r="CH25" s="530"/>
      <c r="CI25" s="530"/>
      <c r="CJ25" s="530"/>
      <c r="CK25" s="530"/>
      <c r="CL25" s="530"/>
      <c r="CM25" s="530"/>
      <c r="CN25" s="530"/>
      <c r="CO25" s="550">
        <f>SUM('Cashflow Projection &amp; Investme'!$B25:$N25)</f>
        <v>4588320</v>
      </c>
    </row>
    <row r="26" spans="1:93" s="107" customFormat="1" ht="24.95" customHeight="1" thickBot="1">
      <c r="A26" s="123" t="s">
        <v>345</v>
      </c>
      <c r="B26" s="525">
        <f t="shared" ref="B26:N26" ca="1" si="79">B24+SUM(B25)</f>
        <v>0</v>
      </c>
      <c r="C26" s="525">
        <f t="shared" ca="1" si="79"/>
        <v>0</v>
      </c>
      <c r="D26" s="525">
        <f t="shared" ca="1" si="79"/>
        <v>0</v>
      </c>
      <c r="E26" s="525">
        <f t="shared" ca="1" si="79"/>
        <v>70675.758263160242</v>
      </c>
      <c r="F26" s="525">
        <f t="shared" ca="1" si="79"/>
        <v>142651.51652632048</v>
      </c>
      <c r="G26" s="525">
        <f t="shared" ca="1" si="79"/>
        <v>213327.27478948073</v>
      </c>
      <c r="H26" s="525">
        <f t="shared" ca="1" si="79"/>
        <v>284003.03305264097</v>
      </c>
      <c r="I26" s="525">
        <f t="shared" ca="1" si="79"/>
        <v>354678.79131580121</v>
      </c>
      <c r="J26" s="525">
        <f t="shared" ca="1" si="79"/>
        <v>425354.54957896145</v>
      </c>
      <c r="K26" s="525">
        <f t="shared" ca="1" si="79"/>
        <v>496030.30784212169</v>
      </c>
      <c r="L26" s="525">
        <f t="shared" ca="1" si="79"/>
        <v>566706.06610528193</v>
      </c>
      <c r="M26" s="525">
        <f t="shared" ca="1" si="79"/>
        <v>637381.82436844218</v>
      </c>
      <c r="N26" s="528">
        <f t="shared" ca="1" si="79"/>
        <v>708057.58263160242</v>
      </c>
      <c r="O26" s="544"/>
      <c r="P26" s="541">
        <f t="shared" ref="P26:AA26" ca="1" si="80">P24+SUM(P25)</f>
        <v>694501.72999876272</v>
      </c>
      <c r="Q26" s="525">
        <f t="shared" ca="1" si="80"/>
        <v>738604.00611592294</v>
      </c>
      <c r="R26" s="525">
        <f t="shared" ca="1" si="80"/>
        <v>840364.4109830833</v>
      </c>
      <c r="S26" s="525">
        <f t="shared" ca="1" si="80"/>
        <v>942124.81585024344</v>
      </c>
      <c r="T26" s="525">
        <f t="shared" ca="1" si="80"/>
        <v>1043885.2207174036</v>
      </c>
      <c r="U26" s="525">
        <f t="shared" ca="1" si="80"/>
        <v>1145645.6255845637</v>
      </c>
      <c r="V26" s="525">
        <f t="shared" ca="1" si="80"/>
        <v>1247406.0304517238</v>
      </c>
      <c r="W26" s="525">
        <f t="shared" ca="1" si="80"/>
        <v>1349166.435318884</v>
      </c>
      <c r="X26" s="525">
        <f t="shared" ca="1" si="80"/>
        <v>1450926.8401860441</v>
      </c>
      <c r="Y26" s="525">
        <f t="shared" ca="1" si="80"/>
        <v>1552687.2450532042</v>
      </c>
      <c r="Z26" s="525">
        <f t="shared" ca="1" si="80"/>
        <v>1654447.6499203644</v>
      </c>
      <c r="AA26" s="525">
        <f t="shared" ca="1" si="80"/>
        <v>1756208.0547875245</v>
      </c>
      <c r="AB26" s="544"/>
      <c r="AC26" s="525">
        <f t="shared" ref="AC26:AN26" ca="1" si="81">AC24+SUM(AC25)</f>
        <v>1765603.6457106846</v>
      </c>
      <c r="AD26" s="525">
        <f t="shared" ca="1" si="81"/>
        <v>1838330.5547588451</v>
      </c>
      <c r="AE26" s="525">
        <f t="shared" ca="1" si="81"/>
        <v>1974388.7819320054</v>
      </c>
      <c r="AF26" s="525">
        <f t="shared" ca="1" si="81"/>
        <v>2110447.0091051655</v>
      </c>
      <c r="AG26" s="525">
        <f t="shared" ca="1" si="81"/>
        <v>2246505.2362783253</v>
      </c>
      <c r="AH26" s="525">
        <f t="shared" ca="1" si="81"/>
        <v>2382563.4634514851</v>
      </c>
      <c r="AI26" s="525">
        <f t="shared" ca="1" si="81"/>
        <v>2518621.690624645</v>
      </c>
      <c r="AJ26" s="525">
        <f t="shared" ca="1" si="81"/>
        <v>2654679.9177978048</v>
      </c>
      <c r="AK26" s="525">
        <f t="shared" ca="1" si="81"/>
        <v>2790738.1449709646</v>
      </c>
      <c r="AL26" s="525">
        <f t="shared" ca="1" si="81"/>
        <v>2926796.3721441245</v>
      </c>
      <c r="AM26" s="525">
        <f t="shared" ca="1" si="81"/>
        <v>3062854.5993172843</v>
      </c>
      <c r="AN26" s="525">
        <f t="shared" ca="1" si="81"/>
        <v>3198912.8264904441</v>
      </c>
      <c r="AO26" s="544"/>
      <c r="AP26" s="525">
        <f t="shared" ref="AP26:BA26" ca="1" si="82">AP24+SUM(AP25)</f>
        <v>3233806.6629136046</v>
      </c>
      <c r="AQ26" s="525">
        <f t="shared" ca="1" si="82"/>
        <v>3338168.1243367651</v>
      </c>
      <c r="AR26" s="525">
        <f t="shared" ca="1" si="82"/>
        <v>3511997.2107599257</v>
      </c>
      <c r="AS26" s="525">
        <f t="shared" ca="1" si="82"/>
        <v>3685826.2971830862</v>
      </c>
      <c r="AT26" s="525">
        <f t="shared" ca="1" si="82"/>
        <v>3859655.3836062467</v>
      </c>
      <c r="AU26" s="525">
        <f t="shared" ca="1" si="82"/>
        <v>4033484.4700294072</v>
      </c>
      <c r="AV26" s="525">
        <f t="shared" ca="1" si="82"/>
        <v>4207313.5564525677</v>
      </c>
      <c r="AW26" s="525">
        <f t="shared" ca="1" si="82"/>
        <v>4381142.6428757282</v>
      </c>
      <c r="AX26" s="525">
        <f t="shared" ca="1" si="82"/>
        <v>4554971.7292988887</v>
      </c>
      <c r="AY26" s="525">
        <f t="shared" ca="1" si="82"/>
        <v>4728800.8157220492</v>
      </c>
      <c r="AZ26" s="525">
        <f t="shared" ca="1" si="82"/>
        <v>4902629.9021452097</v>
      </c>
      <c r="BA26" s="525">
        <f t="shared" ca="1" si="82"/>
        <v>5076458.9885683702</v>
      </c>
      <c r="BB26" s="544"/>
      <c r="BC26" s="525">
        <f t="shared" ref="BC26:BN26" ca="1" si="83">BC24+SUM(BC25)</f>
        <v>5139591.5131767308</v>
      </c>
      <c r="BD26" s="525">
        <f t="shared" ca="1" si="83"/>
        <v>5278837.3989100913</v>
      </c>
      <c r="BE26" s="525">
        <f t="shared" ca="1" si="83"/>
        <v>5494196.6457684515</v>
      </c>
      <c r="BF26" s="525">
        <f t="shared" ca="1" si="83"/>
        <v>5709555.8926268118</v>
      </c>
      <c r="BG26" s="525">
        <f t="shared" ca="1" si="83"/>
        <v>5924915.139485172</v>
      </c>
      <c r="BH26" s="525">
        <f t="shared" ca="1" si="83"/>
        <v>6140274.3863435322</v>
      </c>
      <c r="BI26" s="525">
        <f t="shared" ca="1" si="83"/>
        <v>6355633.6332018925</v>
      </c>
      <c r="BJ26" s="525">
        <f t="shared" ca="1" si="83"/>
        <v>6570992.8800602527</v>
      </c>
      <c r="BK26" s="525">
        <f t="shared" ca="1" si="83"/>
        <v>6786352.126918613</v>
      </c>
      <c r="BL26" s="525">
        <f t="shared" ca="1" si="83"/>
        <v>7001711.3737769732</v>
      </c>
      <c r="BM26" s="525">
        <f t="shared" ca="1" si="83"/>
        <v>7217070.6206353335</v>
      </c>
      <c r="BN26" s="525">
        <f t="shared" ca="1" si="83"/>
        <v>7432429.8674936937</v>
      </c>
      <c r="BO26" s="544"/>
      <c r="BP26" s="525">
        <f t="shared" ref="BP26:CA26" ca="1" si="84">BP24+SUM(BP25)</f>
        <v>7526761.1259086039</v>
      </c>
      <c r="BQ26" s="525">
        <f t="shared" ca="1" si="84"/>
        <v>7704407.222573515</v>
      </c>
      <c r="BR26" s="525">
        <f t="shared" ca="1" si="84"/>
        <v>7965368.1574884262</v>
      </c>
      <c r="BS26" s="525">
        <f t="shared" ca="1" si="84"/>
        <v>8226329.0924033374</v>
      </c>
      <c r="BT26" s="525">
        <f t="shared" ca="1" si="84"/>
        <v>8487290.0273182485</v>
      </c>
      <c r="BU26" s="525">
        <f t="shared" ca="1" si="84"/>
        <v>8748250.9622331597</v>
      </c>
      <c r="BV26" s="525">
        <f t="shared" ca="1" si="84"/>
        <v>9009211.8971480709</v>
      </c>
      <c r="BW26" s="525">
        <f t="shared" ca="1" si="84"/>
        <v>9270172.832062982</v>
      </c>
      <c r="BX26" s="525">
        <f t="shared" ca="1" si="84"/>
        <v>9531133.7669778932</v>
      </c>
      <c r="BY26" s="525">
        <f t="shared" ca="1" si="84"/>
        <v>9792094.7018928044</v>
      </c>
      <c r="BZ26" s="525">
        <f t="shared" ca="1" si="84"/>
        <v>10053055.636807716</v>
      </c>
      <c r="CA26" s="525">
        <f t="shared" ca="1" si="84"/>
        <v>10314016.571722627</v>
      </c>
      <c r="CB26" s="544"/>
      <c r="CC26" s="525">
        <f t="shared" ref="CC26:CN26" ca="1" si="85">CC24+SUM(CC25)</f>
        <v>10508298.368985251</v>
      </c>
      <c r="CD26" s="525">
        <f t="shared" ca="1" si="85"/>
        <v>10744422.832372874</v>
      </c>
      <c r="CE26" s="525">
        <f t="shared" ca="1" si="85"/>
        <v>11022389.961885497</v>
      </c>
      <c r="CF26" s="525">
        <f t="shared" ca="1" si="85"/>
        <v>11300357.09139812</v>
      </c>
      <c r="CG26" s="525">
        <f t="shared" ca="1" si="85"/>
        <v>11578324.220910743</v>
      </c>
      <c r="CH26" s="525">
        <f t="shared" ca="1" si="85"/>
        <v>11856291.350423366</v>
      </c>
      <c r="CI26" s="525">
        <f t="shared" ca="1" si="85"/>
        <v>12134258.479935989</v>
      </c>
      <c r="CJ26" s="525">
        <f t="shared" ca="1" si="85"/>
        <v>12412225.609448612</v>
      </c>
      <c r="CK26" s="525">
        <f t="shared" ca="1" si="85"/>
        <v>12690192.738961235</v>
      </c>
      <c r="CL26" s="525">
        <f t="shared" ca="1" si="85"/>
        <v>12968159.868473858</v>
      </c>
      <c r="CM26" s="525">
        <f t="shared" ca="1" si="85"/>
        <v>13246126.997986481</v>
      </c>
      <c r="CN26" s="525">
        <f t="shared" ca="1" si="85"/>
        <v>13524094.127499104</v>
      </c>
      <c r="CO26" s="544"/>
    </row>
    <row r="27" spans="1:93" s="104" customFormat="1" ht="24.95" customHeight="1" thickBot="1">
      <c r="A27" s="188" t="str">
        <f>'Summary. Assumptions. Inputs'!G38</f>
        <v>Grant (Capex)</v>
      </c>
      <c r="B27" s="532">
        <f>'Summary. Assumptions. Inputs'!J38</f>
        <v>0</v>
      </c>
      <c r="C27" s="530"/>
      <c r="D27" s="530"/>
      <c r="E27" s="530"/>
      <c r="F27" s="530"/>
      <c r="G27" s="530"/>
      <c r="H27" s="530"/>
      <c r="I27" s="530"/>
      <c r="J27" s="530"/>
      <c r="K27" s="530"/>
      <c r="L27" s="530"/>
      <c r="M27" s="530"/>
      <c r="N27" s="531"/>
      <c r="O27" s="550">
        <f>SUM('Cashflow Projection &amp; Investme'!$B27:$N27)</f>
        <v>0</v>
      </c>
      <c r="P27" s="542"/>
      <c r="Q27" s="530"/>
      <c r="R27" s="530"/>
      <c r="S27" s="530"/>
      <c r="T27" s="530"/>
      <c r="U27" s="530"/>
      <c r="V27" s="530"/>
      <c r="W27" s="530"/>
      <c r="X27" s="530"/>
      <c r="Y27" s="530"/>
      <c r="Z27" s="530"/>
      <c r="AA27" s="530"/>
      <c r="AB27" s="544">
        <f>SUM(P27:AA27)</f>
        <v>0</v>
      </c>
      <c r="AC27" s="530"/>
      <c r="AD27" s="530"/>
      <c r="AE27" s="530"/>
      <c r="AF27" s="530"/>
      <c r="AG27" s="530"/>
      <c r="AH27" s="530"/>
      <c r="AI27" s="530"/>
      <c r="AJ27" s="530"/>
      <c r="AK27" s="530"/>
      <c r="AL27" s="530"/>
      <c r="AM27" s="530"/>
      <c r="AN27" s="530"/>
      <c r="AO27" s="544">
        <f>SUM(AC27:AN27)</f>
        <v>0</v>
      </c>
      <c r="AP27" s="530"/>
      <c r="AQ27" s="530"/>
      <c r="AR27" s="530"/>
      <c r="AS27" s="530"/>
      <c r="AT27" s="530"/>
      <c r="AU27" s="530"/>
      <c r="AV27" s="530"/>
      <c r="AW27" s="530"/>
      <c r="AX27" s="530"/>
      <c r="AY27" s="530"/>
      <c r="AZ27" s="530"/>
      <c r="BA27" s="530"/>
      <c r="BB27" s="544">
        <f>SUM(AP27:BA27)</f>
        <v>0</v>
      </c>
      <c r="BC27" s="530"/>
      <c r="BD27" s="530"/>
      <c r="BE27" s="530"/>
      <c r="BF27" s="530"/>
      <c r="BG27" s="530"/>
      <c r="BH27" s="530"/>
      <c r="BI27" s="530"/>
      <c r="BJ27" s="530"/>
      <c r="BK27" s="530"/>
      <c r="BL27" s="530"/>
      <c r="BM27" s="530"/>
      <c r="BN27" s="530"/>
      <c r="BO27" s="544">
        <f>SUM(BC27:BN27)</f>
        <v>0</v>
      </c>
      <c r="BP27" s="530"/>
      <c r="BQ27" s="530"/>
      <c r="BR27" s="530"/>
      <c r="BS27" s="530"/>
      <c r="BT27" s="530"/>
      <c r="BU27" s="530"/>
      <c r="BV27" s="530"/>
      <c r="BW27" s="530"/>
      <c r="BX27" s="530"/>
      <c r="BY27" s="530"/>
      <c r="BZ27" s="530"/>
      <c r="CA27" s="530"/>
      <c r="CB27" s="544">
        <f>SUM(BP27:CA27)</f>
        <v>0</v>
      </c>
      <c r="CC27" s="530"/>
      <c r="CD27" s="530"/>
      <c r="CE27" s="530"/>
      <c r="CF27" s="530"/>
      <c r="CG27" s="530"/>
      <c r="CH27" s="530"/>
      <c r="CI27" s="530"/>
      <c r="CJ27" s="530"/>
      <c r="CK27" s="530"/>
      <c r="CL27" s="530"/>
      <c r="CM27" s="530"/>
      <c r="CN27" s="530"/>
      <c r="CO27" s="544">
        <f>SUM(CC27:CN27)</f>
        <v>0</v>
      </c>
    </row>
    <row r="28" spans="1:93" s="107" customFormat="1" ht="24.95" customHeight="1" thickBot="1">
      <c r="A28" s="123" t="s">
        <v>346</v>
      </c>
      <c r="B28" s="525">
        <f t="shared" ref="B28:N28" ca="1" si="86">B26+SUM(B27)</f>
        <v>0</v>
      </c>
      <c r="C28" s="525">
        <f t="shared" ca="1" si="86"/>
        <v>0</v>
      </c>
      <c r="D28" s="525">
        <f t="shared" ca="1" si="86"/>
        <v>0</v>
      </c>
      <c r="E28" s="525">
        <f t="shared" ca="1" si="86"/>
        <v>70675.758263160242</v>
      </c>
      <c r="F28" s="525">
        <f t="shared" ca="1" si="86"/>
        <v>142651.51652632048</v>
      </c>
      <c r="G28" s="525">
        <f t="shared" ca="1" si="86"/>
        <v>213327.27478948073</v>
      </c>
      <c r="H28" s="525">
        <f t="shared" ca="1" si="86"/>
        <v>284003.03305264097</v>
      </c>
      <c r="I28" s="525">
        <f t="shared" ca="1" si="86"/>
        <v>354678.79131580121</v>
      </c>
      <c r="J28" s="525">
        <f t="shared" ca="1" si="86"/>
        <v>425354.54957896145</v>
      </c>
      <c r="K28" s="525">
        <f t="shared" ca="1" si="86"/>
        <v>496030.30784212169</v>
      </c>
      <c r="L28" s="525">
        <f t="shared" ca="1" si="86"/>
        <v>566706.06610528193</v>
      </c>
      <c r="M28" s="525">
        <f t="shared" ca="1" si="86"/>
        <v>637381.82436844218</v>
      </c>
      <c r="N28" s="528">
        <f t="shared" ca="1" si="86"/>
        <v>708057.58263160242</v>
      </c>
      <c r="O28" s="544"/>
      <c r="P28" s="541">
        <f t="shared" ref="P28:AA28" ca="1" si="87">P26+SUM(P27)</f>
        <v>694501.72999876272</v>
      </c>
      <c r="Q28" s="525">
        <f t="shared" ca="1" si="87"/>
        <v>738604.00611592294</v>
      </c>
      <c r="R28" s="525">
        <f t="shared" ca="1" si="87"/>
        <v>840364.4109830833</v>
      </c>
      <c r="S28" s="525">
        <f t="shared" ca="1" si="87"/>
        <v>942124.81585024344</v>
      </c>
      <c r="T28" s="525">
        <f t="shared" ca="1" si="87"/>
        <v>1043885.2207174036</v>
      </c>
      <c r="U28" s="525">
        <f t="shared" ca="1" si="87"/>
        <v>1145645.6255845637</v>
      </c>
      <c r="V28" s="525">
        <f t="shared" ca="1" si="87"/>
        <v>1247406.0304517238</v>
      </c>
      <c r="W28" s="525">
        <f t="shared" ca="1" si="87"/>
        <v>1349166.435318884</v>
      </c>
      <c r="X28" s="525">
        <f t="shared" ca="1" si="87"/>
        <v>1450926.8401860441</v>
      </c>
      <c r="Y28" s="525">
        <f t="shared" ca="1" si="87"/>
        <v>1552687.2450532042</v>
      </c>
      <c r="Z28" s="525">
        <f t="shared" ca="1" si="87"/>
        <v>1654447.6499203644</v>
      </c>
      <c r="AA28" s="525">
        <f t="shared" ca="1" si="87"/>
        <v>1756208.0547875245</v>
      </c>
      <c r="AB28" s="544"/>
      <c r="AC28" s="525">
        <f t="shared" ref="AC28:AN28" ca="1" si="88">AC26+SUM(AC27)</f>
        <v>1765603.6457106846</v>
      </c>
      <c r="AD28" s="525">
        <f t="shared" ca="1" si="88"/>
        <v>1838330.5547588451</v>
      </c>
      <c r="AE28" s="525">
        <f t="shared" ca="1" si="88"/>
        <v>1974388.7819320054</v>
      </c>
      <c r="AF28" s="525">
        <f t="shared" ca="1" si="88"/>
        <v>2110447.0091051655</v>
      </c>
      <c r="AG28" s="525">
        <f t="shared" ca="1" si="88"/>
        <v>2246505.2362783253</v>
      </c>
      <c r="AH28" s="525">
        <f t="shared" ca="1" si="88"/>
        <v>2382563.4634514851</v>
      </c>
      <c r="AI28" s="525">
        <f t="shared" ca="1" si="88"/>
        <v>2518621.690624645</v>
      </c>
      <c r="AJ28" s="525">
        <f t="shared" ca="1" si="88"/>
        <v>2654679.9177978048</v>
      </c>
      <c r="AK28" s="525">
        <f t="shared" ca="1" si="88"/>
        <v>2790738.1449709646</v>
      </c>
      <c r="AL28" s="525">
        <f t="shared" ca="1" si="88"/>
        <v>2926796.3721441245</v>
      </c>
      <c r="AM28" s="525">
        <f t="shared" ca="1" si="88"/>
        <v>3062854.5993172843</v>
      </c>
      <c r="AN28" s="525">
        <f t="shared" ca="1" si="88"/>
        <v>3198912.8264904441</v>
      </c>
      <c r="AO28" s="544"/>
      <c r="AP28" s="525">
        <f t="shared" ref="AP28:BA28" ca="1" si="89">AP26+SUM(AP27)</f>
        <v>3233806.6629136046</v>
      </c>
      <c r="AQ28" s="525">
        <f t="shared" ca="1" si="89"/>
        <v>3338168.1243367651</v>
      </c>
      <c r="AR28" s="525">
        <f t="shared" ca="1" si="89"/>
        <v>3511997.2107599257</v>
      </c>
      <c r="AS28" s="525">
        <f t="shared" ca="1" si="89"/>
        <v>3685826.2971830862</v>
      </c>
      <c r="AT28" s="525">
        <f t="shared" ca="1" si="89"/>
        <v>3859655.3836062467</v>
      </c>
      <c r="AU28" s="525">
        <f t="shared" ca="1" si="89"/>
        <v>4033484.4700294072</v>
      </c>
      <c r="AV28" s="525">
        <f t="shared" ca="1" si="89"/>
        <v>4207313.5564525677</v>
      </c>
      <c r="AW28" s="525">
        <f t="shared" ca="1" si="89"/>
        <v>4381142.6428757282</v>
      </c>
      <c r="AX28" s="525">
        <f t="shared" ca="1" si="89"/>
        <v>4554971.7292988887</v>
      </c>
      <c r="AY28" s="525">
        <f t="shared" ca="1" si="89"/>
        <v>4728800.8157220492</v>
      </c>
      <c r="AZ28" s="525">
        <f t="shared" ca="1" si="89"/>
        <v>4902629.9021452097</v>
      </c>
      <c r="BA28" s="525">
        <f t="shared" ca="1" si="89"/>
        <v>5076458.9885683702</v>
      </c>
      <c r="BB28" s="544"/>
      <c r="BC28" s="525">
        <f t="shared" ref="BC28:BN28" ca="1" si="90">BC26+SUM(BC27)</f>
        <v>5139591.5131767308</v>
      </c>
      <c r="BD28" s="525">
        <f t="shared" ca="1" si="90"/>
        <v>5278837.3989100913</v>
      </c>
      <c r="BE28" s="525">
        <f t="shared" ca="1" si="90"/>
        <v>5494196.6457684515</v>
      </c>
      <c r="BF28" s="525">
        <f t="shared" ca="1" si="90"/>
        <v>5709555.8926268118</v>
      </c>
      <c r="BG28" s="525">
        <f t="shared" ca="1" si="90"/>
        <v>5924915.139485172</v>
      </c>
      <c r="BH28" s="525">
        <f t="shared" ca="1" si="90"/>
        <v>6140274.3863435322</v>
      </c>
      <c r="BI28" s="525">
        <f t="shared" ca="1" si="90"/>
        <v>6355633.6332018925</v>
      </c>
      <c r="BJ28" s="525">
        <f t="shared" ca="1" si="90"/>
        <v>6570992.8800602527</v>
      </c>
      <c r="BK28" s="525">
        <f t="shared" ca="1" si="90"/>
        <v>6786352.126918613</v>
      </c>
      <c r="BL28" s="525">
        <f t="shared" ca="1" si="90"/>
        <v>7001711.3737769732</v>
      </c>
      <c r="BM28" s="525">
        <f t="shared" ca="1" si="90"/>
        <v>7217070.6206353335</v>
      </c>
      <c r="BN28" s="525">
        <f t="shared" ca="1" si="90"/>
        <v>7432429.8674936937</v>
      </c>
      <c r="BO28" s="544"/>
      <c r="BP28" s="525">
        <f t="shared" ref="BP28:CA28" ca="1" si="91">BP26+SUM(BP27)</f>
        <v>7526761.1259086039</v>
      </c>
      <c r="BQ28" s="525">
        <f t="shared" ca="1" si="91"/>
        <v>7704407.222573515</v>
      </c>
      <c r="BR28" s="525">
        <f t="shared" ca="1" si="91"/>
        <v>7965368.1574884262</v>
      </c>
      <c r="BS28" s="525">
        <f t="shared" ca="1" si="91"/>
        <v>8226329.0924033374</v>
      </c>
      <c r="BT28" s="525">
        <f t="shared" ca="1" si="91"/>
        <v>8487290.0273182485</v>
      </c>
      <c r="BU28" s="525">
        <f t="shared" ca="1" si="91"/>
        <v>8748250.9622331597</v>
      </c>
      <c r="BV28" s="525">
        <f t="shared" ca="1" si="91"/>
        <v>9009211.8971480709</v>
      </c>
      <c r="BW28" s="525">
        <f t="shared" ca="1" si="91"/>
        <v>9270172.832062982</v>
      </c>
      <c r="BX28" s="525">
        <f t="shared" ca="1" si="91"/>
        <v>9531133.7669778932</v>
      </c>
      <c r="BY28" s="525">
        <f t="shared" ca="1" si="91"/>
        <v>9792094.7018928044</v>
      </c>
      <c r="BZ28" s="525">
        <f t="shared" ca="1" si="91"/>
        <v>10053055.636807716</v>
      </c>
      <c r="CA28" s="525">
        <f t="shared" ca="1" si="91"/>
        <v>10314016.571722627</v>
      </c>
      <c r="CB28" s="544"/>
      <c r="CC28" s="525">
        <f t="shared" ref="CC28:CN28" ca="1" si="92">CC26+SUM(CC27)</f>
        <v>10508298.368985251</v>
      </c>
      <c r="CD28" s="525">
        <f t="shared" ca="1" si="92"/>
        <v>10744422.832372874</v>
      </c>
      <c r="CE28" s="525">
        <f t="shared" ca="1" si="92"/>
        <v>11022389.961885497</v>
      </c>
      <c r="CF28" s="525">
        <f t="shared" ca="1" si="92"/>
        <v>11300357.09139812</v>
      </c>
      <c r="CG28" s="525">
        <f t="shared" ca="1" si="92"/>
        <v>11578324.220910743</v>
      </c>
      <c r="CH28" s="525">
        <f t="shared" ca="1" si="92"/>
        <v>11856291.350423366</v>
      </c>
      <c r="CI28" s="525">
        <f t="shared" ca="1" si="92"/>
        <v>12134258.479935989</v>
      </c>
      <c r="CJ28" s="525">
        <f t="shared" ca="1" si="92"/>
        <v>12412225.609448612</v>
      </c>
      <c r="CK28" s="525">
        <f t="shared" ca="1" si="92"/>
        <v>12690192.738961235</v>
      </c>
      <c r="CL28" s="525">
        <f t="shared" ca="1" si="92"/>
        <v>12968159.868473858</v>
      </c>
      <c r="CM28" s="525">
        <f t="shared" ca="1" si="92"/>
        <v>13246126.997986481</v>
      </c>
      <c r="CN28" s="525">
        <f t="shared" ca="1" si="92"/>
        <v>13524094.127499104</v>
      </c>
      <c r="CO28" s="544"/>
    </row>
    <row r="29" spans="1:93" s="104" customFormat="1" ht="24.95" customHeight="1" thickBot="1">
      <c r="A29" s="188" t="str">
        <f>'Summary. Assumptions. Inputs'!G39</f>
        <v>Grant (Opex)</v>
      </c>
      <c r="B29" s="532">
        <f>'Summary. Assumptions. Inputs'!J39</f>
        <v>0</v>
      </c>
      <c r="C29" s="530"/>
      <c r="D29" s="530"/>
      <c r="E29" s="530"/>
      <c r="F29" s="530"/>
      <c r="G29" s="530"/>
      <c r="H29" s="530"/>
      <c r="I29" s="530"/>
      <c r="J29" s="530"/>
      <c r="K29" s="530"/>
      <c r="L29" s="530"/>
      <c r="M29" s="530"/>
      <c r="N29" s="531"/>
      <c r="O29" s="550">
        <f>SUM('Cashflow Projection &amp; Investme'!$B29:$N29)</f>
        <v>0</v>
      </c>
      <c r="P29" s="542"/>
      <c r="Q29" s="530"/>
      <c r="R29" s="530"/>
      <c r="S29" s="530"/>
      <c r="T29" s="530"/>
      <c r="U29" s="530"/>
      <c r="V29" s="530"/>
      <c r="W29" s="530"/>
      <c r="X29" s="530"/>
      <c r="Y29" s="530"/>
      <c r="Z29" s="530"/>
      <c r="AA29" s="530"/>
      <c r="AB29" s="550">
        <f>SUM('Cashflow Projection &amp; Investme'!$B29:$N29)</f>
        <v>0</v>
      </c>
      <c r="AC29" s="530"/>
      <c r="AD29" s="530"/>
      <c r="AE29" s="530"/>
      <c r="AF29" s="530"/>
      <c r="AG29" s="530"/>
      <c r="AH29" s="530"/>
      <c r="AI29" s="530"/>
      <c r="AJ29" s="530"/>
      <c r="AK29" s="530"/>
      <c r="AL29" s="530"/>
      <c r="AM29" s="530"/>
      <c r="AN29" s="530"/>
      <c r="AO29" s="550">
        <f>SUM('Cashflow Projection &amp; Investme'!$B29:$N29)</f>
        <v>0</v>
      </c>
      <c r="AP29" s="530"/>
      <c r="AQ29" s="530"/>
      <c r="AR29" s="530"/>
      <c r="AS29" s="530"/>
      <c r="AT29" s="530"/>
      <c r="AU29" s="530"/>
      <c r="AV29" s="530"/>
      <c r="AW29" s="530"/>
      <c r="AX29" s="530"/>
      <c r="AY29" s="530"/>
      <c r="AZ29" s="530"/>
      <c r="BA29" s="530"/>
      <c r="BB29" s="550">
        <f>SUM('Cashflow Projection &amp; Investme'!$B29:$N29)</f>
        <v>0</v>
      </c>
      <c r="BC29" s="530"/>
      <c r="BD29" s="530"/>
      <c r="BE29" s="530"/>
      <c r="BF29" s="530"/>
      <c r="BG29" s="530"/>
      <c r="BH29" s="530"/>
      <c r="BI29" s="530"/>
      <c r="BJ29" s="530"/>
      <c r="BK29" s="530"/>
      <c r="BL29" s="530"/>
      <c r="BM29" s="530"/>
      <c r="BN29" s="530"/>
      <c r="BO29" s="550">
        <f>SUM('Cashflow Projection &amp; Investme'!$B29:$N29)</f>
        <v>0</v>
      </c>
      <c r="BP29" s="530"/>
      <c r="BQ29" s="530"/>
      <c r="BR29" s="530"/>
      <c r="BS29" s="530"/>
      <c r="BT29" s="530"/>
      <c r="BU29" s="530"/>
      <c r="BV29" s="530"/>
      <c r="BW29" s="530"/>
      <c r="BX29" s="530"/>
      <c r="BY29" s="530"/>
      <c r="BZ29" s="530"/>
      <c r="CA29" s="530"/>
      <c r="CB29" s="550">
        <f>SUM('Cashflow Projection &amp; Investme'!$B29:$N29)</f>
        <v>0</v>
      </c>
      <c r="CC29" s="530"/>
      <c r="CD29" s="530"/>
      <c r="CE29" s="530"/>
      <c r="CF29" s="530"/>
      <c r="CG29" s="530"/>
      <c r="CH29" s="530"/>
      <c r="CI29" s="530"/>
      <c r="CJ29" s="530"/>
      <c r="CK29" s="530"/>
      <c r="CL29" s="530"/>
      <c r="CM29" s="530"/>
      <c r="CN29" s="530"/>
      <c r="CO29" s="550">
        <f>SUM('Cashflow Projection &amp; Investme'!$B29:$N29)</f>
        <v>0</v>
      </c>
    </row>
    <row r="30" spans="1:93" s="107" customFormat="1" ht="24.95" customHeight="1" thickBot="1">
      <c r="A30" s="123" t="s">
        <v>345</v>
      </c>
      <c r="B30" s="525">
        <f t="shared" ref="B30:N30" ca="1" si="93">B28+SUM(B29)</f>
        <v>0</v>
      </c>
      <c r="C30" s="525">
        <f t="shared" ca="1" si="93"/>
        <v>0</v>
      </c>
      <c r="D30" s="525">
        <f t="shared" ca="1" si="93"/>
        <v>0</v>
      </c>
      <c r="E30" s="525">
        <f t="shared" ca="1" si="93"/>
        <v>70675.758263160242</v>
      </c>
      <c r="F30" s="525">
        <f t="shared" ca="1" si="93"/>
        <v>142651.51652632048</v>
      </c>
      <c r="G30" s="525">
        <f t="shared" ca="1" si="93"/>
        <v>213327.27478948073</v>
      </c>
      <c r="H30" s="525">
        <f t="shared" ca="1" si="93"/>
        <v>284003.03305264097</v>
      </c>
      <c r="I30" s="525">
        <f t="shared" ca="1" si="93"/>
        <v>354678.79131580121</v>
      </c>
      <c r="J30" s="525">
        <f t="shared" ca="1" si="93"/>
        <v>425354.54957896145</v>
      </c>
      <c r="K30" s="525">
        <f t="shared" ca="1" si="93"/>
        <v>496030.30784212169</v>
      </c>
      <c r="L30" s="525">
        <f t="shared" ca="1" si="93"/>
        <v>566706.06610528193</v>
      </c>
      <c r="M30" s="525">
        <f t="shared" ca="1" si="93"/>
        <v>637381.82436844218</v>
      </c>
      <c r="N30" s="528">
        <f t="shared" ca="1" si="93"/>
        <v>708057.58263160242</v>
      </c>
      <c r="O30" s="544"/>
      <c r="P30" s="541">
        <f t="shared" ref="P30:AA30" ca="1" si="94">P28+SUM(P29)</f>
        <v>694501.72999876272</v>
      </c>
      <c r="Q30" s="525">
        <f t="shared" ca="1" si="94"/>
        <v>738604.00611592294</v>
      </c>
      <c r="R30" s="525">
        <f t="shared" ca="1" si="94"/>
        <v>840364.4109830833</v>
      </c>
      <c r="S30" s="525">
        <f t="shared" ca="1" si="94"/>
        <v>942124.81585024344</v>
      </c>
      <c r="T30" s="525">
        <f t="shared" ca="1" si="94"/>
        <v>1043885.2207174036</v>
      </c>
      <c r="U30" s="525">
        <f t="shared" ca="1" si="94"/>
        <v>1145645.6255845637</v>
      </c>
      <c r="V30" s="525">
        <f t="shared" ca="1" si="94"/>
        <v>1247406.0304517238</v>
      </c>
      <c r="W30" s="525">
        <f t="shared" ca="1" si="94"/>
        <v>1349166.435318884</v>
      </c>
      <c r="X30" s="525">
        <f t="shared" ca="1" si="94"/>
        <v>1450926.8401860441</v>
      </c>
      <c r="Y30" s="525">
        <f t="shared" ca="1" si="94"/>
        <v>1552687.2450532042</v>
      </c>
      <c r="Z30" s="525">
        <f t="shared" ca="1" si="94"/>
        <v>1654447.6499203644</v>
      </c>
      <c r="AA30" s="525">
        <f t="shared" ca="1" si="94"/>
        <v>1756208.0547875245</v>
      </c>
      <c r="AB30" s="544"/>
      <c r="AC30" s="525">
        <f t="shared" ref="AC30:AN30" ca="1" si="95">AC28+SUM(AC29)</f>
        <v>1765603.6457106846</v>
      </c>
      <c r="AD30" s="525">
        <f t="shared" ca="1" si="95"/>
        <v>1838330.5547588451</v>
      </c>
      <c r="AE30" s="525">
        <f t="shared" ca="1" si="95"/>
        <v>1974388.7819320054</v>
      </c>
      <c r="AF30" s="525">
        <f t="shared" ca="1" si="95"/>
        <v>2110447.0091051655</v>
      </c>
      <c r="AG30" s="525">
        <f t="shared" ca="1" si="95"/>
        <v>2246505.2362783253</v>
      </c>
      <c r="AH30" s="525">
        <f t="shared" ca="1" si="95"/>
        <v>2382563.4634514851</v>
      </c>
      <c r="AI30" s="525">
        <f t="shared" ca="1" si="95"/>
        <v>2518621.690624645</v>
      </c>
      <c r="AJ30" s="525">
        <f t="shared" ca="1" si="95"/>
        <v>2654679.9177978048</v>
      </c>
      <c r="AK30" s="525">
        <f t="shared" ca="1" si="95"/>
        <v>2790738.1449709646</v>
      </c>
      <c r="AL30" s="525">
        <f t="shared" ca="1" si="95"/>
        <v>2926796.3721441245</v>
      </c>
      <c r="AM30" s="525">
        <f t="shared" ca="1" si="95"/>
        <v>3062854.5993172843</v>
      </c>
      <c r="AN30" s="525">
        <f t="shared" ca="1" si="95"/>
        <v>3198912.8264904441</v>
      </c>
      <c r="AO30" s="544"/>
      <c r="AP30" s="525">
        <f t="shared" ref="AP30:BA30" ca="1" si="96">AP28+SUM(AP29)</f>
        <v>3233806.6629136046</v>
      </c>
      <c r="AQ30" s="525">
        <f t="shared" ca="1" si="96"/>
        <v>3338168.1243367651</v>
      </c>
      <c r="AR30" s="525">
        <f t="shared" ca="1" si="96"/>
        <v>3511997.2107599257</v>
      </c>
      <c r="AS30" s="525">
        <f t="shared" ca="1" si="96"/>
        <v>3685826.2971830862</v>
      </c>
      <c r="AT30" s="525">
        <f t="shared" ca="1" si="96"/>
        <v>3859655.3836062467</v>
      </c>
      <c r="AU30" s="525">
        <f t="shared" ca="1" si="96"/>
        <v>4033484.4700294072</v>
      </c>
      <c r="AV30" s="525">
        <f t="shared" ca="1" si="96"/>
        <v>4207313.5564525677</v>
      </c>
      <c r="AW30" s="525">
        <f t="shared" ca="1" si="96"/>
        <v>4381142.6428757282</v>
      </c>
      <c r="AX30" s="525">
        <f t="shared" ca="1" si="96"/>
        <v>4554971.7292988887</v>
      </c>
      <c r="AY30" s="525">
        <f t="shared" ca="1" si="96"/>
        <v>4728800.8157220492</v>
      </c>
      <c r="AZ30" s="525">
        <f t="shared" ca="1" si="96"/>
        <v>4902629.9021452097</v>
      </c>
      <c r="BA30" s="525">
        <f t="shared" ca="1" si="96"/>
        <v>5076458.9885683702</v>
      </c>
      <c r="BB30" s="544"/>
      <c r="BC30" s="525">
        <f t="shared" ref="BC30:BN30" ca="1" si="97">BC28+SUM(BC29)</f>
        <v>5139591.5131767308</v>
      </c>
      <c r="BD30" s="525">
        <f t="shared" ca="1" si="97"/>
        <v>5278837.3989100913</v>
      </c>
      <c r="BE30" s="525">
        <f t="shared" ca="1" si="97"/>
        <v>5494196.6457684515</v>
      </c>
      <c r="BF30" s="525">
        <f t="shared" ca="1" si="97"/>
        <v>5709555.8926268118</v>
      </c>
      <c r="BG30" s="525">
        <f t="shared" ca="1" si="97"/>
        <v>5924915.139485172</v>
      </c>
      <c r="BH30" s="525">
        <f t="shared" ca="1" si="97"/>
        <v>6140274.3863435322</v>
      </c>
      <c r="BI30" s="525">
        <f t="shared" ca="1" si="97"/>
        <v>6355633.6332018925</v>
      </c>
      <c r="BJ30" s="525">
        <f t="shared" ca="1" si="97"/>
        <v>6570992.8800602527</v>
      </c>
      <c r="BK30" s="525">
        <f t="shared" ca="1" si="97"/>
        <v>6786352.126918613</v>
      </c>
      <c r="BL30" s="525">
        <f t="shared" ca="1" si="97"/>
        <v>7001711.3737769732</v>
      </c>
      <c r="BM30" s="525">
        <f t="shared" ca="1" si="97"/>
        <v>7217070.6206353335</v>
      </c>
      <c r="BN30" s="525">
        <f t="shared" ca="1" si="97"/>
        <v>7432429.8674936937</v>
      </c>
      <c r="BO30" s="544"/>
      <c r="BP30" s="525">
        <f t="shared" ref="BP30:CA30" ca="1" si="98">BP28+SUM(BP29)</f>
        <v>7526761.1259086039</v>
      </c>
      <c r="BQ30" s="525">
        <f t="shared" ca="1" si="98"/>
        <v>7704407.222573515</v>
      </c>
      <c r="BR30" s="525">
        <f t="shared" ca="1" si="98"/>
        <v>7965368.1574884262</v>
      </c>
      <c r="BS30" s="525">
        <f t="shared" ca="1" si="98"/>
        <v>8226329.0924033374</v>
      </c>
      <c r="BT30" s="525">
        <f t="shared" ca="1" si="98"/>
        <v>8487290.0273182485</v>
      </c>
      <c r="BU30" s="525">
        <f t="shared" ca="1" si="98"/>
        <v>8748250.9622331597</v>
      </c>
      <c r="BV30" s="525">
        <f t="shared" ca="1" si="98"/>
        <v>9009211.8971480709</v>
      </c>
      <c r="BW30" s="525">
        <f t="shared" ca="1" si="98"/>
        <v>9270172.832062982</v>
      </c>
      <c r="BX30" s="525">
        <f t="shared" ca="1" si="98"/>
        <v>9531133.7669778932</v>
      </c>
      <c r="BY30" s="525">
        <f t="shared" ca="1" si="98"/>
        <v>9792094.7018928044</v>
      </c>
      <c r="BZ30" s="525">
        <f t="shared" ca="1" si="98"/>
        <v>10053055.636807716</v>
      </c>
      <c r="CA30" s="525">
        <f t="shared" ca="1" si="98"/>
        <v>10314016.571722627</v>
      </c>
      <c r="CB30" s="544"/>
      <c r="CC30" s="525">
        <f t="shared" ref="CC30:CN30" ca="1" si="99">CC28+SUM(CC29)</f>
        <v>10508298.368985251</v>
      </c>
      <c r="CD30" s="525">
        <f t="shared" ca="1" si="99"/>
        <v>10744422.832372874</v>
      </c>
      <c r="CE30" s="525">
        <f t="shared" ca="1" si="99"/>
        <v>11022389.961885497</v>
      </c>
      <c r="CF30" s="525">
        <f t="shared" ca="1" si="99"/>
        <v>11300357.09139812</v>
      </c>
      <c r="CG30" s="525">
        <f t="shared" ca="1" si="99"/>
        <v>11578324.220910743</v>
      </c>
      <c r="CH30" s="525">
        <f t="shared" ca="1" si="99"/>
        <v>11856291.350423366</v>
      </c>
      <c r="CI30" s="525">
        <f t="shared" ca="1" si="99"/>
        <v>12134258.479935989</v>
      </c>
      <c r="CJ30" s="525">
        <f t="shared" ca="1" si="99"/>
        <v>12412225.609448612</v>
      </c>
      <c r="CK30" s="525">
        <f t="shared" ca="1" si="99"/>
        <v>12690192.738961235</v>
      </c>
      <c r="CL30" s="525">
        <f t="shared" ca="1" si="99"/>
        <v>12968159.868473858</v>
      </c>
      <c r="CM30" s="525">
        <f t="shared" ca="1" si="99"/>
        <v>13246126.997986481</v>
      </c>
      <c r="CN30" s="525">
        <f t="shared" ca="1" si="99"/>
        <v>13524094.127499104</v>
      </c>
      <c r="CO30" s="544"/>
    </row>
    <row r="32" spans="1:93" hidden="1"/>
    <row r="33" spans="1:93" s="104" customFormat="1" ht="21" customHeight="1" outlineLevel="1" thickBot="1">
      <c r="A33" s="140" t="str">
        <f>CONCATENATE("Currency:"," ",'Summary. Assumptions. Inputs'!$J$7)</f>
        <v>Currency: USD</v>
      </c>
      <c r="B33" s="106"/>
      <c r="C33" s="106"/>
      <c r="D33" s="106"/>
      <c r="E33" s="106"/>
      <c r="F33" s="106"/>
      <c r="G33" s="106"/>
      <c r="H33" s="106"/>
      <c r="I33" s="106"/>
      <c r="J33" s="1"/>
      <c r="K33" s="1"/>
      <c r="L33" s="1"/>
      <c r="M33" s="1"/>
      <c r="N33" s="1"/>
      <c r="O33" s="1"/>
      <c r="P33" s="106"/>
      <c r="Q33" s="106"/>
      <c r="R33" s="106"/>
      <c r="S33" s="106"/>
      <c r="T33" s="106"/>
      <c r="U33" s="106"/>
      <c r="V33" s="106"/>
      <c r="W33" s="106"/>
      <c r="X33" s="106"/>
      <c r="Y33" s="1"/>
      <c r="Z33" s="1"/>
      <c r="AA33" s="1"/>
      <c r="AB33" s="1"/>
    </row>
    <row r="34" spans="1:93" s="104" customFormat="1" ht="21" customHeight="1" outlineLevel="1" thickBot="1">
      <c r="A34" s="331" t="s">
        <v>136</v>
      </c>
      <c r="B34" s="105"/>
      <c r="C34" s="106"/>
      <c r="D34" s="106"/>
      <c r="E34" s="106"/>
      <c r="F34" s="106"/>
      <c r="G34" s="106"/>
      <c r="H34" s="106"/>
      <c r="I34" s="106"/>
      <c r="J34" s="1"/>
      <c r="K34" s="1"/>
      <c r="L34" s="1"/>
      <c r="M34" s="1"/>
      <c r="N34" s="1"/>
      <c r="O34" s="1"/>
      <c r="P34" s="105"/>
      <c r="Q34" s="105"/>
      <c r="R34" s="106"/>
      <c r="S34" s="106"/>
      <c r="T34" s="106"/>
      <c r="U34" s="106"/>
      <c r="V34" s="106"/>
      <c r="W34" s="106"/>
      <c r="X34" s="106"/>
      <c r="Y34" s="1"/>
      <c r="Z34" s="1"/>
      <c r="AA34" s="1"/>
      <c r="AB34" s="1"/>
    </row>
    <row r="35" spans="1:93" s="107" customFormat="1" ht="42.75" customHeight="1" outlineLevel="1" thickBot="1">
      <c r="A35" s="127" t="s">
        <v>252</v>
      </c>
      <c r="B35" s="127" t="s">
        <v>301</v>
      </c>
      <c r="C35" s="427" t="s">
        <v>347</v>
      </c>
      <c r="D35" s="427" t="s">
        <v>348</v>
      </c>
      <c r="E35" s="427" t="s">
        <v>349</v>
      </c>
      <c r="F35" s="427" t="s">
        <v>350</v>
      </c>
      <c r="G35" s="427" t="s">
        <v>351</v>
      </c>
      <c r="H35" s="427" t="s">
        <v>352</v>
      </c>
      <c r="I35" s="427" t="s">
        <v>353</v>
      </c>
      <c r="J35" s="427" t="s">
        <v>354</v>
      </c>
      <c r="K35" s="427" t="s">
        <v>355</v>
      </c>
      <c r="L35" s="427" t="s">
        <v>356</v>
      </c>
      <c r="M35" s="427" t="s">
        <v>357</v>
      </c>
      <c r="N35" s="427" t="s">
        <v>358</v>
      </c>
      <c r="O35" s="444" t="s">
        <v>110</v>
      </c>
      <c r="P35" s="427" t="s">
        <v>360</v>
      </c>
      <c r="Q35" s="427" t="s">
        <v>361</v>
      </c>
      <c r="R35" s="427" t="s">
        <v>362</v>
      </c>
      <c r="S35" s="427" t="s">
        <v>363</v>
      </c>
      <c r="T35" s="427" t="s">
        <v>364</v>
      </c>
      <c r="U35" s="427" t="s">
        <v>365</v>
      </c>
      <c r="V35" s="427" t="s">
        <v>366</v>
      </c>
      <c r="W35" s="427" t="s">
        <v>367</v>
      </c>
      <c r="X35" s="427" t="s">
        <v>368</v>
      </c>
      <c r="Y35" s="427" t="s">
        <v>369</v>
      </c>
      <c r="Z35" s="427" t="s">
        <v>370</v>
      </c>
      <c r="AA35" s="427" t="s">
        <v>371</v>
      </c>
      <c r="AB35" s="449" t="s">
        <v>372</v>
      </c>
      <c r="AC35" s="427" t="s">
        <v>373</v>
      </c>
      <c r="AD35" s="427" t="s">
        <v>374</v>
      </c>
      <c r="AE35" s="427" t="s">
        <v>375</v>
      </c>
      <c r="AF35" s="427" t="s">
        <v>376</v>
      </c>
      <c r="AG35" s="427" t="s">
        <v>377</v>
      </c>
      <c r="AH35" s="427" t="s">
        <v>378</v>
      </c>
      <c r="AI35" s="427" t="s">
        <v>379</v>
      </c>
      <c r="AJ35" s="427" t="s">
        <v>380</v>
      </c>
      <c r="AK35" s="427" t="s">
        <v>381</v>
      </c>
      <c r="AL35" s="427" t="s">
        <v>382</v>
      </c>
      <c r="AM35" s="427" t="s">
        <v>383</v>
      </c>
      <c r="AN35" s="427" t="s">
        <v>384</v>
      </c>
      <c r="AO35" s="449" t="s">
        <v>385</v>
      </c>
      <c r="AP35" s="427" t="s">
        <v>386</v>
      </c>
      <c r="AQ35" s="427" t="s">
        <v>387</v>
      </c>
      <c r="AR35" s="427" t="s">
        <v>388</v>
      </c>
      <c r="AS35" s="427" t="s">
        <v>389</v>
      </c>
      <c r="AT35" s="427" t="s">
        <v>390</v>
      </c>
      <c r="AU35" s="427" t="s">
        <v>391</v>
      </c>
      <c r="AV35" s="427" t="s">
        <v>392</v>
      </c>
      <c r="AW35" s="427" t="s">
        <v>393</v>
      </c>
      <c r="AX35" s="427" t="s">
        <v>394</v>
      </c>
      <c r="AY35" s="427" t="s">
        <v>395</v>
      </c>
      <c r="AZ35" s="427" t="s">
        <v>396</v>
      </c>
      <c r="BA35" s="427" t="s">
        <v>397</v>
      </c>
      <c r="BB35" s="449" t="s">
        <v>398</v>
      </c>
      <c r="BC35" s="427" t="s">
        <v>399</v>
      </c>
      <c r="BD35" s="427" t="s">
        <v>400</v>
      </c>
      <c r="BE35" s="427" t="s">
        <v>401</v>
      </c>
      <c r="BF35" s="427" t="s">
        <v>402</v>
      </c>
      <c r="BG35" s="427" t="s">
        <v>403</v>
      </c>
      <c r="BH35" s="427" t="s">
        <v>404</v>
      </c>
      <c r="BI35" s="427" t="s">
        <v>405</v>
      </c>
      <c r="BJ35" s="427" t="s">
        <v>406</v>
      </c>
      <c r="BK35" s="427" t="s">
        <v>407</v>
      </c>
      <c r="BL35" s="427" t="s">
        <v>408</v>
      </c>
      <c r="BM35" s="427" t="s">
        <v>409</v>
      </c>
      <c r="BN35" s="427" t="s">
        <v>410</v>
      </c>
      <c r="BO35" s="449" t="s">
        <v>411</v>
      </c>
      <c r="BP35" s="427" t="s">
        <v>412</v>
      </c>
      <c r="BQ35" s="427" t="s">
        <v>413</v>
      </c>
      <c r="BR35" s="427" t="s">
        <v>414</v>
      </c>
      <c r="BS35" s="427" t="s">
        <v>415</v>
      </c>
      <c r="BT35" s="427" t="s">
        <v>416</v>
      </c>
      <c r="BU35" s="427" t="s">
        <v>417</v>
      </c>
      <c r="BV35" s="427" t="s">
        <v>418</v>
      </c>
      <c r="BW35" s="427" t="s">
        <v>419</v>
      </c>
      <c r="BX35" s="427" t="s">
        <v>420</v>
      </c>
      <c r="BY35" s="427" t="s">
        <v>421</v>
      </c>
      <c r="BZ35" s="427" t="s">
        <v>422</v>
      </c>
      <c r="CA35" s="427" t="s">
        <v>423</v>
      </c>
      <c r="CB35" s="449" t="s">
        <v>424</v>
      </c>
      <c r="CC35" s="427" t="s">
        <v>425</v>
      </c>
      <c r="CD35" s="427" t="s">
        <v>426</v>
      </c>
      <c r="CE35" s="427" t="s">
        <v>427</v>
      </c>
      <c r="CF35" s="427" t="s">
        <v>428</v>
      </c>
      <c r="CG35" s="427" t="s">
        <v>429</v>
      </c>
      <c r="CH35" s="427" t="s">
        <v>430</v>
      </c>
      <c r="CI35" s="427" t="s">
        <v>431</v>
      </c>
      <c r="CJ35" s="427" t="s">
        <v>432</v>
      </c>
      <c r="CK35" s="427" t="s">
        <v>433</v>
      </c>
      <c r="CL35" s="427" t="s">
        <v>434</v>
      </c>
      <c r="CM35" s="427" t="s">
        <v>435</v>
      </c>
      <c r="CN35" s="427" t="s">
        <v>436</v>
      </c>
      <c r="CO35" s="449" t="s">
        <v>437</v>
      </c>
    </row>
    <row r="36" spans="1:93" s="107" customFormat="1" ht="24.95" customHeight="1" outlineLevel="1" thickBot="1">
      <c r="A36" s="122" t="s">
        <v>245</v>
      </c>
      <c r="B36" s="125"/>
      <c r="C36" s="516">
        <f>B60</f>
        <v>0</v>
      </c>
      <c r="D36" s="516">
        <f t="shared" ref="D36" si="100">C60</f>
        <v>0</v>
      </c>
      <c r="E36" s="516">
        <f t="shared" ref="E36" si="101">D60</f>
        <v>0</v>
      </c>
      <c r="F36" s="516">
        <f t="shared" ref="F36" si="102">E60</f>
        <v>123950.04399999999</v>
      </c>
      <c r="G36" s="516">
        <f t="shared" ref="G36" si="103">F60</f>
        <v>249200.08799999999</v>
      </c>
      <c r="H36" s="516">
        <f t="shared" ref="H36" si="104">G60</f>
        <v>373150.13199999998</v>
      </c>
      <c r="I36" s="516">
        <f t="shared" ref="I36" si="105">H60</f>
        <v>497100.17599999998</v>
      </c>
      <c r="J36" s="516">
        <f t="shared" ref="J36" si="106">I60</f>
        <v>621050.22</v>
      </c>
      <c r="K36" s="516">
        <f t="shared" ref="K36" si="107">J60</f>
        <v>745000.26399999997</v>
      </c>
      <c r="L36" s="516">
        <f t="shared" ref="L36" si="108">K60</f>
        <v>868950.30799999996</v>
      </c>
      <c r="M36" s="516">
        <f t="shared" ref="M36" si="109">L60</f>
        <v>992900.35199999996</v>
      </c>
      <c r="N36" s="516">
        <f t="shared" ref="N36" si="110">M60</f>
        <v>1116850.3959999999</v>
      </c>
      <c r="O36" s="544"/>
      <c r="P36" s="516">
        <f>N60</f>
        <v>1240800.44</v>
      </c>
      <c r="Q36" s="516">
        <f t="shared" ref="Q36" ca="1" si="111">P60</f>
        <v>1280518.873104</v>
      </c>
      <c r="R36" s="516">
        <f t="shared" ref="R36" ca="1" si="112">Q60</f>
        <v>1382095.039958</v>
      </c>
      <c r="S36" s="516">
        <f t="shared" ref="S36" ca="1" si="113">R60</f>
        <v>1541329.3355620001</v>
      </c>
      <c r="T36" s="516">
        <f t="shared" ref="T36" ca="1" si="114">S60</f>
        <v>1701928.6311659999</v>
      </c>
      <c r="U36" s="516">
        <f t="shared" ref="U36" ca="1" si="115">T60</f>
        <v>1861162.9267699998</v>
      </c>
      <c r="V36" s="516">
        <f t="shared" ref="V36" ca="1" si="116">U60</f>
        <v>2020397.2223739997</v>
      </c>
      <c r="W36" s="516">
        <f t="shared" ref="W36" ca="1" si="117">V60</f>
        <v>2179631.5179779995</v>
      </c>
      <c r="X36" s="516">
        <f t="shared" ref="X36" ca="1" si="118">W60</f>
        <v>2338865.8135819994</v>
      </c>
      <c r="Y36" s="516">
        <f t="shared" ref="Y36" ca="1" si="119">X60</f>
        <v>2498100.1091859993</v>
      </c>
      <c r="Z36" s="516">
        <f t="shared" ref="Z36" ca="1" si="120">Y60</f>
        <v>2657334.4047899991</v>
      </c>
      <c r="AA36" s="516">
        <f t="shared" ref="AA36" ca="1" si="121">Z60</f>
        <v>2816568.700393999</v>
      </c>
      <c r="AB36" s="544"/>
      <c r="AC36" s="516">
        <f ca="1">AA60</f>
        <v>2975802.9959979989</v>
      </c>
      <c r="AD36" s="516">
        <f t="shared" ref="AD36" ca="1" si="122">AC60</f>
        <v>3043092.438157999</v>
      </c>
      <c r="AE36" s="516">
        <f t="shared" ref="AE36" ca="1" si="123">AD60</f>
        <v>3173713.1984429993</v>
      </c>
      <c r="AF36" s="516">
        <f t="shared" ref="AF36" ca="1" si="124">AE60</f>
        <v>3367665.2768529989</v>
      </c>
      <c r="AG36" s="516">
        <f t="shared" ref="AG36" ca="1" si="125">AF60</f>
        <v>3561617.3552629985</v>
      </c>
      <c r="AH36" s="516">
        <f t="shared" ref="AH36" ca="1" si="126">AG60</f>
        <v>3755569.4336729981</v>
      </c>
      <c r="AI36" s="516">
        <f t="shared" ref="AI36" ca="1" si="127">AH60</f>
        <v>3949521.5120829977</v>
      </c>
      <c r="AJ36" s="516">
        <f t="shared" ref="AJ36" ca="1" si="128">AI60</f>
        <v>4143473.5904929973</v>
      </c>
      <c r="AK36" s="516">
        <f t="shared" ref="AK36" ca="1" si="129">AJ60</f>
        <v>4337425.6689029969</v>
      </c>
      <c r="AL36" s="516">
        <f t="shared" ref="AL36" ca="1" si="130">AK60</f>
        <v>4531377.7473129965</v>
      </c>
      <c r="AM36" s="516">
        <f t="shared" ref="AM36" ca="1" si="131">AL60</f>
        <v>4725329.8257229961</v>
      </c>
      <c r="AN36" s="516">
        <f t="shared" ref="AN36" ca="1" si="132">AM60</f>
        <v>4919281.9041329958</v>
      </c>
      <c r="AO36" s="544"/>
      <c r="AP36" s="516">
        <f ca="1">AN60</f>
        <v>5113233.9825429954</v>
      </c>
      <c r="AQ36" s="516">
        <f t="shared" ref="AQ36" ca="1" si="133">AP60</f>
        <v>5206483.626752995</v>
      </c>
      <c r="AR36" s="516">
        <f t="shared" ref="AR36" ca="1" si="134">AQ60</f>
        <v>5369200.8959629945</v>
      </c>
      <c r="AS36" s="516">
        <f t="shared" ref="AS36" ca="1" si="135">AR60</f>
        <v>5601385.7901729941</v>
      </c>
      <c r="AT36" s="516">
        <f t="shared" ref="AT36" ca="1" si="136">AS60</f>
        <v>5833570.6843829937</v>
      </c>
      <c r="AU36" s="516">
        <f t="shared" ref="AU36" ca="1" si="137">AT60</f>
        <v>6065755.5785929933</v>
      </c>
      <c r="AV36" s="516">
        <f t="shared" ref="AV36" ca="1" si="138">AU60</f>
        <v>6297940.4728029929</v>
      </c>
      <c r="AW36" s="516">
        <f t="shared" ref="AW36" ca="1" si="139">AV60</f>
        <v>6530125.3670129925</v>
      </c>
      <c r="AX36" s="516">
        <f t="shared" ref="AX36" ca="1" si="140">AW60</f>
        <v>6762310.2612229921</v>
      </c>
      <c r="AY36" s="516">
        <f t="shared" ref="AY36" ca="1" si="141">AX60</f>
        <v>6994495.1554329917</v>
      </c>
      <c r="AZ36" s="516">
        <f t="shared" ref="AZ36" ca="1" si="142">AY60</f>
        <v>7226680.0496429913</v>
      </c>
      <c r="BA36" s="516">
        <f t="shared" ref="BA36" ca="1" si="143">AZ60</f>
        <v>7458864.9438529909</v>
      </c>
      <c r="BB36" s="544"/>
      <c r="BC36" s="516">
        <f ca="1">BA60</f>
        <v>7691049.8380629914</v>
      </c>
      <c r="BD36" s="516">
        <f t="shared" ref="BD36" ca="1" si="144">BC60</f>
        <v>7813046.3226631917</v>
      </c>
      <c r="BE36" s="516">
        <f t="shared" ref="BE36" ca="1" si="145">BD60</f>
        <v>8011156.1683883928</v>
      </c>
      <c r="BF36" s="516">
        <f t="shared" ref="BF36" ca="1" si="146">BE60</f>
        <v>8285379.3752385937</v>
      </c>
      <c r="BG36" s="516">
        <f t="shared" ref="BG36" ca="1" si="147">BF60</f>
        <v>8559602.5820887946</v>
      </c>
      <c r="BH36" s="516">
        <f t="shared" ref="BH36" ca="1" si="148">BG60</f>
        <v>8833825.7889389955</v>
      </c>
      <c r="BI36" s="516">
        <f t="shared" ref="BI36" ca="1" si="149">BH60</f>
        <v>9108048.9957891963</v>
      </c>
      <c r="BJ36" s="516">
        <f t="shared" ref="BJ36" ca="1" si="150">BI60</f>
        <v>9382272.2026393972</v>
      </c>
      <c r="BK36" s="516">
        <f t="shared" ref="BK36" ca="1" si="151">BJ60</f>
        <v>9656495.4094895981</v>
      </c>
      <c r="BL36" s="516">
        <f t="shared" ref="BL36" ca="1" si="152">BK60</f>
        <v>9930718.616339799</v>
      </c>
      <c r="BM36" s="516">
        <f t="shared" ref="BM36" ca="1" si="153">BL60</f>
        <v>10204941.82319</v>
      </c>
      <c r="BN36" s="516">
        <f t="shared" ref="BN36" ca="1" si="154">BM60</f>
        <v>10479165.030040201</v>
      </c>
      <c r="BO36" s="544"/>
      <c r="BP36" s="516">
        <f ca="1">BN60</f>
        <v>10753388.236890402</v>
      </c>
      <c r="BQ36" s="516">
        <f t="shared" ref="BQ36" ca="1" si="155">BP60</f>
        <v>10907142.422722653</v>
      </c>
      <c r="BR36" s="516">
        <f t="shared" ref="BR36" ca="1" si="156">BQ60</f>
        <v>11144211.446804903</v>
      </c>
      <c r="BS36" s="516">
        <f t="shared" ref="BS36" ca="1" si="157">BR60</f>
        <v>11464595.309137154</v>
      </c>
      <c r="BT36" s="516">
        <f t="shared" ref="BT36" ca="1" si="158">BS60</f>
        <v>11784979.171469405</v>
      </c>
      <c r="BU36" s="516">
        <f t="shared" ref="BU36" ca="1" si="159">BT60</f>
        <v>12105363.033801656</v>
      </c>
      <c r="BV36" s="516">
        <f t="shared" ref="BV36" ca="1" si="160">BU60</f>
        <v>12425746.896133907</v>
      </c>
      <c r="BW36" s="516">
        <f t="shared" ref="BW36" ca="1" si="161">BV60</f>
        <v>12746130.758466158</v>
      </c>
      <c r="BX36" s="516">
        <f t="shared" ref="BX36" ca="1" si="162">BW60</f>
        <v>13066514.620798409</v>
      </c>
      <c r="BY36" s="516">
        <f t="shared" ref="BY36" ca="1" si="163">BX60</f>
        <v>13386898.48313066</v>
      </c>
      <c r="BZ36" s="516">
        <f t="shared" ref="BZ36" ca="1" si="164">BY60</f>
        <v>13707282.345462911</v>
      </c>
      <c r="CA36" s="516">
        <f t="shared" ref="CA36" ca="1" si="165">BZ60</f>
        <v>14027666.207795162</v>
      </c>
      <c r="CB36" s="544"/>
      <c r="CC36" s="516">
        <f ca="1">CA60</f>
        <v>14348050.070127413</v>
      </c>
      <c r="CD36" s="516">
        <f t="shared" ref="CD36" ca="1" si="166">CC60</f>
        <v>14602369.658975426</v>
      </c>
      <c r="CE36" s="516">
        <f t="shared" ref="CE36" ca="1" si="167">CD60</f>
        <v>14898531.913948439</v>
      </c>
      <c r="CF36" s="516">
        <f t="shared" ref="CF36" ca="1" si="168">CE60</f>
        <v>15236536.835046452</v>
      </c>
      <c r="CG36" s="516">
        <f t="shared" ref="CG36" ca="1" si="169">CF60</f>
        <v>15574541.756144464</v>
      </c>
      <c r="CH36" s="516">
        <f t="shared" ref="CH36" ca="1" si="170">CG60</f>
        <v>15912546.677242476</v>
      </c>
      <c r="CI36" s="516">
        <f t="shared" ref="CI36" ca="1" si="171">CH60</f>
        <v>16250551.598340489</v>
      </c>
      <c r="CJ36" s="516">
        <f t="shared" ref="CJ36" ca="1" si="172">CI60</f>
        <v>16588556.519438501</v>
      </c>
      <c r="CK36" s="516">
        <f t="shared" ref="CK36" ca="1" si="173">CJ60</f>
        <v>16926561.440536514</v>
      </c>
      <c r="CL36" s="516">
        <f t="shared" ref="CL36" ca="1" si="174">CK60</f>
        <v>17264566.361634526</v>
      </c>
      <c r="CM36" s="516">
        <f t="shared" ref="CM36" ca="1" si="175">CL60</f>
        <v>17602571.282732539</v>
      </c>
      <c r="CN36" s="516">
        <f t="shared" ref="CN36" ca="1" si="176">CM60</f>
        <v>17940576.203830551</v>
      </c>
      <c r="CO36" s="544"/>
    </row>
    <row r="37" spans="1:93" s="107" customFormat="1" ht="24.95" customHeight="1" outlineLevel="1">
      <c r="A37" s="123" t="s">
        <v>330</v>
      </c>
      <c r="B37" s="116"/>
      <c r="C37" s="116"/>
      <c r="D37" s="116"/>
      <c r="E37" s="116"/>
      <c r="F37" s="116"/>
      <c r="G37" s="116"/>
      <c r="H37" s="116"/>
      <c r="I37" s="116"/>
      <c r="J37" s="116"/>
      <c r="K37" s="116"/>
      <c r="L37" s="116"/>
      <c r="M37" s="116"/>
      <c r="N37" s="116"/>
      <c r="O37" s="445"/>
      <c r="P37" s="116"/>
      <c r="Q37" s="116"/>
      <c r="R37" s="116"/>
      <c r="S37" s="116"/>
      <c r="T37" s="116"/>
      <c r="U37" s="116"/>
      <c r="V37" s="116"/>
      <c r="W37" s="116"/>
      <c r="X37" s="116"/>
      <c r="Y37" s="116"/>
      <c r="Z37" s="116"/>
      <c r="AA37" s="116"/>
      <c r="AB37" s="445"/>
      <c r="AC37" s="116"/>
      <c r="AD37" s="116"/>
      <c r="AE37" s="116"/>
      <c r="AF37" s="116"/>
      <c r="AG37" s="116"/>
      <c r="AH37" s="116"/>
      <c r="AI37" s="116"/>
      <c r="AJ37" s="116"/>
      <c r="AK37" s="116"/>
      <c r="AL37" s="116"/>
      <c r="AM37" s="116"/>
      <c r="AN37" s="116"/>
      <c r="AO37" s="445"/>
      <c r="AP37" s="116"/>
      <c r="AQ37" s="116"/>
      <c r="AR37" s="116"/>
      <c r="AS37" s="116"/>
      <c r="AT37" s="116"/>
      <c r="AU37" s="116"/>
      <c r="AV37" s="116"/>
      <c r="AW37" s="116"/>
      <c r="AX37" s="116"/>
      <c r="AY37" s="116"/>
      <c r="AZ37" s="116"/>
      <c r="BA37" s="116"/>
      <c r="BB37" s="445"/>
      <c r="BC37" s="116"/>
      <c r="BD37" s="116"/>
      <c r="BE37" s="116"/>
      <c r="BF37" s="116"/>
      <c r="BG37" s="116"/>
      <c r="BH37" s="116"/>
      <c r="BI37" s="116"/>
      <c r="BJ37" s="116"/>
      <c r="BK37" s="116"/>
      <c r="BL37" s="116"/>
      <c r="BM37" s="116"/>
      <c r="BN37" s="116"/>
      <c r="BO37" s="445"/>
      <c r="BP37" s="116"/>
      <c r="BQ37" s="116"/>
      <c r="BR37" s="116"/>
      <c r="BS37" s="116"/>
      <c r="BT37" s="116"/>
      <c r="BU37" s="116"/>
      <c r="BV37" s="116"/>
      <c r="BW37" s="116"/>
      <c r="BX37" s="116"/>
      <c r="BY37" s="116"/>
      <c r="BZ37" s="116"/>
      <c r="CA37" s="116"/>
      <c r="CB37" s="445"/>
      <c r="CC37" s="116"/>
      <c r="CD37" s="116"/>
      <c r="CE37" s="116"/>
      <c r="CF37" s="116"/>
      <c r="CG37" s="116"/>
      <c r="CH37" s="116"/>
      <c r="CI37" s="116"/>
      <c r="CJ37" s="116"/>
      <c r="CK37" s="116"/>
      <c r="CL37" s="116"/>
      <c r="CM37" s="116"/>
      <c r="CN37" s="116"/>
      <c r="CO37" s="445"/>
    </row>
    <row r="38" spans="1:93" s="104" customFormat="1" ht="24.95" customHeight="1" outlineLevel="1">
      <c r="A38" s="124" t="s">
        <v>331</v>
      </c>
      <c r="B38" s="518"/>
      <c r="C38" s="518">
        <f>SUMPRODUCT('Sales, Production, &amp; Other Assu'!$D$19:$D$48*'Scenario Analysis'!$B$5,Table17[Unit Price in Study Currency]*(1+'Scenario Analysis'!$D$5)*(1+'Scenario Analysis'!$C$5)*'Scenario Analysis'!$D$14)</f>
        <v>0</v>
      </c>
      <c r="D38" s="518">
        <f>SUMPRODUCT('Sales, Production, &amp; Other Assu'!$E$19:$E$48*'Scenario Analysis'!$B$5,Table17[Unit Price in Study Currency]*(1+'Scenario Analysis'!$D$5)*(1+'Scenario Analysis'!$C$5)*'Scenario Analysis'!$D$14)+SUMPRODUCT('Sales, Production, &amp; Other Assu'!$D$19:$D$48*'Scenario Analysis'!$B$5,Table17[Unit Price in Study Currency]*(1+'Scenario Analysis'!$D$5)*(1+'Scenario Analysis'!$C$5)*'Scenario Analysis'!$D$15)</f>
        <v>347338.125</v>
      </c>
      <c r="E38" s="518">
        <f>SUMPRODUCT('Sales, Production, &amp; Other Assu'!$F$19:$F$48*'Scenario Analysis'!$B$5,Table17[Unit Price in Study Currency]*(1+'Scenario Analysis'!$D$5)*(1+'Scenario Analysis'!$C$5)*'Scenario Analysis'!$D$14)+SUMPRODUCT('Sales, Production, &amp; Other Assu'!$E$19:$E$48*'Scenario Analysis'!$B$5,Table17[Unit Price in Study Currency]*(1+'Scenario Analysis'!$D$5)*(1+'Scenario Analysis'!$C$5)*'Scenario Analysis'!$D$15)+SUMPRODUCT('Sales, Production, &amp; Other Assu'!$D$19:$D$48*'Scenario Analysis'!$B$5,Table17[Unit Price in Study Currency]*(1+'Scenario Analysis'!$D$5)*(1+'Scenario Analysis'!$C$5)*'Scenario Analysis'!$D$16)</f>
        <v>694676.25</v>
      </c>
      <c r="F38" s="518">
        <f>SUMPRODUCT('Sales, Production, &amp; Other Assu'!$G$19:$G$48*'Scenario Analysis'!$B$5,Table17[Unit Price in Study Currency]*(1+'Scenario Analysis'!$D$5)*(1+'Scenario Analysis'!$C$5)*'Scenario Analysis'!$D$14)+SUMPRODUCT('Sales, Production, &amp; Other Assu'!$F$19:$F$48*'Scenario Analysis'!$B$5,Table17[Unit Price in Study Currency]*(1+'Scenario Analysis'!$D$5)*(1+'Scenario Analysis'!$C$5)*'Scenario Analysis'!$D$15)+SUMPRODUCT('Sales, Production, &amp; Other Assu'!$E$19:$E$48*'Scenario Analysis'!$B$5,Table17[Unit Price in Study Currency]*(1+'Scenario Analysis'!$D$5)*(1+'Scenario Analysis'!$C$5)*'Scenario Analysis'!$D$16)+SUMPRODUCT('Sales, Production, &amp; Other Assu'!$D$19:$D$48*'Scenario Analysis'!$B$5,Table17[Unit Price in Study Currency]*(1+'Scenario Analysis'!$D$5)*(1+'Scenario Analysis'!$C$5)*'Scenario Analysis'!$D$17)</f>
        <v>694676.25</v>
      </c>
      <c r="G38" s="518">
        <f>SUMPRODUCT('Sales, Production, &amp; Other Assu'!$H$19:$H$48*'Scenario Analysis'!$B$5,Table17[Unit Price in Study Currency]*(1+'Scenario Analysis'!$D$5)*(1+'Scenario Analysis'!$C$5)*'Scenario Analysis'!$D$14)+SUMPRODUCT('Sales, Production, &amp; Other Assu'!$G$19:$G$48*'Scenario Analysis'!$B$5,Table17[Unit Price in Study Currency]*(1+'Scenario Analysis'!$D$5)*(1+'Scenario Analysis'!$C$5)*'Scenario Analysis'!$D$15)+SUMPRODUCT('Sales, Production, &amp; Other Assu'!$F$19:$F$48*'Scenario Analysis'!$B$5,Table17[Unit Price in Study Currency]*(1+'Scenario Analysis'!$D$5)*(1+'Scenario Analysis'!$C$5)*'Scenario Analysis'!$D$16)+SUMPRODUCT('Sales, Production, &amp; Other Assu'!$E$19:$E$48*'Scenario Analysis'!$B$5,Table17[Unit Price in Study Currency]*(1+'Scenario Analysis'!$D$5)*(1+'Scenario Analysis'!$C$5)*'Scenario Analysis'!$D$17)+SUMPRODUCT('Sales, Production, &amp; Other Assu'!$D$19:$D$48*'Scenario Analysis'!$B$5,Table17[Unit Price in Study Currency]*(1+'Scenario Analysis'!$D$5)*(1+'Scenario Analysis'!$C$5)*'Scenario Analysis'!$D$18)</f>
        <v>694676.25</v>
      </c>
      <c r="H38" s="518">
        <f>SUMPRODUCT('Sales, Production, &amp; Other Assu'!$I$19:$I$48*'Scenario Analysis'!$B$5,Table17[Unit Price in Study Currency]*(1+'Scenario Analysis'!$D$5)*(1+'Scenario Analysis'!$C$5)*'Scenario Analysis'!$D$14)+SUMPRODUCT('Sales, Production, &amp; Other Assu'!$H$19:$H$48*'Scenario Analysis'!$B$5,Table17[Unit Price in Study Currency]*(1+'Scenario Analysis'!$D$5)*(1+'Scenario Analysis'!$C$5)*'Scenario Analysis'!$D$15)+SUMPRODUCT('Sales, Production, &amp; Other Assu'!$G$19:$G$48*'Scenario Analysis'!$B$5,Table17[Unit Price in Study Currency]*(1+'Scenario Analysis'!$D$5)*(1+'Scenario Analysis'!$C$5)*'Scenario Analysis'!$D$16)+SUMPRODUCT('Sales, Production, &amp; Other Assu'!$F$19:$F$48*'Scenario Analysis'!$B$5,Table17[Unit Price in Study Currency]*(1+'Scenario Analysis'!$D$5)*(1+'Scenario Analysis'!$C$5)*'Scenario Analysis'!$D$17)+SUMPRODUCT('Sales, Production, &amp; Other Assu'!$E$19:$E$48*'Scenario Analysis'!$B$5,Table17[Unit Price in Study Currency]*(1+'Scenario Analysis'!$D$5)*(1+'Scenario Analysis'!$C$5)*'Scenario Analysis'!$D$18)+SUMPRODUCT('Sales, Production, &amp; Other Assu'!$D$19:$D$48*'Scenario Analysis'!$B$5,Table17[Unit Price in Study Currency]*(1+'Scenario Analysis'!$D$5)*(1+'Scenario Analysis'!$C$5)*'Scenario Analysis'!$D$19)</f>
        <v>694676.25</v>
      </c>
      <c r="I38" s="518">
        <f>SUMPRODUCT('Sales, Production, &amp; Other Assu'!$J$19:$J$48*'Scenario Analysis'!$B$5,Table17[Unit Price in Study Currency]*(1+'Scenario Analysis'!$D$5)*(1+'Scenario Analysis'!$C$5)*'Scenario Analysis'!$D$14)+SUMPRODUCT('Sales, Production, &amp; Other Assu'!$I$19:$I$48*'Scenario Analysis'!$B$5,Table17[Unit Price in Study Currency]*(1+'Scenario Analysis'!$D$5)*(1+'Scenario Analysis'!$C$5)*'Scenario Analysis'!$D$15)+SUMPRODUCT('Sales, Production, &amp; Other Assu'!$H$19:$H$48*'Scenario Analysis'!$B$5,Table17[Unit Price in Study Currency]*(1+'Scenario Analysis'!$D$5)*(1+'Scenario Analysis'!$C$5)*'Scenario Analysis'!$D$16)+SUMPRODUCT('Sales, Production, &amp; Other Assu'!$G$19:$G$48*'Scenario Analysis'!$B$5,Table17[Unit Price in Study Currency]*(1+'Scenario Analysis'!$D$5)*(1+'Scenario Analysis'!$C$5)*'Scenario Analysis'!$D$17)+SUMPRODUCT('Sales, Production, &amp; Other Assu'!$F$19:$F$48*'Scenario Analysis'!$B$5,Table17[Unit Price in Study Currency]*(1+'Scenario Analysis'!$D$5)*(1+'Scenario Analysis'!$C$5)*'Scenario Analysis'!$D$18)+SUMPRODUCT('Sales, Production, &amp; Other Assu'!$E$19:$E$48*'Scenario Analysis'!$B$5,Table17[Unit Price in Study Currency]*(1+'Scenario Analysis'!$D$5)*(1+'Scenario Analysis'!$C$5)*'Scenario Analysis'!$D$19)</f>
        <v>694676.25</v>
      </c>
      <c r="J38" s="518">
        <f>SUMPRODUCT('Sales, Production, &amp; Other Assu'!$K$19:$K$48*'Scenario Analysis'!$B$5,Table17[Unit Price in Study Currency]*(1+'Scenario Analysis'!$D$5)*(1+'Scenario Analysis'!$C$5)*'Scenario Analysis'!$D$14)+SUMPRODUCT('Sales, Production, &amp; Other Assu'!$J$19:$J$48*'Scenario Analysis'!$B$5,Table17[Unit Price in Study Currency]*(1+'Scenario Analysis'!$D$5)*(1+'Scenario Analysis'!$C$5)*'Scenario Analysis'!$D$15)+SUMPRODUCT('Sales, Production, &amp; Other Assu'!$I$19:$I$48*'Scenario Analysis'!$B$5,Table17[Unit Price in Study Currency]*(1+'Scenario Analysis'!$D$5)*(1+'Scenario Analysis'!$C$5)*'Scenario Analysis'!$D$16)+SUMPRODUCT('Sales, Production, &amp; Other Assu'!$H$19:$H$48*'Scenario Analysis'!$B$5,Table17[Unit Price in Study Currency]*(1+'Scenario Analysis'!$D$5)*(1+'Scenario Analysis'!$C$5)*'Scenario Analysis'!$D$17)+SUMPRODUCT('Sales, Production, &amp; Other Assu'!$G$19:$G$48*'Scenario Analysis'!$B$5,Table17[Unit Price in Study Currency]*(1+'Scenario Analysis'!$D$5)*(1+'Scenario Analysis'!$C$5)*'Scenario Analysis'!$D$18)+SUMPRODUCT('Sales, Production, &amp; Other Assu'!$F$19:$F$48*'Scenario Analysis'!$B$5,Table17[Unit Price in Study Currency]*(1+'Scenario Analysis'!$D$5)*(1+'Scenario Analysis'!$C$5)*'Scenario Analysis'!$D$19)</f>
        <v>694676.25</v>
      </c>
      <c r="K38" s="518">
        <f>SUMPRODUCT('Sales, Production, &amp; Other Assu'!$L$19:$L$48*'Scenario Analysis'!$B$5,Table17[Unit Price in Study Currency]*(1+'Scenario Analysis'!$D$5)*(1+'Scenario Analysis'!$C$5)*'Scenario Analysis'!$D$14)+SUMPRODUCT('Sales, Production, &amp; Other Assu'!$K$19:$K$48*'Scenario Analysis'!$B$5,Table17[Unit Price in Study Currency]*(1+'Scenario Analysis'!$D$5)*(1+'Scenario Analysis'!$C$5)*'Scenario Analysis'!$D$15)+SUMPRODUCT('Sales, Production, &amp; Other Assu'!$J$19:$J$48*'Scenario Analysis'!$B$5,Table17[Unit Price in Study Currency]*(1+'Scenario Analysis'!$D$5)*(1+'Scenario Analysis'!$C$5)*'Scenario Analysis'!$D$16)+SUMPRODUCT('Sales, Production, &amp; Other Assu'!$I$19:$I$48*'Scenario Analysis'!$B$5,Table17[Unit Price in Study Currency]*(1+'Scenario Analysis'!$D$5)*(1+'Scenario Analysis'!$C$5)*'Scenario Analysis'!$D$17)+SUMPRODUCT('Sales, Production, &amp; Other Assu'!$H$19:$H$48*'Scenario Analysis'!$B$5,Table17[Unit Price in Study Currency]*(1+'Scenario Analysis'!$D$5)*(1+'Scenario Analysis'!$C$5)*'Scenario Analysis'!$D$18)+SUMPRODUCT('Sales, Production, &amp; Other Assu'!$G$19:$G$48*'Scenario Analysis'!$B$5,Table17[Unit Price in Study Currency]*(1+'Scenario Analysis'!$D$5)*(1+'Scenario Analysis'!$C$5)*'Scenario Analysis'!$D$19)</f>
        <v>694676.25</v>
      </c>
      <c r="L38" s="518">
        <f>SUMPRODUCT('Sales, Production, &amp; Other Assu'!$M$19:$M$48*'Scenario Analysis'!$B$5,Table17[Unit Price in Study Currency]*(1+'Scenario Analysis'!$D$5)*(1+'Scenario Analysis'!$C$5)*'Scenario Analysis'!$D$14)+SUMPRODUCT('Sales, Production, &amp; Other Assu'!$L$19:$L$48*'Scenario Analysis'!$B$5,Table17[Unit Price in Study Currency]*(1+'Scenario Analysis'!$D$5)*(1+'Scenario Analysis'!$C$5)*'Scenario Analysis'!$D$15)+SUMPRODUCT('Sales, Production, &amp; Other Assu'!$K$19:$K$48*'Scenario Analysis'!$B$5,Table17[Unit Price in Study Currency]*(1+'Scenario Analysis'!$D$5)*(1+'Scenario Analysis'!$C$5)*'Scenario Analysis'!$D$16)+SUMPRODUCT('Sales, Production, &amp; Other Assu'!$J$19:$J$48*'Scenario Analysis'!$B$5,Table17[Unit Price in Study Currency]*(1+'Scenario Analysis'!$D$5)*(1+'Scenario Analysis'!$C$5)*'Scenario Analysis'!$D$17)+SUMPRODUCT('Sales, Production, &amp; Other Assu'!$I$19:$I$48*'Scenario Analysis'!$B$5,Table17[Unit Price in Study Currency]*(1+'Scenario Analysis'!$D$5)*(1+'Scenario Analysis'!$C$5)*'Scenario Analysis'!$D$18)+SUMPRODUCT('Sales, Production, &amp; Other Assu'!$H$19:$H$48*'Scenario Analysis'!$B$5,Table17[Unit Price in Study Currency]*(1+'Scenario Analysis'!$D$5)*(1+'Scenario Analysis'!$C$5)*'Scenario Analysis'!$D$19)</f>
        <v>694676.25</v>
      </c>
      <c r="M38" s="518">
        <f>SUMPRODUCT('Sales, Production, &amp; Other Assu'!$N$19:$N$48*'Scenario Analysis'!$B$5,Table17[Unit Price in Study Currency]*(1+'Scenario Analysis'!$D$5)*(1+'Scenario Analysis'!$C$5)*'Scenario Analysis'!$D$14)+SUMPRODUCT('Sales, Production, &amp; Other Assu'!$M$19:$M$48*'Scenario Analysis'!$B$5,Table17[Unit Price in Study Currency]*(1+'Scenario Analysis'!$D$5)*(1+'Scenario Analysis'!$C$5)*'Scenario Analysis'!$D$15)+SUMPRODUCT('Sales, Production, &amp; Other Assu'!$L$19:$L$48*'Scenario Analysis'!$B$5,Table17[Unit Price in Study Currency]*(1+'Scenario Analysis'!$D$5)*(1+'Scenario Analysis'!$C$5)*'Scenario Analysis'!$D$16)+SUMPRODUCT('Sales, Production, &amp; Other Assu'!$K$19:$K$48*'Scenario Analysis'!$B$5,Table17[Unit Price in Study Currency]*(1+'Scenario Analysis'!$D$5)*(1+'Scenario Analysis'!$C$5)*'Scenario Analysis'!$D$17)+SUMPRODUCT('Sales, Production, &amp; Other Assu'!$J$19:$J$48*'Scenario Analysis'!$B$5,Table17[Unit Price in Study Currency]*(1+'Scenario Analysis'!$D$5)*(1+'Scenario Analysis'!$C$5)*'Scenario Analysis'!$D$18)+SUMPRODUCT('Sales, Production, &amp; Other Assu'!$I$19:$I$48*'Scenario Analysis'!$B$5,Table17[Unit Price in Study Currency]*(1+'Scenario Analysis'!$D$5)*(1+'Scenario Analysis'!$C$5)*'Scenario Analysis'!$D$19)</f>
        <v>694676.25</v>
      </c>
      <c r="N38" s="518">
        <f>SUMPRODUCT('Sales, Production, &amp; Other Assu'!$O$19:$O$48*'Scenario Analysis'!$B$5,Table17[Unit Price in Study Currency]*(1+'Scenario Analysis'!$D$5)*(1+'Scenario Analysis'!$C$5)*'Scenario Analysis'!$D$14)+SUMPRODUCT('Sales, Production, &amp; Other Assu'!$N$19:$N$48*'Scenario Analysis'!$B$5,Table17[Unit Price in Study Currency]*(1+'Scenario Analysis'!$D$5)*(1+'Scenario Analysis'!$C$5)*'Scenario Analysis'!$D$15)+SUMPRODUCT('Sales, Production, &amp; Other Assu'!$M$19:$M$48*'Scenario Analysis'!$B$5,Table17[Unit Price in Study Currency]*(1+'Scenario Analysis'!$D$5)*(1+'Scenario Analysis'!$C$5)*'Scenario Analysis'!$D$16)+SUMPRODUCT('Sales, Production, &amp; Other Assu'!$L$19:$L$48*'Scenario Analysis'!$B$5,Table17[Unit Price in Study Currency]*(1+'Scenario Analysis'!$D$5)*(1+'Scenario Analysis'!$C$5)*'Scenario Analysis'!$D$17)+SUMPRODUCT('Sales, Production, &amp; Other Assu'!$K$19:$K$48*'Scenario Analysis'!$B$5,Table17[Unit Price in Study Currency]*(1+'Scenario Analysis'!$D$5)*(1+'Scenario Analysis'!$C$5)*'Scenario Analysis'!$D$18)+SUMPRODUCT('Sales, Production, &amp; Other Assu'!$J$19:$J$48*'Scenario Analysis'!$B$5,Table17[Unit Price in Study Currency]*(1+'Scenario Analysis'!$D$5)*(1+'Scenario Analysis'!$C$5)*'Scenario Analysis'!$D$19)</f>
        <v>694676.25</v>
      </c>
      <c r="O38" s="545">
        <f>SUM('Cashflow Projection &amp; Investme'!$B38:$N38)</f>
        <v>7294100.625</v>
      </c>
      <c r="P38" s="518">
        <f>SUMPRODUCT('Sales, Production, &amp; Other Assu'!$Q$19:$Q$48*'Scenario Analysis'!$B$5,Table17[Unit Price in Study Currency]*(1+'Scenario Analysis'!$D$5)*(1+'Scenario Analysis'!$C$5)*'Scenario Analysis'!$D$14)+SUMPRODUCT('Sales, Production, &amp; Other Assu'!$O$19:$O$48*'Scenario Analysis'!$B$5,Table17[Unit Price in Study Currency]*(1+'Scenario Analysis'!$D$5)*(1+'Scenario Analysis'!$C$5)*'Scenario Analysis'!$D$15)+SUMPRODUCT('Sales, Production, &amp; Other Assu'!$N$19:$N$48*'Scenario Analysis'!$B$5,Table17[Unit Price in Study Currency]*(1+'Scenario Analysis'!$D$5)*(1+'Scenario Analysis'!$C$5)*'Scenario Analysis'!$D$16)+SUMPRODUCT('Sales, Production, &amp; Other Assu'!$M$19:$M$48*'Scenario Analysis'!$B$5,Table17[Unit Price in Study Currency]*(1+'Scenario Analysis'!$D$5)*(1+'Scenario Analysis'!$C$5)*'Scenario Analysis'!$D$17)+SUMPRODUCT('Sales, Production, &amp; Other Assu'!$L$19:$L$48*'Scenario Analysis'!$B$5,Table17[Unit Price in Study Currency]*(1+'Scenario Analysis'!$D$5)*(1+'Scenario Analysis'!$C$5)*'Scenario Analysis'!$D$18)+SUMPRODUCT('Sales, Production, &amp; Other Assu'!$K$19:$K$48*'Scenario Analysis'!$B$5,Table17[Unit Price in Study Currency]*(1+'Scenario Analysis'!$D$5)*(1+'Scenario Analysis'!$C$5)*'Scenario Analysis'!$D$19)</f>
        <v>694676.25</v>
      </c>
      <c r="Q38" s="518">
        <f>SUMPRODUCT('Sales, Production, &amp; Other Assu'!$R$19:$R$48*'Scenario Analysis'!$B$5,Table17[Unit Price in Study Currency]*(1+'Scenario Analysis'!$D$5)*(1+'Scenario Analysis'!$C$5)*'Scenario Analysis'!$D$14)+SUMPRODUCT('Sales, Production, &amp; Other Assu'!$Q$19:$Q$48*'Scenario Analysis'!$B$5,Table17[Unit Price in Study Currency]*(1+'Scenario Analysis'!$D$5)*(1+'Scenario Analysis'!$C$5)*'Scenario Analysis'!$D$15)+SUMPRODUCT('Sales, Production, &amp; Other Assu'!$O$19:$O$48*'Scenario Analysis'!$B$5,Table17[Unit Price in Study Currency]*(1+'Scenario Analysis'!$D$5)*(1+'Scenario Analysis'!$C$5)*'Scenario Analysis'!$D$16)+SUMPRODUCT('Sales, Production, &amp; Other Assu'!$N$19:$N$48*'Scenario Analysis'!$B$5,Table17[Unit Price in Study Currency]*(1+'Scenario Analysis'!$D$5)*(1+'Scenario Analysis'!$C$5)*'Scenario Analysis'!$D$17)+SUMPRODUCT('Sales, Production, &amp; Other Assu'!$M$19:$M$48*'Scenario Analysis'!$B$5,Table17[Unit Price in Study Currency]*(1+'Scenario Analysis'!$D$5)*(1+'Scenario Analysis'!$C$5)*'Scenario Analysis'!$D$18)+SUMPRODUCT('Sales, Production, &amp; Other Assu'!$L$19:$L$48*'Scenario Analysis'!$B$5,Table17[Unit Price in Study Currency]*(1+'Scenario Analysis'!$D$5)*(1+'Scenario Analysis'!$C$5)*'Scenario Analysis'!$D$19)</f>
        <v>752334.37874999992</v>
      </c>
      <c r="R38" s="518">
        <f>SUMPRODUCT('Sales, Production, &amp; Other Assu'!$S$19:$S$48*'Scenario Analysis'!$B$5,Table17[Unit Price in Study Currency]*(1+'Scenario Analysis'!$D$5)*(1+'Scenario Analysis'!$C$5)*'Scenario Analysis'!$D$14)+SUMPRODUCT('Sales, Production, &amp; Other Assu'!$R$19:$R$48*'Scenario Analysis'!$B$5,Table17[Unit Price in Study Currency]*(1+'Scenario Analysis'!$D$5)*(1+'Scenario Analysis'!$C$5)*'Scenario Analysis'!$D$15)+SUMPRODUCT('Sales, Production, &amp; Other Assu'!$Q$19:$Q$48*'Scenario Analysis'!$B$5,Table17[Unit Price in Study Currency]*(1+'Scenario Analysis'!$D$5)*(1+'Scenario Analysis'!$C$5)*'Scenario Analysis'!$D$16)+SUMPRODUCT('Sales, Production, &amp; Other Assu'!$O$19:$O$48*'Scenario Analysis'!$B$5,Table17[Unit Price in Study Currency]*(1+'Scenario Analysis'!$D$5)*(1+'Scenario Analysis'!$C$5)*'Scenario Analysis'!$D$17)+SUMPRODUCT('Sales, Production, &amp; Other Assu'!$N$19:$N$48*'Scenario Analysis'!$B$5,Table17[Unit Price in Study Currency]*(1+'Scenario Analysis'!$D$5)*(1+'Scenario Analysis'!$C$5)*'Scenario Analysis'!$D$18)+SUMPRODUCT('Sales, Production, &amp; Other Assu'!$M$19:$M$48*'Scenario Analysis'!$B$5,Table17[Unit Price in Study Currency]*(1+'Scenario Analysis'!$D$5)*(1+'Scenario Analysis'!$C$5)*'Scenario Analysis'!$D$19)</f>
        <v>809992.50749999995</v>
      </c>
      <c r="S38" s="518">
        <f>SUMPRODUCT('Sales, Production, &amp; Other Assu'!$T$19:$T$48*'Scenario Analysis'!$B$5,Table17[Unit Price in Study Currency]*(1+'Scenario Analysis'!$D$5)*(1+'Scenario Analysis'!$C$5)*'Scenario Analysis'!$D$14)+SUMPRODUCT('Sales, Production, &amp; Other Assu'!$S$19:$S$48*'Scenario Analysis'!$B$5,Table17[Unit Price in Study Currency]*(1+'Scenario Analysis'!$D$5)*(1+'Scenario Analysis'!$C$5)*'Scenario Analysis'!$D$15)+SUMPRODUCT('Sales, Production, &amp; Other Assu'!$R$19:$R$48*'Scenario Analysis'!$B$5,Table17[Unit Price in Study Currency]*(1+'Scenario Analysis'!$D$5)*(1+'Scenario Analysis'!$C$5)*'Scenario Analysis'!$D$16)+SUMPRODUCT('Sales, Production, &amp; Other Assu'!$Q$19:$Q$48*'Scenario Analysis'!$B$5,Table17[Unit Price in Study Currency]*(1+'Scenario Analysis'!$D$5)*(1+'Scenario Analysis'!$C$5)*'Scenario Analysis'!$D$17)+SUMPRODUCT('Sales, Production, &amp; Other Assu'!$O$19:$O$48*'Scenario Analysis'!$B$5,Table17[Unit Price in Study Currency]*(1+'Scenario Analysis'!$D$5)*(1+'Scenario Analysis'!$C$5)*'Scenario Analysis'!$D$18)+SUMPRODUCT('Sales, Production, &amp; Other Assu'!$N$19:$N$48*'Scenario Analysis'!$B$5,Table17[Unit Price in Study Currency]*(1+'Scenario Analysis'!$D$5)*(1+'Scenario Analysis'!$C$5)*'Scenario Analysis'!$D$19)</f>
        <v>809992.50749999995</v>
      </c>
      <c r="T38" s="518">
        <f>SUMPRODUCT('Sales, Production, &amp; Other Assu'!$U$19:$U$48*'Scenario Analysis'!$B$5,Table17[Unit Price in Study Currency]*(1+'Scenario Analysis'!$D$5)*(1+'Scenario Analysis'!$C$5)*'Scenario Analysis'!$D$14)+SUMPRODUCT('Sales, Production, &amp; Other Assu'!$T$19:$T$48*'Scenario Analysis'!$B$5,Table17[Unit Price in Study Currency]*(1+'Scenario Analysis'!$D$5)*(1+'Scenario Analysis'!$C$5)*'Scenario Analysis'!$D$15)+SUMPRODUCT('Sales, Production, &amp; Other Assu'!$S$19:$S$48*'Scenario Analysis'!$B$5,Table17[Unit Price in Study Currency]*(1+'Scenario Analysis'!$D$5)*(1+'Scenario Analysis'!$C$5)*'Scenario Analysis'!$D$16)+SUMPRODUCT('Sales, Production, &amp; Other Assu'!$R$19:$R$48*'Scenario Analysis'!$B$5,Table17[Unit Price in Study Currency]*(1+'Scenario Analysis'!$D$5)*(1+'Scenario Analysis'!$C$5)*'Scenario Analysis'!$D$17)+SUMPRODUCT('Sales, Production, &amp; Other Assu'!$Q$19:$Q$48*'Scenario Analysis'!$B$5,Table17[Unit Price in Study Currency]*(1+'Scenario Analysis'!$D$5)*(1+'Scenario Analysis'!$C$5)*'Scenario Analysis'!$D$18)+SUMPRODUCT('Sales, Production, &amp; Other Assu'!$Q$19:$Q$48*'Scenario Analysis'!$B$5,Table17[Unit Price in Study Currency]*(1+'Scenario Analysis'!$D$5)*(1+'Scenario Analysis'!$C$5)*'Scenario Analysis'!$D$19)</f>
        <v>809992.50749999995</v>
      </c>
      <c r="U38" s="518">
        <f>SUMPRODUCT('Sales, Production, &amp; Other Assu'!V19:V48*'Scenario Analysis'!$B$5,Table17[Unit Price in Study Currency]*(1+'Scenario Analysis'!$D$5)*(1+'Scenario Analysis'!$C$5)*'Scenario Analysis'!$D$14)+SUMPRODUCT('Sales, Production, &amp; Other Assu'!U19:U48*'Scenario Analysis'!$B$5,Table17[Unit Price in Study Currency]*(1+'Scenario Analysis'!$D$5)*(1+'Scenario Analysis'!$C$5)*'Scenario Analysis'!$D$15)+SUMPRODUCT('Sales, Production, &amp; Other Assu'!T19:T48*'Scenario Analysis'!$B$5,Table17[Unit Price in Study Currency]*(1+'Scenario Analysis'!$D$5)*(1+'Scenario Analysis'!$C$5)*'Scenario Analysis'!$D$16)+SUMPRODUCT('Sales, Production, &amp; Other Assu'!S19:S48*'Scenario Analysis'!$B$5,Table17[Unit Price in Study Currency]*(1+'Scenario Analysis'!$D$5)*(1+'Scenario Analysis'!$C$5)*'Scenario Analysis'!$D$17)+SUMPRODUCT('Sales, Production, &amp; Other Assu'!R19:R48*'Scenario Analysis'!$B$5,Table17[Unit Price in Study Currency]*(1+'Scenario Analysis'!$D$5)*(1+'Scenario Analysis'!$C$5)*'Scenario Analysis'!$D$18)+SUMPRODUCT('Sales, Production, &amp; Other Assu'!O19:O48*'Scenario Analysis'!$B$5,Table17[Unit Price in Study Currency]*(1+'Scenario Analysis'!$D$5)*(1+'Scenario Analysis'!$C$5)*'Scenario Analysis'!$D$19)</f>
        <v>809992.50749999995</v>
      </c>
      <c r="V38" s="518">
        <f>SUMPRODUCT('Sales, Production, &amp; Other Assu'!W19:W48*'Scenario Analysis'!$B$5,Table17[Unit Price in Study Currency]*(1+'Scenario Analysis'!$D$5)*(1+'Scenario Analysis'!$C$5)*'Scenario Analysis'!$D$14)+SUMPRODUCT('Sales, Production, &amp; Other Assu'!V19:V48*'Scenario Analysis'!$B$5,Table17[Unit Price in Study Currency]*(1+'Scenario Analysis'!$D$5)*(1+'Scenario Analysis'!$C$5)*'Scenario Analysis'!$D$15)+SUMPRODUCT('Sales, Production, &amp; Other Assu'!U19:U48*'Scenario Analysis'!$B$5,Table17[Unit Price in Study Currency]*(1+'Scenario Analysis'!$D$5)*(1+'Scenario Analysis'!$C$5)*'Scenario Analysis'!$D$16)+SUMPRODUCT('Sales, Production, &amp; Other Assu'!T19:T48*'Scenario Analysis'!$B$5,Table17[Unit Price in Study Currency]*(1+'Scenario Analysis'!$D$5)*(1+'Scenario Analysis'!$C$5)*'Scenario Analysis'!$D$17)+SUMPRODUCT('Sales, Production, &amp; Other Assu'!S19:S48*'Scenario Analysis'!$B$5,Table17[Unit Price in Study Currency]*(1+'Scenario Analysis'!$D$5)*(1+'Scenario Analysis'!$C$5)*'Scenario Analysis'!$D$18)+SUMPRODUCT('Sales, Production, &amp; Other Assu'!P19:P48*'Scenario Analysis'!$B$5,Table17[Unit Price in Study Currency]*(1+'Scenario Analysis'!$D$5)*(1+'Scenario Analysis'!$C$5)*'Scenario Analysis'!$D$19)</f>
        <v>809992.50749999995</v>
      </c>
      <c r="W38" s="518">
        <f>SUMPRODUCT('Sales, Production, &amp; Other Assu'!X19:X48*'Scenario Analysis'!$B$5,Table17[Unit Price in Study Currency]*(1+'Scenario Analysis'!$D$5)*(1+'Scenario Analysis'!$C$5)*'Scenario Analysis'!$D$14)+SUMPRODUCT('Sales, Production, &amp; Other Assu'!W19:W48*'Scenario Analysis'!$B$5,Table17[Unit Price in Study Currency]*(1+'Scenario Analysis'!$D$5)*(1+'Scenario Analysis'!$C$5)*'Scenario Analysis'!$D$15)+SUMPRODUCT('Sales, Production, &amp; Other Assu'!V19:V48*'Scenario Analysis'!$B$5,Table17[Unit Price in Study Currency]*(1+'Scenario Analysis'!$D$5)*(1+'Scenario Analysis'!$C$5)*'Scenario Analysis'!$D$16)+SUMPRODUCT('Sales, Production, &amp; Other Assu'!U19:U48*'Scenario Analysis'!$B$5,Table17[Unit Price in Study Currency]*(1+'Scenario Analysis'!$D$5)*(1+'Scenario Analysis'!$C$5)*'Scenario Analysis'!$D$17)+SUMPRODUCT('Sales, Production, &amp; Other Assu'!T19:T48*'Scenario Analysis'!$B$5,Table17[Unit Price in Study Currency]*(1+'Scenario Analysis'!$D$5)*(1+'Scenario Analysis'!$C$5)*'Scenario Analysis'!$D$18)+SUMPRODUCT('Sales, Production, &amp; Other Assu'!Q19:Q48*'Scenario Analysis'!$B$5,Table17[Unit Price in Study Currency]*(1+'Scenario Analysis'!$D$5)*(1+'Scenario Analysis'!$C$5)*'Scenario Analysis'!$D$19)</f>
        <v>809992.50749999995</v>
      </c>
      <c r="X38" s="518">
        <f>SUMPRODUCT('Sales, Production, &amp; Other Assu'!Y19:Y48*'Scenario Analysis'!$B$5,Table17[Unit Price in Study Currency]*(1+'Scenario Analysis'!$D$5)*(1+'Scenario Analysis'!$C$5)*'Scenario Analysis'!$D$14)+SUMPRODUCT('Sales, Production, &amp; Other Assu'!X19:X48*'Scenario Analysis'!$B$5,Table17[Unit Price in Study Currency]*(1+'Scenario Analysis'!$D$5)*(1+'Scenario Analysis'!$C$5)*'Scenario Analysis'!$D$15)+SUMPRODUCT('Sales, Production, &amp; Other Assu'!W19:W48*'Scenario Analysis'!$B$5,Table17[Unit Price in Study Currency]*(1+'Scenario Analysis'!$D$5)*(1+'Scenario Analysis'!$C$5)*'Scenario Analysis'!$D$16)+SUMPRODUCT('Sales, Production, &amp; Other Assu'!V19:V48*'Scenario Analysis'!$B$5,Table17[Unit Price in Study Currency]*(1+'Scenario Analysis'!$D$5)*(1+'Scenario Analysis'!$C$5)*'Scenario Analysis'!$D$17)+SUMPRODUCT('Sales, Production, &amp; Other Assu'!U19:U48*'Scenario Analysis'!$B$5,Table17[Unit Price in Study Currency]*(1+'Scenario Analysis'!$D$5)*(1+'Scenario Analysis'!$C$5)*'Scenario Analysis'!$D$18)+SUMPRODUCT('Sales, Production, &amp; Other Assu'!R19:R48*'Scenario Analysis'!$B$5,Table17[Unit Price in Study Currency]*(1+'Scenario Analysis'!$D$5)*(1+'Scenario Analysis'!$C$5)*'Scenario Analysis'!$D$19)</f>
        <v>809992.50749999995</v>
      </c>
      <c r="Y38" s="518">
        <f>SUMPRODUCT('Sales, Production, &amp; Other Assu'!Z19:Z48*'Scenario Analysis'!$B$5,Table17[Unit Price in Study Currency]*(1+'Scenario Analysis'!$D$5)*(1+'Scenario Analysis'!$C$5)*'Scenario Analysis'!$D$14)+SUMPRODUCT('Sales, Production, &amp; Other Assu'!Y19:Y48*'Scenario Analysis'!$B$5,Table17[Unit Price in Study Currency]*(1+'Scenario Analysis'!$D$5)*(1+'Scenario Analysis'!$C$5)*'Scenario Analysis'!$D$15)+SUMPRODUCT('Sales, Production, &amp; Other Assu'!X19:X48*'Scenario Analysis'!$B$5,Table17[Unit Price in Study Currency]*(1+'Scenario Analysis'!$D$5)*(1+'Scenario Analysis'!$C$5)*'Scenario Analysis'!$D$16)+SUMPRODUCT('Sales, Production, &amp; Other Assu'!W19:W48*'Scenario Analysis'!$B$5,Table17[Unit Price in Study Currency]*(1+'Scenario Analysis'!$D$5)*(1+'Scenario Analysis'!$C$5)*'Scenario Analysis'!$D$17)+SUMPRODUCT('Sales, Production, &amp; Other Assu'!V19:V48*'Scenario Analysis'!$B$5,Table17[Unit Price in Study Currency]*(1+'Scenario Analysis'!$D$5)*(1+'Scenario Analysis'!$C$5)*'Scenario Analysis'!$D$18)+SUMPRODUCT('Sales, Production, &amp; Other Assu'!S19:S48*'Scenario Analysis'!$B$5,Table17[Unit Price in Study Currency]*(1+'Scenario Analysis'!$D$5)*(1+'Scenario Analysis'!$C$5)*'Scenario Analysis'!$D$19)</f>
        <v>809992.50749999995</v>
      </c>
      <c r="Z38" s="518">
        <f>SUMPRODUCT('Sales, Production, &amp; Other Assu'!AA19:AA48*'Scenario Analysis'!$B$5,Table17[Unit Price in Study Currency]*(1+'Scenario Analysis'!$D$5)*(1+'Scenario Analysis'!$C$5)*'Scenario Analysis'!$D$14)+SUMPRODUCT('Sales, Production, &amp; Other Assu'!Z19:Z48*'Scenario Analysis'!$B$5,Table17[Unit Price in Study Currency]*(1+'Scenario Analysis'!$D$5)*(1+'Scenario Analysis'!$C$5)*'Scenario Analysis'!$D$15)+SUMPRODUCT('Sales, Production, &amp; Other Assu'!Y19:Y48*'Scenario Analysis'!$B$5,Table17[Unit Price in Study Currency]*(1+'Scenario Analysis'!$D$5)*(1+'Scenario Analysis'!$C$5)*'Scenario Analysis'!$D$16)+SUMPRODUCT('Sales, Production, &amp; Other Assu'!X19:X48*'Scenario Analysis'!$B$5,Table17[Unit Price in Study Currency]*(1+'Scenario Analysis'!$D$5)*(1+'Scenario Analysis'!$C$5)*'Scenario Analysis'!$D$17)+SUMPRODUCT('Sales, Production, &amp; Other Assu'!W19:W48*'Scenario Analysis'!$B$5,Table17[Unit Price in Study Currency]*(1+'Scenario Analysis'!$D$5)*(1+'Scenario Analysis'!$C$5)*'Scenario Analysis'!$D$18)+SUMPRODUCT('Sales, Production, &amp; Other Assu'!T19:T48*'Scenario Analysis'!$B$5,Table17[Unit Price in Study Currency]*(1+'Scenario Analysis'!$D$5)*(1+'Scenario Analysis'!$C$5)*'Scenario Analysis'!$D$19)</f>
        <v>809992.50749999995</v>
      </c>
      <c r="AA38" s="518">
        <f>SUMPRODUCT('Sales, Production, &amp; Other Assu'!AB19:AB48*'Scenario Analysis'!$B$5,Table17[Unit Price in Study Currency]*(1+'Scenario Analysis'!$D$5)*(1+'Scenario Analysis'!$C$5)*'Scenario Analysis'!$D$14)+SUMPRODUCT('Sales, Production, &amp; Other Assu'!AA19:AA48*'Scenario Analysis'!$B$5,Table17[Unit Price in Study Currency]*(1+'Scenario Analysis'!$D$5)*(1+'Scenario Analysis'!$C$5)*'Scenario Analysis'!$D$15)+SUMPRODUCT('Sales, Production, &amp; Other Assu'!Z19:Z48*'Scenario Analysis'!$B$5,Table17[Unit Price in Study Currency]*(1+'Scenario Analysis'!$D$5)*(1+'Scenario Analysis'!$C$5)*'Scenario Analysis'!$D$16)+SUMPRODUCT('Sales, Production, &amp; Other Assu'!Y19:Y48*'Scenario Analysis'!$B$5,Table17[Unit Price in Study Currency]*(1+'Scenario Analysis'!$D$5)*(1+'Scenario Analysis'!$C$5)*'Scenario Analysis'!$D$17)+SUMPRODUCT('Sales, Production, &amp; Other Assu'!X19:X48*'Scenario Analysis'!$B$5,Table17[Unit Price in Study Currency]*(1+'Scenario Analysis'!$D$5)*(1+'Scenario Analysis'!$C$5)*'Scenario Analysis'!$D$18)+SUMPRODUCT('Sales, Production, &amp; Other Assu'!U19:U48*'Scenario Analysis'!$B$5,Table17[Unit Price in Study Currency]*(1+'Scenario Analysis'!$D$5)*(1+'Scenario Analysis'!$C$5)*'Scenario Analysis'!$D$19)</f>
        <v>809992.50749999995</v>
      </c>
      <c r="AB38" s="545">
        <f>SUM(P38:AA38)</f>
        <v>9546935.7037500013</v>
      </c>
      <c r="AC38" s="518">
        <f>SUMPRODUCT('Sales, Production, &amp; Other Assu'!AD19:AD48*'Scenario Analysis'!$B$5,Table17[Unit Price in Study Currency]*(1+'Scenario Analysis'!$D$5)*(1+'Scenario Analysis'!$C$5)*'Scenario Analysis'!$D$14)+SUMPRODUCT('Sales, Production, &amp; Other Assu'!AB19:AB48*'Scenario Analysis'!$B$5,Table17[Unit Price in Study Currency]*(1+'Scenario Analysis'!$D$5)*(1+'Scenario Analysis'!$C$5)*'Scenario Analysis'!$D$15)+SUMPRODUCT('Sales, Production, &amp; Other Assu'!AA19:AA48*'Scenario Analysis'!$B$5,Table17[Unit Price in Study Currency]*(1+'Scenario Analysis'!$D$5)*(1+'Scenario Analysis'!$C$5)*'Scenario Analysis'!$D$16)+SUMPRODUCT('Sales, Production, &amp; Other Assu'!Z19:Z48*'Scenario Analysis'!$B$5,Table17[Unit Price in Study Currency]*(1+'Scenario Analysis'!$D$5)*(1+'Scenario Analysis'!$C$5)*'Scenario Analysis'!$D$17)+SUMPRODUCT('Sales, Production, &amp; Other Assu'!Y19:Y48*'Scenario Analysis'!$B$5,Table17[Unit Price in Study Currency]*(1+'Scenario Analysis'!$D$5)*(1+'Scenario Analysis'!$C$5)*'Scenario Analysis'!$D$18)+SUMPRODUCT('Sales, Production, &amp; Other Assu'!X19:X48*'Scenario Analysis'!$B$5,Table17[Unit Price in Study Currency]*(1+'Scenario Analysis'!$D$5)*(1+'Scenario Analysis'!$C$5)*'Scenario Analysis'!$D$19)</f>
        <v>809992.50749999995</v>
      </c>
      <c r="AD38" s="518">
        <f>SUMPRODUCT('Sales, Production, &amp; Other Assu'!AE19:AE48*'Scenario Analysis'!$B$5,Table17[Unit Price in Study Currency]*(1+'Scenario Analysis'!$D$5)*(1+'Scenario Analysis'!$C$5)*'Scenario Analysis'!$D$14)+SUMPRODUCT('Sales, Production, &amp; Other Assu'!AD19:AD48*'Scenario Analysis'!$B$5,Table17[Unit Price in Study Currency]*(1+'Scenario Analysis'!$D$5)*(1+'Scenario Analysis'!$C$5)*'Scenario Analysis'!$D$15)+SUMPRODUCT('Sales, Production, &amp; Other Assu'!AB19:AB48*'Scenario Analysis'!$B$5,Table17[Unit Price in Study Currency]*(1+'Scenario Analysis'!$D$5)*(1+'Scenario Analysis'!$C$5)*'Scenario Analysis'!$D$16)+SUMPRODUCT('Sales, Production, &amp; Other Assu'!AA19:AA48*'Scenario Analysis'!$B$5,Table17[Unit Price in Study Currency]*(1+'Scenario Analysis'!$D$5)*(1+'Scenario Analysis'!$C$5)*'Scenario Analysis'!$D$17)+SUMPRODUCT('Sales, Production, &amp; Other Assu'!Z19:Z48*'Scenario Analysis'!$B$5,Table17[Unit Price in Study Currency]*(1+'Scenario Analysis'!$D$5)*(1+'Scenario Analysis'!$C$5)*'Scenario Analysis'!$D$18)+SUMPRODUCT('Sales, Production, &amp; Other Assu'!Y19:Y48*'Scenario Analysis'!$B$5,Table17[Unit Price in Study Currency]*(1+'Scenario Analysis'!$D$5)*(1+'Scenario Analysis'!$C$5)*'Scenario Analysis'!$D$19)</f>
        <v>873323.82562500006</v>
      </c>
      <c r="AE38" s="518">
        <f>SUMPRODUCT('Sales, Production, &amp; Other Assu'!AF19:AF48*'Scenario Analysis'!$B$5,Table17[Unit Price in Study Currency]*(1+'Scenario Analysis'!$D$5)*(1+'Scenario Analysis'!$C$5)*'Scenario Analysis'!$D$14)+SUMPRODUCT('Sales, Production, &amp; Other Assu'!AE19:AE48*'Scenario Analysis'!$B$5,Table17[Unit Price in Study Currency]*(1+'Scenario Analysis'!$D$5)*(1+'Scenario Analysis'!$C$5)*'Scenario Analysis'!$D$15)+SUMPRODUCT('Sales, Production, &amp; Other Assu'!AD19:AD48*'Scenario Analysis'!$B$5,Table17[Unit Price in Study Currency]*(1+'Scenario Analysis'!$D$5)*(1+'Scenario Analysis'!$C$5)*'Scenario Analysis'!$D$16)+SUMPRODUCT('Sales, Production, &amp; Other Assu'!AB19:AB48*'Scenario Analysis'!$B$5,Table17[Unit Price in Study Currency]*(1+'Scenario Analysis'!$D$5)*(1+'Scenario Analysis'!$C$5)*'Scenario Analysis'!$D$17)+SUMPRODUCT('Sales, Production, &amp; Other Assu'!AA19:AA48*'Scenario Analysis'!$B$5,Table17[Unit Price in Study Currency]*(1+'Scenario Analysis'!$D$5)*(1+'Scenario Analysis'!$C$5)*'Scenario Analysis'!$D$18)+SUMPRODUCT('Sales, Production, &amp; Other Assu'!Z19:Z48*'Scenario Analysis'!$B$5,Table17[Unit Price in Study Currency]*(1+'Scenario Analysis'!$D$5)*(1+'Scenario Analysis'!$C$5)*'Scenario Analysis'!$D$19)</f>
        <v>936655.14375000005</v>
      </c>
      <c r="AF38" s="518">
        <f>SUMPRODUCT('Sales, Production, &amp; Other Assu'!AG19:AG48*'Scenario Analysis'!$B$5,Table17[Unit Price in Study Currency]*(1+'Scenario Analysis'!$D$5)*(1+'Scenario Analysis'!$C$5)*'Scenario Analysis'!$D$14)+SUMPRODUCT('Sales, Production, &amp; Other Assu'!AF19:AF48*'Scenario Analysis'!$B$5,Table17[Unit Price in Study Currency]*(1+'Scenario Analysis'!$D$5)*(1+'Scenario Analysis'!$C$5)*'Scenario Analysis'!$D$15)+SUMPRODUCT('Sales, Production, &amp; Other Assu'!AE19:AE48*'Scenario Analysis'!$B$5,Table17[Unit Price in Study Currency]*(1+'Scenario Analysis'!$D$5)*(1+'Scenario Analysis'!$C$5)*'Scenario Analysis'!$D$16)+SUMPRODUCT('Sales, Production, &amp; Other Assu'!AD19:AD48*'Scenario Analysis'!$B$5,Table17[Unit Price in Study Currency]*(1+'Scenario Analysis'!$D$5)*(1+'Scenario Analysis'!$C$5)*'Scenario Analysis'!$D$17)+SUMPRODUCT('Sales, Production, &amp; Other Assu'!AB19:AB48*'Scenario Analysis'!$B$5,Table17[Unit Price in Study Currency]*(1+'Scenario Analysis'!$D$5)*(1+'Scenario Analysis'!$C$5)*'Scenario Analysis'!$D$18)+SUMPRODUCT('Sales, Production, &amp; Other Assu'!AA19:AA48*'Scenario Analysis'!$B$5,Table17[Unit Price in Study Currency]*(1+'Scenario Analysis'!$D$5)*(1+'Scenario Analysis'!$C$5)*'Scenario Analysis'!$D$19)</f>
        <v>936655.14375000005</v>
      </c>
      <c r="AG38" s="518">
        <f>SUMPRODUCT('Sales, Production, &amp; Other Assu'!AH19:AH48*'Scenario Analysis'!$B$5,Table17[Unit Price in Study Currency]*(1+'Scenario Analysis'!$D$5)*(1+'Scenario Analysis'!$C$5)*'Scenario Analysis'!$D$14)+SUMPRODUCT('Sales, Production, &amp; Other Assu'!AG19:AG48*'Scenario Analysis'!$B$5,Table17[Unit Price in Study Currency]*(1+'Scenario Analysis'!$D$5)*(1+'Scenario Analysis'!$C$5)*'Scenario Analysis'!$D$15)+SUMPRODUCT('Sales, Production, &amp; Other Assu'!AF19:AF48*'Scenario Analysis'!$B$5,Table17[Unit Price in Study Currency]*(1+'Scenario Analysis'!$D$5)*(1+'Scenario Analysis'!$C$5)*'Scenario Analysis'!$D$16)+SUMPRODUCT('Sales, Production, &amp; Other Assu'!AE19:AE48*'Scenario Analysis'!$B$5,Table17[Unit Price in Study Currency]*(1+'Scenario Analysis'!$D$5)*(1+'Scenario Analysis'!$C$5)*'Scenario Analysis'!$D$17)+SUMPRODUCT('Sales, Production, &amp; Other Assu'!AD19:AD48*'Scenario Analysis'!$B$5,Table17[Unit Price in Study Currency]*(1+'Scenario Analysis'!$D$5)*(1+'Scenario Analysis'!$C$5)*'Scenario Analysis'!$D$18)+SUMPRODUCT('Sales, Production, &amp; Other Assu'!AB19:AB48*'Scenario Analysis'!$B$5,Table17[Unit Price in Study Currency]*(1+'Scenario Analysis'!$D$5)*(1+'Scenario Analysis'!$C$5)*'Scenario Analysis'!$D$19)</f>
        <v>936655.14375000005</v>
      </c>
      <c r="AH38" s="518">
        <f>SUMPRODUCT('Sales, Production, &amp; Other Assu'!AI19:AI48*'Scenario Analysis'!$B$5,Table17[Unit Price in Study Currency]*(1+'Scenario Analysis'!$D$5)*(1+'Scenario Analysis'!$C$5)*'Scenario Analysis'!$D$14)+SUMPRODUCT('Sales, Production, &amp; Other Assu'!AH19:AH48*'Scenario Analysis'!$B$5,Table17[Unit Price in Study Currency]*(1+'Scenario Analysis'!$D$5)*(1+'Scenario Analysis'!$C$5)*'Scenario Analysis'!$D$15)+SUMPRODUCT('Sales, Production, &amp; Other Assu'!AG19:AG48*'Scenario Analysis'!$B$5,Table17[Unit Price in Study Currency]*(1+'Scenario Analysis'!$D$5)*(1+'Scenario Analysis'!$C$5)*'Scenario Analysis'!$D$16)+SUMPRODUCT('Sales, Production, &amp; Other Assu'!AF19:AF48*'Scenario Analysis'!$B$5,Table17[Unit Price in Study Currency]*(1+'Scenario Analysis'!$D$5)*(1+'Scenario Analysis'!$C$5)*'Scenario Analysis'!$D$17)+SUMPRODUCT('Sales, Production, &amp; Other Assu'!AE19:AE48*'Scenario Analysis'!$B$5,Table17[Unit Price in Study Currency]*(1+'Scenario Analysis'!$D$5)*(1+'Scenario Analysis'!$C$5)*'Scenario Analysis'!$D$18)+SUMPRODUCT('Sales, Production, &amp; Other Assu'!AD19:AD48*'Scenario Analysis'!$B$5,Table17[Unit Price in Study Currency]*(1+'Scenario Analysis'!$D$5)*(1+'Scenario Analysis'!$C$5)*'Scenario Analysis'!$D$19)</f>
        <v>936655.14375000005</v>
      </c>
      <c r="AI38" s="518">
        <f>SUMPRODUCT('Sales, Production, &amp; Other Assu'!AJ19:AJ48*'Scenario Analysis'!$B$5,Table17[Unit Price in Study Currency]*(1+'Scenario Analysis'!$D$5)*(1+'Scenario Analysis'!$C$5)*'Scenario Analysis'!$D$14)+SUMPRODUCT('Sales, Production, &amp; Other Assu'!AI19:AI48*'Scenario Analysis'!$B$5,Table17[Unit Price in Study Currency]*(1+'Scenario Analysis'!$D$5)*(1+'Scenario Analysis'!$C$5)*'Scenario Analysis'!$D$15)+SUMPRODUCT('Sales, Production, &amp; Other Assu'!AH19:AH48*'Scenario Analysis'!$B$5,Table17[Unit Price in Study Currency]*(1+'Scenario Analysis'!$D$5)*(1+'Scenario Analysis'!$C$5)*'Scenario Analysis'!$D$16)+SUMPRODUCT('Sales, Production, &amp; Other Assu'!AG19:AG48*'Scenario Analysis'!$B$5,Table17[Unit Price in Study Currency]*(1+'Scenario Analysis'!$D$5)*(1+'Scenario Analysis'!$C$5)*'Scenario Analysis'!$D$17)+SUMPRODUCT('Sales, Production, &amp; Other Assu'!AF19:AF48*'Scenario Analysis'!$B$5,Table17[Unit Price in Study Currency]*(1+'Scenario Analysis'!$D$5)*(1+'Scenario Analysis'!$C$5)*'Scenario Analysis'!$D$18)+SUMPRODUCT('Sales, Production, &amp; Other Assu'!AE19:AE48*'Scenario Analysis'!$B$5,Table17[Unit Price in Study Currency]*(1+'Scenario Analysis'!$D$5)*(1+'Scenario Analysis'!$C$5)*'Scenario Analysis'!$D$19)</f>
        <v>936655.14375000005</v>
      </c>
      <c r="AJ38" s="518">
        <f>SUMPRODUCT('Sales, Production, &amp; Other Assu'!AK19:AK48*'Scenario Analysis'!$B$5,Table17[Unit Price in Study Currency]*(1+'Scenario Analysis'!$D$5)*(1+'Scenario Analysis'!$C$5)*'Scenario Analysis'!$D$14)+SUMPRODUCT('Sales, Production, &amp; Other Assu'!AJ19:AJ48*'Scenario Analysis'!$B$5,Table17[Unit Price in Study Currency]*(1+'Scenario Analysis'!$D$5)*(1+'Scenario Analysis'!$C$5)*'Scenario Analysis'!$D$15)+SUMPRODUCT('Sales, Production, &amp; Other Assu'!AI19:AI48*'Scenario Analysis'!$B$5,Table17[Unit Price in Study Currency]*(1+'Scenario Analysis'!$D$5)*(1+'Scenario Analysis'!$C$5)*'Scenario Analysis'!$D$16)+SUMPRODUCT('Sales, Production, &amp; Other Assu'!AH19:AH48*'Scenario Analysis'!$B$5,Table17[Unit Price in Study Currency]*(1+'Scenario Analysis'!$D$5)*(1+'Scenario Analysis'!$C$5)*'Scenario Analysis'!$D$17)+SUMPRODUCT('Sales, Production, &amp; Other Assu'!AG19:AG48*'Scenario Analysis'!$B$5,Table17[Unit Price in Study Currency]*(1+'Scenario Analysis'!$D$5)*(1+'Scenario Analysis'!$C$5)*'Scenario Analysis'!$D$18)+SUMPRODUCT('Sales, Production, &amp; Other Assu'!AF19:AF48*'Scenario Analysis'!$B$5,Table17[Unit Price in Study Currency]*(1+'Scenario Analysis'!$D$5)*(1+'Scenario Analysis'!$C$5)*'Scenario Analysis'!$D$19)</f>
        <v>936655.14375000005</v>
      </c>
      <c r="AK38" s="518">
        <f>SUMPRODUCT('Sales, Production, &amp; Other Assu'!AL19:AL48*'Scenario Analysis'!$B$5,Table17[Unit Price in Study Currency]*(1+'Scenario Analysis'!$D$5)*(1+'Scenario Analysis'!$C$5)*'Scenario Analysis'!$D$14)+SUMPRODUCT('Sales, Production, &amp; Other Assu'!AK19:AK48*'Scenario Analysis'!$B$5,Table17[Unit Price in Study Currency]*(1+'Scenario Analysis'!$D$5)*(1+'Scenario Analysis'!$C$5)*'Scenario Analysis'!$D$15)+SUMPRODUCT('Sales, Production, &amp; Other Assu'!AJ19:AJ48*'Scenario Analysis'!$B$5,Table17[Unit Price in Study Currency]*(1+'Scenario Analysis'!$D$5)*(1+'Scenario Analysis'!$C$5)*'Scenario Analysis'!$D$16)+SUMPRODUCT('Sales, Production, &amp; Other Assu'!AI19:AI48*'Scenario Analysis'!$B$5,Table17[Unit Price in Study Currency]*(1+'Scenario Analysis'!$D$5)*(1+'Scenario Analysis'!$C$5)*'Scenario Analysis'!$D$17)+SUMPRODUCT('Sales, Production, &amp; Other Assu'!AH19:AH48*'Scenario Analysis'!$B$5,Table17[Unit Price in Study Currency]*(1+'Scenario Analysis'!$D$5)*(1+'Scenario Analysis'!$C$5)*'Scenario Analysis'!$D$18)+SUMPRODUCT('Sales, Production, &amp; Other Assu'!AG19:AG48*'Scenario Analysis'!$B$5,Table17[Unit Price in Study Currency]*(1+'Scenario Analysis'!$D$5)*(1+'Scenario Analysis'!$C$5)*'Scenario Analysis'!$D$19)</f>
        <v>936655.14375000005</v>
      </c>
      <c r="AL38" s="518">
        <f>SUMPRODUCT('Sales, Production, &amp; Other Assu'!AM19:AM48*'Scenario Analysis'!$B$5,Table17[Unit Price in Study Currency]*(1+'Scenario Analysis'!$D$5)*(1+'Scenario Analysis'!$C$5)*'Scenario Analysis'!$D$14)+SUMPRODUCT('Sales, Production, &amp; Other Assu'!AL19:AL48*'Scenario Analysis'!$B$5,Table17[Unit Price in Study Currency]*(1+'Scenario Analysis'!$D$5)*(1+'Scenario Analysis'!$C$5)*'Scenario Analysis'!$D$15)+SUMPRODUCT('Sales, Production, &amp; Other Assu'!AK19:AK48*'Scenario Analysis'!$B$5,Table17[Unit Price in Study Currency]*(1+'Scenario Analysis'!$D$5)*(1+'Scenario Analysis'!$C$5)*'Scenario Analysis'!$D$16)+SUMPRODUCT('Sales, Production, &amp; Other Assu'!AJ19:AJ48*'Scenario Analysis'!$B$5,Table17[Unit Price in Study Currency]*(1+'Scenario Analysis'!$D$5)*(1+'Scenario Analysis'!$C$5)*'Scenario Analysis'!$D$17)+SUMPRODUCT('Sales, Production, &amp; Other Assu'!AI19:AI48*'Scenario Analysis'!$B$5,Table17[Unit Price in Study Currency]*(1+'Scenario Analysis'!$D$5)*(1+'Scenario Analysis'!$C$5)*'Scenario Analysis'!$D$18)+SUMPRODUCT('Sales, Production, &amp; Other Assu'!AH19:AH48*'Scenario Analysis'!$B$5,Table17[Unit Price in Study Currency]*(1+'Scenario Analysis'!$D$5)*(1+'Scenario Analysis'!$C$5)*'Scenario Analysis'!$D$19)</f>
        <v>936655.14375000005</v>
      </c>
      <c r="AM38" s="518">
        <f>SUMPRODUCT('Sales, Production, &amp; Other Assu'!AN19:AN48*'Scenario Analysis'!$B$5,Table17[Unit Price in Study Currency]*(1+'Scenario Analysis'!$D$5)*(1+'Scenario Analysis'!$C$5)*'Scenario Analysis'!$D$14)+SUMPRODUCT('Sales, Production, &amp; Other Assu'!AM19:AM48*'Scenario Analysis'!$B$5,Table17[Unit Price in Study Currency]*(1+'Scenario Analysis'!$D$5)*(1+'Scenario Analysis'!$C$5)*'Scenario Analysis'!$D$15)+SUMPRODUCT('Sales, Production, &amp; Other Assu'!AL19:AL48*'Scenario Analysis'!$B$5,Table17[Unit Price in Study Currency]*(1+'Scenario Analysis'!$D$5)*(1+'Scenario Analysis'!$C$5)*'Scenario Analysis'!$D$16)+SUMPRODUCT('Sales, Production, &amp; Other Assu'!AK19:AK48*'Scenario Analysis'!$B$5,Table17[Unit Price in Study Currency]*(1+'Scenario Analysis'!$D$5)*(1+'Scenario Analysis'!$C$5)*'Scenario Analysis'!$D$17)+SUMPRODUCT('Sales, Production, &amp; Other Assu'!AJ19:AJ48*'Scenario Analysis'!$B$5,Table17[Unit Price in Study Currency]*(1+'Scenario Analysis'!$D$5)*(1+'Scenario Analysis'!$C$5)*'Scenario Analysis'!$D$18)+SUMPRODUCT('Sales, Production, &amp; Other Assu'!AI19:AI48*'Scenario Analysis'!$B$5,Table17[Unit Price in Study Currency]*(1+'Scenario Analysis'!$D$5)*(1+'Scenario Analysis'!$C$5)*'Scenario Analysis'!$D$19)</f>
        <v>936655.14375000005</v>
      </c>
      <c r="AN38" s="518">
        <f>SUMPRODUCT('Sales, Production, &amp; Other Assu'!AO19:AO48*'Scenario Analysis'!$B$5,Table17[Unit Price in Study Currency]*(1+'Scenario Analysis'!$D$5)*(1+'Scenario Analysis'!$C$5)*'Scenario Analysis'!$D$14)+SUMPRODUCT('Sales, Production, &amp; Other Assu'!AN19:AN48*'Scenario Analysis'!$B$5,Table17[Unit Price in Study Currency]*(1+'Scenario Analysis'!$D$5)*(1+'Scenario Analysis'!$C$5)*'Scenario Analysis'!$D$15)+SUMPRODUCT('Sales, Production, &amp; Other Assu'!AM19:AM48*'Scenario Analysis'!$B$5,Table17[Unit Price in Study Currency]*(1+'Scenario Analysis'!$D$5)*(1+'Scenario Analysis'!$C$5)*'Scenario Analysis'!$D$16)+SUMPRODUCT('Sales, Production, &amp; Other Assu'!AL19:AL48*'Scenario Analysis'!$B$5,Table17[Unit Price in Study Currency]*(1+'Scenario Analysis'!$D$5)*(1+'Scenario Analysis'!$C$5)*'Scenario Analysis'!$D$17)+SUMPRODUCT('Sales, Production, &amp; Other Assu'!AK19:AK48*'Scenario Analysis'!$B$5,Table17[Unit Price in Study Currency]*(1+'Scenario Analysis'!$D$5)*(1+'Scenario Analysis'!$C$5)*'Scenario Analysis'!$D$18)+SUMPRODUCT('Sales, Production, &amp; Other Assu'!AJ19:AJ48*'Scenario Analysis'!$B$5,Table17[Unit Price in Study Currency]*(1+'Scenario Analysis'!$D$5)*(1+'Scenario Analysis'!$C$5)*'Scenario Analysis'!$D$19)</f>
        <v>936655.14375000005</v>
      </c>
      <c r="AO38" s="545">
        <f>SUM(AC38:AN38)</f>
        <v>11049867.770625001</v>
      </c>
      <c r="AP38" s="518">
        <f>SUMPRODUCT('Sales, Production, &amp; Other Assu'!AQ19:AQ48*'Scenario Analysis'!$B$5,Table17[Unit Price in Study Currency]*(1+'Scenario Analysis'!$D$5)*(1+'Scenario Analysis'!$C$5)*'Scenario Analysis'!$D$14)+SUMPRODUCT('Sales, Production, &amp; Other Assu'!AO19:AO48*'Scenario Analysis'!$B$5,Table17[Unit Price in Study Currency]*(1+'Scenario Analysis'!$D$5)*(1+'Scenario Analysis'!$C$5)*'Scenario Analysis'!$D$15)+SUMPRODUCT('Sales, Production, &amp; Other Assu'!AN19:AN48*'Scenario Analysis'!$B$5,Table17[Unit Price in Study Currency]*(1+'Scenario Analysis'!$D$5)*(1+'Scenario Analysis'!$C$5)*'Scenario Analysis'!$D$16)+SUMPRODUCT('Sales, Production, &amp; Other Assu'!AM19:AM48*'Scenario Analysis'!$B$5,Table17[Unit Price in Study Currency]*(1+'Scenario Analysis'!$D$5)*(1+'Scenario Analysis'!$C$5)*'Scenario Analysis'!$D$17)+SUMPRODUCT('Sales, Production, &amp; Other Assu'!AL19:AL48*'Scenario Analysis'!$B$5,Table17[Unit Price in Study Currency]*(1+'Scenario Analysis'!$D$5)*(1+'Scenario Analysis'!$C$5)*'Scenario Analysis'!$D$18)+SUMPRODUCT('Sales, Production, &amp; Other Assu'!AK19:AK48*'Scenario Analysis'!$B$5,Table17[Unit Price in Study Currency]*(1+'Scenario Analysis'!$D$5)*(1+'Scenario Analysis'!$C$5)*'Scenario Analysis'!$D$19)</f>
        <v>936655.14375000005</v>
      </c>
      <c r="AQ38" s="518">
        <f>SUMPRODUCT('Sales, Production, &amp; Other Assu'!AR19:AR48*'Scenario Analysis'!$B$5,Table17[Unit Price in Study Currency]*(1+'Scenario Analysis'!$D$5)*(1+'Scenario Analysis'!$C$5)*'Scenario Analysis'!$D$14)+SUMPRODUCT('Sales, Production, &amp; Other Assu'!AQ19:AQ48*'Scenario Analysis'!$B$5,Table17[Unit Price in Study Currency]*(1+'Scenario Analysis'!$D$5)*(1+'Scenario Analysis'!$C$5)*'Scenario Analysis'!$D$15)+SUMPRODUCT('Sales, Production, &amp; Other Assu'!AO19:AO48*'Scenario Analysis'!$B$5,Table17[Unit Price in Study Currency]*(1+'Scenario Analysis'!$D$5)*(1+'Scenario Analysis'!$C$5)*'Scenario Analysis'!$D$16)+SUMPRODUCT('Sales, Production, &amp; Other Assu'!AN19:AN48*'Scenario Analysis'!$B$5,Table17[Unit Price in Study Currency]*(1+'Scenario Analysis'!$D$5)*(1+'Scenario Analysis'!$C$5)*'Scenario Analysis'!$D$17)+SUMPRODUCT('Sales, Production, &amp; Other Assu'!AM19:AM48*'Scenario Analysis'!$B$5,Table17[Unit Price in Study Currency]*(1+'Scenario Analysis'!$D$5)*(1+'Scenario Analysis'!$C$5)*'Scenario Analysis'!$D$18)+SUMPRODUCT('Sales, Production, &amp; Other Assu'!AL19:AL48*'Scenario Analysis'!$B$5,Table17[Unit Price in Study Currency]*(1+'Scenario Analysis'!$D$5)*(1+'Scenario Analysis'!$C$5)*'Scenario Analysis'!$D$19)</f>
        <v>1006122.7687499999</v>
      </c>
      <c r="AR38" s="518">
        <f>SUMPRODUCT('Sales, Production, &amp; Other Assu'!AS19:AS48*'Scenario Analysis'!$B$5,Table17[Unit Price in Study Currency]*(1+'Scenario Analysis'!$D$5)*(1+'Scenario Analysis'!$C$5)*'Scenario Analysis'!$D$14)+SUMPRODUCT('Sales, Production, &amp; Other Assu'!AR19:AR48*'Scenario Analysis'!$B$5,Table17[Unit Price in Study Currency]*(1+'Scenario Analysis'!$D$5)*(1+'Scenario Analysis'!$C$5)*'Scenario Analysis'!$D$15)+SUMPRODUCT('Sales, Production, &amp; Other Assu'!AQ19:AQ48*'Scenario Analysis'!$B$5,Table17[Unit Price in Study Currency]*(1+'Scenario Analysis'!$D$5)*(1+'Scenario Analysis'!$C$5)*'Scenario Analysis'!$D$16)+SUMPRODUCT('Sales, Production, &amp; Other Assu'!AO19:AO48*'Scenario Analysis'!$B$5,Table17[Unit Price in Study Currency]*(1+'Scenario Analysis'!$D$5)*(1+'Scenario Analysis'!$C$5)*'Scenario Analysis'!$D$17)+SUMPRODUCT('Sales, Production, &amp; Other Assu'!AN19:AN48*'Scenario Analysis'!$B$5,Table17[Unit Price in Study Currency]*(1+'Scenario Analysis'!$D$5)*(1+'Scenario Analysis'!$C$5)*'Scenario Analysis'!$D$18)+SUMPRODUCT('Sales, Production, &amp; Other Assu'!AM19:AM48*'Scenario Analysis'!$B$5,Table17[Unit Price in Study Currency]*(1+'Scenario Analysis'!$D$5)*(1+'Scenario Analysis'!$C$5)*'Scenario Analysis'!$D$19)</f>
        <v>1075590.3937499998</v>
      </c>
      <c r="AS38" s="518">
        <f>SUMPRODUCT('Sales, Production, &amp; Other Assu'!AT19:AT48*'Scenario Analysis'!$B$5,Table17[Unit Price in Study Currency]*(1+'Scenario Analysis'!$D$5)*(1+'Scenario Analysis'!$C$5)*'Scenario Analysis'!$D$14)+SUMPRODUCT('Sales, Production, &amp; Other Assu'!AS19:AS48*'Scenario Analysis'!$B$5,Table17[Unit Price in Study Currency]*(1+'Scenario Analysis'!$D$5)*(1+'Scenario Analysis'!$C$5)*'Scenario Analysis'!$D$15)+SUMPRODUCT('Sales, Production, &amp; Other Assu'!AR19:AR48*'Scenario Analysis'!$B$5,Table17[Unit Price in Study Currency]*(1+'Scenario Analysis'!$D$5)*(1+'Scenario Analysis'!$C$5)*'Scenario Analysis'!$D$16)+SUMPRODUCT('Sales, Production, &amp; Other Assu'!AQ19:AQ48*'Scenario Analysis'!$B$5,Table17[Unit Price in Study Currency]*(1+'Scenario Analysis'!$D$5)*(1+'Scenario Analysis'!$C$5)*'Scenario Analysis'!$D$17)+SUMPRODUCT('Sales, Production, &amp; Other Assu'!AO19:AO48*'Scenario Analysis'!$B$5,Table17[Unit Price in Study Currency]*(1+'Scenario Analysis'!$D$5)*(1+'Scenario Analysis'!$C$5)*'Scenario Analysis'!$D$18)+SUMPRODUCT('Sales, Production, &amp; Other Assu'!AN19:AN48*'Scenario Analysis'!$B$5,Table17[Unit Price in Study Currency]*(1+'Scenario Analysis'!$D$5)*(1+'Scenario Analysis'!$C$5)*'Scenario Analysis'!$D$19)</f>
        <v>1075590.3937499998</v>
      </c>
      <c r="AT38" s="518">
        <f>SUMPRODUCT('Sales, Production, &amp; Other Assu'!AU19:AU48*'Scenario Analysis'!$B$5,Table17[Unit Price in Study Currency]*(1+'Scenario Analysis'!$D$5)*(1+'Scenario Analysis'!$C$5)*'Scenario Analysis'!$D$14)+SUMPRODUCT('Sales, Production, &amp; Other Assu'!AT19:AT48*'Scenario Analysis'!$B$5,Table17[Unit Price in Study Currency]*(1+'Scenario Analysis'!$D$5)*(1+'Scenario Analysis'!$C$5)*'Scenario Analysis'!$D$15)+SUMPRODUCT('Sales, Production, &amp; Other Assu'!AS19:AS48*'Scenario Analysis'!$B$5,Table17[Unit Price in Study Currency]*(1+'Scenario Analysis'!$D$5)*(1+'Scenario Analysis'!$C$5)*'Scenario Analysis'!$D$16)+SUMPRODUCT('Sales, Production, &amp; Other Assu'!AR19:AR48*'Scenario Analysis'!$B$5,Table17[Unit Price in Study Currency]*(1+'Scenario Analysis'!$D$5)*(1+'Scenario Analysis'!$C$5)*'Scenario Analysis'!$D$17)+SUMPRODUCT('Sales, Production, &amp; Other Assu'!AQ19:AQ48*'Scenario Analysis'!$B$5,Table17[Unit Price in Study Currency]*(1+'Scenario Analysis'!$D$5)*(1+'Scenario Analysis'!$C$5)*'Scenario Analysis'!$D$18)+SUMPRODUCT('Sales, Production, &amp; Other Assu'!AO19:AO48*'Scenario Analysis'!$B$5,Table17[Unit Price in Study Currency]*(1+'Scenario Analysis'!$D$5)*(1+'Scenario Analysis'!$C$5)*'Scenario Analysis'!$D$19)</f>
        <v>1075590.3937499998</v>
      </c>
      <c r="AU38" s="518">
        <f>SUMPRODUCT('Sales, Production, &amp; Other Assu'!AV19:AV48*'Scenario Analysis'!$B$5,Table17[Unit Price in Study Currency]*(1+'Scenario Analysis'!$D$5)*(1+'Scenario Analysis'!$C$5)*'Scenario Analysis'!$D$14)+SUMPRODUCT('Sales, Production, &amp; Other Assu'!AU19:AU48*'Scenario Analysis'!$B$5,Table17[Unit Price in Study Currency]*(1+'Scenario Analysis'!$D$5)*(1+'Scenario Analysis'!$C$5)*'Scenario Analysis'!$D$15)+SUMPRODUCT('Sales, Production, &amp; Other Assu'!AT19:AT48*'Scenario Analysis'!$B$5,Table17[Unit Price in Study Currency]*(1+'Scenario Analysis'!$D$5)*(1+'Scenario Analysis'!$C$5)*'Scenario Analysis'!$D$16)+SUMPRODUCT('Sales, Production, &amp; Other Assu'!AS19:AS48*'Scenario Analysis'!$B$5,Table17[Unit Price in Study Currency]*(1+'Scenario Analysis'!$D$5)*(1+'Scenario Analysis'!$C$5)*'Scenario Analysis'!$D$17)+SUMPRODUCT('Sales, Production, &amp; Other Assu'!AR19:AR48*'Scenario Analysis'!$B$5,Table17[Unit Price in Study Currency]*(1+'Scenario Analysis'!$D$5)*(1+'Scenario Analysis'!$C$5)*'Scenario Analysis'!$D$18)+SUMPRODUCT('Sales, Production, &amp; Other Assu'!AQ19:AQ48*'Scenario Analysis'!$B$5,Table17[Unit Price in Study Currency]*(1+'Scenario Analysis'!$D$5)*(1+'Scenario Analysis'!$C$5)*'Scenario Analysis'!$D$19)</f>
        <v>1075590.3937499998</v>
      </c>
      <c r="AV38" s="518">
        <f>SUMPRODUCT('Sales, Production, &amp; Other Assu'!AW19:AW48*'Scenario Analysis'!$B$5,Table17[Unit Price in Study Currency]*(1+'Scenario Analysis'!$D$5)*(1+'Scenario Analysis'!$C$5)*'Scenario Analysis'!$D$14)+SUMPRODUCT('Sales, Production, &amp; Other Assu'!AV19:AV48*'Scenario Analysis'!$B$5,Table17[Unit Price in Study Currency]*(1+'Scenario Analysis'!$D$5)*(1+'Scenario Analysis'!$C$5)*'Scenario Analysis'!$D$15)+SUMPRODUCT('Sales, Production, &amp; Other Assu'!AU19:AU48*'Scenario Analysis'!$B$5,Table17[Unit Price in Study Currency]*(1+'Scenario Analysis'!$D$5)*(1+'Scenario Analysis'!$C$5)*'Scenario Analysis'!$D$16)+SUMPRODUCT('Sales, Production, &amp; Other Assu'!AT19:AT48*'Scenario Analysis'!$B$5,Table17[Unit Price in Study Currency]*(1+'Scenario Analysis'!$D$5)*(1+'Scenario Analysis'!$C$5)*'Scenario Analysis'!$D$17)+SUMPRODUCT('Sales, Production, &amp; Other Assu'!AS19:AS48*'Scenario Analysis'!$B$5,Table17[Unit Price in Study Currency]*(1+'Scenario Analysis'!$D$5)*(1+'Scenario Analysis'!$C$5)*'Scenario Analysis'!$D$18)+SUMPRODUCT('Sales, Production, &amp; Other Assu'!AR19:AR48*'Scenario Analysis'!$B$5,Table17[Unit Price in Study Currency]*(1+'Scenario Analysis'!$D$5)*(1+'Scenario Analysis'!$C$5)*'Scenario Analysis'!$D$19)</f>
        <v>1075590.3937499998</v>
      </c>
      <c r="AW38" s="518">
        <f>SUMPRODUCT('Sales, Production, &amp; Other Assu'!AX19:AX48*'Scenario Analysis'!$B$5,Table17[Unit Price in Study Currency]*(1+'Scenario Analysis'!$D$5)*(1+'Scenario Analysis'!$C$5)*'Scenario Analysis'!$D$14)+SUMPRODUCT('Sales, Production, &amp; Other Assu'!AW19:AW48*'Scenario Analysis'!$B$5,Table17[Unit Price in Study Currency]*(1+'Scenario Analysis'!$D$5)*(1+'Scenario Analysis'!$C$5)*'Scenario Analysis'!$D$15)+SUMPRODUCT('Sales, Production, &amp; Other Assu'!AV19:AV48*'Scenario Analysis'!$B$5,Table17[Unit Price in Study Currency]*(1+'Scenario Analysis'!$D$5)*(1+'Scenario Analysis'!$C$5)*'Scenario Analysis'!$D$16)+SUMPRODUCT('Sales, Production, &amp; Other Assu'!AU19:AU48*'Scenario Analysis'!$B$5,Table17[Unit Price in Study Currency]*(1+'Scenario Analysis'!$D$5)*(1+'Scenario Analysis'!$C$5)*'Scenario Analysis'!$D$17)+SUMPRODUCT('Sales, Production, &amp; Other Assu'!AT19:AT48*'Scenario Analysis'!$B$5,Table17[Unit Price in Study Currency]*(1+'Scenario Analysis'!$D$5)*(1+'Scenario Analysis'!$C$5)*'Scenario Analysis'!$D$18)+SUMPRODUCT('Sales, Production, &amp; Other Assu'!AS19:AS48*'Scenario Analysis'!$B$5,Table17[Unit Price in Study Currency]*(1+'Scenario Analysis'!$D$5)*(1+'Scenario Analysis'!$C$5)*'Scenario Analysis'!$D$19)</f>
        <v>1075590.3937499998</v>
      </c>
      <c r="AX38" s="518">
        <f>SUMPRODUCT('Sales, Production, &amp; Other Assu'!AY19:AY48*'Scenario Analysis'!$B$5,Table17[Unit Price in Study Currency]*(1+'Scenario Analysis'!$D$5)*(1+'Scenario Analysis'!$C$5)*'Scenario Analysis'!$D$14)+SUMPRODUCT('Sales, Production, &amp; Other Assu'!AX19:AX48*'Scenario Analysis'!$B$5,Table17[Unit Price in Study Currency]*(1+'Scenario Analysis'!$D$5)*(1+'Scenario Analysis'!$C$5)*'Scenario Analysis'!$D$15)+SUMPRODUCT('Sales, Production, &amp; Other Assu'!AW19:AW48*'Scenario Analysis'!$B$5,Table17[Unit Price in Study Currency]*(1+'Scenario Analysis'!$D$5)*(1+'Scenario Analysis'!$C$5)*'Scenario Analysis'!$D$16)+SUMPRODUCT('Sales, Production, &amp; Other Assu'!AV19:AV48*'Scenario Analysis'!$B$5,Table17[Unit Price in Study Currency]*(1+'Scenario Analysis'!$D$5)*(1+'Scenario Analysis'!$C$5)*'Scenario Analysis'!$D$17)+SUMPRODUCT('Sales, Production, &amp; Other Assu'!AU19:AU48*'Scenario Analysis'!$B$5,Table17[Unit Price in Study Currency]*(1+'Scenario Analysis'!$D$5)*(1+'Scenario Analysis'!$C$5)*'Scenario Analysis'!$D$18)+SUMPRODUCT('Sales, Production, &amp; Other Assu'!AT19:AT48*'Scenario Analysis'!$B$5,Table17[Unit Price in Study Currency]*(1+'Scenario Analysis'!$D$5)*(1+'Scenario Analysis'!$C$5)*'Scenario Analysis'!$D$19)</f>
        <v>1075590.3937499998</v>
      </c>
      <c r="AY38" s="518">
        <f>SUMPRODUCT('Sales, Production, &amp; Other Assu'!AZ19:AZ48*'Scenario Analysis'!$B$5,Table17[Unit Price in Study Currency]*(1+'Scenario Analysis'!$D$5)*(1+'Scenario Analysis'!$C$5)*'Scenario Analysis'!$D$14)+SUMPRODUCT('Sales, Production, &amp; Other Assu'!AY19:AY48*'Scenario Analysis'!$B$5,Table17[Unit Price in Study Currency]*(1+'Scenario Analysis'!$D$5)*(1+'Scenario Analysis'!$C$5)*'Scenario Analysis'!$D$15)+SUMPRODUCT('Sales, Production, &amp; Other Assu'!AX19:AX48*'Scenario Analysis'!$B$5,Table17[Unit Price in Study Currency]*(1+'Scenario Analysis'!$D$5)*(1+'Scenario Analysis'!$C$5)*'Scenario Analysis'!$D$16)+SUMPRODUCT('Sales, Production, &amp; Other Assu'!AW19:AW48*'Scenario Analysis'!$B$5,Table17[Unit Price in Study Currency]*(1+'Scenario Analysis'!$D$5)*(1+'Scenario Analysis'!$C$5)*'Scenario Analysis'!$D$17)+SUMPRODUCT('Sales, Production, &amp; Other Assu'!AV19:AV48*'Scenario Analysis'!$B$5,Table17[Unit Price in Study Currency]*(1+'Scenario Analysis'!$D$5)*(1+'Scenario Analysis'!$C$5)*'Scenario Analysis'!$D$18)+SUMPRODUCT('Sales, Production, &amp; Other Assu'!AU19:AU48*'Scenario Analysis'!$B$5,Table17[Unit Price in Study Currency]*(1+'Scenario Analysis'!$D$5)*(1+'Scenario Analysis'!$C$5)*'Scenario Analysis'!$D$19)</f>
        <v>1075590.3937499998</v>
      </c>
      <c r="AZ38" s="518">
        <f>SUMPRODUCT('Sales, Production, &amp; Other Assu'!BA19:BA48*'Scenario Analysis'!$B$5,Table17[Unit Price in Study Currency]*(1+'Scenario Analysis'!$D$5)*(1+'Scenario Analysis'!$C$5)*'Scenario Analysis'!$D$14)+SUMPRODUCT('Sales, Production, &amp; Other Assu'!AZ19:AZ48*'Scenario Analysis'!$B$5,Table17[Unit Price in Study Currency]*(1+'Scenario Analysis'!$D$5)*(1+'Scenario Analysis'!$C$5)*'Scenario Analysis'!$D$15)+SUMPRODUCT('Sales, Production, &amp; Other Assu'!AY19:AY48*'Scenario Analysis'!$B$5,Table17[Unit Price in Study Currency]*(1+'Scenario Analysis'!$D$5)*(1+'Scenario Analysis'!$C$5)*'Scenario Analysis'!$D$16)+SUMPRODUCT('Sales, Production, &amp; Other Assu'!AX19:AX48*'Scenario Analysis'!$B$5,Table17[Unit Price in Study Currency]*(1+'Scenario Analysis'!$D$5)*(1+'Scenario Analysis'!$C$5)*'Scenario Analysis'!$D$17)+SUMPRODUCT('Sales, Production, &amp; Other Assu'!AW19:AW48*'Scenario Analysis'!$B$5,Table17[Unit Price in Study Currency]*(1+'Scenario Analysis'!$D$5)*(1+'Scenario Analysis'!$C$5)*'Scenario Analysis'!$D$18)+SUMPRODUCT('Sales, Production, &amp; Other Assu'!AV19:AV48*'Scenario Analysis'!$B$5,Table17[Unit Price in Study Currency]*(1+'Scenario Analysis'!$D$5)*(1+'Scenario Analysis'!$C$5)*'Scenario Analysis'!$D$19)</f>
        <v>1075590.3937499998</v>
      </c>
      <c r="BA38" s="518">
        <f>SUMPRODUCT('Sales, Production, &amp; Other Assu'!BB19:BB48*'Scenario Analysis'!$B$5,Table17[Unit Price in Study Currency]*(1+'Scenario Analysis'!$D$5)*(1+'Scenario Analysis'!$C$5)*'Scenario Analysis'!$D$14)+SUMPRODUCT('Sales, Production, &amp; Other Assu'!BA19:BA48*'Scenario Analysis'!$B$5,Table17[Unit Price in Study Currency]*(1+'Scenario Analysis'!$D$5)*(1+'Scenario Analysis'!$C$5)*'Scenario Analysis'!$D$15)+SUMPRODUCT('Sales, Production, &amp; Other Assu'!AZ19:AZ48*'Scenario Analysis'!$B$5,Table17[Unit Price in Study Currency]*(1+'Scenario Analysis'!$D$5)*(1+'Scenario Analysis'!$C$5)*'Scenario Analysis'!$D$16)+SUMPRODUCT('Sales, Production, &amp; Other Assu'!AY19:AY48*'Scenario Analysis'!$B$5,Table17[Unit Price in Study Currency]*(1+'Scenario Analysis'!$D$5)*(1+'Scenario Analysis'!$C$5)*'Scenario Analysis'!$D$17)+SUMPRODUCT('Sales, Production, &amp; Other Assu'!AX19:AX48*'Scenario Analysis'!$B$5,Table17[Unit Price in Study Currency]*(1+'Scenario Analysis'!$D$5)*(1+'Scenario Analysis'!$C$5)*'Scenario Analysis'!$D$18)+SUMPRODUCT('Sales, Production, &amp; Other Assu'!AW19:AW48*'Scenario Analysis'!$B$5,Table17[Unit Price in Study Currency]*(1+'Scenario Analysis'!$D$5)*(1+'Scenario Analysis'!$C$5)*'Scenario Analysis'!$D$19)</f>
        <v>1075590.3937499998</v>
      </c>
      <c r="BB38" s="545">
        <f>SUM(AP38:BA38)</f>
        <v>12698681.850000001</v>
      </c>
      <c r="BC38" s="518">
        <f>SUMPRODUCT('Sales, Production, &amp; Other Assu'!BD19:BD48*'Scenario Analysis'!$B$5,Table17[Unit Price in Study Currency]*(1+'Scenario Analysis'!$D$5)*(1+'Scenario Analysis'!$C$5)*'Scenario Analysis'!$D$14)+SUMPRODUCT('Sales, Production, &amp; Other Assu'!BB19:BB48*'Scenario Analysis'!$B$5,Table17[Unit Price in Study Currency]*(1+'Scenario Analysis'!$D$5)*(1+'Scenario Analysis'!$C$5)*'Scenario Analysis'!$D$15)+SUMPRODUCT('Sales, Production, &amp; Other Assu'!BA19:BA48*'Scenario Analysis'!$B$5,Table17[Unit Price in Study Currency]*(1+'Scenario Analysis'!$D$5)*(1+'Scenario Analysis'!$C$5)*'Scenario Analysis'!$D$16)+SUMPRODUCT('Sales, Production, &amp; Other Assu'!AZ19:AZ48*'Scenario Analysis'!$B$5,Table17[Unit Price in Study Currency]*(1+'Scenario Analysis'!$D$5)*(1+'Scenario Analysis'!$C$5)*'Scenario Analysis'!$D$17)+SUMPRODUCT('Sales, Production, &amp; Other Assu'!AY19:AY48*'Scenario Analysis'!$B$5,Table17[Unit Price in Study Currency]*(1+'Scenario Analysis'!$D$5)*(1+'Scenario Analysis'!$C$5)*'Scenario Analysis'!$D$18)+SUMPRODUCT('Sales, Production, &amp; Other Assu'!AX19:AX48*'Scenario Analysis'!$B$5,Table17[Unit Price in Study Currency]*(1+'Scenario Analysis'!$D$5)*(1+'Scenario Analysis'!$C$5)*'Scenario Analysis'!$D$19)</f>
        <v>1075590.3937499998</v>
      </c>
      <c r="BD38" s="518">
        <f>SUMPRODUCT('Sales, Production, &amp; Other Assu'!BE19:BE48*'Scenario Analysis'!$B$5,Table17[Unit Price in Study Currency]*(1+'Scenario Analysis'!$D$5)*(1+'Scenario Analysis'!$C$5)*'Scenario Analysis'!$D$14)+SUMPRODUCT('Sales, Production, &amp; Other Assu'!BD19:BD48*'Scenario Analysis'!$B$5,Table17[Unit Price in Study Currency]*(1+'Scenario Analysis'!$D$5)*(1+'Scenario Analysis'!$C$5)*'Scenario Analysis'!$D$15)+SUMPRODUCT('Sales, Production, &amp; Other Assu'!BB19:BB48*'Scenario Analysis'!$B$5,Table17[Unit Price in Study Currency]*(1+'Scenario Analysis'!$D$5)*(1+'Scenario Analysis'!$C$5)*'Scenario Analysis'!$D$16)+SUMPRODUCT('Sales, Production, &amp; Other Assu'!BA19:BA48*'Scenario Analysis'!$B$5,Table17[Unit Price in Study Currency]*(1+'Scenario Analysis'!$D$5)*(1+'Scenario Analysis'!$C$5)*'Scenario Analysis'!$D$17)+SUMPRODUCT('Sales, Production, &amp; Other Assu'!AZ19:AZ48*'Scenario Analysis'!$B$5,Table17[Unit Price in Study Currency]*(1+'Scenario Analysis'!$D$5)*(1+'Scenario Analysis'!$C$5)*'Scenario Analysis'!$D$18)+SUMPRODUCT('Sales, Production, &amp; Other Assu'!AY19:AY48*'Scenario Analysis'!$B$5,Table17[Unit Price in Study Currency]*(1+'Scenario Analysis'!$D$5)*(1+'Scenario Analysis'!$C$5)*'Scenario Analysis'!$D$19)</f>
        <v>1151703.7548749996</v>
      </c>
      <c r="BE38" s="518">
        <f>SUMPRODUCT('Sales, Production, &amp; Other Assu'!BF19:BF48*'Scenario Analysis'!$B$5,Table17[Unit Price in Study Currency]*(1+'Scenario Analysis'!$D$5)*(1+'Scenario Analysis'!$C$5)*'Scenario Analysis'!$D$14)+SUMPRODUCT('Sales, Production, &amp; Other Assu'!BE19:BE48*'Scenario Analysis'!$B$5,Table17[Unit Price in Study Currency]*(1+'Scenario Analysis'!$D$5)*(1+'Scenario Analysis'!$C$5)*'Scenario Analysis'!$D$15)+SUMPRODUCT('Sales, Production, &amp; Other Assu'!BD19:BD48*'Scenario Analysis'!$B$5,Table17[Unit Price in Study Currency]*(1+'Scenario Analysis'!$D$5)*(1+'Scenario Analysis'!$C$5)*'Scenario Analysis'!$D$16)+SUMPRODUCT('Sales, Production, &amp; Other Assu'!BB19:BB48*'Scenario Analysis'!$B$5,Table17[Unit Price in Study Currency]*(1+'Scenario Analysis'!$D$5)*(1+'Scenario Analysis'!$C$5)*'Scenario Analysis'!$D$17)+SUMPRODUCT('Sales, Production, &amp; Other Assu'!BA19:BA48*'Scenario Analysis'!$B$5,Table17[Unit Price in Study Currency]*(1+'Scenario Analysis'!$D$5)*(1+'Scenario Analysis'!$C$5)*'Scenario Analysis'!$D$18)+SUMPRODUCT('Sales, Production, &amp; Other Assu'!AZ19:AZ48*'Scenario Analysis'!$B$5,Table17[Unit Price in Study Currency]*(1+'Scenario Analysis'!$D$5)*(1+'Scenario Analysis'!$C$5)*'Scenario Analysis'!$D$19)</f>
        <v>1227817.1159999997</v>
      </c>
      <c r="BF38" s="518">
        <f>SUMPRODUCT('Sales, Production, &amp; Other Assu'!BG19:BG48*'Scenario Analysis'!$B$5,Table17[Unit Price in Study Currency]*(1+'Scenario Analysis'!$D$5)*(1+'Scenario Analysis'!$C$5)*'Scenario Analysis'!$D$14)+SUMPRODUCT('Sales, Production, &amp; Other Assu'!BF19:BF48*'Scenario Analysis'!$B$5,Table17[Unit Price in Study Currency]*(1+'Scenario Analysis'!$D$5)*(1+'Scenario Analysis'!$C$5)*'Scenario Analysis'!$D$15)+SUMPRODUCT('Sales, Production, &amp; Other Assu'!BE19:BE48*'Scenario Analysis'!$B$5,Table17[Unit Price in Study Currency]*(1+'Scenario Analysis'!$D$5)*(1+'Scenario Analysis'!$C$5)*'Scenario Analysis'!$D$16)+SUMPRODUCT('Sales, Production, &amp; Other Assu'!BD19:BD48*'Scenario Analysis'!$B$5,Table17[Unit Price in Study Currency]*(1+'Scenario Analysis'!$D$5)*(1+'Scenario Analysis'!$C$5)*'Scenario Analysis'!$D$17)+SUMPRODUCT('Sales, Production, &amp; Other Assu'!BB19:BB48*'Scenario Analysis'!$B$5,Table17[Unit Price in Study Currency]*(1+'Scenario Analysis'!$D$5)*(1+'Scenario Analysis'!$C$5)*'Scenario Analysis'!$D$18)+SUMPRODUCT('Sales, Production, &amp; Other Assu'!BA19:BA48*'Scenario Analysis'!$B$5,Table17[Unit Price in Study Currency]*(1+'Scenario Analysis'!$D$5)*(1+'Scenario Analysis'!$C$5)*'Scenario Analysis'!$D$19)</f>
        <v>1227817.1159999997</v>
      </c>
      <c r="BG38" s="518">
        <f>SUMPRODUCT('Sales, Production, &amp; Other Assu'!BH19:BH48*'Scenario Analysis'!$B$5,Table17[Unit Price in Study Currency]*(1+'Scenario Analysis'!$D$5)*(1+'Scenario Analysis'!$C$5)*'Scenario Analysis'!$D$14)+SUMPRODUCT('Sales, Production, &amp; Other Assu'!BG19:BG48*'Scenario Analysis'!$B$5,Table17[Unit Price in Study Currency]*(1+'Scenario Analysis'!$D$5)*(1+'Scenario Analysis'!$C$5)*'Scenario Analysis'!$D$15)+SUMPRODUCT('Sales, Production, &amp; Other Assu'!BF19:BF48*'Scenario Analysis'!$B$5,Table17[Unit Price in Study Currency]*(1+'Scenario Analysis'!$D$5)*(1+'Scenario Analysis'!$C$5)*'Scenario Analysis'!$D$16)+SUMPRODUCT('Sales, Production, &amp; Other Assu'!BE19:BE48*'Scenario Analysis'!$B$5,Table17[Unit Price in Study Currency]*(1+'Scenario Analysis'!$D$5)*(1+'Scenario Analysis'!$C$5)*'Scenario Analysis'!$D$17)+SUMPRODUCT('Sales, Production, &amp; Other Assu'!BD19:BD48*'Scenario Analysis'!$B$5,Table17[Unit Price in Study Currency]*(1+'Scenario Analysis'!$D$5)*(1+'Scenario Analysis'!$C$5)*'Scenario Analysis'!$D$18)+SUMPRODUCT('Sales, Production, &amp; Other Assu'!BB19:BB48*'Scenario Analysis'!$B$5,Table17[Unit Price in Study Currency]*(1+'Scenario Analysis'!$D$5)*(1+'Scenario Analysis'!$C$5)*'Scenario Analysis'!$D$19)</f>
        <v>1227817.1159999997</v>
      </c>
      <c r="BH38" s="518">
        <f>SUMPRODUCT('Sales, Production, &amp; Other Assu'!BI19:BI48*'Scenario Analysis'!$B$5,Table17[Unit Price in Study Currency]*(1+'Scenario Analysis'!$D$5)*(1+'Scenario Analysis'!$C$5)*'Scenario Analysis'!$D$14)+SUMPRODUCT('Sales, Production, &amp; Other Assu'!BH19:BH48*'Scenario Analysis'!$B$5,Table17[Unit Price in Study Currency]*(1+'Scenario Analysis'!$D$5)*(1+'Scenario Analysis'!$C$5)*'Scenario Analysis'!$D$15)+SUMPRODUCT('Sales, Production, &amp; Other Assu'!BG19:BG48*'Scenario Analysis'!$B$5,Table17[Unit Price in Study Currency]*(1+'Scenario Analysis'!$D$5)*(1+'Scenario Analysis'!$C$5)*'Scenario Analysis'!$D$16)+SUMPRODUCT('Sales, Production, &amp; Other Assu'!BF19:BF48*'Scenario Analysis'!$B$5,Table17[Unit Price in Study Currency]*(1+'Scenario Analysis'!$D$5)*(1+'Scenario Analysis'!$C$5)*'Scenario Analysis'!$D$17)+SUMPRODUCT('Sales, Production, &amp; Other Assu'!BE19:BE48*'Scenario Analysis'!$B$5,Table17[Unit Price in Study Currency]*(1+'Scenario Analysis'!$D$5)*(1+'Scenario Analysis'!$C$5)*'Scenario Analysis'!$D$18)+SUMPRODUCT('Sales, Production, &amp; Other Assu'!BD19:BD48*'Scenario Analysis'!$B$5,Table17[Unit Price in Study Currency]*(1+'Scenario Analysis'!$D$5)*(1+'Scenario Analysis'!$C$5)*'Scenario Analysis'!$D$19)</f>
        <v>1227817.1159999997</v>
      </c>
      <c r="BI38" s="518">
        <f>SUMPRODUCT('Sales, Production, &amp; Other Assu'!BJ19:BJ48*'Scenario Analysis'!$B$5,Table17[Unit Price in Study Currency]*(1+'Scenario Analysis'!$D$5)*(1+'Scenario Analysis'!$C$5)*'Scenario Analysis'!$D$14)+SUMPRODUCT('Sales, Production, &amp; Other Assu'!BI19:BI48*'Scenario Analysis'!$B$5,Table17[Unit Price in Study Currency]*(1+'Scenario Analysis'!$D$5)*(1+'Scenario Analysis'!$C$5)*'Scenario Analysis'!$D$15)+SUMPRODUCT('Sales, Production, &amp; Other Assu'!BH19:BH48*'Scenario Analysis'!$B$5,Table17[Unit Price in Study Currency]*(1+'Scenario Analysis'!$D$5)*(1+'Scenario Analysis'!$C$5)*'Scenario Analysis'!$D$16)+SUMPRODUCT('Sales, Production, &amp; Other Assu'!BG19:BG48*'Scenario Analysis'!$B$5,Table17[Unit Price in Study Currency]*(1+'Scenario Analysis'!$D$5)*(1+'Scenario Analysis'!$C$5)*'Scenario Analysis'!$D$17)+SUMPRODUCT('Sales, Production, &amp; Other Assu'!BF19:BF48*'Scenario Analysis'!$B$5,Table17[Unit Price in Study Currency]*(1+'Scenario Analysis'!$D$5)*(1+'Scenario Analysis'!$C$5)*'Scenario Analysis'!$D$18)+SUMPRODUCT('Sales, Production, &amp; Other Assu'!BE19:BE48*'Scenario Analysis'!$B$5,Table17[Unit Price in Study Currency]*(1+'Scenario Analysis'!$D$5)*(1+'Scenario Analysis'!$C$5)*'Scenario Analysis'!$D$19)</f>
        <v>1227817.1159999997</v>
      </c>
      <c r="BJ38" s="518">
        <f>SUMPRODUCT('Sales, Production, &amp; Other Assu'!BK19:BK48*'Scenario Analysis'!$B$5,Table17[Unit Price in Study Currency]*(1+'Scenario Analysis'!$D$5)*(1+'Scenario Analysis'!$C$5)*'Scenario Analysis'!$D$14)+SUMPRODUCT('Sales, Production, &amp; Other Assu'!BJ19:BJ48*'Scenario Analysis'!$B$5,Table17[Unit Price in Study Currency]*(1+'Scenario Analysis'!$D$5)*(1+'Scenario Analysis'!$C$5)*'Scenario Analysis'!$D$15)+SUMPRODUCT('Sales, Production, &amp; Other Assu'!BI19:BI48*'Scenario Analysis'!$B$5,Table17[Unit Price in Study Currency]*(1+'Scenario Analysis'!$D$5)*(1+'Scenario Analysis'!$C$5)*'Scenario Analysis'!$D$16)+SUMPRODUCT('Sales, Production, &amp; Other Assu'!BH19:BH48*'Scenario Analysis'!$B$5,Table17[Unit Price in Study Currency]*(1+'Scenario Analysis'!$D$5)*(1+'Scenario Analysis'!$C$5)*'Scenario Analysis'!$D$17)+SUMPRODUCT('Sales, Production, &amp; Other Assu'!BG19:BG48*'Scenario Analysis'!$B$5,Table17[Unit Price in Study Currency]*(1+'Scenario Analysis'!$D$5)*(1+'Scenario Analysis'!$C$5)*'Scenario Analysis'!$D$18)+SUMPRODUCT('Sales, Production, &amp; Other Assu'!BF19:BF48*'Scenario Analysis'!$B$5,Table17[Unit Price in Study Currency]*(1+'Scenario Analysis'!$D$5)*(1+'Scenario Analysis'!$C$5)*'Scenario Analysis'!$D$19)</f>
        <v>1227817.1159999997</v>
      </c>
      <c r="BK38" s="518">
        <f>SUMPRODUCT('Sales, Production, &amp; Other Assu'!BL19:BL48*'Scenario Analysis'!$B$5,Table17[Unit Price in Study Currency]*(1+'Scenario Analysis'!$D$5)*(1+'Scenario Analysis'!$C$5)*'Scenario Analysis'!$D$14)+SUMPRODUCT('Sales, Production, &amp; Other Assu'!BK19:BK48*'Scenario Analysis'!$B$5,Table17[Unit Price in Study Currency]*(1+'Scenario Analysis'!$D$5)*(1+'Scenario Analysis'!$C$5)*'Scenario Analysis'!$D$15)+SUMPRODUCT('Sales, Production, &amp; Other Assu'!BJ19:BJ48*'Scenario Analysis'!$B$5,Table17[Unit Price in Study Currency]*(1+'Scenario Analysis'!$D$5)*(1+'Scenario Analysis'!$C$5)*'Scenario Analysis'!$D$16)+SUMPRODUCT('Sales, Production, &amp; Other Assu'!BI19:BI48*'Scenario Analysis'!$B$5,Table17[Unit Price in Study Currency]*(1+'Scenario Analysis'!$D$5)*(1+'Scenario Analysis'!$C$5)*'Scenario Analysis'!$D$17)+SUMPRODUCT('Sales, Production, &amp; Other Assu'!BH19:BH48*'Scenario Analysis'!$B$5,Table17[Unit Price in Study Currency]*(1+'Scenario Analysis'!$D$5)*(1+'Scenario Analysis'!$C$5)*'Scenario Analysis'!$D$18)+SUMPRODUCT('Sales, Production, &amp; Other Assu'!BG19:BG48*'Scenario Analysis'!$B$5,Table17[Unit Price in Study Currency]*(1+'Scenario Analysis'!$D$5)*(1+'Scenario Analysis'!$C$5)*'Scenario Analysis'!$D$19)</f>
        <v>1227817.1159999997</v>
      </c>
      <c r="BL38" s="518">
        <f>SUMPRODUCT('Sales, Production, &amp; Other Assu'!BM19:BM48*'Scenario Analysis'!$B$5,Table17[Unit Price in Study Currency]*(1+'Scenario Analysis'!$D$5)*(1+'Scenario Analysis'!$C$5)*'Scenario Analysis'!$D$14)+SUMPRODUCT('Sales, Production, &amp; Other Assu'!BL19:BL48*'Scenario Analysis'!$B$5,Table17[Unit Price in Study Currency]*(1+'Scenario Analysis'!$D$5)*(1+'Scenario Analysis'!$C$5)*'Scenario Analysis'!$D$15)+SUMPRODUCT('Sales, Production, &amp; Other Assu'!BK19:BK48*'Scenario Analysis'!$B$5,Table17[Unit Price in Study Currency]*(1+'Scenario Analysis'!$D$5)*(1+'Scenario Analysis'!$C$5)*'Scenario Analysis'!$D$16)+SUMPRODUCT('Sales, Production, &amp; Other Assu'!BJ19:BJ48*'Scenario Analysis'!$B$5,Table17[Unit Price in Study Currency]*(1+'Scenario Analysis'!$D$5)*(1+'Scenario Analysis'!$C$5)*'Scenario Analysis'!$D$17)+SUMPRODUCT('Sales, Production, &amp; Other Assu'!BI19:BI48*'Scenario Analysis'!$B$5,Table17[Unit Price in Study Currency]*(1+'Scenario Analysis'!$D$5)*(1+'Scenario Analysis'!$C$5)*'Scenario Analysis'!$D$18)+SUMPRODUCT('Sales, Production, &amp; Other Assu'!BH19:BH48*'Scenario Analysis'!$B$5,Table17[Unit Price in Study Currency]*(1+'Scenario Analysis'!$D$5)*(1+'Scenario Analysis'!$C$5)*'Scenario Analysis'!$D$19)</f>
        <v>1227817.1159999997</v>
      </c>
      <c r="BM38" s="518">
        <f>SUMPRODUCT('Sales, Production, &amp; Other Assu'!BN19:BN48*'Scenario Analysis'!$B$5,Table17[Unit Price in Study Currency]*(1+'Scenario Analysis'!$D$5)*(1+'Scenario Analysis'!$C$5)*'Scenario Analysis'!$D$14)+SUMPRODUCT('Sales, Production, &amp; Other Assu'!BM19:BM48*'Scenario Analysis'!$B$5,Table17[Unit Price in Study Currency]*(1+'Scenario Analysis'!$D$5)*(1+'Scenario Analysis'!$C$5)*'Scenario Analysis'!$D$15)+SUMPRODUCT('Sales, Production, &amp; Other Assu'!BL19:BL48*'Scenario Analysis'!$B$5,Table17[Unit Price in Study Currency]*(1+'Scenario Analysis'!$D$5)*(1+'Scenario Analysis'!$C$5)*'Scenario Analysis'!$D$16)+SUMPRODUCT('Sales, Production, &amp; Other Assu'!BK19:BK48*'Scenario Analysis'!$B$5,Table17[Unit Price in Study Currency]*(1+'Scenario Analysis'!$D$5)*(1+'Scenario Analysis'!$C$5)*'Scenario Analysis'!$D$17)+SUMPRODUCT('Sales, Production, &amp; Other Assu'!BJ19:BJ48*'Scenario Analysis'!$B$5,Table17[Unit Price in Study Currency]*(1+'Scenario Analysis'!$D$5)*(1+'Scenario Analysis'!$C$5)*'Scenario Analysis'!$D$18)+SUMPRODUCT('Sales, Production, &amp; Other Assu'!BI19:BI48*'Scenario Analysis'!$B$5,Table17[Unit Price in Study Currency]*(1+'Scenario Analysis'!$D$5)*(1+'Scenario Analysis'!$C$5)*'Scenario Analysis'!$D$19)</f>
        <v>1227817.1159999997</v>
      </c>
      <c r="BN38" s="518">
        <f>SUMPRODUCT('Sales, Production, &amp; Other Assu'!BO19:BO48*'Scenario Analysis'!$B$5,Table17[Unit Price in Study Currency]*(1+'Scenario Analysis'!$D$5)*(1+'Scenario Analysis'!$C$5)*'Scenario Analysis'!$D$14)+SUMPRODUCT('Sales, Production, &amp; Other Assu'!BN19:BN48*'Scenario Analysis'!$B$5,Table17[Unit Price in Study Currency]*(1+'Scenario Analysis'!$D$5)*(1+'Scenario Analysis'!$C$5)*'Scenario Analysis'!$D$15)+SUMPRODUCT('Sales, Production, &amp; Other Assu'!BM19:BM48*'Scenario Analysis'!$B$5,Table17[Unit Price in Study Currency]*(1+'Scenario Analysis'!$D$5)*(1+'Scenario Analysis'!$C$5)*'Scenario Analysis'!$D$16)+SUMPRODUCT('Sales, Production, &amp; Other Assu'!BL19:BL48*'Scenario Analysis'!$B$5,Table17[Unit Price in Study Currency]*(1+'Scenario Analysis'!$D$5)*(1+'Scenario Analysis'!$C$5)*'Scenario Analysis'!$D$17)+SUMPRODUCT('Sales, Production, &amp; Other Assu'!BK19:BK48*'Scenario Analysis'!$B$5,Table17[Unit Price in Study Currency]*(1+'Scenario Analysis'!$D$5)*(1+'Scenario Analysis'!$C$5)*'Scenario Analysis'!$D$18)+SUMPRODUCT('Sales, Production, &amp; Other Assu'!BJ19:BJ48*'Scenario Analysis'!$B$5,Table17[Unit Price in Study Currency]*(1+'Scenario Analysis'!$D$5)*(1+'Scenario Analysis'!$C$5)*'Scenario Analysis'!$D$19)</f>
        <v>1227817.1159999997</v>
      </c>
      <c r="BO38" s="545">
        <f>SUM(BC38:BN38)</f>
        <v>14505465.308624998</v>
      </c>
      <c r="BP38" s="518">
        <f>SUMPRODUCT('Sales, Production, &amp; Other Assu'!BQ19:BQ48*'Scenario Analysis'!$B$5,Table17[Unit Price in Study Currency]*(1+'Scenario Analysis'!$D$5)*(1+'Scenario Analysis'!$C$5)*'Scenario Analysis'!$D$14)+SUMPRODUCT('Sales, Production, &amp; Other Assu'!BO19:BO48*'Scenario Analysis'!$B$5,Table17[Unit Price in Study Currency]*(1+'Scenario Analysis'!$D$5)*(1+'Scenario Analysis'!$C$5)*'Scenario Analysis'!$D$15)+SUMPRODUCT('Sales, Production, &amp; Other Assu'!BN19:BN48*'Scenario Analysis'!$B$5,Table17[Unit Price in Study Currency]*(1+'Scenario Analysis'!$D$5)*(1+'Scenario Analysis'!$C$5)*'Scenario Analysis'!$D$16)+SUMPRODUCT('Sales, Production, &amp; Other Assu'!BM19:BM48*'Scenario Analysis'!$B$5,Table17[Unit Price in Study Currency]*(1+'Scenario Analysis'!$D$5)*(1+'Scenario Analysis'!$C$5)*'Scenario Analysis'!$D$17)+SUMPRODUCT('Sales, Production, &amp; Other Assu'!BL19:BL48*'Scenario Analysis'!$B$5,Table17[Unit Price in Study Currency]*(1+'Scenario Analysis'!$D$5)*(1+'Scenario Analysis'!$C$5)*'Scenario Analysis'!$D$18)+SUMPRODUCT('Sales, Production, &amp; Other Assu'!BK19:BK48*'Scenario Analysis'!$B$5,Table17[Unit Price in Study Currency]*(1+'Scenario Analysis'!$D$5)*(1+'Scenario Analysis'!$C$5)*'Scenario Analysis'!$D$19)</f>
        <v>1227817.1159999997</v>
      </c>
      <c r="BQ38" s="518">
        <f>SUMPRODUCT('Sales, Production, &amp; Other Assu'!BR19:BR48*'Scenario Analysis'!$B$5,Table17[Unit Price in Study Currency]*(1+'Scenario Analysis'!$D$5)*(1+'Scenario Analysis'!$C$5)*'Scenario Analysis'!$D$14)+SUMPRODUCT('Sales, Production, &amp; Other Assu'!BQ19:BQ48*'Scenario Analysis'!$B$5,Table17[Unit Price in Study Currency]*(1+'Scenario Analysis'!$D$5)*(1+'Scenario Analysis'!$C$5)*'Scenario Analysis'!$D$15)+SUMPRODUCT('Sales, Production, &amp; Other Assu'!BO19:BO48*'Scenario Analysis'!$B$5,Table17[Unit Price in Study Currency]*(1+'Scenario Analysis'!$D$5)*(1+'Scenario Analysis'!$C$5)*'Scenario Analysis'!$D$16)+SUMPRODUCT('Sales, Production, &amp; Other Assu'!BN19:BN48*'Scenario Analysis'!$B$5,Table17[Unit Price in Study Currency]*(1+'Scenario Analysis'!$D$5)*(1+'Scenario Analysis'!$C$5)*'Scenario Analysis'!$D$17)+SUMPRODUCT('Sales, Production, &amp; Other Assu'!BM19:BM48*'Scenario Analysis'!$B$5,Table17[Unit Price in Study Currency]*(1+'Scenario Analysis'!$D$5)*(1+'Scenario Analysis'!$C$5)*'Scenario Analysis'!$D$18)+SUMPRODUCT('Sales, Production, &amp; Other Assu'!BL19:BL48*'Scenario Analysis'!$B$5,Table17[Unit Price in Study Currency]*(1+'Scenario Analysis'!$D$5)*(1+'Scenario Analysis'!$C$5)*'Scenario Analysis'!$D$19)</f>
        <v>1311131.95425</v>
      </c>
      <c r="BR38" s="518">
        <f>SUMPRODUCT('Sales, Production, &amp; Other Assu'!BS19:BS48*'Scenario Analysis'!$B$5,Table17[Unit Price in Study Currency]*(1+'Scenario Analysis'!$D$5)*(1+'Scenario Analysis'!$C$5)*'Scenario Analysis'!$D$14)+SUMPRODUCT('Sales, Production, &amp; Other Assu'!BR19:BR48*'Scenario Analysis'!$B$5,Table17[Unit Price in Study Currency]*(1+'Scenario Analysis'!$D$5)*(1+'Scenario Analysis'!$C$5)*'Scenario Analysis'!$D$15)+SUMPRODUCT('Sales, Production, &amp; Other Assu'!BQ19:BQ48*'Scenario Analysis'!$B$5,Table17[Unit Price in Study Currency]*(1+'Scenario Analysis'!$D$5)*(1+'Scenario Analysis'!$C$5)*'Scenario Analysis'!$D$16)+SUMPRODUCT('Sales, Production, &amp; Other Assu'!BO19:BO48*'Scenario Analysis'!$B$5,Table17[Unit Price in Study Currency]*(1+'Scenario Analysis'!$D$5)*(1+'Scenario Analysis'!$C$5)*'Scenario Analysis'!$D$17)+SUMPRODUCT('Sales, Production, &amp; Other Assu'!BN19:BN48*'Scenario Analysis'!$B$5,Table17[Unit Price in Study Currency]*(1+'Scenario Analysis'!$D$5)*(1+'Scenario Analysis'!$C$5)*'Scenario Analysis'!$D$18)+SUMPRODUCT('Sales, Production, &amp; Other Assu'!BM19:BM48*'Scenario Analysis'!$B$5,Table17[Unit Price in Study Currency]*(1+'Scenario Analysis'!$D$5)*(1+'Scenario Analysis'!$C$5)*'Scenario Analysis'!$D$19)</f>
        <v>1394446.7925</v>
      </c>
      <c r="BS38" s="518">
        <f>SUMPRODUCT('Sales, Production, &amp; Other Assu'!BT19:BT48*'Scenario Analysis'!$B$5,Table17[Unit Price in Study Currency]*(1+'Scenario Analysis'!$D$5)*(1+'Scenario Analysis'!$C$5)*'Scenario Analysis'!$D$14)+SUMPRODUCT('Sales, Production, &amp; Other Assu'!BS19:BS48*'Scenario Analysis'!$B$5,Table17[Unit Price in Study Currency]*(1+'Scenario Analysis'!$D$5)*(1+'Scenario Analysis'!$C$5)*'Scenario Analysis'!$D$15)+SUMPRODUCT('Sales, Production, &amp; Other Assu'!BR19:BR48*'Scenario Analysis'!$B$5,Table17[Unit Price in Study Currency]*(1+'Scenario Analysis'!$D$5)*(1+'Scenario Analysis'!$C$5)*'Scenario Analysis'!$D$16)+SUMPRODUCT('Sales, Production, &amp; Other Assu'!BQ19:BQ48*'Scenario Analysis'!$B$5,Table17[Unit Price in Study Currency]*(1+'Scenario Analysis'!$D$5)*(1+'Scenario Analysis'!$C$5)*'Scenario Analysis'!$D$17)+SUMPRODUCT('Sales, Production, &amp; Other Assu'!BO19:BO48*'Scenario Analysis'!$B$5,Table17[Unit Price in Study Currency]*(1+'Scenario Analysis'!$D$5)*(1+'Scenario Analysis'!$C$5)*'Scenario Analysis'!$D$18)+SUMPRODUCT('Sales, Production, &amp; Other Assu'!BN19:BN48*'Scenario Analysis'!$B$5,Table17[Unit Price in Study Currency]*(1+'Scenario Analysis'!$D$5)*(1+'Scenario Analysis'!$C$5)*'Scenario Analysis'!$D$19)</f>
        <v>1394446.7925</v>
      </c>
      <c r="BT38" s="518">
        <f>SUMPRODUCT('Sales, Production, &amp; Other Assu'!BU19:BU48*'Scenario Analysis'!$B$5,Table17[Unit Price in Study Currency]*(1+'Scenario Analysis'!$D$5)*(1+'Scenario Analysis'!$C$5)*'Scenario Analysis'!$D$14)+SUMPRODUCT('Sales, Production, &amp; Other Assu'!BT19:BT48*'Scenario Analysis'!$B$5,Table17[Unit Price in Study Currency]*(1+'Scenario Analysis'!$D$5)*(1+'Scenario Analysis'!$C$5)*'Scenario Analysis'!$D$15)+SUMPRODUCT('Sales, Production, &amp; Other Assu'!BS19:BS48*'Scenario Analysis'!$B$5,Table17[Unit Price in Study Currency]*(1+'Scenario Analysis'!$D$5)*(1+'Scenario Analysis'!$C$5)*'Scenario Analysis'!$D$16)+SUMPRODUCT('Sales, Production, &amp; Other Assu'!BR19:BR48*'Scenario Analysis'!$B$5,Table17[Unit Price in Study Currency]*(1+'Scenario Analysis'!$D$5)*(1+'Scenario Analysis'!$C$5)*'Scenario Analysis'!$D$17)+SUMPRODUCT('Sales, Production, &amp; Other Assu'!BQ19:BQ48*'Scenario Analysis'!$B$5,Table17[Unit Price in Study Currency]*(1+'Scenario Analysis'!$D$5)*(1+'Scenario Analysis'!$C$5)*'Scenario Analysis'!$D$18)+SUMPRODUCT('Sales, Production, &amp; Other Assu'!BO19:BO48*'Scenario Analysis'!$B$5,Table17[Unit Price in Study Currency]*(1+'Scenario Analysis'!$D$5)*(1+'Scenario Analysis'!$C$5)*'Scenario Analysis'!$D$19)</f>
        <v>1394446.7925</v>
      </c>
      <c r="BU38" s="518">
        <f>SUMPRODUCT('Sales, Production, &amp; Other Assu'!BV19:BV48*'Scenario Analysis'!$B$5,Table17[Unit Price in Study Currency]*(1+'Scenario Analysis'!$D$5)*(1+'Scenario Analysis'!$C$5)*'Scenario Analysis'!$D$14)+SUMPRODUCT('Sales, Production, &amp; Other Assu'!BU19:BU48*'Scenario Analysis'!$B$5,Table17[Unit Price in Study Currency]*(1+'Scenario Analysis'!$D$5)*(1+'Scenario Analysis'!$C$5)*'Scenario Analysis'!$D$15)+SUMPRODUCT('Sales, Production, &amp; Other Assu'!BT19:BT48*'Scenario Analysis'!$B$5,Table17[Unit Price in Study Currency]*(1+'Scenario Analysis'!$D$5)*(1+'Scenario Analysis'!$C$5)*'Scenario Analysis'!$D$16)+SUMPRODUCT('Sales, Production, &amp; Other Assu'!BS19:BS48*'Scenario Analysis'!$B$5,Table17[Unit Price in Study Currency]*(1+'Scenario Analysis'!$D$5)*(1+'Scenario Analysis'!$C$5)*'Scenario Analysis'!$D$17)+SUMPRODUCT('Sales, Production, &amp; Other Assu'!BR19:BR48*'Scenario Analysis'!$B$5,Table17[Unit Price in Study Currency]*(1+'Scenario Analysis'!$D$5)*(1+'Scenario Analysis'!$C$5)*'Scenario Analysis'!$D$18)+SUMPRODUCT('Sales, Production, &amp; Other Assu'!BQ19:BQ48*'Scenario Analysis'!$B$5,Table17[Unit Price in Study Currency]*(1+'Scenario Analysis'!$D$5)*(1+'Scenario Analysis'!$C$5)*'Scenario Analysis'!$D$19)</f>
        <v>1394446.7925</v>
      </c>
      <c r="BV38" s="518">
        <f>SUMPRODUCT('Sales, Production, &amp; Other Assu'!BW19:BW48*'Scenario Analysis'!$B$5,Table17[Unit Price in Study Currency]*(1+'Scenario Analysis'!$D$5)*(1+'Scenario Analysis'!$C$5)*'Scenario Analysis'!$D$14)+SUMPRODUCT('Sales, Production, &amp; Other Assu'!BV19:BV48*'Scenario Analysis'!$B$5,Table17[Unit Price in Study Currency]*(1+'Scenario Analysis'!$D$5)*(1+'Scenario Analysis'!$C$5)*'Scenario Analysis'!$D$15)+SUMPRODUCT('Sales, Production, &amp; Other Assu'!BU19:BU48*'Scenario Analysis'!$B$5,Table17[Unit Price in Study Currency]*(1+'Scenario Analysis'!$D$5)*(1+'Scenario Analysis'!$C$5)*'Scenario Analysis'!$D$16)+SUMPRODUCT('Sales, Production, &amp; Other Assu'!BT19:BT48*'Scenario Analysis'!$B$5,Table17[Unit Price in Study Currency]*(1+'Scenario Analysis'!$D$5)*(1+'Scenario Analysis'!$C$5)*'Scenario Analysis'!$D$17)+SUMPRODUCT('Sales, Production, &amp; Other Assu'!BS19:BS48*'Scenario Analysis'!$B$5,Table17[Unit Price in Study Currency]*(1+'Scenario Analysis'!$D$5)*(1+'Scenario Analysis'!$C$5)*'Scenario Analysis'!$D$18)+SUMPRODUCT('Sales, Production, &amp; Other Assu'!BR19:BR48*'Scenario Analysis'!$B$5,Table17[Unit Price in Study Currency]*(1+'Scenario Analysis'!$D$5)*(1+'Scenario Analysis'!$C$5)*'Scenario Analysis'!$D$19)</f>
        <v>1394446.7925</v>
      </c>
      <c r="BW38" s="518">
        <f>SUMPRODUCT('Sales, Production, &amp; Other Assu'!BX19:BX48*'Scenario Analysis'!$B$5,Table17[Unit Price in Study Currency]*(1+'Scenario Analysis'!$D$5)*(1+'Scenario Analysis'!$C$5)*'Scenario Analysis'!$D$14)+SUMPRODUCT('Sales, Production, &amp; Other Assu'!BW19:BW48*'Scenario Analysis'!$B$5,Table17[Unit Price in Study Currency]*(1+'Scenario Analysis'!$D$5)*(1+'Scenario Analysis'!$C$5)*'Scenario Analysis'!$D$15)+SUMPRODUCT('Sales, Production, &amp; Other Assu'!BV19:BV48*'Scenario Analysis'!$B$5,Table17[Unit Price in Study Currency]*(1+'Scenario Analysis'!$D$5)*(1+'Scenario Analysis'!$C$5)*'Scenario Analysis'!$D$16)+SUMPRODUCT('Sales, Production, &amp; Other Assu'!BU19:BU48*'Scenario Analysis'!$B$5,Table17[Unit Price in Study Currency]*(1+'Scenario Analysis'!$D$5)*(1+'Scenario Analysis'!$C$5)*'Scenario Analysis'!$D$17)+SUMPRODUCT('Sales, Production, &amp; Other Assu'!BT19:BT48*'Scenario Analysis'!$B$5,Table17[Unit Price in Study Currency]*(1+'Scenario Analysis'!$D$5)*(1+'Scenario Analysis'!$C$5)*'Scenario Analysis'!$D$18)+SUMPRODUCT('Sales, Production, &amp; Other Assu'!BS19:BS48*'Scenario Analysis'!$B$5,Table17[Unit Price in Study Currency]*(1+'Scenario Analysis'!$D$5)*(1+'Scenario Analysis'!$C$5)*'Scenario Analysis'!$D$19)</f>
        <v>1394446.7925</v>
      </c>
      <c r="BX38" s="518">
        <f>SUMPRODUCT('Sales, Production, &amp; Other Assu'!BY19:BY48*'Scenario Analysis'!$B$5,Table17[Unit Price in Study Currency]*(1+'Scenario Analysis'!$D$5)*(1+'Scenario Analysis'!$C$5)*'Scenario Analysis'!$D$14)+SUMPRODUCT('Sales, Production, &amp; Other Assu'!BX19:BX48*'Scenario Analysis'!$B$5,Table17[Unit Price in Study Currency]*(1+'Scenario Analysis'!$D$5)*(1+'Scenario Analysis'!$C$5)*'Scenario Analysis'!$D$15)+SUMPRODUCT('Sales, Production, &amp; Other Assu'!BW19:BW48*'Scenario Analysis'!$B$5,Table17[Unit Price in Study Currency]*(1+'Scenario Analysis'!$D$5)*(1+'Scenario Analysis'!$C$5)*'Scenario Analysis'!$D$16)+SUMPRODUCT('Sales, Production, &amp; Other Assu'!BV19:BV48*'Scenario Analysis'!$B$5,Table17[Unit Price in Study Currency]*(1+'Scenario Analysis'!$D$5)*(1+'Scenario Analysis'!$C$5)*'Scenario Analysis'!$D$17)+SUMPRODUCT('Sales, Production, &amp; Other Assu'!BU19:BU48*'Scenario Analysis'!$B$5,Table17[Unit Price in Study Currency]*(1+'Scenario Analysis'!$D$5)*(1+'Scenario Analysis'!$C$5)*'Scenario Analysis'!$D$18)+SUMPRODUCT('Sales, Production, &amp; Other Assu'!BT19:BT48*'Scenario Analysis'!$B$5,Table17[Unit Price in Study Currency]*(1+'Scenario Analysis'!$D$5)*(1+'Scenario Analysis'!$C$5)*'Scenario Analysis'!$D$19)</f>
        <v>1394446.7925</v>
      </c>
      <c r="BY38" s="518">
        <f>SUMPRODUCT('Sales, Production, &amp; Other Assu'!BZ19:BZ48*'Scenario Analysis'!$B$5,Table17[Unit Price in Study Currency]*(1+'Scenario Analysis'!$D$5)*(1+'Scenario Analysis'!$C$5)*'Scenario Analysis'!$D$14)+SUMPRODUCT('Sales, Production, &amp; Other Assu'!BY19:BY48*'Scenario Analysis'!$B$5,Table17[Unit Price in Study Currency]*(1+'Scenario Analysis'!$D$5)*(1+'Scenario Analysis'!$C$5)*'Scenario Analysis'!$D$15)+SUMPRODUCT('Sales, Production, &amp; Other Assu'!BX19:BX48*'Scenario Analysis'!$B$5,Table17[Unit Price in Study Currency]*(1+'Scenario Analysis'!$D$5)*(1+'Scenario Analysis'!$C$5)*'Scenario Analysis'!$D$16)+SUMPRODUCT('Sales, Production, &amp; Other Assu'!BW19:BW48*'Scenario Analysis'!$B$5,Table17[Unit Price in Study Currency]*(1+'Scenario Analysis'!$D$5)*(1+'Scenario Analysis'!$C$5)*'Scenario Analysis'!$D$17)+SUMPRODUCT('Sales, Production, &amp; Other Assu'!BV19:BV48*'Scenario Analysis'!$B$5,Table17[Unit Price in Study Currency]*(1+'Scenario Analysis'!$D$5)*(1+'Scenario Analysis'!$C$5)*'Scenario Analysis'!$D$18)+SUMPRODUCT('Sales, Production, &amp; Other Assu'!BU19:BU48*'Scenario Analysis'!$B$5,Table17[Unit Price in Study Currency]*(1+'Scenario Analysis'!$D$5)*(1+'Scenario Analysis'!$C$5)*'Scenario Analysis'!$D$19)</f>
        <v>1394446.7925</v>
      </c>
      <c r="BZ38" s="518">
        <f>SUMPRODUCT('Sales, Production, &amp; Other Assu'!CA19:CA48*'Scenario Analysis'!$B$5,Table17[Unit Price in Study Currency]*(1+'Scenario Analysis'!$D$5)*(1+'Scenario Analysis'!$C$5)*'Scenario Analysis'!$D$14)+SUMPRODUCT('Sales, Production, &amp; Other Assu'!BZ19:BZ48*'Scenario Analysis'!$B$5,Table17[Unit Price in Study Currency]*(1+'Scenario Analysis'!$D$5)*(1+'Scenario Analysis'!$C$5)*'Scenario Analysis'!$D$15)+SUMPRODUCT('Sales, Production, &amp; Other Assu'!BY19:BY48*'Scenario Analysis'!$B$5,Table17[Unit Price in Study Currency]*(1+'Scenario Analysis'!$D$5)*(1+'Scenario Analysis'!$C$5)*'Scenario Analysis'!$D$16)+SUMPRODUCT('Sales, Production, &amp; Other Assu'!BX19:BX48*'Scenario Analysis'!$B$5,Table17[Unit Price in Study Currency]*(1+'Scenario Analysis'!$D$5)*(1+'Scenario Analysis'!$C$5)*'Scenario Analysis'!$D$17)+SUMPRODUCT('Sales, Production, &amp; Other Assu'!BW19:BW48*'Scenario Analysis'!$B$5,Table17[Unit Price in Study Currency]*(1+'Scenario Analysis'!$D$5)*(1+'Scenario Analysis'!$C$5)*'Scenario Analysis'!$D$18)+SUMPRODUCT('Sales, Production, &amp; Other Assu'!BV19:BV48*'Scenario Analysis'!$B$5,Table17[Unit Price in Study Currency]*(1+'Scenario Analysis'!$D$5)*(1+'Scenario Analysis'!$C$5)*'Scenario Analysis'!$D$19)</f>
        <v>1394446.7925</v>
      </c>
      <c r="CA38" s="518">
        <f>SUMPRODUCT('Sales, Production, &amp; Other Assu'!CB19:CB48*'Scenario Analysis'!$B$5,Table17[Unit Price in Study Currency]*(1+'Scenario Analysis'!$D$5)*(1+'Scenario Analysis'!$C$5)*'Scenario Analysis'!$D$14)+SUMPRODUCT('Sales, Production, &amp; Other Assu'!CA19:CA48*'Scenario Analysis'!$B$5,Table17[Unit Price in Study Currency]*(1+'Scenario Analysis'!$D$5)*(1+'Scenario Analysis'!$C$5)*'Scenario Analysis'!$D$15)+SUMPRODUCT('Sales, Production, &amp; Other Assu'!BZ19:BZ48*'Scenario Analysis'!$B$5,Table17[Unit Price in Study Currency]*(1+'Scenario Analysis'!$D$5)*(1+'Scenario Analysis'!$C$5)*'Scenario Analysis'!$D$16)+SUMPRODUCT('Sales, Production, &amp; Other Assu'!BY19:BY48*'Scenario Analysis'!$B$5,Table17[Unit Price in Study Currency]*(1+'Scenario Analysis'!$D$5)*(1+'Scenario Analysis'!$C$5)*'Scenario Analysis'!$D$17)+SUMPRODUCT('Sales, Production, &amp; Other Assu'!BX19:BX48*'Scenario Analysis'!$B$5,Table17[Unit Price in Study Currency]*(1+'Scenario Analysis'!$D$5)*(1+'Scenario Analysis'!$C$5)*'Scenario Analysis'!$D$18)+SUMPRODUCT('Sales, Production, &amp; Other Assu'!BW19:BW48*'Scenario Analysis'!$B$5,Table17[Unit Price in Study Currency]*(1+'Scenario Analysis'!$D$5)*(1+'Scenario Analysis'!$C$5)*'Scenario Analysis'!$D$19)</f>
        <v>1394446.7925</v>
      </c>
      <c r="CB38" s="545">
        <f>SUM(BP38:CA38)</f>
        <v>16483416.995250003</v>
      </c>
      <c r="CC38" s="518">
        <f>SUMPRODUCT('Sales, Production, &amp; Other Assu'!CD19:CD48*'Scenario Analysis'!$B$5,Table17[Unit Price in Study Currency]*(1+'Scenario Analysis'!$D$5)*(1+'Scenario Analysis'!$C$5)*'Scenario Analysis'!$D$14)+SUMPRODUCT('Sales, Production, &amp; Other Assu'!CB19:CB48*'Scenario Analysis'!$B$5,Table17[Unit Price in Study Currency]*(1+'Scenario Analysis'!$D$5)*(1+'Scenario Analysis'!$C$5)*'Scenario Analysis'!$D$15)+SUMPRODUCT('Sales, Production, &amp; Other Assu'!CA19:CA48*'Scenario Analysis'!$B$5,Table17[Unit Price in Study Currency]*(1+'Scenario Analysis'!$D$5)*(1+'Scenario Analysis'!$C$5)*'Scenario Analysis'!$D$16)+SUMPRODUCT('Sales, Production, &amp; Other Assu'!BZ19:BZ48*'Scenario Analysis'!$B$5,Table17[Unit Price in Study Currency]*(1+'Scenario Analysis'!$D$5)*(1+'Scenario Analysis'!$C$5)*'Scenario Analysis'!$D$17)+SUMPRODUCT('Sales, Production, &amp; Other Assu'!BY19:BY48*'Scenario Analysis'!$B$5,Table17[Unit Price in Study Currency]*(1+'Scenario Analysis'!$D$5)*(1+'Scenario Analysis'!$C$5)*'Scenario Analysis'!$D$18)+SUMPRODUCT('Sales, Production, &amp; Other Assu'!BX19:BX48*'Scenario Analysis'!$B$5,Table17[Unit Price in Study Currency]*(1+'Scenario Analysis'!$D$5)*(1+'Scenario Analysis'!$C$5)*'Scenario Analysis'!$D$19)</f>
        <v>1394446.7925</v>
      </c>
      <c r="CD38" s="518">
        <f>SUMPRODUCT('Sales, Production, &amp; Other Assu'!CE19:CE48*'Scenario Analysis'!$B$5,Table17[Unit Price in Study Currency]*(1+'Scenario Analysis'!$D$5)*(1+'Scenario Analysis'!$C$5)*'Scenario Analysis'!$D$14)+SUMPRODUCT('Sales, Production, &amp; Other Assu'!CD19:CD48*'Scenario Analysis'!$B$5,Table17[Unit Price in Study Currency]*(1+'Scenario Analysis'!$D$5)*(1+'Scenario Analysis'!$C$5)*'Scenario Analysis'!$D$15)+SUMPRODUCT('Sales, Production, &amp; Other Assu'!CB19:CB48*'Scenario Analysis'!$B$5,Table17[Unit Price in Study Currency]*(1+'Scenario Analysis'!$D$5)*(1+'Scenario Analysis'!$C$5)*'Scenario Analysis'!$D$16)+SUMPRODUCT('Sales, Production, &amp; Other Assu'!CA19:CA48*'Scenario Analysis'!$B$5,Table17[Unit Price in Study Currency]*(1+'Scenario Analysis'!$D$5)*(1+'Scenario Analysis'!$C$5)*'Scenario Analysis'!$D$17)+SUMPRODUCT('Sales, Production, &amp; Other Assu'!BZ19:BZ48*'Scenario Analysis'!$B$5,Table17[Unit Price in Study Currency]*(1+'Scenario Analysis'!$D$5)*(1+'Scenario Analysis'!$C$5)*'Scenario Analysis'!$D$18)+SUMPRODUCT('Sales, Production, &amp; Other Assu'!BY19:BY48*'Scenario Analysis'!$B$5,Table17[Unit Price in Study Currency]*(1+'Scenario Analysis'!$D$5)*(1+'Scenario Analysis'!$C$5)*'Scenario Analysis'!$D$19)</f>
        <v>1436289.458625</v>
      </c>
      <c r="CE38" s="518">
        <f>SUMPRODUCT('Sales, Production, &amp; Other Assu'!CF19:CF48*'Scenario Analysis'!$B$5,Table17[Unit Price in Study Currency]*(1+'Scenario Analysis'!$D$5)*(1+'Scenario Analysis'!$C$5)*'Scenario Analysis'!$D$14)+SUMPRODUCT('Sales, Production, &amp; Other Assu'!CE19:CE48*'Scenario Analysis'!$B$5,Table17[Unit Price in Study Currency]*(1+'Scenario Analysis'!$D$5)*(1+'Scenario Analysis'!$C$5)*'Scenario Analysis'!$D$15)+SUMPRODUCT('Sales, Production, &amp; Other Assu'!CD19:CD48*'Scenario Analysis'!$B$5,Table17[Unit Price in Study Currency]*(1+'Scenario Analysis'!$D$5)*(1+'Scenario Analysis'!$C$5)*'Scenario Analysis'!$D$16)+SUMPRODUCT('Sales, Production, &amp; Other Assu'!CB19:CB48*'Scenario Analysis'!$B$5,Table17[Unit Price in Study Currency]*(1+'Scenario Analysis'!$D$5)*(1+'Scenario Analysis'!$C$5)*'Scenario Analysis'!$D$17)+SUMPRODUCT('Sales, Production, &amp; Other Assu'!CA19:CA48*'Scenario Analysis'!$B$5,Table17[Unit Price in Study Currency]*(1+'Scenario Analysis'!$D$5)*(1+'Scenario Analysis'!$C$5)*'Scenario Analysis'!$D$18)+SUMPRODUCT('Sales, Production, &amp; Other Assu'!BZ19:BZ48*'Scenario Analysis'!$B$5,Table17[Unit Price in Study Currency]*(1+'Scenario Analysis'!$D$5)*(1+'Scenario Analysis'!$C$5)*'Scenario Analysis'!$D$19)</f>
        <v>1478132.12475</v>
      </c>
      <c r="CF38" s="518">
        <f>SUMPRODUCT('Sales, Production, &amp; Other Assu'!CG19:CG48*'Scenario Analysis'!$B$5,Table17[Unit Price in Study Currency]*(1+'Scenario Analysis'!$D$5)*(1+'Scenario Analysis'!$C$5)*'Scenario Analysis'!$D$14)+SUMPRODUCT('Sales, Production, &amp; Other Assu'!CF19:CF48*'Scenario Analysis'!$B$5,Table17[Unit Price in Study Currency]*(1+'Scenario Analysis'!$D$5)*(1+'Scenario Analysis'!$C$5)*'Scenario Analysis'!$D$15)+SUMPRODUCT('Sales, Production, &amp; Other Assu'!CE19:CE48*'Scenario Analysis'!$B$5,Table17[Unit Price in Study Currency]*(1+'Scenario Analysis'!$D$5)*(1+'Scenario Analysis'!$C$5)*'Scenario Analysis'!$D$16)+SUMPRODUCT('Sales, Production, &amp; Other Assu'!CD19:CD48*'Scenario Analysis'!$B$5,Table17[Unit Price in Study Currency]*(1+'Scenario Analysis'!$D$5)*(1+'Scenario Analysis'!$C$5)*'Scenario Analysis'!$D$17)+SUMPRODUCT('Sales, Production, &amp; Other Assu'!CB19:CB48*'Scenario Analysis'!$B$5,Table17[Unit Price in Study Currency]*(1+'Scenario Analysis'!$D$5)*(1+'Scenario Analysis'!$C$5)*'Scenario Analysis'!$D$18)+SUMPRODUCT('Sales, Production, &amp; Other Assu'!CA19:CA48*'Scenario Analysis'!$B$5,Table17[Unit Price in Study Currency]*(1+'Scenario Analysis'!$D$5)*(1+'Scenario Analysis'!$C$5)*'Scenario Analysis'!$D$19)</f>
        <v>1478132.12475</v>
      </c>
      <c r="CG38" s="518">
        <f>SUMPRODUCT('Sales, Production, &amp; Other Assu'!CH19:CH48*'Scenario Analysis'!$B$5,Table17[Unit Price in Study Currency]*(1+'Scenario Analysis'!$D$5)*(1+'Scenario Analysis'!$C$5)*'Scenario Analysis'!$D$14)+SUMPRODUCT('Sales, Production, &amp; Other Assu'!CG19:CG48*'Scenario Analysis'!$B$5,Table17[Unit Price in Study Currency]*(1+'Scenario Analysis'!$D$5)*(1+'Scenario Analysis'!$C$5)*'Scenario Analysis'!$D$15)+SUMPRODUCT('Sales, Production, &amp; Other Assu'!CF19:CF48*'Scenario Analysis'!$B$5,Table17[Unit Price in Study Currency]*(1+'Scenario Analysis'!$D$5)*(1+'Scenario Analysis'!$C$5)*'Scenario Analysis'!$D$16)+SUMPRODUCT('Sales, Production, &amp; Other Assu'!CE19:CE48*'Scenario Analysis'!$B$5,Table17[Unit Price in Study Currency]*(1+'Scenario Analysis'!$D$5)*(1+'Scenario Analysis'!$C$5)*'Scenario Analysis'!$D$17)+SUMPRODUCT('Sales, Production, &amp; Other Assu'!CD19:CD48*'Scenario Analysis'!$B$5,Table17[Unit Price in Study Currency]*(1+'Scenario Analysis'!$D$5)*(1+'Scenario Analysis'!$C$5)*'Scenario Analysis'!$D$18)+SUMPRODUCT('Sales, Production, &amp; Other Assu'!CB19:CB48*'Scenario Analysis'!$B$5,Table17[Unit Price in Study Currency]*(1+'Scenario Analysis'!$D$5)*(1+'Scenario Analysis'!$C$5)*'Scenario Analysis'!$D$19)</f>
        <v>1478132.12475</v>
      </c>
      <c r="CH38" s="518">
        <f>SUMPRODUCT('Sales, Production, &amp; Other Assu'!CI19:CI48*'Scenario Analysis'!$B$5,Table17[Unit Price in Study Currency]*(1+'Scenario Analysis'!$D$5)*(1+'Scenario Analysis'!$C$5)*'Scenario Analysis'!$D$14)+SUMPRODUCT('Sales, Production, &amp; Other Assu'!CH19:CH48*'Scenario Analysis'!$B$5,Table17[Unit Price in Study Currency]*(1+'Scenario Analysis'!$D$5)*(1+'Scenario Analysis'!$C$5)*'Scenario Analysis'!$D$15)+SUMPRODUCT('Sales, Production, &amp; Other Assu'!CG19:CG48*'Scenario Analysis'!$B$5,Table17[Unit Price in Study Currency]*(1+'Scenario Analysis'!$D$5)*(1+'Scenario Analysis'!$C$5)*'Scenario Analysis'!$D$16)+SUMPRODUCT('Sales, Production, &amp; Other Assu'!CF19:CF48*'Scenario Analysis'!$B$5,Table17[Unit Price in Study Currency]*(1+'Scenario Analysis'!$D$5)*(1+'Scenario Analysis'!$C$5)*'Scenario Analysis'!$D$17)+SUMPRODUCT('Sales, Production, &amp; Other Assu'!CE19:CE48*'Scenario Analysis'!$B$5,Table17[Unit Price in Study Currency]*(1+'Scenario Analysis'!$D$5)*(1+'Scenario Analysis'!$C$5)*'Scenario Analysis'!$D$18)+SUMPRODUCT('Sales, Production, &amp; Other Assu'!CD19:CD48*'Scenario Analysis'!$B$5,Table17[Unit Price in Study Currency]*(1+'Scenario Analysis'!$D$5)*(1+'Scenario Analysis'!$C$5)*'Scenario Analysis'!$D$19)</f>
        <v>1478132.12475</v>
      </c>
      <c r="CI38" s="518">
        <f>SUMPRODUCT('Sales, Production, &amp; Other Assu'!CJ19:CJ48*'Scenario Analysis'!$B$5,Table17[Unit Price in Study Currency]*(1+'Scenario Analysis'!$D$5)*(1+'Scenario Analysis'!$C$5)*'Scenario Analysis'!$D$14)+SUMPRODUCT('Sales, Production, &amp; Other Assu'!CI19:CI48*'Scenario Analysis'!$B$5,Table17[Unit Price in Study Currency]*(1+'Scenario Analysis'!$D$5)*(1+'Scenario Analysis'!$C$5)*'Scenario Analysis'!$D$15)+SUMPRODUCT('Sales, Production, &amp; Other Assu'!CH19:CH48*'Scenario Analysis'!$B$5,Table17[Unit Price in Study Currency]*(1+'Scenario Analysis'!$D$5)*(1+'Scenario Analysis'!$C$5)*'Scenario Analysis'!$D$16)+SUMPRODUCT('Sales, Production, &amp; Other Assu'!CG19:CG48*'Scenario Analysis'!$B$5,Table17[Unit Price in Study Currency]*(1+'Scenario Analysis'!$D$5)*(1+'Scenario Analysis'!$C$5)*'Scenario Analysis'!$D$17)+SUMPRODUCT('Sales, Production, &amp; Other Assu'!CF19:CF48*'Scenario Analysis'!$B$5,Table17[Unit Price in Study Currency]*(1+'Scenario Analysis'!$D$5)*(1+'Scenario Analysis'!$C$5)*'Scenario Analysis'!$D$18)+SUMPRODUCT('Sales, Production, &amp; Other Assu'!CE19:CE48*'Scenario Analysis'!$B$5,Table17[Unit Price in Study Currency]*(1+'Scenario Analysis'!$D$5)*(1+'Scenario Analysis'!$C$5)*'Scenario Analysis'!$D$19)</f>
        <v>1478132.12475</v>
      </c>
      <c r="CJ38" s="518">
        <f>SUMPRODUCT('Sales, Production, &amp; Other Assu'!CK19:CK48*'Scenario Analysis'!$B$5,Table17[Unit Price in Study Currency]*(1+'Scenario Analysis'!$D$5)*(1+'Scenario Analysis'!$C$5)*'Scenario Analysis'!$D$14)+SUMPRODUCT('Sales, Production, &amp; Other Assu'!CJ19:CJ48*'Scenario Analysis'!$B$5,Table17[Unit Price in Study Currency]*(1+'Scenario Analysis'!$D$5)*(1+'Scenario Analysis'!$C$5)*'Scenario Analysis'!$D$15)+SUMPRODUCT('Sales, Production, &amp; Other Assu'!CI19:CI48*'Scenario Analysis'!$B$5,Table17[Unit Price in Study Currency]*(1+'Scenario Analysis'!$D$5)*(1+'Scenario Analysis'!$C$5)*'Scenario Analysis'!$D$16)+SUMPRODUCT('Sales, Production, &amp; Other Assu'!CH19:CH48*'Scenario Analysis'!$B$5,Table17[Unit Price in Study Currency]*(1+'Scenario Analysis'!$D$5)*(1+'Scenario Analysis'!$C$5)*'Scenario Analysis'!$D$17)+SUMPRODUCT('Sales, Production, &amp; Other Assu'!CG19:CG48*'Scenario Analysis'!$B$5,Table17[Unit Price in Study Currency]*(1+'Scenario Analysis'!$D$5)*(1+'Scenario Analysis'!$C$5)*'Scenario Analysis'!$D$18)+SUMPRODUCT('Sales, Production, &amp; Other Assu'!CF19:CF48*'Scenario Analysis'!$B$5,Table17[Unit Price in Study Currency]*(1+'Scenario Analysis'!$D$5)*(1+'Scenario Analysis'!$C$5)*'Scenario Analysis'!$D$19)</f>
        <v>1478132.12475</v>
      </c>
      <c r="CK38" s="518">
        <f>SUMPRODUCT('Sales, Production, &amp; Other Assu'!CL19:CL48*'Scenario Analysis'!$B$5,Table17[Unit Price in Study Currency]*(1+'Scenario Analysis'!$D$5)*(1+'Scenario Analysis'!$C$5)*'Scenario Analysis'!$D$14)+SUMPRODUCT('Sales, Production, &amp; Other Assu'!CK19:CK48*'Scenario Analysis'!$B$5,Table17[Unit Price in Study Currency]*(1+'Scenario Analysis'!$D$5)*(1+'Scenario Analysis'!$C$5)*'Scenario Analysis'!$D$15)+SUMPRODUCT('Sales, Production, &amp; Other Assu'!CJ19:CJ48*'Scenario Analysis'!$B$5,Table17[Unit Price in Study Currency]*(1+'Scenario Analysis'!$D$5)*(1+'Scenario Analysis'!$C$5)*'Scenario Analysis'!$D$16)+SUMPRODUCT('Sales, Production, &amp; Other Assu'!CI19:CI48*'Scenario Analysis'!$B$5,Table17[Unit Price in Study Currency]*(1+'Scenario Analysis'!$D$5)*(1+'Scenario Analysis'!$C$5)*'Scenario Analysis'!$D$17)+SUMPRODUCT('Sales, Production, &amp; Other Assu'!CH19:CH48*'Scenario Analysis'!$B$5,Table17[Unit Price in Study Currency]*(1+'Scenario Analysis'!$D$5)*(1+'Scenario Analysis'!$C$5)*'Scenario Analysis'!$D$18)+SUMPRODUCT('Sales, Production, &amp; Other Assu'!CG19:CG48*'Scenario Analysis'!$B$5,Table17[Unit Price in Study Currency]*(1+'Scenario Analysis'!$D$5)*(1+'Scenario Analysis'!$C$5)*'Scenario Analysis'!$D$19)</f>
        <v>1478132.12475</v>
      </c>
      <c r="CL38" s="518">
        <f>SUMPRODUCT('Sales, Production, &amp; Other Assu'!CM19:CM48*'Scenario Analysis'!$B$5,Table17[Unit Price in Study Currency]*(1+'Scenario Analysis'!$D$5)*(1+'Scenario Analysis'!$C$5)*'Scenario Analysis'!$D$14)+SUMPRODUCT('Sales, Production, &amp; Other Assu'!CL19:CL48*'Scenario Analysis'!$B$5,Table17[Unit Price in Study Currency]*(1+'Scenario Analysis'!$D$5)*(1+'Scenario Analysis'!$C$5)*'Scenario Analysis'!$D$15)+SUMPRODUCT('Sales, Production, &amp; Other Assu'!CK19:CK48*'Scenario Analysis'!$B$5,Table17[Unit Price in Study Currency]*(1+'Scenario Analysis'!$D$5)*(1+'Scenario Analysis'!$C$5)*'Scenario Analysis'!$D$16)+SUMPRODUCT('Sales, Production, &amp; Other Assu'!CJ19:CJ48*'Scenario Analysis'!$B$5,Table17[Unit Price in Study Currency]*(1+'Scenario Analysis'!$D$5)*(1+'Scenario Analysis'!$C$5)*'Scenario Analysis'!$D$17)+SUMPRODUCT('Sales, Production, &amp; Other Assu'!CI19:CI48*'Scenario Analysis'!$B$5,Table17[Unit Price in Study Currency]*(1+'Scenario Analysis'!$D$5)*(1+'Scenario Analysis'!$C$5)*'Scenario Analysis'!$D$18)+SUMPRODUCT('Sales, Production, &amp; Other Assu'!CH19:CH48*'Scenario Analysis'!$B$5,Table17[Unit Price in Study Currency]*(1+'Scenario Analysis'!$D$5)*(1+'Scenario Analysis'!$C$5)*'Scenario Analysis'!$D$19)</f>
        <v>1478132.12475</v>
      </c>
      <c r="CM38" s="518">
        <f>SUMPRODUCT('Sales, Production, &amp; Other Assu'!CN19:CN48*'Scenario Analysis'!$B$5,Table17[Unit Price in Study Currency]*(1+'Scenario Analysis'!$D$5)*(1+'Scenario Analysis'!$C$5)*'Scenario Analysis'!$D$14)+SUMPRODUCT('Sales, Production, &amp; Other Assu'!CM19:CM48*'Scenario Analysis'!$B$5,Table17[Unit Price in Study Currency]*(1+'Scenario Analysis'!$D$5)*(1+'Scenario Analysis'!$C$5)*'Scenario Analysis'!$D$15)+SUMPRODUCT('Sales, Production, &amp; Other Assu'!CL19:CL48*'Scenario Analysis'!$B$5,Table17[Unit Price in Study Currency]*(1+'Scenario Analysis'!$D$5)*(1+'Scenario Analysis'!$C$5)*'Scenario Analysis'!$D$16)+SUMPRODUCT('Sales, Production, &amp; Other Assu'!CK19:CK48*'Scenario Analysis'!$B$5,Table17[Unit Price in Study Currency]*(1+'Scenario Analysis'!$D$5)*(1+'Scenario Analysis'!$C$5)*'Scenario Analysis'!$D$17)+SUMPRODUCT('Sales, Production, &amp; Other Assu'!CJ19:CJ48*'Scenario Analysis'!$B$5,Table17[Unit Price in Study Currency]*(1+'Scenario Analysis'!$D$5)*(1+'Scenario Analysis'!$C$5)*'Scenario Analysis'!$D$18)+SUMPRODUCT('Sales, Production, &amp; Other Assu'!CI19:CI48*'Scenario Analysis'!$B$5,Table17[Unit Price in Study Currency]*(1+'Scenario Analysis'!$D$5)*(1+'Scenario Analysis'!$C$5)*'Scenario Analysis'!$D$19)</f>
        <v>1478132.12475</v>
      </c>
      <c r="CN38" s="518">
        <f>SUMPRODUCT('Sales, Production, &amp; Other Assu'!CO19:CO48*'Scenario Analysis'!$B$5,Table17[Unit Price in Study Currency]*(1+'Scenario Analysis'!$D$5)*(1+'Scenario Analysis'!$C$5)*'Scenario Analysis'!$D$14)+SUMPRODUCT('Sales, Production, &amp; Other Assu'!CN19:CN48*'Scenario Analysis'!$B$5,Table17[Unit Price in Study Currency]*(1+'Scenario Analysis'!$D$5)*(1+'Scenario Analysis'!$C$5)*'Scenario Analysis'!$D$15)+SUMPRODUCT('Sales, Production, &amp; Other Assu'!CM19:CM48*'Scenario Analysis'!$B$5,Table17[Unit Price in Study Currency]*(1+'Scenario Analysis'!$D$5)*(1+'Scenario Analysis'!$C$5)*'Scenario Analysis'!$D$16)+SUMPRODUCT('Sales, Production, &amp; Other Assu'!CL19:CL48*'Scenario Analysis'!$B$5,Table17[Unit Price in Study Currency]*(1+'Scenario Analysis'!$D$5)*(1+'Scenario Analysis'!$C$5)*'Scenario Analysis'!$D$17)+SUMPRODUCT('Sales, Production, &amp; Other Assu'!CK19:CK48*'Scenario Analysis'!$B$5,Table17[Unit Price in Study Currency]*(1+'Scenario Analysis'!$D$5)*(1+'Scenario Analysis'!$C$5)*'Scenario Analysis'!$D$18)+SUMPRODUCT('Sales, Production, &amp; Other Assu'!CJ19:CJ48*'Scenario Analysis'!$B$5,Table17[Unit Price in Study Currency]*(1+'Scenario Analysis'!$D$5)*(1+'Scenario Analysis'!$C$5)*'Scenario Analysis'!$D$19)</f>
        <v>1478132.12475</v>
      </c>
      <c r="CO38" s="545">
        <f>SUM(CC38:CN38)</f>
        <v>17612057.498624995</v>
      </c>
    </row>
    <row r="39" spans="1:93" s="112" customFormat="1" ht="24.95" customHeight="1" outlineLevel="1" thickBot="1">
      <c r="A39" s="123" t="s">
        <v>332</v>
      </c>
      <c r="B39" s="520">
        <f>SUM(B38:B38)</f>
        <v>0</v>
      </c>
      <c r="C39" s="520">
        <f>SUBTOTAL(109,C38)</f>
        <v>0</v>
      </c>
      <c r="D39" s="520">
        <f t="shared" ref="D39:N39" si="177">SUBTOTAL(109,D38)</f>
        <v>347338.125</v>
      </c>
      <c r="E39" s="520">
        <f t="shared" si="177"/>
        <v>694676.25</v>
      </c>
      <c r="F39" s="520">
        <f t="shared" si="177"/>
        <v>694676.25</v>
      </c>
      <c r="G39" s="520">
        <f t="shared" si="177"/>
        <v>694676.25</v>
      </c>
      <c r="H39" s="520">
        <f t="shared" si="177"/>
        <v>694676.25</v>
      </c>
      <c r="I39" s="520">
        <f t="shared" si="177"/>
        <v>694676.25</v>
      </c>
      <c r="J39" s="520">
        <f t="shared" si="177"/>
        <v>694676.25</v>
      </c>
      <c r="K39" s="520">
        <f t="shared" si="177"/>
        <v>694676.25</v>
      </c>
      <c r="L39" s="520">
        <f t="shared" si="177"/>
        <v>694676.25</v>
      </c>
      <c r="M39" s="520">
        <f t="shared" si="177"/>
        <v>694676.25</v>
      </c>
      <c r="N39" s="520">
        <f t="shared" si="177"/>
        <v>694676.25</v>
      </c>
      <c r="O39" s="546">
        <f t="shared" ref="O39" si="178">SUM(O38:O38)</f>
        <v>7294100.625</v>
      </c>
      <c r="P39" s="520">
        <f>SUBTOTAL(109,P38)</f>
        <v>694676.25</v>
      </c>
      <c r="Q39" s="520">
        <f t="shared" ref="Q39:AA39" si="179">SUBTOTAL(109,Q38)</f>
        <v>752334.37874999992</v>
      </c>
      <c r="R39" s="520">
        <f t="shared" si="179"/>
        <v>809992.50749999995</v>
      </c>
      <c r="S39" s="520">
        <f t="shared" si="179"/>
        <v>809992.50749999995</v>
      </c>
      <c r="T39" s="520">
        <f t="shared" si="179"/>
        <v>809992.50749999995</v>
      </c>
      <c r="U39" s="520">
        <f t="shared" si="179"/>
        <v>809992.50749999995</v>
      </c>
      <c r="V39" s="520">
        <f t="shared" si="179"/>
        <v>809992.50749999995</v>
      </c>
      <c r="W39" s="520">
        <f t="shared" si="179"/>
        <v>809992.50749999995</v>
      </c>
      <c r="X39" s="520">
        <f t="shared" si="179"/>
        <v>809992.50749999995</v>
      </c>
      <c r="Y39" s="520">
        <f t="shared" si="179"/>
        <v>809992.50749999995</v>
      </c>
      <c r="Z39" s="520">
        <f t="shared" si="179"/>
        <v>809992.50749999995</v>
      </c>
      <c r="AA39" s="520">
        <f t="shared" si="179"/>
        <v>809992.50749999995</v>
      </c>
      <c r="AB39" s="546">
        <f t="shared" ref="AB39" si="180">SUM(AB38:AB38)</f>
        <v>9546935.7037500013</v>
      </c>
      <c r="AC39" s="520">
        <f>SUBTOTAL(109,AC38)</f>
        <v>809992.50749999995</v>
      </c>
      <c r="AD39" s="520">
        <f t="shared" ref="AD39:AN39" si="181">SUBTOTAL(109,AD38)</f>
        <v>873323.82562500006</v>
      </c>
      <c r="AE39" s="520">
        <f t="shared" si="181"/>
        <v>936655.14375000005</v>
      </c>
      <c r="AF39" s="520">
        <f t="shared" si="181"/>
        <v>936655.14375000005</v>
      </c>
      <c r="AG39" s="520">
        <f t="shared" si="181"/>
        <v>936655.14375000005</v>
      </c>
      <c r="AH39" s="520">
        <f t="shared" si="181"/>
        <v>936655.14375000005</v>
      </c>
      <c r="AI39" s="520">
        <f t="shared" si="181"/>
        <v>936655.14375000005</v>
      </c>
      <c r="AJ39" s="520">
        <f t="shared" si="181"/>
        <v>936655.14375000005</v>
      </c>
      <c r="AK39" s="520">
        <f t="shared" si="181"/>
        <v>936655.14375000005</v>
      </c>
      <c r="AL39" s="520">
        <f t="shared" si="181"/>
        <v>936655.14375000005</v>
      </c>
      <c r="AM39" s="520">
        <f t="shared" si="181"/>
        <v>936655.14375000005</v>
      </c>
      <c r="AN39" s="520">
        <f t="shared" si="181"/>
        <v>936655.14375000005</v>
      </c>
      <c r="AO39" s="546">
        <f t="shared" ref="AO39" si="182">SUM(AO38:AO38)</f>
        <v>11049867.770625001</v>
      </c>
      <c r="AP39" s="520">
        <f>SUBTOTAL(109,AP38)</f>
        <v>936655.14375000005</v>
      </c>
      <c r="AQ39" s="520">
        <f t="shared" ref="AQ39:BA39" si="183">SUBTOTAL(109,AQ38)</f>
        <v>1006122.7687499999</v>
      </c>
      <c r="AR39" s="520">
        <f t="shared" si="183"/>
        <v>1075590.3937499998</v>
      </c>
      <c r="AS39" s="520">
        <f t="shared" si="183"/>
        <v>1075590.3937499998</v>
      </c>
      <c r="AT39" s="520">
        <f t="shared" si="183"/>
        <v>1075590.3937499998</v>
      </c>
      <c r="AU39" s="520">
        <f t="shared" si="183"/>
        <v>1075590.3937499998</v>
      </c>
      <c r="AV39" s="520">
        <f t="shared" si="183"/>
        <v>1075590.3937499998</v>
      </c>
      <c r="AW39" s="520">
        <f t="shared" si="183"/>
        <v>1075590.3937499998</v>
      </c>
      <c r="AX39" s="520">
        <f t="shared" si="183"/>
        <v>1075590.3937499998</v>
      </c>
      <c r="AY39" s="520">
        <f t="shared" si="183"/>
        <v>1075590.3937499998</v>
      </c>
      <c r="AZ39" s="520">
        <f t="shared" si="183"/>
        <v>1075590.3937499998</v>
      </c>
      <c r="BA39" s="520">
        <f t="shared" si="183"/>
        <v>1075590.3937499998</v>
      </c>
      <c r="BB39" s="546">
        <f t="shared" ref="BB39" si="184">SUM(BB38:BB38)</f>
        <v>12698681.850000001</v>
      </c>
      <c r="BC39" s="520">
        <f>SUBTOTAL(109,BC38)</f>
        <v>1075590.3937499998</v>
      </c>
      <c r="BD39" s="520">
        <f t="shared" ref="BD39:BN39" si="185">SUBTOTAL(109,BD38)</f>
        <v>1151703.7548749996</v>
      </c>
      <c r="BE39" s="520">
        <f t="shared" si="185"/>
        <v>1227817.1159999997</v>
      </c>
      <c r="BF39" s="520">
        <f t="shared" si="185"/>
        <v>1227817.1159999997</v>
      </c>
      <c r="BG39" s="520">
        <f t="shared" si="185"/>
        <v>1227817.1159999997</v>
      </c>
      <c r="BH39" s="520">
        <f t="shared" si="185"/>
        <v>1227817.1159999997</v>
      </c>
      <c r="BI39" s="520">
        <f t="shared" si="185"/>
        <v>1227817.1159999997</v>
      </c>
      <c r="BJ39" s="520">
        <f t="shared" si="185"/>
        <v>1227817.1159999997</v>
      </c>
      <c r="BK39" s="520">
        <f t="shared" si="185"/>
        <v>1227817.1159999997</v>
      </c>
      <c r="BL39" s="520">
        <f t="shared" si="185"/>
        <v>1227817.1159999997</v>
      </c>
      <c r="BM39" s="520">
        <f t="shared" si="185"/>
        <v>1227817.1159999997</v>
      </c>
      <c r="BN39" s="520">
        <f t="shared" si="185"/>
        <v>1227817.1159999997</v>
      </c>
      <c r="BO39" s="546">
        <f t="shared" ref="BO39" si="186">SUM(BO38:BO38)</f>
        <v>14505465.308624998</v>
      </c>
      <c r="BP39" s="520">
        <f>SUBTOTAL(109,BP38)</f>
        <v>1227817.1159999997</v>
      </c>
      <c r="BQ39" s="520">
        <f t="shared" ref="BQ39:CA39" si="187">SUBTOTAL(109,BQ38)</f>
        <v>1311131.95425</v>
      </c>
      <c r="BR39" s="520">
        <f t="shared" si="187"/>
        <v>1394446.7925</v>
      </c>
      <c r="BS39" s="520">
        <f t="shared" si="187"/>
        <v>1394446.7925</v>
      </c>
      <c r="BT39" s="520">
        <f t="shared" si="187"/>
        <v>1394446.7925</v>
      </c>
      <c r="BU39" s="520">
        <f t="shared" si="187"/>
        <v>1394446.7925</v>
      </c>
      <c r="BV39" s="520">
        <f t="shared" si="187"/>
        <v>1394446.7925</v>
      </c>
      <c r="BW39" s="520">
        <f t="shared" si="187"/>
        <v>1394446.7925</v>
      </c>
      <c r="BX39" s="520">
        <f t="shared" si="187"/>
        <v>1394446.7925</v>
      </c>
      <c r="BY39" s="520">
        <f t="shared" si="187"/>
        <v>1394446.7925</v>
      </c>
      <c r="BZ39" s="520">
        <f t="shared" si="187"/>
        <v>1394446.7925</v>
      </c>
      <c r="CA39" s="520">
        <f t="shared" si="187"/>
        <v>1394446.7925</v>
      </c>
      <c r="CB39" s="546">
        <f t="shared" ref="CB39" si="188">SUM(CB38:CB38)</f>
        <v>16483416.995250003</v>
      </c>
      <c r="CC39" s="520">
        <f>SUBTOTAL(109,CC38)</f>
        <v>1394446.7925</v>
      </c>
      <c r="CD39" s="520">
        <f t="shared" ref="CD39:CN39" si="189">SUBTOTAL(109,CD38)</f>
        <v>1436289.458625</v>
      </c>
      <c r="CE39" s="520">
        <f t="shared" si="189"/>
        <v>1478132.12475</v>
      </c>
      <c r="CF39" s="520">
        <f t="shared" si="189"/>
        <v>1478132.12475</v>
      </c>
      <c r="CG39" s="520">
        <f t="shared" si="189"/>
        <v>1478132.12475</v>
      </c>
      <c r="CH39" s="520">
        <f t="shared" si="189"/>
        <v>1478132.12475</v>
      </c>
      <c r="CI39" s="520">
        <f t="shared" si="189"/>
        <v>1478132.12475</v>
      </c>
      <c r="CJ39" s="520">
        <f t="shared" si="189"/>
        <v>1478132.12475</v>
      </c>
      <c r="CK39" s="520">
        <f t="shared" si="189"/>
        <v>1478132.12475</v>
      </c>
      <c r="CL39" s="520">
        <f t="shared" si="189"/>
        <v>1478132.12475</v>
      </c>
      <c r="CM39" s="520">
        <f t="shared" si="189"/>
        <v>1478132.12475</v>
      </c>
      <c r="CN39" s="520">
        <f t="shared" si="189"/>
        <v>1478132.12475</v>
      </c>
      <c r="CO39" s="546">
        <f t="shared" ref="CO39" si="190">SUM(CO38:CO38)</f>
        <v>17612057.498624995</v>
      </c>
    </row>
    <row r="40" spans="1:93" s="107" customFormat="1" ht="24.95" customHeight="1" outlineLevel="1" thickBot="1">
      <c r="A40" s="122" t="s">
        <v>333</v>
      </c>
      <c r="B40" s="516">
        <f t="shared" ref="B40:O40" si="191">B36+B39</f>
        <v>0</v>
      </c>
      <c r="C40" s="516">
        <f t="shared" si="191"/>
        <v>0</v>
      </c>
      <c r="D40" s="516">
        <f t="shared" si="191"/>
        <v>347338.125</v>
      </c>
      <c r="E40" s="516">
        <f t="shared" si="191"/>
        <v>694676.25</v>
      </c>
      <c r="F40" s="516">
        <f t="shared" si="191"/>
        <v>818626.29399999999</v>
      </c>
      <c r="G40" s="516">
        <f t="shared" si="191"/>
        <v>943876.33799999999</v>
      </c>
      <c r="H40" s="516">
        <f t="shared" si="191"/>
        <v>1067826.382</v>
      </c>
      <c r="I40" s="516">
        <f t="shared" si="191"/>
        <v>1191776.426</v>
      </c>
      <c r="J40" s="516">
        <f t="shared" si="191"/>
        <v>1315726.47</v>
      </c>
      <c r="K40" s="516">
        <f t="shared" si="191"/>
        <v>1439676.514</v>
      </c>
      <c r="L40" s="516">
        <f t="shared" si="191"/>
        <v>1563626.558</v>
      </c>
      <c r="M40" s="516">
        <f t="shared" si="191"/>
        <v>1687576.602</v>
      </c>
      <c r="N40" s="516">
        <f t="shared" si="191"/>
        <v>1811526.6459999999</v>
      </c>
      <c r="O40" s="544">
        <f t="shared" si="191"/>
        <v>7294100.625</v>
      </c>
      <c r="P40" s="516">
        <f t="shared" ref="P40:AB40" si="192">P36+P39</f>
        <v>1935476.69</v>
      </c>
      <c r="Q40" s="516">
        <f t="shared" ca="1" si="192"/>
        <v>2032853.2518539999</v>
      </c>
      <c r="R40" s="516">
        <f t="shared" ca="1" si="192"/>
        <v>2192087.547458</v>
      </c>
      <c r="S40" s="516">
        <f t="shared" ca="1" si="192"/>
        <v>2351321.8430619999</v>
      </c>
      <c r="T40" s="516">
        <f t="shared" ca="1" si="192"/>
        <v>2511921.1386659998</v>
      </c>
      <c r="U40" s="516">
        <f t="shared" ca="1" si="192"/>
        <v>2671155.4342699996</v>
      </c>
      <c r="V40" s="516">
        <f t="shared" ca="1" si="192"/>
        <v>2830389.7298739995</v>
      </c>
      <c r="W40" s="516">
        <f t="shared" ca="1" si="192"/>
        <v>2989624.0254779994</v>
      </c>
      <c r="X40" s="516">
        <f t="shared" ca="1" si="192"/>
        <v>3148858.3210819992</v>
      </c>
      <c r="Y40" s="516">
        <f t="shared" ca="1" si="192"/>
        <v>3308092.6166859991</v>
      </c>
      <c r="Z40" s="516">
        <f t="shared" ca="1" si="192"/>
        <v>3467326.912289999</v>
      </c>
      <c r="AA40" s="516">
        <f t="shared" ca="1" si="192"/>
        <v>3626561.2078939988</v>
      </c>
      <c r="AB40" s="544">
        <f t="shared" si="192"/>
        <v>9546935.7037500013</v>
      </c>
      <c r="AC40" s="516">
        <f t="shared" ref="AC40:BB40" ca="1" si="193">AC36+AC39</f>
        <v>3785795.5034979987</v>
      </c>
      <c r="AD40" s="516">
        <f t="shared" ca="1" si="193"/>
        <v>3916416.263782999</v>
      </c>
      <c r="AE40" s="516">
        <f t="shared" ca="1" si="193"/>
        <v>4110368.3421929991</v>
      </c>
      <c r="AF40" s="516">
        <f t="shared" ca="1" si="193"/>
        <v>4304320.4206029987</v>
      </c>
      <c r="AG40" s="516">
        <f t="shared" ca="1" si="193"/>
        <v>4498272.4990129983</v>
      </c>
      <c r="AH40" s="516">
        <f t="shared" ca="1" si="193"/>
        <v>4692224.5774229979</v>
      </c>
      <c r="AI40" s="516">
        <f t="shared" ca="1" si="193"/>
        <v>4886176.6558329975</v>
      </c>
      <c r="AJ40" s="516">
        <f t="shared" ca="1" si="193"/>
        <v>5080128.7342429971</v>
      </c>
      <c r="AK40" s="516">
        <f t="shared" ca="1" si="193"/>
        <v>5274080.8126529967</v>
      </c>
      <c r="AL40" s="516">
        <f t="shared" ca="1" si="193"/>
        <v>5468032.8910629964</v>
      </c>
      <c r="AM40" s="516">
        <f t="shared" ca="1" si="193"/>
        <v>5661984.969472996</v>
      </c>
      <c r="AN40" s="516">
        <f t="shared" ca="1" si="193"/>
        <v>5855937.0478829956</v>
      </c>
      <c r="AO40" s="544">
        <f t="shared" si="193"/>
        <v>11049867.770625001</v>
      </c>
      <c r="AP40" s="516">
        <f t="shared" ca="1" si="193"/>
        <v>6049889.1262929952</v>
      </c>
      <c r="AQ40" s="516">
        <f t="shared" ca="1" si="193"/>
        <v>6212606.3955029948</v>
      </c>
      <c r="AR40" s="516">
        <f t="shared" ca="1" si="193"/>
        <v>6444791.2897129944</v>
      </c>
      <c r="AS40" s="516">
        <f t="shared" ca="1" si="193"/>
        <v>6676976.183922994</v>
      </c>
      <c r="AT40" s="516">
        <f t="shared" ca="1" si="193"/>
        <v>6909161.0781329935</v>
      </c>
      <c r="AU40" s="516">
        <f t="shared" ca="1" si="193"/>
        <v>7141345.9723429931</v>
      </c>
      <c r="AV40" s="516">
        <f t="shared" ca="1" si="193"/>
        <v>7373530.8665529927</v>
      </c>
      <c r="AW40" s="516">
        <f t="shared" ca="1" si="193"/>
        <v>7605715.7607629923</v>
      </c>
      <c r="AX40" s="516">
        <f t="shared" ca="1" si="193"/>
        <v>7837900.6549729919</v>
      </c>
      <c r="AY40" s="516">
        <f t="shared" ca="1" si="193"/>
        <v>8070085.5491829915</v>
      </c>
      <c r="AZ40" s="516">
        <f t="shared" ca="1" si="193"/>
        <v>8302270.4433929911</v>
      </c>
      <c r="BA40" s="516">
        <f t="shared" ca="1" si="193"/>
        <v>8534455.3376029916</v>
      </c>
      <c r="BB40" s="544">
        <f t="shared" si="193"/>
        <v>12698681.850000001</v>
      </c>
      <c r="BC40" s="516">
        <f t="shared" ref="BC40:BO40" ca="1" si="194">BC36+BC39</f>
        <v>8766640.2318129912</v>
      </c>
      <c r="BD40" s="516">
        <f t="shared" ca="1" si="194"/>
        <v>8964750.0775381923</v>
      </c>
      <c r="BE40" s="516">
        <f t="shared" ca="1" si="194"/>
        <v>9238973.2843883932</v>
      </c>
      <c r="BF40" s="516">
        <f t="shared" ca="1" si="194"/>
        <v>9513196.4912385941</v>
      </c>
      <c r="BG40" s="516">
        <f t="shared" ca="1" si="194"/>
        <v>9787419.6980887949</v>
      </c>
      <c r="BH40" s="516">
        <f t="shared" ca="1" si="194"/>
        <v>10061642.904938996</v>
      </c>
      <c r="BI40" s="516">
        <f t="shared" ca="1" si="194"/>
        <v>10335866.111789197</v>
      </c>
      <c r="BJ40" s="516">
        <f t="shared" ca="1" si="194"/>
        <v>10610089.318639398</v>
      </c>
      <c r="BK40" s="516">
        <f t="shared" ca="1" si="194"/>
        <v>10884312.525489599</v>
      </c>
      <c r="BL40" s="516">
        <f t="shared" ca="1" si="194"/>
        <v>11158535.732339799</v>
      </c>
      <c r="BM40" s="516">
        <f t="shared" ca="1" si="194"/>
        <v>11432758.93919</v>
      </c>
      <c r="BN40" s="516">
        <f t="shared" ca="1" si="194"/>
        <v>11706982.146040201</v>
      </c>
      <c r="BO40" s="544">
        <f t="shared" si="194"/>
        <v>14505465.308624998</v>
      </c>
      <c r="BP40" s="516">
        <f t="shared" ref="BP40:CO40" ca="1" si="195">BP36+BP39</f>
        <v>11981205.352890402</v>
      </c>
      <c r="BQ40" s="516">
        <f t="shared" ca="1" si="195"/>
        <v>12218274.376972653</v>
      </c>
      <c r="BR40" s="516">
        <f t="shared" ca="1" si="195"/>
        <v>12538658.239304904</v>
      </c>
      <c r="BS40" s="516">
        <f t="shared" ca="1" si="195"/>
        <v>12859042.101637155</v>
      </c>
      <c r="BT40" s="516">
        <f t="shared" ca="1" si="195"/>
        <v>13179425.963969406</v>
      </c>
      <c r="BU40" s="516">
        <f t="shared" ca="1" si="195"/>
        <v>13499809.826301657</v>
      </c>
      <c r="BV40" s="516">
        <f t="shared" ca="1" si="195"/>
        <v>13820193.688633908</v>
      </c>
      <c r="BW40" s="516">
        <f t="shared" ca="1" si="195"/>
        <v>14140577.550966159</v>
      </c>
      <c r="BX40" s="516">
        <f t="shared" ca="1" si="195"/>
        <v>14460961.413298409</v>
      </c>
      <c r="BY40" s="516">
        <f t="shared" ca="1" si="195"/>
        <v>14781345.27563066</v>
      </c>
      <c r="BZ40" s="516">
        <f t="shared" ca="1" si="195"/>
        <v>15101729.137962911</v>
      </c>
      <c r="CA40" s="516">
        <f t="shared" ca="1" si="195"/>
        <v>15422113.000295162</v>
      </c>
      <c r="CB40" s="544">
        <f t="shared" si="195"/>
        <v>16483416.995250003</v>
      </c>
      <c r="CC40" s="516">
        <f t="shared" ca="1" si="195"/>
        <v>15742496.862627413</v>
      </c>
      <c r="CD40" s="516">
        <f t="shared" ca="1" si="195"/>
        <v>16038659.117600426</v>
      </c>
      <c r="CE40" s="516">
        <f t="shared" ca="1" si="195"/>
        <v>16376664.038698439</v>
      </c>
      <c r="CF40" s="516">
        <f t="shared" ca="1" si="195"/>
        <v>16714668.959796451</v>
      </c>
      <c r="CG40" s="516">
        <f t="shared" ca="1" si="195"/>
        <v>17052673.880894464</v>
      </c>
      <c r="CH40" s="516">
        <f t="shared" ca="1" si="195"/>
        <v>17390678.801992476</v>
      </c>
      <c r="CI40" s="516">
        <f t="shared" ca="1" si="195"/>
        <v>17728683.723090488</v>
      </c>
      <c r="CJ40" s="516">
        <f t="shared" ca="1" si="195"/>
        <v>18066688.644188501</v>
      </c>
      <c r="CK40" s="516">
        <f t="shared" ca="1" si="195"/>
        <v>18404693.565286513</v>
      </c>
      <c r="CL40" s="516">
        <f t="shared" ca="1" si="195"/>
        <v>18742698.486384526</v>
      </c>
      <c r="CM40" s="516">
        <f t="shared" ca="1" si="195"/>
        <v>19080703.407482538</v>
      </c>
      <c r="CN40" s="516">
        <f t="shared" ca="1" si="195"/>
        <v>19418708.328580551</v>
      </c>
      <c r="CO40" s="544">
        <f t="shared" si="195"/>
        <v>17612057.498624995</v>
      </c>
    </row>
    <row r="41" spans="1:93" s="107" customFormat="1" ht="24.95" customHeight="1" outlineLevel="1">
      <c r="A41" s="123" t="s">
        <v>334</v>
      </c>
      <c r="B41" s="116"/>
      <c r="C41" s="116"/>
      <c r="D41" s="116"/>
      <c r="E41" s="116"/>
      <c r="F41" s="116"/>
      <c r="G41" s="116"/>
      <c r="H41" s="116"/>
      <c r="I41" s="116"/>
      <c r="J41" s="116"/>
      <c r="K41" s="116"/>
      <c r="L41" s="116"/>
      <c r="M41" s="116"/>
      <c r="N41" s="116"/>
      <c r="O41" s="445"/>
      <c r="P41" s="116"/>
      <c r="Q41" s="116"/>
      <c r="R41" s="116"/>
      <c r="S41" s="116"/>
      <c r="T41" s="116"/>
      <c r="U41" s="116"/>
      <c r="V41" s="116"/>
      <c r="W41" s="116"/>
      <c r="X41" s="116"/>
      <c r="Y41" s="116"/>
      <c r="Z41" s="116"/>
      <c r="AA41" s="116"/>
      <c r="AB41" s="445"/>
      <c r="AC41" s="116"/>
      <c r="AD41" s="116"/>
      <c r="AE41" s="116"/>
      <c r="AF41" s="116"/>
      <c r="AG41" s="116"/>
      <c r="AH41" s="116"/>
      <c r="AI41" s="116"/>
      <c r="AJ41" s="116"/>
      <c r="AK41" s="116"/>
      <c r="AL41" s="116"/>
      <c r="AM41" s="116"/>
      <c r="AN41" s="116"/>
      <c r="AO41" s="445"/>
      <c r="AP41" s="116"/>
      <c r="AQ41" s="116"/>
      <c r="AR41" s="116"/>
      <c r="AS41" s="116"/>
      <c r="AT41" s="116"/>
      <c r="AU41" s="116"/>
      <c r="AV41" s="116"/>
      <c r="AW41" s="116"/>
      <c r="AX41" s="116"/>
      <c r="AY41" s="116"/>
      <c r="AZ41" s="116"/>
      <c r="BA41" s="116"/>
      <c r="BB41" s="445"/>
      <c r="BC41" s="116"/>
      <c r="BD41" s="116"/>
      <c r="BE41" s="116"/>
      <c r="BF41" s="116"/>
      <c r="BG41" s="116"/>
      <c r="BH41" s="116"/>
      <c r="BI41" s="116"/>
      <c r="BJ41" s="116"/>
      <c r="BK41" s="116"/>
      <c r="BL41" s="116"/>
      <c r="BM41" s="116"/>
      <c r="BN41" s="116"/>
      <c r="BO41" s="445"/>
      <c r="BP41" s="116"/>
      <c r="BQ41" s="116"/>
      <c r="BR41" s="116"/>
      <c r="BS41" s="116"/>
      <c r="BT41" s="116"/>
      <c r="BU41" s="116"/>
      <c r="BV41" s="116"/>
      <c r="BW41" s="116"/>
      <c r="BX41" s="116"/>
      <c r="BY41" s="116"/>
      <c r="BZ41" s="116"/>
      <c r="CA41" s="116"/>
      <c r="CB41" s="445"/>
      <c r="CC41" s="116"/>
      <c r="CD41" s="116"/>
      <c r="CE41" s="116"/>
      <c r="CF41" s="116"/>
      <c r="CG41" s="116"/>
      <c r="CH41" s="116"/>
      <c r="CI41" s="116"/>
      <c r="CJ41" s="116"/>
      <c r="CK41" s="116"/>
      <c r="CL41" s="116"/>
      <c r="CM41" s="116"/>
      <c r="CN41" s="116"/>
      <c r="CO41" s="445"/>
    </row>
    <row r="42" spans="1:93" s="107" customFormat="1" ht="24.95" customHeight="1" outlineLevel="1">
      <c r="A42" s="124" t="s">
        <v>335</v>
      </c>
      <c r="B42" s="518">
        <f>SUMPRODUCT(Table7[Pre-Operation],'BEP. &amp; Summary Results'!$C$6:$C$35)*'Scenario Analysis'!$B$5*(1+'Scenario Analysis'!$E$5)*'Scenario Analysis'!$D$20</f>
        <v>462030.15599999996</v>
      </c>
      <c r="C42" s="518">
        <f>SUMPRODUCT(Table7[Year 1
Month 1],'BEP. &amp; Summary Results'!$C$6:$C$35)*'Scenario Analysis'!$B$5*(1+'Scenario Analysis'!$E$5)*'Scenario Analysis'!$D$20+SUMPRODUCT(Table7[Pre-Operation],'BEP. &amp; Summary Results'!$C$6:$C$35)*'Scenario Analysis'!$B$5*(1+'Scenario Analysis'!$E$5)*'Scenario Analysis'!$D$21</f>
        <v>462030.15599999996</v>
      </c>
      <c r="D42" s="518">
        <f>SUMPRODUCT(Table7[Year 1
Month 2],'BEP. &amp; Summary Results'!$C$6:$C$35)*'Scenario Analysis'!$B$5*(1+'Scenario Analysis'!$E$5)*'Scenario Analysis'!$D$20+SUMPRODUCT(Table7[Year 1
Month 1],'BEP. &amp; Summary Results'!$C$6:$C$35)*'Scenario Analysis'!$B$5*(1+'Scenario Analysis'!$E$5)*'Scenario Analysis'!$D$21+SUMPRODUCT(Table7[Pre-Operation],'BEP. &amp; Summary Results'!$C$6:$C$35)*'Scenario Analysis'!$B$5*(1+'Scenario Analysis'!$E$5)*'Scenario Analysis'!$D$22</f>
        <v>462030.15599999996</v>
      </c>
      <c r="E42" s="518">
        <f>SUMPRODUCT(Table7[Year 1
Month 3],'BEP. &amp; Summary Results'!$C$6:$C$35)*'Scenario Analysis'!$B$5*(1+'Scenario Analysis'!$E$5)*'Scenario Analysis'!$D$20+SUMPRODUCT(Table7[Year 1
Month 2],'BEP. &amp; Summary Results'!$C$6:$C$35)*'Scenario Analysis'!$B$5*(1+'Scenario Analysis'!$E$5)*'Scenario Analysis'!$D$21+SUMPRODUCT(Table7[Year 1
Month 1],'BEP. &amp; Summary Results'!$C$6:$C$35)*'Scenario Analysis'!$B$5*(1+'Scenario Analysis'!$E$5)*'Scenario Analysis'!$D$22+SUMPRODUCT(Table7[Pre-Operation],'BEP. &amp; Summary Results'!$C$6:$C$35)*'Scenario Analysis'!$B$5*(1+'Scenario Analysis'!$E$5)*'Scenario Analysis'!$D$23</f>
        <v>462030.15599999996</v>
      </c>
      <c r="F42" s="518">
        <f>SUMPRODUCT(Table7[Year 1
Month 4],'BEP. &amp; Summary Results'!$C$6:$C$35)*'Scenario Analysis'!$B$5*(1+'Scenario Analysis'!$E$5)*'Scenario Analysis'!$D$20+SUMPRODUCT(Table7[Year 1
Month 3],'BEP. &amp; Summary Results'!$C$6:$C$35)*'Scenario Analysis'!$B$5*(1+'Scenario Analysis'!$E$5)*'Scenario Analysis'!$D$21+SUMPRODUCT(Table7[Year 1
Month 2],'BEP. &amp; Summary Results'!$C$6:$C$35)*'Scenario Analysis'!$B$5*(1+'Scenario Analysis'!$E$5)*'Scenario Analysis'!$D$22+SUMPRODUCT(Table7[Year 1
Month 1],'BEP. &amp; Summary Results'!$C$6:$C$35)*'Scenario Analysis'!$B$5*(1+'Scenario Analysis'!$E$5)*'Scenario Analysis'!$D$23+SUMPRODUCT(Table7[Pre-Operation],'BEP. &amp; Summary Results'!$C$6:$C$35)*'Scenario Analysis'!$B$5*(1+'Scenario Analysis'!$E$5)*'Scenario Analysis'!$D$24</f>
        <v>462030.15599999996</v>
      </c>
      <c r="G42" s="518">
        <f>SUMPRODUCT(Table7[Year 1
Month 5],'BEP. &amp; Summary Results'!$C$6:$C$35)*'Scenario Analysis'!$B$5*(1+'Scenario Analysis'!$E$5)*'Scenario Analysis'!$D$20+SUMPRODUCT(Table7[Year 1
Month 4],'BEP. &amp; Summary Results'!$C$6:$C$35)*'Scenario Analysis'!$B$5*(1+'Scenario Analysis'!$E$5)*'Scenario Analysis'!$D$21+SUMPRODUCT(Table7[Year 1
Month 3],'BEP. &amp; Summary Results'!$C$6:$C$35)*'Scenario Analysis'!$B$5*(1+'Scenario Analysis'!$E$5)*'Scenario Analysis'!$D$22+SUMPRODUCT(Table7[Year 1
Month 2],'BEP. &amp; Summary Results'!$C$6:$C$35)*'Scenario Analysis'!$B$5*(1+'Scenario Analysis'!$E$5)*'Scenario Analysis'!$D$23+SUMPRODUCT(Table7[Year 1
Month 1],'BEP. &amp; Summary Results'!$C$6:$C$35)*'Scenario Analysis'!$B$5*(1+'Scenario Analysis'!$E$5)*'Scenario Analysis'!$D$24+SUMPRODUCT(Table7[Pre-Operation],'BEP. &amp; Summary Results'!$C$6:$C$35)*'Scenario Analysis'!$B$5*(1+'Scenario Analysis'!$E$5)*'Scenario Analysis'!$D$25</f>
        <v>462030.15599999996</v>
      </c>
      <c r="H42" s="518">
        <f>SUMPRODUCT(Table7[Year 1
Month 6],'BEP. &amp; Summary Results'!$C$6:$C$35)*'Scenario Analysis'!$B$5*(1+'Scenario Analysis'!$E$5)*'Summary. Assumptions. Inputs'!$C$38+SUMPRODUCT(Table7[Year 1
Month 5],'BEP. &amp; Summary Results'!$C$6:$C$35)*'Scenario Analysis'!$B$5*(1+'Scenario Analysis'!$E$5)*'Summary. Assumptions. Inputs'!$C$39+SUMPRODUCT(Table7[Year 1
Month 4],'BEP. &amp; Summary Results'!$C$6:$C$35)*'Scenario Analysis'!$B$5*(1+'Scenario Analysis'!$E$5)*'Summary. Assumptions. Inputs'!$C$40+SUMPRODUCT(Table7[Year 1
Month 3],'BEP. &amp; Summary Results'!$C$6:$C$35)*'Scenario Analysis'!$B$5*(1+'Scenario Analysis'!$E$5)*'Summary. Assumptions. Inputs'!$C$41+SUMPRODUCT(Table7[Year 1
Month 2],'BEP. &amp; Summary Results'!$C$6:$C$35)*'Scenario Analysis'!$B$5*(1+'Scenario Analysis'!$E$5)*'Summary. Assumptions. Inputs'!$C$42+SUMPRODUCT(Table7[Year 1
Month 1],'BEP. &amp; Summary Results'!$C$6:$C$35)*'Scenario Analysis'!$B$5*(1+'Scenario Analysis'!$E$5)*'Summary. Assumptions. Inputs'!$C$43</f>
        <v>462030.15599999996</v>
      </c>
      <c r="I42" s="518">
        <f>SUMPRODUCT(Table7[Year 1
Month 7],'BEP. &amp; Summary Results'!$C$6:$C$35)*'Scenario Analysis'!$B$5*(1+'Scenario Analysis'!$E$5)*'Scenario Analysis'!$D$20+SUMPRODUCT(Table7[Year 1
Month 6],'BEP. &amp; Summary Results'!$C$6:$C$35)*'Scenario Analysis'!$B$5*(1+'Scenario Analysis'!$E$5)*'Scenario Analysis'!$D$21+SUMPRODUCT(Table7[Year 1
Month 5],'BEP. &amp; Summary Results'!$C$6:$C$35)*'Scenario Analysis'!$B$5*(1+'Scenario Analysis'!$E$5)*'Scenario Analysis'!$D$22+SUMPRODUCT(Table7[Year 1
Month 4],'BEP. &amp; Summary Results'!$C$6:$C$35)*'Scenario Analysis'!$B$5*(1+'Scenario Analysis'!$E$5)*'Scenario Analysis'!$D$23+SUMPRODUCT(Table7[Year 1
Month 3],'BEP. &amp; Summary Results'!$C$6:$C$35)*'Scenario Analysis'!$B$5*(1+'Scenario Analysis'!$E$5)*'Scenario Analysis'!$D$24+SUMPRODUCT(Table7[Year 1
Month 2],'BEP. &amp; Summary Results'!$C$6:$C$35)*'Scenario Analysis'!$B$5*(1+'Scenario Analysis'!$E$5)*'Scenario Analysis'!$D$25</f>
        <v>462030.15599999996</v>
      </c>
      <c r="J42" s="518">
        <f>SUMPRODUCT(Table7[Year 1
Month 8],'BEP. &amp; Summary Results'!$C$6:$C$35)*'Scenario Analysis'!$B$5*(1+'Scenario Analysis'!$E$5)*'Scenario Analysis'!$D$20+SUMPRODUCT(Table7[Year 1
Month 7],'BEP. &amp; Summary Results'!$C$6:$C$35)*'Scenario Analysis'!$B$5*(1+'Scenario Analysis'!$E$5)*'Scenario Analysis'!$D$21+SUMPRODUCT(Table7[Year 1
Month 6],'BEP. &amp; Summary Results'!$C$6:$C$35)*'Scenario Analysis'!$B$5*(1+'Scenario Analysis'!$E$5)*'Scenario Analysis'!$D$22+SUMPRODUCT(Table7[Year 1
Month 5],'BEP. &amp; Summary Results'!$C$6:$C$35)*'Scenario Analysis'!$B$5*(1+'Scenario Analysis'!$E$5)*'Scenario Analysis'!$D$23+SUMPRODUCT(Table7[Year 1
Month 4],'BEP. &amp; Summary Results'!$C$6:$C$35)*'Scenario Analysis'!$B$5*(1+'Scenario Analysis'!$E$5)*'Scenario Analysis'!$D$24+SUMPRODUCT(Table7[Year 1
Month 3],'BEP. &amp; Summary Results'!$C$6:$C$35)*'Scenario Analysis'!$B$5*(1+'Scenario Analysis'!$E$5)*'Scenario Analysis'!$D$25</f>
        <v>462030.15599999996</v>
      </c>
      <c r="K42" s="518">
        <f>SUMPRODUCT(Table7[Year 1
Month 9],'BEP. &amp; Summary Results'!$C$6:$C$35)*'Scenario Analysis'!$B$5*(1+'Scenario Analysis'!$E$5)*'Scenario Analysis'!$D$20+SUMPRODUCT(Table7[Year 1
Month 8],'BEP. &amp; Summary Results'!$C$6:$C$35)*'Scenario Analysis'!$B$5*(1+'Scenario Analysis'!$E$5)*'Scenario Analysis'!$D$21+SUMPRODUCT(Table7[Year 1
Month 7],'BEP. &amp; Summary Results'!$C$6:$C$35)*'Scenario Analysis'!$B$5*(1+'Scenario Analysis'!$E$5)*'Scenario Analysis'!$D$22+SUMPRODUCT(Table7[Year 1
Month 6],'BEP. &amp; Summary Results'!$C$6:$C$35)*'Scenario Analysis'!$B$5*(1+'Scenario Analysis'!$E$5)*'Scenario Analysis'!$D$23+SUMPRODUCT(Table7[Year 1
Month 5],'BEP. &amp; Summary Results'!$C$6:$C$35)*'Scenario Analysis'!$B$5*(1+'Scenario Analysis'!$E$5)*'Scenario Analysis'!$D$24+SUMPRODUCT(Table7[Year 1
Month 4],'BEP. &amp; Summary Results'!$C$6:$C$35)*'Scenario Analysis'!$B$5*(1+'Scenario Analysis'!$E$5)*'Scenario Analysis'!$D$25</f>
        <v>462030.15599999996</v>
      </c>
      <c r="L42" s="518">
        <f>SUMPRODUCT(Table7[Year 1
Month 10],'BEP. &amp; Summary Results'!$C$6:$C$35)*'Scenario Analysis'!$B$5*(1+'Scenario Analysis'!$E$5)*'Scenario Analysis'!$D$20+SUMPRODUCT(Table7[Year 1
Month 9],'BEP. &amp; Summary Results'!$C$6:$C$35)*'Scenario Analysis'!$B$5*(1+'Scenario Analysis'!$E$5)*'Scenario Analysis'!$D$21+SUMPRODUCT(Table7[Year 1
Month 8],'BEP. &amp; Summary Results'!$C$6:$C$35)*'Scenario Analysis'!$B$5*(1+'Scenario Analysis'!$E$5)*'Scenario Analysis'!$D$22+SUMPRODUCT(Table7[Year 1
Month 7],'BEP. &amp; Summary Results'!$C$6:$C$35)*'Scenario Analysis'!$B$5*(1+'Scenario Analysis'!$E$5)*'Scenario Analysis'!$D$23+SUMPRODUCT(Table7[Year 1
Month 6],'BEP. &amp; Summary Results'!$C$6:$C$35)*'Scenario Analysis'!$B$5*(1+'Scenario Analysis'!$E$5)*'Scenario Analysis'!$D$24+SUMPRODUCT(Table7[Year 1
Month 5],'BEP. &amp; Summary Results'!$C$6:$C$35)*'Scenario Analysis'!$B$5*(1+'Scenario Analysis'!$E$5)*'Scenario Analysis'!$D$25</f>
        <v>462030.15599999996</v>
      </c>
      <c r="M42" s="518">
        <f>SUMPRODUCT(Table7[Year 1
Month 11],'BEP. &amp; Summary Results'!$C$6:$C$35)*'Scenario Analysis'!$B$5*(1+'Scenario Analysis'!$E$5)*'Scenario Analysis'!$D$20+SUMPRODUCT(Table7[Year 1
Month 10],'BEP. &amp; Summary Results'!$C$6:$C$35)*'Scenario Analysis'!$B$5*(1+'Scenario Analysis'!$E$5)*'Scenario Analysis'!$D$21+SUMPRODUCT(Table7[Year 1
Month 9],'BEP. &amp; Summary Results'!$C$6:$C$35)*'Scenario Analysis'!$B$5*(1+'Scenario Analysis'!$E$5)*'Scenario Analysis'!$D$22+SUMPRODUCT(Table7[Year 1
Month 8],'BEP. &amp; Summary Results'!$C$6:$C$35)*'Scenario Analysis'!$B$5*(1+'Scenario Analysis'!$E$5)*'Scenario Analysis'!$D$23+SUMPRODUCT(Table7[Year 1
Month 7],'BEP. &amp; Summary Results'!$C$6:$C$35)*'Scenario Analysis'!$B$5*(1+'Scenario Analysis'!$E$5)*'Scenario Analysis'!$D$24+SUMPRODUCT(Table7[Year 1
Month 6],'BEP. &amp; Summary Results'!$C$6:$C$35)*'Scenario Analysis'!$B$5*(1+'Scenario Analysis'!$E$5)*'Scenario Analysis'!$D$25</f>
        <v>462030.15599999996</v>
      </c>
      <c r="N42" s="518">
        <f>SUMPRODUCT(Table7[Year 1
Month 11],'BEP. &amp; Summary Results'!$C$6:$C$35)*'Scenario Analysis'!$B$5*(1+'Scenario Analysis'!$E$5)*'Scenario Analysis'!$D$20+SUMPRODUCT(Table7[Year 1
Month 10],'BEP. &amp; Summary Results'!$C$6:$C$35)*'Scenario Analysis'!$B$5*(1+'Scenario Analysis'!$E$5)*'Scenario Analysis'!$D$21+SUMPRODUCT(Table7[Year 1
Month 9],'BEP. &amp; Summary Results'!$C$6:$C$35)*'Scenario Analysis'!$B$5*(1+'Scenario Analysis'!$E$5)*'Scenario Analysis'!$D$22+SUMPRODUCT(Table7[Year 1
Month 8],'BEP. &amp; Summary Results'!$C$6:$C$35)*'Scenario Analysis'!$B$5*(1+'Scenario Analysis'!$E$5)*'Scenario Analysis'!$D$23+SUMPRODUCT(Table7[Year 1
Month 7],'BEP. &amp; Summary Results'!$C$6:$C$35)*'Scenario Analysis'!$B$5*(1+'Scenario Analysis'!$E$5)*'Scenario Analysis'!$D$24+SUMPRODUCT(Table7[Year 1
Month 6],'BEP. &amp; Summary Results'!$C$6:$C$35)*'Scenario Analysis'!$B$5*(1+'Scenario Analysis'!$E$5)*'Scenario Analysis'!$D$25</f>
        <v>462030.15599999996</v>
      </c>
      <c r="O42" s="545">
        <f>SUM(B42:N42)</f>
        <v>6006392.027999999</v>
      </c>
      <c r="P42" s="518">
        <f ca="1">P12/Capacity*'Scenario Analysis'!$B$5*(1+'Scenario Analysis'!$E$5)/(1+'Scenario Analysis'!$E$4)</f>
        <v>538727.16189599992</v>
      </c>
      <c r="Q42" s="518">
        <f ca="1">Q12/Capacity*'Scenario Analysis'!$B$5*(1+'Scenario Analysis'!$E$5)/(1+'Scenario Analysis'!$E$4)</f>
        <v>538727.16189599992</v>
      </c>
      <c r="R42" s="518">
        <f ca="1">R12/Capacity*'Scenario Analysis'!$B$5*(1+'Scenario Analysis'!$E$5)/(1+'Scenario Analysis'!$E$4)</f>
        <v>538727.16189599992</v>
      </c>
      <c r="S42" s="518">
        <f ca="1">S12/Capacity*'Scenario Analysis'!$B$5*(1+'Scenario Analysis'!$E$5)/(1+'Scenario Analysis'!$E$4)</f>
        <v>538727.16189599992</v>
      </c>
      <c r="T42" s="518">
        <f ca="1">T12/Capacity*'Scenario Analysis'!$B$5*(1+'Scenario Analysis'!$E$5)/(1+'Scenario Analysis'!$E$4)</f>
        <v>538727.16189599992</v>
      </c>
      <c r="U42" s="518">
        <f ca="1">U12/Capacity*'Scenario Analysis'!$B$5*(1+'Scenario Analysis'!$E$5)/(1+'Scenario Analysis'!$E$4)</f>
        <v>538727.16189599992</v>
      </c>
      <c r="V42" s="518">
        <f ca="1">V12/Capacity*'Scenario Analysis'!$B$5*(1+'Scenario Analysis'!$E$5)/(1+'Scenario Analysis'!$E$4)</f>
        <v>538727.16189599992</v>
      </c>
      <c r="W42" s="518">
        <f ca="1">W12/Capacity*'Scenario Analysis'!$B$5*(1+'Scenario Analysis'!$E$5)/(1+'Scenario Analysis'!$E$4)</f>
        <v>538727.16189599992</v>
      </c>
      <c r="X42" s="518">
        <f ca="1">X12/Capacity*'Scenario Analysis'!$B$5*(1+'Scenario Analysis'!$E$5)/(1+'Scenario Analysis'!$E$4)</f>
        <v>538727.16189599992</v>
      </c>
      <c r="Y42" s="518">
        <f ca="1">Y12/Capacity*'Scenario Analysis'!$B$5*(1+'Scenario Analysis'!$E$5)/(1+'Scenario Analysis'!$E$4)</f>
        <v>538727.16189599992</v>
      </c>
      <c r="Z42" s="518">
        <f ca="1">Z12/Capacity*'Scenario Analysis'!$B$5*(1+'Scenario Analysis'!$E$5)/(1+'Scenario Analysis'!$E$4)</f>
        <v>538727.16189599992</v>
      </c>
      <c r="AA42" s="518">
        <f ca="1">AA12/Capacity*'Scenario Analysis'!$B$5*(1+'Scenario Analysis'!$E$5)/(1+'Scenario Analysis'!$E$4)</f>
        <v>538727.16189599992</v>
      </c>
      <c r="AB42" s="545">
        <f ca="1">SUM(P42:AA42)</f>
        <v>6464725.9427519972</v>
      </c>
      <c r="AC42" s="518">
        <f ca="1">AC12/Capacity*'Scenario Analysis'!$B$5*(1+'Scenario Analysis'!$E$5)/(1+'Scenario Analysis'!$E$4)</f>
        <v>622970.66033999994</v>
      </c>
      <c r="AD42" s="518">
        <f ca="1">AD12/Capacity*'Scenario Analysis'!$B$5*(1+'Scenario Analysis'!$E$5)/(1+'Scenario Analysis'!$E$4)</f>
        <v>622970.66033999994</v>
      </c>
      <c r="AE42" s="518">
        <f ca="1">AE12/Capacity*'Scenario Analysis'!$B$5*(1+'Scenario Analysis'!$E$5)/(1+'Scenario Analysis'!$E$4)</f>
        <v>622970.66033999994</v>
      </c>
      <c r="AF42" s="518">
        <f ca="1">AF12/Capacity*'Scenario Analysis'!$B$5*(1+'Scenario Analysis'!$E$5)/(1+'Scenario Analysis'!$E$4)</f>
        <v>622970.66033999994</v>
      </c>
      <c r="AG42" s="518">
        <f ca="1">AG12/Capacity*'Scenario Analysis'!$B$5*(1+'Scenario Analysis'!$E$5)/(1+'Scenario Analysis'!$E$4)</f>
        <v>622970.66033999994</v>
      </c>
      <c r="AH42" s="518">
        <f ca="1">AH12/Capacity*'Scenario Analysis'!$B$5*(1+'Scenario Analysis'!$E$5)/(1+'Scenario Analysis'!$E$4)</f>
        <v>622970.66033999994</v>
      </c>
      <c r="AI42" s="518">
        <f ca="1">AI12/Capacity*'Scenario Analysis'!$B$5*(1+'Scenario Analysis'!$E$5)/(1+'Scenario Analysis'!$E$4)</f>
        <v>622970.66033999994</v>
      </c>
      <c r="AJ42" s="518">
        <f ca="1">AJ12/Capacity*'Scenario Analysis'!$B$5*(1+'Scenario Analysis'!$E$5)/(1+'Scenario Analysis'!$E$4)</f>
        <v>622970.66033999994</v>
      </c>
      <c r="AK42" s="518">
        <f ca="1">AK12/Capacity*'Scenario Analysis'!$B$5*(1+'Scenario Analysis'!$E$5)/(1+'Scenario Analysis'!$E$4)</f>
        <v>622970.66033999994</v>
      </c>
      <c r="AL42" s="518">
        <f ca="1">AL12/Capacity*'Scenario Analysis'!$B$5*(1+'Scenario Analysis'!$E$5)/(1+'Scenario Analysis'!$E$4)</f>
        <v>622970.66033999994</v>
      </c>
      <c r="AM42" s="518">
        <f ca="1">AM12/Capacity*'Scenario Analysis'!$B$5*(1+'Scenario Analysis'!$E$5)/(1+'Scenario Analysis'!$E$4)</f>
        <v>622970.66033999994</v>
      </c>
      <c r="AN42" s="518">
        <f ca="1">AN12/Capacity*'Scenario Analysis'!$B$5*(1+'Scenario Analysis'!$E$5)/(1+'Scenario Analysis'!$E$4)</f>
        <v>622970.66033999994</v>
      </c>
      <c r="AO42" s="545">
        <f ca="1">SUM(AC42:AN42)</f>
        <v>7475647.9240799993</v>
      </c>
      <c r="AP42" s="518">
        <f ca="1">AP12/Capacity*'Scenario Analysis'!$B$5*(1+'Scenario Analysis'!$E$5)/(1+'Scenario Analysis'!$E$4)</f>
        <v>715376.6915399998</v>
      </c>
      <c r="AQ42" s="518">
        <f ca="1">AQ12/Capacity*'Scenario Analysis'!$B$5*(1+'Scenario Analysis'!$E$5)/(1+'Scenario Analysis'!$E$4)</f>
        <v>715376.6915399998</v>
      </c>
      <c r="AR42" s="518">
        <f ca="1">AR12/Capacity*'Scenario Analysis'!$B$5*(1+'Scenario Analysis'!$E$5)/(1+'Scenario Analysis'!$E$4)</f>
        <v>715376.6915399998</v>
      </c>
      <c r="AS42" s="518">
        <f ca="1">AS12/Capacity*'Scenario Analysis'!$B$5*(1+'Scenario Analysis'!$E$5)/(1+'Scenario Analysis'!$E$4)</f>
        <v>715376.6915399998</v>
      </c>
      <c r="AT42" s="518">
        <f ca="1">AT12/Capacity*'Scenario Analysis'!$B$5*(1+'Scenario Analysis'!$E$5)/(1+'Scenario Analysis'!$E$4)</f>
        <v>715376.6915399998</v>
      </c>
      <c r="AU42" s="518">
        <f ca="1">AU12/Capacity*'Scenario Analysis'!$B$5*(1+'Scenario Analysis'!$E$5)/(1+'Scenario Analysis'!$E$4)</f>
        <v>715376.6915399998</v>
      </c>
      <c r="AV42" s="518">
        <f ca="1">AV12/Capacity*'Scenario Analysis'!$B$5*(1+'Scenario Analysis'!$E$5)/(1+'Scenario Analysis'!$E$4)</f>
        <v>715376.6915399998</v>
      </c>
      <c r="AW42" s="518">
        <f ca="1">AW12/Capacity*'Scenario Analysis'!$B$5*(1+'Scenario Analysis'!$E$5)/(1+'Scenario Analysis'!$E$4)</f>
        <v>715376.6915399998</v>
      </c>
      <c r="AX42" s="518">
        <f ca="1">AX12/Capacity*'Scenario Analysis'!$B$5*(1+'Scenario Analysis'!$E$5)/(1+'Scenario Analysis'!$E$4)</f>
        <v>715376.6915399998</v>
      </c>
      <c r="AY42" s="518">
        <f ca="1">AY12/Capacity*'Scenario Analysis'!$B$5*(1+'Scenario Analysis'!$E$5)/(1+'Scenario Analysis'!$E$4)</f>
        <v>715376.6915399998</v>
      </c>
      <c r="AZ42" s="518">
        <f ca="1">AZ12/Capacity*'Scenario Analysis'!$B$5*(1+'Scenario Analysis'!$E$5)/(1+'Scenario Analysis'!$E$4)</f>
        <v>715376.6915399998</v>
      </c>
      <c r="BA42" s="518">
        <f ca="1">BA12/Capacity*'Scenario Analysis'!$B$5*(1+'Scenario Analysis'!$E$5)/(1+'Scenario Analysis'!$E$4)</f>
        <v>715376.6915399998</v>
      </c>
      <c r="BB42" s="545">
        <f ca="1">SUM(AP42:BA42)</f>
        <v>8584520.2984799985</v>
      </c>
      <c r="BC42" s="518">
        <f ca="1">BC12/Capacity*'Scenario Analysis'!$B$5*(1+'Scenario Analysis'!$E$5)/(1+'Scenario Analysis'!$E$4)</f>
        <v>816622.89972479979</v>
      </c>
      <c r="BD42" s="518">
        <f ca="1">BD12/Capacity*'Scenario Analysis'!$B$5*(1+'Scenario Analysis'!$E$5)/(1+'Scenario Analysis'!$E$4)</f>
        <v>816622.89972479979</v>
      </c>
      <c r="BE42" s="518">
        <f ca="1">BE12/Capacity*'Scenario Analysis'!$B$5*(1+'Scenario Analysis'!$E$5)/(1+'Scenario Analysis'!$E$4)</f>
        <v>816622.89972479979</v>
      </c>
      <c r="BF42" s="518">
        <f ca="1">BF12/Capacity*'Scenario Analysis'!$B$5*(1+'Scenario Analysis'!$E$5)/(1+'Scenario Analysis'!$E$4)</f>
        <v>816622.89972479979</v>
      </c>
      <c r="BG42" s="518">
        <f ca="1">BG12/Capacity*'Scenario Analysis'!$B$5*(1+'Scenario Analysis'!$E$5)/(1+'Scenario Analysis'!$E$4)</f>
        <v>816622.89972479979</v>
      </c>
      <c r="BH42" s="518">
        <f ca="1">BH12/Capacity*'Scenario Analysis'!$B$5*(1+'Scenario Analysis'!$E$5)/(1+'Scenario Analysis'!$E$4)</f>
        <v>816622.89972479979</v>
      </c>
      <c r="BI42" s="518">
        <f ca="1">BI12/Capacity*'Scenario Analysis'!$B$5*(1+'Scenario Analysis'!$E$5)/(1+'Scenario Analysis'!$E$4)</f>
        <v>816622.89972479979</v>
      </c>
      <c r="BJ42" s="518">
        <f ca="1">BJ12/Capacity*'Scenario Analysis'!$B$5*(1+'Scenario Analysis'!$E$5)/(1+'Scenario Analysis'!$E$4)</f>
        <v>816622.89972479979</v>
      </c>
      <c r="BK42" s="518">
        <f ca="1">BK12/Capacity*'Scenario Analysis'!$B$5*(1+'Scenario Analysis'!$E$5)/(1+'Scenario Analysis'!$E$4)</f>
        <v>816622.89972479979</v>
      </c>
      <c r="BL42" s="518">
        <f ca="1">BL12/Capacity*'Scenario Analysis'!$B$5*(1+'Scenario Analysis'!$E$5)/(1+'Scenario Analysis'!$E$4)</f>
        <v>816622.89972479979</v>
      </c>
      <c r="BM42" s="518">
        <f ca="1">BM12/Capacity*'Scenario Analysis'!$B$5*(1+'Scenario Analysis'!$E$5)/(1+'Scenario Analysis'!$E$4)</f>
        <v>816622.89972479979</v>
      </c>
      <c r="BN42" s="518">
        <f ca="1">BN12/Capacity*'Scenario Analysis'!$B$5*(1+'Scenario Analysis'!$E$5)/(1+'Scenario Analysis'!$E$4)</f>
        <v>816622.89972479979</v>
      </c>
      <c r="BO42" s="545">
        <f ca="1">SUM(BC42:BN42)</f>
        <v>9799474.7966975998</v>
      </c>
      <c r="BP42" s="518">
        <f ca="1">BP12/Capacity*'Scenario Analysis'!$B$5*(1+'Scenario Analysis'!$E$5)/(1+'Scenario Analysis'!$E$4)</f>
        <v>927448.53314399975</v>
      </c>
      <c r="BQ42" s="518">
        <f ca="1">BQ12/Capacity*'Scenario Analysis'!$B$5*(1+'Scenario Analysis'!$E$5)/(1+'Scenario Analysis'!$E$4)</f>
        <v>927448.53314399975</v>
      </c>
      <c r="BR42" s="518">
        <f ca="1">BR12/Capacity*'Scenario Analysis'!$B$5*(1+'Scenario Analysis'!$E$5)/(1+'Scenario Analysis'!$E$4)</f>
        <v>927448.53314399975</v>
      </c>
      <c r="BS42" s="518">
        <f ca="1">BS12/Capacity*'Scenario Analysis'!$B$5*(1+'Scenario Analysis'!$E$5)/(1+'Scenario Analysis'!$E$4)</f>
        <v>927448.53314399975</v>
      </c>
      <c r="BT42" s="518">
        <f ca="1">BT12/Capacity*'Scenario Analysis'!$B$5*(1+'Scenario Analysis'!$E$5)/(1+'Scenario Analysis'!$E$4)</f>
        <v>927448.53314399975</v>
      </c>
      <c r="BU42" s="518">
        <f ca="1">BU12/Capacity*'Scenario Analysis'!$B$5*(1+'Scenario Analysis'!$E$5)/(1+'Scenario Analysis'!$E$4)</f>
        <v>927448.53314399975</v>
      </c>
      <c r="BV42" s="518">
        <f ca="1">BV12/Capacity*'Scenario Analysis'!$B$5*(1+'Scenario Analysis'!$E$5)/(1+'Scenario Analysis'!$E$4)</f>
        <v>927448.53314399975</v>
      </c>
      <c r="BW42" s="518">
        <f ca="1">BW12/Capacity*'Scenario Analysis'!$B$5*(1+'Scenario Analysis'!$E$5)/(1+'Scenario Analysis'!$E$4)</f>
        <v>927448.53314399975</v>
      </c>
      <c r="BX42" s="518">
        <f ca="1">BX12/Capacity*'Scenario Analysis'!$B$5*(1+'Scenario Analysis'!$E$5)/(1+'Scenario Analysis'!$E$4)</f>
        <v>927448.53314399975</v>
      </c>
      <c r="BY42" s="518">
        <f ca="1">BY12/Capacity*'Scenario Analysis'!$B$5*(1+'Scenario Analysis'!$E$5)/(1+'Scenario Analysis'!$E$4)</f>
        <v>927448.53314399975</v>
      </c>
      <c r="BZ42" s="518">
        <f ca="1">BZ12/Capacity*'Scenario Analysis'!$B$5*(1+'Scenario Analysis'!$E$5)/(1+'Scenario Analysis'!$E$4)</f>
        <v>927448.53314399975</v>
      </c>
      <c r="CA42" s="518">
        <f ca="1">CA12/Capacity*'Scenario Analysis'!$B$5*(1+'Scenario Analysis'!$E$5)/(1+'Scenario Analysis'!$E$4)</f>
        <v>927448.53314399975</v>
      </c>
      <c r="CB42" s="545">
        <f ca="1">SUM(BP42:CA42)</f>
        <v>11129382.397727996</v>
      </c>
      <c r="CC42" s="518">
        <f ca="1">CC12/Capacity*'Scenario Analysis'!$B$5*(1+'Scenario Analysis'!$E$5)/(1+'Scenario Analysis'!$E$4)</f>
        <v>983107.76593679981</v>
      </c>
      <c r="CD42" s="518">
        <f ca="1">CD12/Capacity*'Scenario Analysis'!$B$5*(1+'Scenario Analysis'!$E$5)/(1+'Scenario Analysis'!$E$4)</f>
        <v>983107.76593679981</v>
      </c>
      <c r="CE42" s="518">
        <f ca="1">CE12/Capacity*'Scenario Analysis'!$B$5*(1+'Scenario Analysis'!$E$5)/(1+'Scenario Analysis'!$E$4)</f>
        <v>983107.76593679981</v>
      </c>
      <c r="CF42" s="518">
        <f ca="1">CF12/Capacity*'Scenario Analysis'!$B$5*(1+'Scenario Analysis'!$E$5)/(1+'Scenario Analysis'!$E$4)</f>
        <v>983107.76593679981</v>
      </c>
      <c r="CG42" s="518">
        <f ca="1">CG12/Capacity*'Scenario Analysis'!$B$5*(1+'Scenario Analysis'!$E$5)/(1+'Scenario Analysis'!$E$4)</f>
        <v>983107.76593679981</v>
      </c>
      <c r="CH42" s="518">
        <f ca="1">CH12/Capacity*'Scenario Analysis'!$B$5*(1+'Scenario Analysis'!$E$5)/(1+'Scenario Analysis'!$E$4)</f>
        <v>983107.76593679981</v>
      </c>
      <c r="CI42" s="518">
        <f ca="1">CI12/Capacity*'Scenario Analysis'!$B$5*(1+'Scenario Analysis'!$E$5)/(1+'Scenario Analysis'!$E$4)</f>
        <v>983107.76593679981</v>
      </c>
      <c r="CJ42" s="518">
        <f ca="1">CJ12/Capacity*'Scenario Analysis'!$B$5*(1+'Scenario Analysis'!$E$5)/(1+'Scenario Analysis'!$E$4)</f>
        <v>983107.76593679981</v>
      </c>
      <c r="CK42" s="518">
        <f ca="1">CK12/Capacity*'Scenario Analysis'!$B$5*(1+'Scenario Analysis'!$E$5)/(1+'Scenario Analysis'!$E$4)</f>
        <v>983107.76593679981</v>
      </c>
      <c r="CL42" s="518">
        <f ca="1">CL12/Capacity*'Scenario Analysis'!$B$5*(1+'Scenario Analysis'!$E$5)/(1+'Scenario Analysis'!$E$4)</f>
        <v>983107.76593679981</v>
      </c>
      <c r="CM42" s="518">
        <f ca="1">CM12/Capacity*'Scenario Analysis'!$B$5*(1+'Scenario Analysis'!$E$5)/(1+'Scenario Analysis'!$E$4)</f>
        <v>983107.76593679981</v>
      </c>
      <c r="CN42" s="518">
        <f ca="1">CN12/Capacity*'Scenario Analysis'!$B$5*(1+'Scenario Analysis'!$E$5)/(1+'Scenario Analysis'!$E$4)</f>
        <v>983107.76593679981</v>
      </c>
      <c r="CO42" s="545">
        <f ca="1">SUM(CC42:CN42)</f>
        <v>11797293.191241594</v>
      </c>
    </row>
    <row r="43" spans="1:93" s="112" customFormat="1" ht="24.95" customHeight="1" outlineLevel="1">
      <c r="A43" s="124" t="s">
        <v>336</v>
      </c>
      <c r="B43" s="518">
        <f>'OPEREX, PAYROL'!E29</f>
        <v>0</v>
      </c>
      <c r="C43" s="518">
        <f>'OPEREX, PAYROL'!F29</f>
        <v>66700</v>
      </c>
      <c r="D43" s="518">
        <f>'OPEREX, PAYROL'!G29</f>
        <v>66700</v>
      </c>
      <c r="E43" s="518">
        <f>'OPEREX, PAYROL'!H29</f>
        <v>66700</v>
      </c>
      <c r="F43" s="518">
        <f>'OPEREX, PAYROL'!I29</f>
        <v>65400</v>
      </c>
      <c r="G43" s="518">
        <f>'OPEREX, PAYROL'!J29</f>
        <v>66700</v>
      </c>
      <c r="H43" s="518">
        <f>'OPEREX, PAYROL'!K29</f>
        <v>66700</v>
      </c>
      <c r="I43" s="518">
        <f>'OPEREX, PAYROL'!L29</f>
        <v>66700</v>
      </c>
      <c r="J43" s="518">
        <f>'OPEREX, PAYROL'!M29</f>
        <v>66700</v>
      </c>
      <c r="K43" s="518">
        <f>'OPEREX, PAYROL'!N29</f>
        <v>66700</v>
      </c>
      <c r="L43" s="518">
        <f>'OPEREX, PAYROL'!O29</f>
        <v>66700</v>
      </c>
      <c r="M43" s="518">
        <f>'OPEREX, PAYROL'!P29</f>
        <v>66700</v>
      </c>
      <c r="N43" s="518">
        <f>'OPEREX, PAYROL'!Q29</f>
        <v>66700</v>
      </c>
      <c r="O43" s="545">
        <f>SUM(B43:N43)</f>
        <v>799100</v>
      </c>
      <c r="P43" s="518">
        <f>C43*(1+'Scenario Analysis'!$D$12)</f>
        <v>70035</v>
      </c>
      <c r="Q43" s="518">
        <f>D43*(1+'Scenario Analysis'!$D$12)</f>
        <v>70035</v>
      </c>
      <c r="R43" s="518">
        <f>E43*(1+'Scenario Analysis'!$D$12)</f>
        <v>70035</v>
      </c>
      <c r="S43" s="518">
        <f>F43*(1+'Scenario Analysis'!$D$12)</f>
        <v>68670</v>
      </c>
      <c r="T43" s="518">
        <f>G43*(1+'Scenario Analysis'!$D$12)</f>
        <v>70035</v>
      </c>
      <c r="U43" s="518">
        <f>H43*(1+'Scenario Analysis'!$D$12)</f>
        <v>70035</v>
      </c>
      <c r="V43" s="518">
        <f>I43*(1+'Scenario Analysis'!$D$12)</f>
        <v>70035</v>
      </c>
      <c r="W43" s="518">
        <f>J43*(1+'Scenario Analysis'!$D$12)</f>
        <v>70035</v>
      </c>
      <c r="X43" s="518">
        <f>K43*(1+'Scenario Analysis'!$D$12)</f>
        <v>70035</v>
      </c>
      <c r="Y43" s="518">
        <f>L43*(1+'Scenario Analysis'!$D$12)</f>
        <v>70035</v>
      </c>
      <c r="Z43" s="518">
        <f>M43*(1+'Scenario Analysis'!$D$12)</f>
        <v>70035</v>
      </c>
      <c r="AA43" s="518">
        <f>N43*(1+'Scenario Analysis'!$D$12)</f>
        <v>70035</v>
      </c>
      <c r="AB43" s="545">
        <f>SUM(P43:AA43)</f>
        <v>839055</v>
      </c>
      <c r="AC43" s="518">
        <f>AA43*(1+'Scenario Analysis'!$D$12)</f>
        <v>73536.75</v>
      </c>
      <c r="AD43" s="518">
        <f>Table4253136151[[#This Row],[Year 3
Month 1]]</f>
        <v>73536.75</v>
      </c>
      <c r="AE43" s="518">
        <f>Table4253136151[[#This Row],[Year 3
Month 1]]</f>
        <v>73536.75</v>
      </c>
      <c r="AF43" s="518">
        <f>Table4253136151[[#This Row],[Year 3
Month 1]]</f>
        <v>73536.75</v>
      </c>
      <c r="AG43" s="518">
        <f>Table4253136151[[#This Row],[Year 3
Month 1]]</f>
        <v>73536.75</v>
      </c>
      <c r="AH43" s="518">
        <f>Table4253136151[[#This Row],[Year 3
Month 1]]</f>
        <v>73536.75</v>
      </c>
      <c r="AI43" s="518">
        <f>Table4253136151[[#This Row],[Year 3
Month 1]]</f>
        <v>73536.75</v>
      </c>
      <c r="AJ43" s="518">
        <f>Table4253136151[[#This Row],[Year 3
Month 1]]</f>
        <v>73536.75</v>
      </c>
      <c r="AK43" s="518">
        <f>Table4253136151[[#This Row],[Year 3
Month 1]]</f>
        <v>73536.75</v>
      </c>
      <c r="AL43" s="518">
        <f>Table4253136151[[#This Row],[Year 3
Month 1]]</f>
        <v>73536.75</v>
      </c>
      <c r="AM43" s="518">
        <f>Table4253136151[[#This Row],[Year 3
Month 1]]</f>
        <v>73536.75</v>
      </c>
      <c r="AN43" s="518">
        <f>Table4253136151[[#This Row],[Year 3
Month 11]]</f>
        <v>73536.75</v>
      </c>
      <c r="AO43" s="545">
        <f>SUM(AC43:AN43)</f>
        <v>882441</v>
      </c>
      <c r="AP43" s="518">
        <f>AN43*(1+'Scenario Analysis'!$D$12)</f>
        <v>77213.587500000009</v>
      </c>
      <c r="AQ43" s="518">
        <f>Table4253136153[[#This Row],[Year 4
Month 1]]</f>
        <v>77213.587500000009</v>
      </c>
      <c r="AR43" s="518">
        <f>Table4253136153[[#This Row],[Year 4
Month 1]]</f>
        <v>77213.587500000009</v>
      </c>
      <c r="AS43" s="518">
        <f>Table4253136153[[#This Row],[Year 4
Month 1]]</f>
        <v>77213.587500000009</v>
      </c>
      <c r="AT43" s="518">
        <f>Table4253136153[[#This Row],[Year 4
Month 1]]</f>
        <v>77213.587500000009</v>
      </c>
      <c r="AU43" s="518">
        <f>Table4253136153[[#This Row],[Year 4
Month 1]]</f>
        <v>77213.587500000009</v>
      </c>
      <c r="AV43" s="518">
        <f>Table4253136153[[#This Row],[Year 4
Month 1]]</f>
        <v>77213.587500000009</v>
      </c>
      <c r="AW43" s="518">
        <f>Table4253136153[[#This Row],[Year 4
Month 1]]</f>
        <v>77213.587500000009</v>
      </c>
      <c r="AX43" s="518">
        <f>Table4253136153[[#This Row],[Year 4
Month 1]]</f>
        <v>77213.587500000009</v>
      </c>
      <c r="AY43" s="518">
        <f>Table4253136153[[#This Row],[Year 4
Month 1]]</f>
        <v>77213.587500000009</v>
      </c>
      <c r="AZ43" s="518">
        <f>Table4253136153[[#This Row],[Year 4
Month 1]]</f>
        <v>77213.587500000009</v>
      </c>
      <c r="BA43" s="518">
        <f>Table4253136153[[#This Row],[Year 4
Month 11]]</f>
        <v>77213.587500000009</v>
      </c>
      <c r="BB43" s="545">
        <f>SUM(AP43:BA43)</f>
        <v>926563.05000000016</v>
      </c>
      <c r="BC43" s="518">
        <f>BA43*(1+'Scenario Analysis'!$D$12)</f>
        <v>81074.266875000016</v>
      </c>
      <c r="BD43" s="518">
        <f>Table4253136153147[[#This Row],[Year 5
Month 1]]</f>
        <v>81074.266875000016</v>
      </c>
      <c r="BE43" s="518">
        <f>Table4253136153147[[#This Row],[Year 5
Month 1]]</f>
        <v>81074.266875000016</v>
      </c>
      <c r="BF43" s="518">
        <f>Table4253136153147[[#This Row],[Year 5
Month 1]]</f>
        <v>81074.266875000016</v>
      </c>
      <c r="BG43" s="518">
        <f>Table4253136153147[[#This Row],[Year 5
Month 1]]</f>
        <v>81074.266875000016</v>
      </c>
      <c r="BH43" s="518">
        <f>Table4253136153147[[#This Row],[Year 5
Month 1]]</f>
        <v>81074.266875000016</v>
      </c>
      <c r="BI43" s="518">
        <f>Table4253136153147[[#This Row],[Year 5
Month 1]]</f>
        <v>81074.266875000016</v>
      </c>
      <c r="BJ43" s="518">
        <f>Table4253136153147[[#This Row],[Year 5
Month 1]]</f>
        <v>81074.266875000016</v>
      </c>
      <c r="BK43" s="518">
        <f>Table4253136153147[[#This Row],[Year 5
Month 1]]</f>
        <v>81074.266875000016</v>
      </c>
      <c r="BL43" s="518">
        <f>Table4253136153147[[#This Row],[Year 5
Month 1]]</f>
        <v>81074.266875000016</v>
      </c>
      <c r="BM43" s="518">
        <f>Table4253136153147[[#This Row],[Year 5
Month 1]]</f>
        <v>81074.266875000016</v>
      </c>
      <c r="BN43" s="518">
        <f>Table4253136153147[[#This Row],[Year 5
Month 11]]</f>
        <v>81074.266875000016</v>
      </c>
      <c r="BO43" s="545">
        <f>SUM(BC43:BN43)</f>
        <v>972891.20250000001</v>
      </c>
      <c r="BP43" s="518">
        <f>BN43*(1+'Scenario Analysis'!$D$12)</f>
        <v>85127.980218750017</v>
      </c>
      <c r="BQ43" s="518">
        <f>Table4253136153147162[[#This Row],[Year 6
Month 1]]</f>
        <v>85127.980218750017</v>
      </c>
      <c r="BR43" s="518">
        <f>Table4253136153147162[[#This Row],[Year 6
Month 1]]</f>
        <v>85127.980218750017</v>
      </c>
      <c r="BS43" s="518">
        <f>Table4253136153147162[[#This Row],[Year 6
Month 1]]</f>
        <v>85127.980218750017</v>
      </c>
      <c r="BT43" s="518">
        <f>Table4253136153147162[[#This Row],[Year 6
Month 1]]</f>
        <v>85127.980218750017</v>
      </c>
      <c r="BU43" s="518">
        <f>Table4253136153147162[[#This Row],[Year 6
Month 1]]</f>
        <v>85127.980218750017</v>
      </c>
      <c r="BV43" s="518">
        <f>Table4253136153147162[[#This Row],[Year 6
Month 1]]</f>
        <v>85127.980218750017</v>
      </c>
      <c r="BW43" s="518">
        <f>Table4253136153147162[[#This Row],[Year 6
Month 1]]</f>
        <v>85127.980218750017</v>
      </c>
      <c r="BX43" s="518">
        <f>Table4253136153147162[[#This Row],[Year 6
Month 1]]</f>
        <v>85127.980218750017</v>
      </c>
      <c r="BY43" s="518">
        <f>Table4253136153147162[[#This Row],[Year 6
Month 1]]</f>
        <v>85127.980218750017</v>
      </c>
      <c r="BZ43" s="518">
        <f>Table4253136153147162[[#This Row],[Year 6
Month 1]]</f>
        <v>85127.980218750017</v>
      </c>
      <c r="CA43" s="518">
        <f>Table4253136153147162[[#This Row],[Year 6
Month 11]]</f>
        <v>85127.980218750017</v>
      </c>
      <c r="CB43" s="545">
        <f>SUM(BP43:CA43)</f>
        <v>1021535.762625</v>
      </c>
      <c r="CC43" s="518">
        <f>CA43*(1+'Scenario Analysis'!$D$12)</f>
        <v>89384.379229687518</v>
      </c>
      <c r="CD43" s="518">
        <f>Table4253136153147165[[#This Row],[Year 7
Month 1]]</f>
        <v>89384.379229687518</v>
      </c>
      <c r="CE43" s="518">
        <f>Table4253136153147165[[#This Row],[Year 7
Month 1]]</f>
        <v>89384.379229687518</v>
      </c>
      <c r="CF43" s="518">
        <f>Table4253136153147165[[#This Row],[Year 7
Month 1]]</f>
        <v>89384.379229687518</v>
      </c>
      <c r="CG43" s="518">
        <f>Table4253136153147165[[#This Row],[Year 7
Month 1]]</f>
        <v>89384.379229687518</v>
      </c>
      <c r="CH43" s="518">
        <f>Table4253136153147165[[#This Row],[Year 7
Month 1]]</f>
        <v>89384.379229687518</v>
      </c>
      <c r="CI43" s="518">
        <f>Table4253136153147165[[#This Row],[Year 7
Month 1]]</f>
        <v>89384.379229687518</v>
      </c>
      <c r="CJ43" s="518">
        <f>Table4253136153147165[[#This Row],[Year 7
Month 1]]</f>
        <v>89384.379229687518</v>
      </c>
      <c r="CK43" s="518">
        <f>Table4253136153147165[[#This Row],[Year 7
Month 1]]</f>
        <v>89384.379229687518</v>
      </c>
      <c r="CL43" s="518">
        <f>Table4253136153147165[[#This Row],[Year 7
Month 1]]</f>
        <v>89384.379229687518</v>
      </c>
      <c r="CM43" s="518">
        <f>Table4253136153147165[[#This Row],[Year 7
Month 1]]</f>
        <v>89384.379229687518</v>
      </c>
      <c r="CN43" s="518">
        <f>Table4253136153147165[[#This Row],[Year 7
Month 11]]</f>
        <v>89384.379229687518</v>
      </c>
      <c r="CO43" s="545">
        <f>SUM(CC43:CN43)</f>
        <v>1072612.5507562503</v>
      </c>
    </row>
    <row r="44" spans="1:93" s="112" customFormat="1" ht="24.95" customHeight="1" outlineLevel="1">
      <c r="A44" s="124" t="s">
        <v>200</v>
      </c>
      <c r="B44" s="518">
        <f>'OPEREX, PAYROL'!E52</f>
        <v>110000</v>
      </c>
      <c r="C44" s="518">
        <f>'OPEREX, PAYROL'!F52</f>
        <v>41996.05</v>
      </c>
      <c r="D44" s="518">
        <f>'OPEREX, PAYROL'!G52</f>
        <v>41996.05</v>
      </c>
      <c r="E44" s="518">
        <f>'OPEREX, PAYROL'!H52</f>
        <v>41996.05</v>
      </c>
      <c r="F44" s="518">
        <f>'OPEREX, PAYROL'!I52</f>
        <v>41996.05</v>
      </c>
      <c r="G44" s="518">
        <f>'OPEREX, PAYROL'!J52</f>
        <v>41996.05</v>
      </c>
      <c r="H44" s="518">
        <f>'OPEREX, PAYROL'!K52</f>
        <v>41996.05</v>
      </c>
      <c r="I44" s="518">
        <f>'OPEREX, PAYROL'!L52</f>
        <v>41996.05</v>
      </c>
      <c r="J44" s="518">
        <f>'OPEREX, PAYROL'!M52</f>
        <v>41996.05</v>
      </c>
      <c r="K44" s="518">
        <f>'OPEREX, PAYROL'!N52</f>
        <v>41996.05</v>
      </c>
      <c r="L44" s="518">
        <f>'OPEREX, PAYROL'!O52</f>
        <v>41996.05</v>
      </c>
      <c r="M44" s="518">
        <f>'OPEREX, PAYROL'!P52</f>
        <v>41996.05</v>
      </c>
      <c r="N44" s="518">
        <f>'OPEREX, PAYROL'!Q52</f>
        <v>41996.05</v>
      </c>
      <c r="O44" s="545">
        <f>SUM(B44:N44)</f>
        <v>613952.6</v>
      </c>
      <c r="P44" s="518">
        <f ca="1">P14/(1+'Scenario Analysis'!$C$11)*(1+'Scenario Analysis'!D11)</f>
        <v>46195.655000000006</v>
      </c>
      <c r="Q44" s="518">
        <f ca="1">Q14/(1+'Scenario Analysis'!$C$11)*(1+'Scenario Analysis'!E11)</f>
        <v>41996.05</v>
      </c>
      <c r="R44" s="518">
        <f ca="1">R14/(1+'Scenario Analysis'!$C$11)*(1+'Scenario Analysis'!F11)</f>
        <v>41996.05</v>
      </c>
      <c r="S44" s="518">
        <f ca="1">S14/(1+'Scenario Analysis'!$C$11)*(1+'Scenario Analysis'!G11)</f>
        <v>41996.05</v>
      </c>
      <c r="T44" s="518">
        <f ca="1">T14/(1+'Scenario Analysis'!$C$11)*(1+'Scenario Analysis'!H11)</f>
        <v>41996.05</v>
      </c>
      <c r="U44" s="518">
        <f ca="1">U14/(1+'Scenario Analysis'!$C$11)*(1+'Scenario Analysis'!I11)</f>
        <v>41996.05</v>
      </c>
      <c r="V44" s="518">
        <f ca="1">V14/(1+'Scenario Analysis'!$C$11)*(1+'Scenario Analysis'!J11)</f>
        <v>41996.05</v>
      </c>
      <c r="W44" s="518">
        <f ca="1">W14/(1+'Scenario Analysis'!$C$11)*(1+'Scenario Analysis'!K11)</f>
        <v>41996.05</v>
      </c>
      <c r="X44" s="518">
        <f ca="1">X14/(1+'Scenario Analysis'!$C$11)*(1+'Scenario Analysis'!L11)</f>
        <v>41996.05</v>
      </c>
      <c r="Y44" s="518">
        <f ca="1">Y14/(1+'Scenario Analysis'!$C$11)*(1+'Scenario Analysis'!M11)</f>
        <v>41996.05</v>
      </c>
      <c r="Z44" s="518">
        <f ca="1">Z14/(1+'Scenario Analysis'!$C$11)*(1+'Scenario Analysis'!N11)</f>
        <v>41996.05</v>
      </c>
      <c r="AA44" s="518">
        <f ca="1">AA14/(1+'Scenario Analysis'!$C$11)*(1+'Scenario Analysis'!O11)</f>
        <v>41996.05</v>
      </c>
      <c r="AB44" s="545">
        <f ca="1">SUM(P44:AA44)</f>
        <v>508152.20499999996</v>
      </c>
      <c r="AC44" s="518">
        <f ca="1">AC14/(1+'Scenario Analysis'!$C$11)*(1+'Scenario Analysis'!Q11)</f>
        <v>46195.655000000006</v>
      </c>
      <c r="AD44" s="518">
        <f ca="1">AD14/(1+'Scenario Analysis'!$C$11)*(1+'Scenario Analysis'!R11)</f>
        <v>46195.655000000006</v>
      </c>
      <c r="AE44" s="518">
        <f ca="1">AE14/(1+'Scenario Analysis'!$C$11)*(1+'Scenario Analysis'!S11)</f>
        <v>46195.655000000006</v>
      </c>
      <c r="AF44" s="518">
        <f ca="1">AF14/(1+'Scenario Analysis'!$C$11)*(1+'Scenario Analysis'!T11)</f>
        <v>46195.655000000006</v>
      </c>
      <c r="AG44" s="518">
        <f ca="1">AG14/(1+'Scenario Analysis'!$C$11)*(1+'Scenario Analysis'!U11)</f>
        <v>46195.655000000006</v>
      </c>
      <c r="AH44" s="518">
        <f ca="1">AH14/(1+'Scenario Analysis'!$C$11)*(1+'Scenario Analysis'!V11)</f>
        <v>46195.655000000006</v>
      </c>
      <c r="AI44" s="518">
        <f ca="1">AI14/(1+'Scenario Analysis'!$C$11)*(1+'Scenario Analysis'!W11)</f>
        <v>46195.655000000006</v>
      </c>
      <c r="AJ44" s="518">
        <f ca="1">AJ14/(1+'Scenario Analysis'!$C$11)*(1+'Scenario Analysis'!X11)</f>
        <v>46195.655000000006</v>
      </c>
      <c r="AK44" s="518">
        <f ca="1">AK14/(1+'Scenario Analysis'!$C$11)*(1+'Scenario Analysis'!Y11)</f>
        <v>46195.655000000006</v>
      </c>
      <c r="AL44" s="518">
        <f ca="1">AL14/(1+'Scenario Analysis'!$C$11)*(1+'Scenario Analysis'!Z11)</f>
        <v>46195.655000000006</v>
      </c>
      <c r="AM44" s="518">
        <f ca="1">AM14/(1+'Scenario Analysis'!$C$11)*(1+'Scenario Analysis'!AA11)</f>
        <v>46195.655000000006</v>
      </c>
      <c r="AN44" s="518">
        <f ca="1">AN14/(1+'Scenario Analysis'!$C$11)*(1+'Scenario Analysis'!AB11)</f>
        <v>46195.655000000006</v>
      </c>
      <c r="AO44" s="545">
        <f ca="1">SUM(AC44:AN44)</f>
        <v>554347.86000000022</v>
      </c>
      <c r="AP44" s="518">
        <f ca="1">AP14/(1+'Scenario Analysis'!$C$11)*(1+'Scenario Analysis'!AD11)</f>
        <v>50815.220500000003</v>
      </c>
      <c r="AQ44" s="518">
        <f ca="1">AQ14/(1+'Scenario Analysis'!$C$11)*(1+'Scenario Analysis'!AE11)</f>
        <v>50815.220500000003</v>
      </c>
      <c r="AR44" s="518">
        <f ca="1">AR14/(1+'Scenario Analysis'!$C$11)*(1+'Scenario Analysis'!AF11)</f>
        <v>50815.220500000003</v>
      </c>
      <c r="AS44" s="518">
        <f ca="1">AS14/(1+'Scenario Analysis'!$C$11)*(1+'Scenario Analysis'!AG11)</f>
        <v>50815.220500000003</v>
      </c>
      <c r="AT44" s="518">
        <f ca="1">AT14/(1+'Scenario Analysis'!$C$11)*(1+'Scenario Analysis'!AH11)</f>
        <v>50815.220500000003</v>
      </c>
      <c r="AU44" s="518">
        <f ca="1">AU14/(1+'Scenario Analysis'!$C$11)*(1+'Scenario Analysis'!AI11)</f>
        <v>50815.220500000003</v>
      </c>
      <c r="AV44" s="518">
        <f ca="1">AV14/(1+'Scenario Analysis'!$C$11)*(1+'Scenario Analysis'!AJ11)</f>
        <v>50815.220500000003</v>
      </c>
      <c r="AW44" s="518">
        <f ca="1">AW14/(1+'Scenario Analysis'!$C$11)*(1+'Scenario Analysis'!AK11)</f>
        <v>50815.220500000003</v>
      </c>
      <c r="AX44" s="518">
        <f ca="1">AX14/(1+'Scenario Analysis'!$C$11)*(1+'Scenario Analysis'!AL11)</f>
        <v>50815.220500000003</v>
      </c>
      <c r="AY44" s="518">
        <f ca="1">AY14/(1+'Scenario Analysis'!$C$11)*(1+'Scenario Analysis'!AM11)</f>
        <v>50815.220500000003</v>
      </c>
      <c r="AZ44" s="518">
        <f ca="1">AZ14/(1+'Scenario Analysis'!$C$11)*(1+'Scenario Analysis'!AN11)</f>
        <v>50815.220500000003</v>
      </c>
      <c r="BA44" s="518">
        <f ca="1">BA14/(1+'Scenario Analysis'!$C$11)*(1+'Scenario Analysis'!AO11)</f>
        <v>50815.220500000003</v>
      </c>
      <c r="BB44" s="545">
        <f ca="1">SUM(AP44:BA44)</f>
        <v>609782.64600000007</v>
      </c>
      <c r="BC44" s="518">
        <f ca="1">BC14/(1+'Scenario Analysis'!$C$11)*(1+'Scenario Analysis'!AQ11)</f>
        <v>55896.742550000024</v>
      </c>
      <c r="BD44" s="518">
        <f ca="1">BD14/(1+'Scenario Analysis'!$C$11)*(1+'Scenario Analysis'!AR11)</f>
        <v>55896.742550000024</v>
      </c>
      <c r="BE44" s="518">
        <f ca="1">BE14/(1+'Scenario Analysis'!$C$11)*(1+'Scenario Analysis'!AS11)</f>
        <v>55896.742550000024</v>
      </c>
      <c r="BF44" s="518">
        <f ca="1">BF14/(1+'Scenario Analysis'!$C$11)*(1+'Scenario Analysis'!AT11)</f>
        <v>55896.742550000024</v>
      </c>
      <c r="BG44" s="518">
        <f ca="1">BG14/(1+'Scenario Analysis'!$C$11)*(1+'Scenario Analysis'!AU11)</f>
        <v>55896.742550000024</v>
      </c>
      <c r="BH44" s="518">
        <f ca="1">BH14/(1+'Scenario Analysis'!$C$11)*(1+'Scenario Analysis'!AV11)</f>
        <v>55896.742550000024</v>
      </c>
      <c r="BI44" s="518">
        <f ca="1">BI14/(1+'Scenario Analysis'!$C$11)*(1+'Scenario Analysis'!AW11)</f>
        <v>55896.742550000024</v>
      </c>
      <c r="BJ44" s="518">
        <f ca="1">BJ14/(1+'Scenario Analysis'!$C$11)*(1+'Scenario Analysis'!AX11)</f>
        <v>55896.742550000024</v>
      </c>
      <c r="BK44" s="518">
        <f ca="1">BK14/(1+'Scenario Analysis'!$C$11)*(1+'Scenario Analysis'!AY11)</f>
        <v>55896.742550000024</v>
      </c>
      <c r="BL44" s="518">
        <f ca="1">BL14/(1+'Scenario Analysis'!$C$11)*(1+'Scenario Analysis'!AZ11)</f>
        <v>55896.742550000024</v>
      </c>
      <c r="BM44" s="518">
        <f ca="1">BM14/(1+'Scenario Analysis'!$C$11)*(1+'Scenario Analysis'!BA11)</f>
        <v>55896.742550000024</v>
      </c>
      <c r="BN44" s="518">
        <f ca="1">BN14/(1+'Scenario Analysis'!$C$11)*(1+'Scenario Analysis'!BB11)</f>
        <v>55896.742550000024</v>
      </c>
      <c r="BO44" s="545">
        <f ca="1">SUM(BC44:BN44)</f>
        <v>670760.91060000029</v>
      </c>
      <c r="BP44" s="518">
        <f ca="1">BP14/(1+'Scenario Analysis'!$C$11)*(1+'Scenario Analysis'!BD11)</f>
        <v>61486.416805000023</v>
      </c>
      <c r="BQ44" s="518">
        <f ca="1">BQ14/(1+'Scenario Analysis'!$C$11)*(1+'Scenario Analysis'!BE11)</f>
        <v>61486.416805000023</v>
      </c>
      <c r="BR44" s="518">
        <f ca="1">BR14/(1+'Scenario Analysis'!$C$11)*(1+'Scenario Analysis'!BF11)</f>
        <v>61486.416805000023</v>
      </c>
      <c r="BS44" s="518">
        <f ca="1">BS14/(1+'Scenario Analysis'!$C$11)*(1+'Scenario Analysis'!BG11)</f>
        <v>61486.416805000023</v>
      </c>
      <c r="BT44" s="518">
        <f ca="1">BT14/(1+'Scenario Analysis'!$C$11)*(1+'Scenario Analysis'!BH11)</f>
        <v>61486.416805000023</v>
      </c>
      <c r="BU44" s="518">
        <f ca="1">BU14/(1+'Scenario Analysis'!$C$11)*(1+'Scenario Analysis'!BI11)</f>
        <v>61486.416805000023</v>
      </c>
      <c r="BV44" s="518">
        <f ca="1">BV14/(1+'Scenario Analysis'!$C$11)*(1+'Scenario Analysis'!BJ11)</f>
        <v>61486.416805000023</v>
      </c>
      <c r="BW44" s="518">
        <f ca="1">BW14/(1+'Scenario Analysis'!$C$11)*(1+'Scenario Analysis'!BK11)</f>
        <v>61486.416805000023</v>
      </c>
      <c r="BX44" s="518">
        <f ca="1">BX14/(1+'Scenario Analysis'!$C$11)*(1+'Scenario Analysis'!BL11)</f>
        <v>61486.416805000023</v>
      </c>
      <c r="BY44" s="518">
        <f ca="1">BY14/(1+'Scenario Analysis'!$C$11)*(1+'Scenario Analysis'!BM11)</f>
        <v>61486.416805000023</v>
      </c>
      <c r="BZ44" s="518">
        <f ca="1">BZ14/(1+'Scenario Analysis'!$C$11)*(1+'Scenario Analysis'!BN11)</f>
        <v>61486.416805000023</v>
      </c>
      <c r="CA44" s="518">
        <f ca="1">CA14/(1+'Scenario Analysis'!$C$11)*(1+'Scenario Analysis'!BO11)</f>
        <v>61486.416805000023</v>
      </c>
      <c r="CB44" s="545">
        <f ca="1">SUM(BP44:CA44)</f>
        <v>737837.00166000042</v>
      </c>
      <c r="CC44" s="518">
        <f ca="1">CC14/(1+'Scenario Analysis'!$C$11)*(1+'Scenario Analysis'!BQ11)</f>
        <v>67635.058485500034</v>
      </c>
      <c r="CD44" s="518">
        <f ca="1">CD14/(1+'Scenario Analysis'!$C$11)*(1+'Scenario Analysis'!BR11)</f>
        <v>67635.058485500034</v>
      </c>
      <c r="CE44" s="518">
        <f ca="1">CE14/(1+'Scenario Analysis'!$C$11)*(1+'Scenario Analysis'!BS11)</f>
        <v>67635.058485500034</v>
      </c>
      <c r="CF44" s="518">
        <f ca="1">CF14/(1+'Scenario Analysis'!$C$11)*(1+'Scenario Analysis'!BT11)</f>
        <v>67635.058485500034</v>
      </c>
      <c r="CG44" s="518">
        <f ca="1">CG14/(1+'Scenario Analysis'!$C$11)*(1+'Scenario Analysis'!BU11)</f>
        <v>67635.058485500034</v>
      </c>
      <c r="CH44" s="518">
        <f ca="1">CH14/(1+'Scenario Analysis'!$C$11)*(1+'Scenario Analysis'!BV11)</f>
        <v>67635.058485500034</v>
      </c>
      <c r="CI44" s="518">
        <f ca="1">CI14/(1+'Scenario Analysis'!$C$11)*(1+'Scenario Analysis'!BW11)</f>
        <v>67635.058485500034</v>
      </c>
      <c r="CJ44" s="518">
        <f ca="1">CJ14/(1+'Scenario Analysis'!$C$11)*(1+'Scenario Analysis'!BX11)</f>
        <v>67635.058485500034</v>
      </c>
      <c r="CK44" s="518">
        <f ca="1">CK14/(1+'Scenario Analysis'!$C$11)*(1+'Scenario Analysis'!BY11)</f>
        <v>67635.058485500034</v>
      </c>
      <c r="CL44" s="518">
        <f ca="1">CL14/(1+'Scenario Analysis'!$C$11)*(1+'Scenario Analysis'!BZ11)</f>
        <v>67635.058485500034</v>
      </c>
      <c r="CM44" s="518">
        <f ca="1">CM14/(1+'Scenario Analysis'!$C$11)*(1+'Scenario Analysis'!CA11)</f>
        <v>67635.058485500034</v>
      </c>
      <c r="CN44" s="518">
        <f ca="1">CN14/(1+'Scenario Analysis'!$C$11)*(1+'Scenario Analysis'!CB11)</f>
        <v>67635.058485500034</v>
      </c>
      <c r="CO44" s="545">
        <f ca="1">SUM(CC44:CN44)</f>
        <v>811620.70182600047</v>
      </c>
    </row>
    <row r="45" spans="1:93" s="112" customFormat="1" ht="24.95" customHeight="1" outlineLevel="1">
      <c r="A45" s="124" t="s">
        <v>337</v>
      </c>
      <c r="B45" s="518">
        <f>'OPEREX, PAYROL'!E116</f>
        <v>0</v>
      </c>
      <c r="C45" s="518">
        <f>'OPEREX, PAYROL'!F116</f>
        <v>0</v>
      </c>
      <c r="D45" s="518">
        <f>'OPEREX, PAYROL'!G116</f>
        <v>0</v>
      </c>
      <c r="E45" s="518">
        <f>'OPEREX, PAYROL'!H116</f>
        <v>0</v>
      </c>
      <c r="F45" s="518">
        <f>'OPEREX, PAYROL'!I116</f>
        <v>0</v>
      </c>
      <c r="G45" s="518">
        <f>'OPEREX, PAYROL'!J116</f>
        <v>0</v>
      </c>
      <c r="H45" s="518">
        <f>'OPEREX, PAYROL'!K116</f>
        <v>0</v>
      </c>
      <c r="I45" s="518">
        <f>'OPEREX, PAYROL'!L116</f>
        <v>0</v>
      </c>
      <c r="J45" s="518">
        <f>'OPEREX, PAYROL'!M116</f>
        <v>0</v>
      </c>
      <c r="K45" s="518">
        <f>'OPEREX, PAYROL'!N116</f>
        <v>0</v>
      </c>
      <c r="L45" s="518">
        <f>'OPEREX, PAYROL'!O116</f>
        <v>0</v>
      </c>
      <c r="M45" s="518">
        <f>'OPEREX, PAYROL'!P116</f>
        <v>0</v>
      </c>
      <c r="N45" s="518">
        <f>'OPEREX, PAYROL'!Q116</f>
        <v>0</v>
      </c>
      <c r="O45" s="545">
        <f>SUM(B45:N45)</f>
        <v>0</v>
      </c>
      <c r="P45" s="518">
        <f>'OPEREX, PAYROL'!T116</f>
        <v>0</v>
      </c>
      <c r="Q45" s="518">
        <f>'OPEREX, PAYROL'!U116</f>
        <v>0</v>
      </c>
      <c r="R45" s="518">
        <f>'OPEREX, PAYROL'!V116</f>
        <v>0</v>
      </c>
      <c r="S45" s="518">
        <f>'OPEREX, PAYROL'!W116</f>
        <v>0</v>
      </c>
      <c r="T45" s="518">
        <f>'OPEREX, PAYROL'!X116</f>
        <v>0</v>
      </c>
      <c r="U45" s="518">
        <f>'OPEREX, PAYROL'!Y116</f>
        <v>0</v>
      </c>
      <c r="V45" s="518">
        <f>'OPEREX, PAYROL'!Z116</f>
        <v>0</v>
      </c>
      <c r="W45" s="518">
        <f>'OPEREX, PAYROL'!AA116</f>
        <v>0</v>
      </c>
      <c r="X45" s="518">
        <f>'OPEREX, PAYROL'!AB116</f>
        <v>0</v>
      </c>
      <c r="Y45" s="518">
        <f>'OPEREX, PAYROL'!AC116</f>
        <v>0</v>
      </c>
      <c r="Z45" s="518">
        <f>'OPEREX, PAYROL'!AD116</f>
        <v>0</v>
      </c>
      <c r="AA45" s="518">
        <f>'OPEREX, PAYROL'!AE116</f>
        <v>0</v>
      </c>
      <c r="AB45" s="545">
        <f>SUM(P45:AA45)</f>
        <v>0</v>
      </c>
      <c r="AC45" s="518">
        <f>'OPEREX, PAYROL'!AG116</f>
        <v>0</v>
      </c>
      <c r="AD45" s="518">
        <f>'OPEREX, PAYROL'!AH116</f>
        <v>0</v>
      </c>
      <c r="AE45" s="518">
        <f>'OPEREX, PAYROL'!AI116</f>
        <v>0</v>
      </c>
      <c r="AF45" s="518">
        <f>'OPEREX, PAYROL'!AJ116</f>
        <v>0</v>
      </c>
      <c r="AG45" s="518">
        <f>'OPEREX, PAYROL'!AK116</f>
        <v>0</v>
      </c>
      <c r="AH45" s="518">
        <f>'OPEREX, PAYROL'!AL116</f>
        <v>0</v>
      </c>
      <c r="AI45" s="518">
        <f>'OPEREX, PAYROL'!AM116</f>
        <v>0</v>
      </c>
      <c r="AJ45" s="518">
        <f>'OPEREX, PAYROL'!AN116</f>
        <v>0</v>
      </c>
      <c r="AK45" s="518">
        <f>'OPEREX, PAYROL'!AO116</f>
        <v>0</v>
      </c>
      <c r="AL45" s="518">
        <f>'OPEREX, PAYROL'!AP116</f>
        <v>0</v>
      </c>
      <c r="AM45" s="518">
        <f>'OPEREX, PAYROL'!AQ116</f>
        <v>0</v>
      </c>
      <c r="AN45" s="518">
        <f>'OPEREX, PAYROL'!AR116</f>
        <v>0</v>
      </c>
      <c r="AO45" s="545">
        <f>SUM(AC45:AN45)</f>
        <v>0</v>
      </c>
      <c r="AP45" s="518">
        <f>'OPEREX, PAYROL'!AT116</f>
        <v>0</v>
      </c>
      <c r="AQ45" s="518">
        <f>'OPEREX, PAYROL'!AU116</f>
        <v>0</v>
      </c>
      <c r="AR45" s="518">
        <f>'OPEREX, PAYROL'!AV116</f>
        <v>0</v>
      </c>
      <c r="AS45" s="518">
        <f>'OPEREX, PAYROL'!AW116</f>
        <v>0</v>
      </c>
      <c r="AT45" s="518">
        <f>'OPEREX, PAYROL'!AX116</f>
        <v>0</v>
      </c>
      <c r="AU45" s="518">
        <f>'OPEREX, PAYROL'!AY116</f>
        <v>0</v>
      </c>
      <c r="AV45" s="518">
        <f>'OPEREX, PAYROL'!AZ116</f>
        <v>0</v>
      </c>
      <c r="AW45" s="518">
        <f>'OPEREX, PAYROL'!BA116</f>
        <v>0</v>
      </c>
      <c r="AX45" s="518">
        <f>'OPEREX, PAYROL'!BB116</f>
        <v>0</v>
      </c>
      <c r="AY45" s="518">
        <f>'OPEREX, PAYROL'!BC116</f>
        <v>0</v>
      </c>
      <c r="AZ45" s="518">
        <f>'OPEREX, PAYROL'!BD116</f>
        <v>0</v>
      </c>
      <c r="BA45" s="518">
        <f>'OPEREX, PAYROL'!BE116</f>
        <v>0</v>
      </c>
      <c r="BB45" s="545">
        <f>SUM(AP45:BA45)</f>
        <v>0</v>
      </c>
      <c r="BC45" s="518">
        <f>'OPEREX, PAYROL'!BG116</f>
        <v>0</v>
      </c>
      <c r="BD45" s="518">
        <f>'OPEREX, PAYROL'!BH116</f>
        <v>0</v>
      </c>
      <c r="BE45" s="518">
        <f>'OPEREX, PAYROL'!BI116</f>
        <v>0</v>
      </c>
      <c r="BF45" s="518">
        <f>'OPEREX, PAYROL'!BJ116</f>
        <v>0</v>
      </c>
      <c r="BG45" s="518">
        <f>'OPEREX, PAYROL'!BK116</f>
        <v>0</v>
      </c>
      <c r="BH45" s="518">
        <f>'OPEREX, PAYROL'!BL116</f>
        <v>0</v>
      </c>
      <c r="BI45" s="518">
        <f>'OPEREX, PAYROL'!BM116</f>
        <v>0</v>
      </c>
      <c r="BJ45" s="518">
        <f>'OPEREX, PAYROL'!BN116</f>
        <v>0</v>
      </c>
      <c r="BK45" s="518">
        <f>'OPEREX, PAYROL'!BO116</f>
        <v>0</v>
      </c>
      <c r="BL45" s="518">
        <f>'OPEREX, PAYROL'!BP116</f>
        <v>0</v>
      </c>
      <c r="BM45" s="518">
        <f>'OPEREX, PAYROL'!BQ116</f>
        <v>0</v>
      </c>
      <c r="BN45" s="518">
        <f>'OPEREX, PAYROL'!BR116</f>
        <v>0</v>
      </c>
      <c r="BO45" s="545">
        <f>SUM(BC45:BN45)</f>
        <v>0</v>
      </c>
      <c r="BP45" s="518">
        <f>'OPEREX, PAYROL'!BT116</f>
        <v>0</v>
      </c>
      <c r="BQ45" s="518">
        <f>'OPEREX, PAYROL'!BU116</f>
        <v>0</v>
      </c>
      <c r="BR45" s="518">
        <f>'OPEREX, PAYROL'!BV116</f>
        <v>0</v>
      </c>
      <c r="BS45" s="518">
        <f>'OPEREX, PAYROL'!BW116</f>
        <v>0</v>
      </c>
      <c r="BT45" s="518">
        <f>'OPEREX, PAYROL'!BX116</f>
        <v>0</v>
      </c>
      <c r="BU45" s="518">
        <f>'OPEREX, PAYROL'!BY116</f>
        <v>0</v>
      </c>
      <c r="BV45" s="518">
        <f>'OPEREX, PAYROL'!BZ116</f>
        <v>0</v>
      </c>
      <c r="BW45" s="518">
        <f>'OPEREX, PAYROL'!CA116</f>
        <v>0</v>
      </c>
      <c r="BX45" s="518">
        <f>'OPEREX, PAYROL'!CB116</f>
        <v>0</v>
      </c>
      <c r="BY45" s="518">
        <f>'OPEREX, PAYROL'!CC116</f>
        <v>0</v>
      </c>
      <c r="BZ45" s="518">
        <f>'OPEREX, PAYROL'!CD116</f>
        <v>0</v>
      </c>
      <c r="CA45" s="518">
        <f>'OPEREX, PAYROL'!CE116</f>
        <v>0</v>
      </c>
      <c r="CB45" s="545">
        <f>SUM(BP45:CA45)</f>
        <v>0</v>
      </c>
      <c r="CC45" s="518">
        <f>'OPEREX, PAYROL'!CG116</f>
        <v>0</v>
      </c>
      <c r="CD45" s="518">
        <f>'OPEREX, PAYROL'!CH116</f>
        <v>0</v>
      </c>
      <c r="CE45" s="518">
        <f>'OPEREX, PAYROL'!CI116</f>
        <v>0</v>
      </c>
      <c r="CF45" s="518">
        <f>'OPEREX, PAYROL'!CJ116</f>
        <v>0</v>
      </c>
      <c r="CG45" s="518">
        <f>'OPEREX, PAYROL'!CK116</f>
        <v>0</v>
      </c>
      <c r="CH45" s="518">
        <f>'OPEREX, PAYROL'!CL116</f>
        <v>0</v>
      </c>
      <c r="CI45" s="518">
        <f>'OPEREX, PAYROL'!CM116</f>
        <v>0</v>
      </c>
      <c r="CJ45" s="518">
        <f>'OPEREX, PAYROL'!CN116</f>
        <v>0</v>
      </c>
      <c r="CK45" s="518">
        <f>'OPEREX, PAYROL'!CO116</f>
        <v>0</v>
      </c>
      <c r="CL45" s="518">
        <f>'OPEREX, PAYROL'!CP116</f>
        <v>0</v>
      </c>
      <c r="CM45" s="518">
        <f>'OPEREX, PAYROL'!CQ116</f>
        <v>0</v>
      </c>
      <c r="CN45" s="518">
        <f>'OPEREX, PAYROL'!CR116</f>
        <v>0</v>
      </c>
      <c r="CO45" s="545">
        <f>SUM(CC45:CN45)</f>
        <v>0</v>
      </c>
    </row>
    <row r="46" spans="1:93" s="112" customFormat="1" ht="24.95" customHeight="1" outlineLevel="1" thickBot="1">
      <c r="A46" s="124" t="s">
        <v>338</v>
      </c>
      <c r="B46" s="514"/>
      <c r="C46" s="514">
        <f>IFERROR(VLOOKUP('Amortization Table 2'!$A$17,'Amortization Table 2'!$A:$K,7),0)</f>
        <v>0</v>
      </c>
      <c r="D46" s="514">
        <f>IFERROR(VLOOKUP('Amortization Table 2'!$A$17,'Amortization Table 2'!$A:$K,7),0)</f>
        <v>0</v>
      </c>
      <c r="E46" s="514">
        <f>IFERROR(VLOOKUP('Amortization Table 2'!$A$17,'Amortization Table 2'!$A:$K,7),0)</f>
        <v>0</v>
      </c>
      <c r="F46" s="514">
        <f>IFERROR(VLOOKUP('Amortization Table 2'!$A$17,'Amortization Table 2'!$A:$K,7),0)</f>
        <v>0</v>
      </c>
      <c r="G46" s="514">
        <f>IFERROR(VLOOKUP('Amortization Table 2'!$A$17,'Amortization Table 2'!$A:$K,7),0)</f>
        <v>0</v>
      </c>
      <c r="H46" s="514">
        <f>IFERROR(VLOOKUP('Amortization Table 2'!$A$17,'Amortization Table 2'!$A:$K,7),0)</f>
        <v>0</v>
      </c>
      <c r="I46" s="514">
        <f>IFERROR(VLOOKUP('Amortization Table 2'!$A$17,'Amortization Table 2'!$A:$K,7),0)</f>
        <v>0</v>
      </c>
      <c r="J46" s="514">
        <f>IFERROR(VLOOKUP('Amortization Table 2'!$A$17,'Amortization Table 2'!$A:$K,7),0)</f>
        <v>0</v>
      </c>
      <c r="K46" s="514">
        <f>IFERROR(VLOOKUP('Amortization Table 2'!$A$17,'Amortization Table 2'!$A:$K,7),0)</f>
        <v>0</v>
      </c>
      <c r="L46" s="514">
        <f>IFERROR(VLOOKUP('Amortization Table 2'!$A$17,'Amortization Table 2'!$A:$K,7),0)</f>
        <v>0</v>
      </c>
      <c r="M46" s="514">
        <f>IFERROR(VLOOKUP('Amortization Table 2'!$A$17,'Amortization Table 2'!$A:$K,7),0)</f>
        <v>0</v>
      </c>
      <c r="N46" s="514">
        <f>IFERROR(VLOOKUP('Amortization Table 2'!$A$17,'Amortization Table 2'!$A:$K,7),0)</f>
        <v>0</v>
      </c>
      <c r="O46" s="547">
        <f>SUM(B46:N46)</f>
        <v>0</v>
      </c>
      <c r="P46" s="514">
        <f>IFERROR(VLOOKUP('Amortization Table 2'!$A$17+14,'Amortization Table 2'!$A:$K,7),0)</f>
        <v>0</v>
      </c>
      <c r="Q46" s="514">
        <f>IFERROR(VLOOKUP('Amortization Table 2'!$A$17+14,'Amortization Table 2'!$A:$K,7),0)</f>
        <v>0</v>
      </c>
      <c r="R46" s="514">
        <f>IFERROR(VLOOKUP('Amortization Table 2'!$A$17+14,'Amortization Table 2'!$A:$K,7),0)</f>
        <v>0</v>
      </c>
      <c r="S46" s="514">
        <f>IFERROR(VLOOKUP('Amortization Table 2'!$A$17,'Amortization Table 2'!$A:$K,7),0)</f>
        <v>0</v>
      </c>
      <c r="T46" s="514">
        <f>IFERROR(VLOOKUP('Amortization Table 2'!$A$17,'Amortization Table 2'!$A:$K,7),0)</f>
        <v>0</v>
      </c>
      <c r="U46" s="514">
        <f>IFERROR(VLOOKUP('Amortization Table 2'!$A$17,'Amortization Table 2'!$A:$K,7),0)</f>
        <v>0</v>
      </c>
      <c r="V46" s="514">
        <f>IFERROR(VLOOKUP('Amortization Table 2'!$A$17,'Amortization Table 2'!$A:$K,7),0)</f>
        <v>0</v>
      </c>
      <c r="W46" s="514">
        <f>IFERROR(VLOOKUP('Amortization Table 2'!$A$17,'Amortization Table 2'!$A:$K,7),0)</f>
        <v>0</v>
      </c>
      <c r="X46" s="514">
        <f>IFERROR(VLOOKUP('Amortization Table 2'!$A$17,'Amortization Table 2'!$A:$K,7),0)</f>
        <v>0</v>
      </c>
      <c r="Y46" s="514">
        <f>IFERROR(VLOOKUP('Amortization Table 2'!$A$17,'Amortization Table 2'!$A:$K,7),0)</f>
        <v>0</v>
      </c>
      <c r="Z46" s="514">
        <f>IFERROR(VLOOKUP('Amortization Table 2'!$A$17,'Amortization Table 2'!$A:$K,7),0)</f>
        <v>0</v>
      </c>
      <c r="AA46" s="514">
        <f>IFERROR(VLOOKUP('Amortization Table 2'!$A$17,'Amortization Table 2'!$A:$K,7),0)</f>
        <v>0</v>
      </c>
      <c r="AB46" s="547">
        <f>SUM(P46:AA46)</f>
        <v>0</v>
      </c>
      <c r="AC46" s="514">
        <f>IFERROR(VLOOKUP('Amortization Table 2'!$A$17+14,'Amortization Table 2'!$A:$K,7),0)</f>
        <v>0</v>
      </c>
      <c r="AD46" s="514">
        <f>IFERROR(VLOOKUP('Amortization Table 2'!$A$17+14,'Amortization Table 2'!$A:$K,7),0)</f>
        <v>0</v>
      </c>
      <c r="AE46" s="514">
        <f>IFERROR(VLOOKUP('Amortization Table 2'!$A$17+14,'Amortization Table 2'!$A:$K,7),0)</f>
        <v>0</v>
      </c>
      <c r="AF46" s="514">
        <f>IFERROR(VLOOKUP('Amortization Table 2'!$A$17,'Amortization Table 2'!$A:$K,7),0)</f>
        <v>0</v>
      </c>
      <c r="AG46" s="514">
        <f>IFERROR(VLOOKUP('Amortization Table 2'!$A$17,'Amortization Table 2'!$A:$K,7),0)</f>
        <v>0</v>
      </c>
      <c r="AH46" s="514">
        <f>IFERROR(VLOOKUP('Amortization Table 2'!$A$17,'Amortization Table 2'!$A:$K,7),0)</f>
        <v>0</v>
      </c>
      <c r="AI46" s="514">
        <f>IFERROR(VLOOKUP('Amortization Table 2'!$A$17,'Amortization Table 2'!$A:$K,7),0)</f>
        <v>0</v>
      </c>
      <c r="AJ46" s="514">
        <f>IFERROR(VLOOKUP('Amortization Table 2'!$A$17,'Amortization Table 2'!$A:$K,7),0)</f>
        <v>0</v>
      </c>
      <c r="AK46" s="514">
        <f>IFERROR(VLOOKUP('Amortization Table 2'!$A$17,'Amortization Table 2'!$A:$K,7),0)</f>
        <v>0</v>
      </c>
      <c r="AL46" s="514">
        <f>IFERROR(VLOOKUP('Amortization Table 2'!$A$17,'Amortization Table 2'!$A:$K,7),0)</f>
        <v>0</v>
      </c>
      <c r="AM46" s="514">
        <f>IFERROR(VLOOKUP('Amortization Table 2'!$A$17,'Amortization Table 2'!$A:$K,7),0)</f>
        <v>0</v>
      </c>
      <c r="AN46" s="514">
        <f>IFERROR(VLOOKUP('Amortization Table 2'!$A$17,'Amortization Table 2'!$A:$K,7),0)</f>
        <v>0</v>
      </c>
      <c r="AO46" s="547">
        <f>SUM(AC46:AN46)</f>
        <v>0</v>
      </c>
      <c r="AP46" s="514">
        <f>IFERROR(VLOOKUP('Amortization Table 2'!$A$17+14,'Amortization Table 2'!$A:$K,7),0)</f>
        <v>0</v>
      </c>
      <c r="AQ46" s="514">
        <f>IFERROR(VLOOKUP('Amortization Table 2'!$A$17+14,'Amortization Table 2'!$A:$K,7),0)</f>
        <v>0</v>
      </c>
      <c r="AR46" s="514">
        <f>IFERROR(VLOOKUP('Amortization Table 2'!$A$17+14,'Amortization Table 2'!$A:$K,7),0)</f>
        <v>0</v>
      </c>
      <c r="AS46" s="514">
        <f>IFERROR(VLOOKUP('Amortization Table 2'!$A$17,'Amortization Table 2'!$A:$K,7),0)</f>
        <v>0</v>
      </c>
      <c r="AT46" s="514">
        <f>IFERROR(VLOOKUP('Amortization Table 2'!$A$17,'Amortization Table 2'!$A:$K,7),0)</f>
        <v>0</v>
      </c>
      <c r="AU46" s="514">
        <f>IFERROR(VLOOKUP('Amortization Table 2'!$A$17,'Amortization Table 2'!$A:$K,7),0)</f>
        <v>0</v>
      </c>
      <c r="AV46" s="514">
        <f>IFERROR(VLOOKUP('Amortization Table 2'!$A$17,'Amortization Table 2'!$A:$K,7),0)</f>
        <v>0</v>
      </c>
      <c r="AW46" s="514">
        <f>IFERROR(VLOOKUP('Amortization Table 2'!$A$17,'Amortization Table 2'!$A:$K,7),0)</f>
        <v>0</v>
      </c>
      <c r="AX46" s="514">
        <f>IFERROR(VLOOKUP('Amortization Table 2'!$A$17,'Amortization Table 2'!$A:$K,7),0)</f>
        <v>0</v>
      </c>
      <c r="AY46" s="514">
        <f>IFERROR(VLOOKUP('Amortization Table 2'!$A$17,'Amortization Table 2'!$A:$K,7),0)</f>
        <v>0</v>
      </c>
      <c r="AZ46" s="514">
        <f>IFERROR(VLOOKUP('Amortization Table 2'!$A$17,'Amortization Table 2'!$A:$K,7),0)</f>
        <v>0</v>
      </c>
      <c r="BA46" s="514">
        <f>IFERROR(VLOOKUP('Amortization Table 2'!$A$17,'Amortization Table 2'!$A:$K,7),0)</f>
        <v>0</v>
      </c>
      <c r="BB46" s="547">
        <f>SUM(AP46:BA46)</f>
        <v>0</v>
      </c>
      <c r="BC46" s="514">
        <f>IFERROR(VLOOKUP('Amortization Table 2'!$A$17+14,'Amortization Table 2'!$A:$K,7),0)</f>
        <v>0</v>
      </c>
      <c r="BD46" s="514">
        <f>IFERROR(VLOOKUP('Amortization Table 2'!$A$17+14,'Amortization Table 2'!$A:$K,7),0)</f>
        <v>0</v>
      </c>
      <c r="BE46" s="514">
        <f>IFERROR(VLOOKUP('Amortization Table 2'!$A$17+14,'Amortization Table 2'!$A:$K,7),0)</f>
        <v>0</v>
      </c>
      <c r="BF46" s="514">
        <f>IFERROR(VLOOKUP('Amortization Table 2'!$A$17,'Amortization Table 2'!$A:$K,7),0)</f>
        <v>0</v>
      </c>
      <c r="BG46" s="514">
        <f>IFERROR(VLOOKUP('Amortization Table 2'!$A$17,'Amortization Table 2'!$A:$K,7),0)</f>
        <v>0</v>
      </c>
      <c r="BH46" s="514">
        <f>IFERROR(VLOOKUP('Amortization Table 2'!$A$17,'Amortization Table 2'!$A:$K,7),0)</f>
        <v>0</v>
      </c>
      <c r="BI46" s="514">
        <f>IFERROR(VLOOKUP('Amortization Table 2'!$A$17,'Amortization Table 2'!$A:$K,7),0)</f>
        <v>0</v>
      </c>
      <c r="BJ46" s="514">
        <f>IFERROR(VLOOKUP('Amortization Table 2'!$A$17,'Amortization Table 2'!$A:$K,7),0)</f>
        <v>0</v>
      </c>
      <c r="BK46" s="514">
        <f>IFERROR(VLOOKUP('Amortization Table 2'!$A$17,'Amortization Table 2'!$A:$K,7),0)</f>
        <v>0</v>
      </c>
      <c r="BL46" s="514">
        <f>IFERROR(VLOOKUP('Amortization Table 2'!$A$17,'Amortization Table 2'!$A:$K,7),0)</f>
        <v>0</v>
      </c>
      <c r="BM46" s="514">
        <f>IFERROR(VLOOKUP('Amortization Table 2'!$A$17,'Amortization Table 2'!$A:$K,7),0)</f>
        <v>0</v>
      </c>
      <c r="BN46" s="514">
        <f>IFERROR(VLOOKUP('Amortization Table 2'!$A$17,'Amortization Table 2'!$A:$K,7),0)</f>
        <v>0</v>
      </c>
      <c r="BO46" s="547">
        <f>SUM(BC46:BN46)</f>
        <v>0</v>
      </c>
      <c r="BP46" s="514">
        <f>IFERROR(VLOOKUP('Amortization Table 2'!$A$17+14,'Amortization Table 2'!$A:$K,7),0)</f>
        <v>0</v>
      </c>
      <c r="BQ46" s="514">
        <f>IFERROR(VLOOKUP('Amortization Table 2'!$A$17+14,'Amortization Table 2'!$A:$K,7),0)</f>
        <v>0</v>
      </c>
      <c r="BR46" s="514">
        <f>IFERROR(VLOOKUP('Amortization Table 2'!$A$17+14,'Amortization Table 2'!$A:$K,7),0)</f>
        <v>0</v>
      </c>
      <c r="BS46" s="514">
        <f>IFERROR(VLOOKUP('Amortization Table 2'!$A$17,'Amortization Table 2'!$A:$K,7),0)</f>
        <v>0</v>
      </c>
      <c r="BT46" s="514">
        <f>IFERROR(VLOOKUP('Amortization Table 2'!$A$17,'Amortization Table 2'!$A:$K,7),0)</f>
        <v>0</v>
      </c>
      <c r="BU46" s="514">
        <f>IFERROR(VLOOKUP('Amortization Table 2'!$A$17,'Amortization Table 2'!$A:$K,7),0)</f>
        <v>0</v>
      </c>
      <c r="BV46" s="514">
        <f>IFERROR(VLOOKUP('Amortization Table 2'!$A$17,'Amortization Table 2'!$A:$K,7),0)</f>
        <v>0</v>
      </c>
      <c r="BW46" s="514">
        <f>IFERROR(VLOOKUP('Amortization Table 2'!$A$17,'Amortization Table 2'!$A:$K,7),0)</f>
        <v>0</v>
      </c>
      <c r="BX46" s="514">
        <f>IFERROR(VLOOKUP('Amortization Table 2'!$A$17,'Amortization Table 2'!$A:$K,7),0)</f>
        <v>0</v>
      </c>
      <c r="BY46" s="514">
        <f>IFERROR(VLOOKUP('Amortization Table 2'!$A$17,'Amortization Table 2'!$A:$K,7),0)</f>
        <v>0</v>
      </c>
      <c r="BZ46" s="514">
        <f>IFERROR(VLOOKUP('Amortization Table 2'!$A$17,'Amortization Table 2'!$A:$K,7),0)</f>
        <v>0</v>
      </c>
      <c r="CA46" s="514">
        <f>IFERROR(VLOOKUP('Amortization Table 2'!$A$17,'Amortization Table 2'!$A:$K,7),0)</f>
        <v>0</v>
      </c>
      <c r="CB46" s="547">
        <f>SUM(BP46:CA46)</f>
        <v>0</v>
      </c>
      <c r="CC46" s="514">
        <f>IFERROR(VLOOKUP('Amortization Table 2'!$A$17+14,'Amortization Table 2'!$A:$K,7),0)</f>
        <v>0</v>
      </c>
      <c r="CD46" s="514">
        <f>IFERROR(VLOOKUP('Amortization Table 2'!$A$17+14,'Amortization Table 2'!$A:$K,7),0)</f>
        <v>0</v>
      </c>
      <c r="CE46" s="514">
        <f>IFERROR(VLOOKUP('Amortization Table 2'!$A$17+14,'Amortization Table 2'!$A:$K,7),0)</f>
        <v>0</v>
      </c>
      <c r="CF46" s="514">
        <f>IFERROR(VLOOKUP('Amortization Table 2'!$A$17,'Amortization Table 2'!$A:$K,7),0)</f>
        <v>0</v>
      </c>
      <c r="CG46" s="514">
        <f>IFERROR(VLOOKUP('Amortization Table 2'!$A$17,'Amortization Table 2'!$A:$K,7),0)</f>
        <v>0</v>
      </c>
      <c r="CH46" s="514">
        <f>IFERROR(VLOOKUP('Amortization Table 2'!$A$17,'Amortization Table 2'!$A:$K,7),0)</f>
        <v>0</v>
      </c>
      <c r="CI46" s="514">
        <f>IFERROR(VLOOKUP('Amortization Table 2'!$A$17,'Amortization Table 2'!$A:$K,7),0)</f>
        <v>0</v>
      </c>
      <c r="CJ46" s="514">
        <f>IFERROR(VLOOKUP('Amortization Table 2'!$A$17,'Amortization Table 2'!$A:$K,7),0)</f>
        <v>0</v>
      </c>
      <c r="CK46" s="514">
        <f>IFERROR(VLOOKUP('Amortization Table 2'!$A$17,'Amortization Table 2'!$A:$K,7),0)</f>
        <v>0</v>
      </c>
      <c r="CL46" s="514">
        <f>IFERROR(VLOOKUP('Amortization Table 2'!$A$17,'Amortization Table 2'!$A:$K,7),0)</f>
        <v>0</v>
      </c>
      <c r="CM46" s="514">
        <f>IFERROR(VLOOKUP('Amortization Table 2'!$A$17,'Amortization Table 2'!$A:$K,7),0)</f>
        <v>0</v>
      </c>
      <c r="CN46" s="514">
        <f>IFERROR(VLOOKUP('Amortization Table 2'!$A$17,'Amortization Table 2'!$A:$K,7),0)</f>
        <v>0</v>
      </c>
      <c r="CO46" s="547">
        <f>SUM(CC46:CN46)</f>
        <v>0</v>
      </c>
    </row>
    <row r="47" spans="1:93" s="107" customFormat="1" ht="24.95" customHeight="1" outlineLevel="1" thickBot="1">
      <c r="A47" s="123" t="s">
        <v>339</v>
      </c>
      <c r="B47" s="523">
        <f>SUBTOTAL(109,B42:B46)</f>
        <v>572030.15599999996</v>
      </c>
      <c r="C47" s="523">
        <f t="shared" ref="C47:O47" si="196">SUBTOTAL(109,C42:C46)</f>
        <v>570726.20600000001</v>
      </c>
      <c r="D47" s="523">
        <f t="shared" si="196"/>
        <v>570726.20600000001</v>
      </c>
      <c r="E47" s="523">
        <f t="shared" si="196"/>
        <v>570726.20600000001</v>
      </c>
      <c r="F47" s="523">
        <f t="shared" si="196"/>
        <v>569426.20600000001</v>
      </c>
      <c r="G47" s="523">
        <f t="shared" si="196"/>
        <v>570726.20600000001</v>
      </c>
      <c r="H47" s="523">
        <f t="shared" si="196"/>
        <v>570726.20600000001</v>
      </c>
      <c r="I47" s="523">
        <f t="shared" si="196"/>
        <v>570726.20600000001</v>
      </c>
      <c r="J47" s="523">
        <f t="shared" si="196"/>
        <v>570726.20600000001</v>
      </c>
      <c r="K47" s="523">
        <f t="shared" si="196"/>
        <v>570726.20600000001</v>
      </c>
      <c r="L47" s="523">
        <f t="shared" si="196"/>
        <v>570726.20600000001</v>
      </c>
      <c r="M47" s="523">
        <f t="shared" si="196"/>
        <v>570726.20600000001</v>
      </c>
      <c r="N47" s="523">
        <f t="shared" si="196"/>
        <v>570726.20600000001</v>
      </c>
      <c r="O47" s="548">
        <f t="shared" si="196"/>
        <v>7419444.6279999986</v>
      </c>
      <c r="P47" s="523">
        <f t="shared" ref="P47:AB47" ca="1" si="197">SUBTOTAL(109,P42:P46)</f>
        <v>654957.81689599995</v>
      </c>
      <c r="Q47" s="523">
        <f t="shared" ca="1" si="197"/>
        <v>650758.21189599996</v>
      </c>
      <c r="R47" s="523">
        <f t="shared" ca="1" si="197"/>
        <v>650758.21189599996</v>
      </c>
      <c r="S47" s="523">
        <f t="shared" ca="1" si="197"/>
        <v>649393.21189599996</v>
      </c>
      <c r="T47" s="523">
        <f t="shared" ca="1" si="197"/>
        <v>650758.21189599996</v>
      </c>
      <c r="U47" s="523">
        <f t="shared" ca="1" si="197"/>
        <v>650758.21189599996</v>
      </c>
      <c r="V47" s="523">
        <f t="shared" ca="1" si="197"/>
        <v>650758.21189599996</v>
      </c>
      <c r="W47" s="523">
        <f t="shared" ca="1" si="197"/>
        <v>650758.21189599996</v>
      </c>
      <c r="X47" s="523">
        <f t="shared" ca="1" si="197"/>
        <v>650758.21189599996</v>
      </c>
      <c r="Y47" s="523">
        <f t="shared" ca="1" si="197"/>
        <v>650758.21189599996</v>
      </c>
      <c r="Z47" s="523">
        <f t="shared" ca="1" si="197"/>
        <v>650758.21189599996</v>
      </c>
      <c r="AA47" s="523">
        <f t="shared" ca="1" si="197"/>
        <v>650758.21189599996</v>
      </c>
      <c r="AB47" s="548">
        <f t="shared" ca="1" si="197"/>
        <v>7811933.1477519972</v>
      </c>
      <c r="AC47" s="523">
        <f t="shared" ref="AC47:BB47" ca="1" si="198">SUBTOTAL(109,AC42:AC46)</f>
        <v>742703.06533999997</v>
      </c>
      <c r="AD47" s="523">
        <f t="shared" ca="1" si="198"/>
        <v>742703.06533999997</v>
      </c>
      <c r="AE47" s="523">
        <f t="shared" ca="1" si="198"/>
        <v>742703.06533999997</v>
      </c>
      <c r="AF47" s="523">
        <f t="shared" ca="1" si="198"/>
        <v>742703.06533999997</v>
      </c>
      <c r="AG47" s="523">
        <f t="shared" ca="1" si="198"/>
        <v>742703.06533999997</v>
      </c>
      <c r="AH47" s="523">
        <f t="shared" ca="1" si="198"/>
        <v>742703.06533999997</v>
      </c>
      <c r="AI47" s="523">
        <f t="shared" ca="1" si="198"/>
        <v>742703.06533999997</v>
      </c>
      <c r="AJ47" s="523">
        <f t="shared" ca="1" si="198"/>
        <v>742703.06533999997</v>
      </c>
      <c r="AK47" s="523">
        <f t="shared" ca="1" si="198"/>
        <v>742703.06533999997</v>
      </c>
      <c r="AL47" s="523">
        <f t="shared" ca="1" si="198"/>
        <v>742703.06533999997</v>
      </c>
      <c r="AM47" s="523">
        <f t="shared" ca="1" si="198"/>
        <v>742703.06533999997</v>
      </c>
      <c r="AN47" s="523">
        <f t="shared" ca="1" si="198"/>
        <v>742703.06533999997</v>
      </c>
      <c r="AO47" s="548">
        <f t="shared" ca="1" si="198"/>
        <v>8912436.7840799987</v>
      </c>
      <c r="AP47" s="523">
        <f t="shared" ca="1" si="198"/>
        <v>843405.49953999987</v>
      </c>
      <c r="AQ47" s="523">
        <f t="shared" ca="1" si="198"/>
        <v>843405.49953999987</v>
      </c>
      <c r="AR47" s="523">
        <f t="shared" ca="1" si="198"/>
        <v>843405.49953999987</v>
      </c>
      <c r="AS47" s="523">
        <f t="shared" ca="1" si="198"/>
        <v>843405.49953999987</v>
      </c>
      <c r="AT47" s="523">
        <f t="shared" ca="1" si="198"/>
        <v>843405.49953999987</v>
      </c>
      <c r="AU47" s="523">
        <f t="shared" ca="1" si="198"/>
        <v>843405.49953999987</v>
      </c>
      <c r="AV47" s="523">
        <f t="shared" ca="1" si="198"/>
        <v>843405.49953999987</v>
      </c>
      <c r="AW47" s="523">
        <f t="shared" ca="1" si="198"/>
        <v>843405.49953999987</v>
      </c>
      <c r="AX47" s="523">
        <f t="shared" ca="1" si="198"/>
        <v>843405.49953999987</v>
      </c>
      <c r="AY47" s="523">
        <f t="shared" ca="1" si="198"/>
        <v>843405.49953999987</v>
      </c>
      <c r="AZ47" s="523">
        <f t="shared" ca="1" si="198"/>
        <v>843405.49953999987</v>
      </c>
      <c r="BA47" s="523">
        <f t="shared" ca="1" si="198"/>
        <v>843405.49953999987</v>
      </c>
      <c r="BB47" s="548">
        <f t="shared" ca="1" si="198"/>
        <v>10120865.994479999</v>
      </c>
      <c r="BC47" s="523">
        <f t="shared" ref="BC47:BO47" ca="1" si="199">SUBTOTAL(109,BC42:BC46)</f>
        <v>953593.90914979973</v>
      </c>
      <c r="BD47" s="523">
        <f t="shared" ca="1" si="199"/>
        <v>953593.90914979973</v>
      </c>
      <c r="BE47" s="523">
        <f t="shared" ca="1" si="199"/>
        <v>953593.90914979973</v>
      </c>
      <c r="BF47" s="523">
        <f t="shared" ca="1" si="199"/>
        <v>953593.90914979973</v>
      </c>
      <c r="BG47" s="523">
        <f t="shared" ca="1" si="199"/>
        <v>953593.90914979973</v>
      </c>
      <c r="BH47" s="523">
        <f t="shared" ca="1" si="199"/>
        <v>953593.90914979973</v>
      </c>
      <c r="BI47" s="523">
        <f t="shared" ca="1" si="199"/>
        <v>953593.90914979973</v>
      </c>
      <c r="BJ47" s="523">
        <f t="shared" ca="1" si="199"/>
        <v>953593.90914979973</v>
      </c>
      <c r="BK47" s="523">
        <f t="shared" ca="1" si="199"/>
        <v>953593.90914979973</v>
      </c>
      <c r="BL47" s="523">
        <f t="shared" ca="1" si="199"/>
        <v>953593.90914979973</v>
      </c>
      <c r="BM47" s="523">
        <f t="shared" ca="1" si="199"/>
        <v>953593.90914979973</v>
      </c>
      <c r="BN47" s="523">
        <f t="shared" ca="1" si="199"/>
        <v>953593.90914979973</v>
      </c>
      <c r="BO47" s="548">
        <f t="shared" ca="1" si="199"/>
        <v>11443126.909797601</v>
      </c>
      <c r="BP47" s="523">
        <f t="shared" ref="BP47:CO47" ca="1" si="200">SUBTOTAL(109,BP42:BP46)</f>
        <v>1074062.9301677498</v>
      </c>
      <c r="BQ47" s="523">
        <f t="shared" ca="1" si="200"/>
        <v>1074062.9301677498</v>
      </c>
      <c r="BR47" s="523">
        <f t="shared" ca="1" si="200"/>
        <v>1074062.9301677498</v>
      </c>
      <c r="BS47" s="523">
        <f t="shared" ca="1" si="200"/>
        <v>1074062.9301677498</v>
      </c>
      <c r="BT47" s="523">
        <f t="shared" ca="1" si="200"/>
        <v>1074062.9301677498</v>
      </c>
      <c r="BU47" s="523">
        <f t="shared" ca="1" si="200"/>
        <v>1074062.9301677498</v>
      </c>
      <c r="BV47" s="523">
        <f t="shared" ca="1" si="200"/>
        <v>1074062.9301677498</v>
      </c>
      <c r="BW47" s="523">
        <f t="shared" ca="1" si="200"/>
        <v>1074062.9301677498</v>
      </c>
      <c r="BX47" s="523">
        <f t="shared" ca="1" si="200"/>
        <v>1074062.9301677498</v>
      </c>
      <c r="BY47" s="523">
        <f t="shared" ca="1" si="200"/>
        <v>1074062.9301677498</v>
      </c>
      <c r="BZ47" s="523">
        <f t="shared" ca="1" si="200"/>
        <v>1074062.9301677498</v>
      </c>
      <c r="CA47" s="523">
        <f t="shared" ca="1" si="200"/>
        <v>1074062.9301677498</v>
      </c>
      <c r="CB47" s="548">
        <f t="shared" ca="1" si="200"/>
        <v>12888755.162012996</v>
      </c>
      <c r="CC47" s="523">
        <f t="shared" ca="1" si="200"/>
        <v>1140127.2036519875</v>
      </c>
      <c r="CD47" s="523">
        <f t="shared" ca="1" si="200"/>
        <v>1140127.2036519875</v>
      </c>
      <c r="CE47" s="523">
        <f t="shared" ca="1" si="200"/>
        <v>1140127.2036519875</v>
      </c>
      <c r="CF47" s="523">
        <f t="shared" ca="1" si="200"/>
        <v>1140127.2036519875</v>
      </c>
      <c r="CG47" s="523">
        <f t="shared" ca="1" si="200"/>
        <v>1140127.2036519875</v>
      </c>
      <c r="CH47" s="523">
        <f t="shared" ca="1" si="200"/>
        <v>1140127.2036519875</v>
      </c>
      <c r="CI47" s="523">
        <f t="shared" ca="1" si="200"/>
        <v>1140127.2036519875</v>
      </c>
      <c r="CJ47" s="523">
        <f t="shared" ca="1" si="200"/>
        <v>1140127.2036519875</v>
      </c>
      <c r="CK47" s="523">
        <f t="shared" ca="1" si="200"/>
        <v>1140127.2036519875</v>
      </c>
      <c r="CL47" s="523">
        <f t="shared" ca="1" si="200"/>
        <v>1140127.2036519875</v>
      </c>
      <c r="CM47" s="523">
        <f t="shared" ca="1" si="200"/>
        <v>1140127.2036519875</v>
      </c>
      <c r="CN47" s="523">
        <f t="shared" ca="1" si="200"/>
        <v>1140127.2036519875</v>
      </c>
      <c r="CO47" s="548">
        <f t="shared" ca="1" si="200"/>
        <v>13681526.443823844</v>
      </c>
    </row>
    <row r="48" spans="1:93" s="112" customFormat="1" ht="24.95" customHeight="1" outlineLevel="1" thickBot="1">
      <c r="A48" s="123" t="s">
        <v>340</v>
      </c>
      <c r="B48" s="525">
        <f>'Projected FS'!$B$35</f>
        <v>8416320</v>
      </c>
      <c r="C48" s="118"/>
      <c r="D48" s="118"/>
      <c r="E48" s="118"/>
      <c r="F48" s="118"/>
      <c r="G48" s="118"/>
      <c r="H48" s="118"/>
      <c r="I48" s="118"/>
      <c r="J48" s="118"/>
      <c r="K48" s="118"/>
      <c r="L48" s="118"/>
      <c r="M48" s="118"/>
      <c r="N48" s="118"/>
      <c r="O48" s="446">
        <f>SUM(B48:N48)</f>
        <v>8416320</v>
      </c>
      <c r="P48" s="118"/>
      <c r="Q48" s="118"/>
      <c r="R48" s="118"/>
      <c r="S48" s="118"/>
      <c r="T48" s="118"/>
      <c r="U48" s="118"/>
      <c r="V48" s="118"/>
      <c r="W48" s="118"/>
      <c r="X48" s="118"/>
      <c r="Y48" s="118"/>
      <c r="Z48" s="118"/>
      <c r="AA48" s="118"/>
      <c r="AB48" s="446">
        <f>SUM(P48:AA48)</f>
        <v>0</v>
      </c>
      <c r="AC48" s="118"/>
      <c r="AD48" s="118"/>
      <c r="AE48" s="118"/>
      <c r="AF48" s="118"/>
      <c r="AG48" s="118"/>
      <c r="AH48" s="118"/>
      <c r="AI48" s="118"/>
      <c r="AJ48" s="118"/>
      <c r="AK48" s="118"/>
      <c r="AL48" s="118"/>
      <c r="AM48" s="118"/>
      <c r="AN48" s="118"/>
      <c r="AO48" s="446">
        <f>SUM(AC48:AN48)</f>
        <v>0</v>
      </c>
      <c r="AP48" s="118"/>
      <c r="AQ48" s="118"/>
      <c r="AR48" s="118"/>
      <c r="AS48" s="118"/>
      <c r="AT48" s="118"/>
      <c r="AU48" s="118"/>
      <c r="AV48" s="118"/>
      <c r="AW48" s="118"/>
      <c r="AX48" s="118"/>
      <c r="AY48" s="118"/>
      <c r="AZ48" s="118"/>
      <c r="BA48" s="118"/>
      <c r="BB48" s="446">
        <f>SUM(AP48:BA48)</f>
        <v>0</v>
      </c>
      <c r="BC48" s="118"/>
      <c r="BD48" s="118"/>
      <c r="BE48" s="118"/>
      <c r="BF48" s="118"/>
      <c r="BG48" s="118"/>
      <c r="BH48" s="118"/>
      <c r="BI48" s="118"/>
      <c r="BJ48" s="118"/>
      <c r="BK48" s="118"/>
      <c r="BL48" s="118"/>
      <c r="BM48" s="118"/>
      <c r="BN48" s="118"/>
      <c r="BO48" s="446">
        <f>SUM(BC48:BN48)</f>
        <v>0</v>
      </c>
      <c r="BP48" s="118"/>
      <c r="BQ48" s="118"/>
      <c r="BR48" s="118"/>
      <c r="BS48" s="118"/>
      <c r="BT48" s="118"/>
      <c r="BU48" s="118"/>
      <c r="BV48" s="118"/>
      <c r="BW48" s="118"/>
      <c r="BX48" s="118"/>
      <c r="BY48" s="118"/>
      <c r="BZ48" s="118"/>
      <c r="CA48" s="118"/>
      <c r="CB48" s="446">
        <f>SUM(BP48:CA48)</f>
        <v>0</v>
      </c>
      <c r="CC48" s="118"/>
      <c r="CD48" s="118"/>
      <c r="CE48" s="118"/>
      <c r="CF48" s="118"/>
      <c r="CG48" s="118"/>
      <c r="CH48" s="118"/>
      <c r="CI48" s="118"/>
      <c r="CJ48" s="118"/>
      <c r="CK48" s="118"/>
      <c r="CL48" s="118"/>
      <c r="CM48" s="118"/>
      <c r="CN48" s="118"/>
      <c r="CO48" s="446">
        <f>SUM(CC48:CN48)</f>
        <v>0</v>
      </c>
    </row>
    <row r="49" spans="1:93" s="104" customFormat="1" ht="24.95" customHeight="1" outlineLevel="1" thickBot="1">
      <c r="A49" s="123" t="s">
        <v>341</v>
      </c>
      <c r="B49" s="120"/>
      <c r="C49" s="120"/>
      <c r="D49" s="120"/>
      <c r="E49" s="120"/>
      <c r="F49" s="120"/>
      <c r="G49" s="120"/>
      <c r="H49" s="120"/>
      <c r="I49" s="120"/>
      <c r="J49" s="120"/>
      <c r="K49" s="120"/>
      <c r="L49" s="120"/>
      <c r="M49" s="120"/>
      <c r="N49" s="120"/>
      <c r="O49" s="447">
        <f>SUM(B49:N49)</f>
        <v>0</v>
      </c>
      <c r="P49" s="120"/>
      <c r="Q49" s="120"/>
      <c r="R49" s="120"/>
      <c r="S49" s="120"/>
      <c r="T49" s="120"/>
      <c r="U49" s="120"/>
      <c r="V49" s="120"/>
      <c r="W49" s="120"/>
      <c r="X49" s="120"/>
      <c r="Y49" s="120"/>
      <c r="Z49" s="120"/>
      <c r="AA49" s="120"/>
      <c r="AB49" s="447">
        <f>SUM(P49:AA49)</f>
        <v>0</v>
      </c>
      <c r="AC49" s="120"/>
      <c r="AD49" s="120"/>
      <c r="AE49" s="120"/>
      <c r="AF49" s="120"/>
      <c r="AG49" s="120"/>
      <c r="AH49" s="120"/>
      <c r="AI49" s="120"/>
      <c r="AJ49" s="120"/>
      <c r="AK49" s="120"/>
      <c r="AL49" s="120"/>
      <c r="AM49" s="120"/>
      <c r="AN49" s="120"/>
      <c r="AO49" s="447">
        <f>SUM(AC49:AN49)</f>
        <v>0</v>
      </c>
      <c r="AP49" s="120"/>
      <c r="AQ49" s="120"/>
      <c r="AR49" s="120"/>
      <c r="AS49" s="120"/>
      <c r="AT49" s="120"/>
      <c r="AU49" s="120"/>
      <c r="AV49" s="120"/>
      <c r="AW49" s="120"/>
      <c r="AX49" s="120"/>
      <c r="AY49" s="120"/>
      <c r="AZ49" s="120"/>
      <c r="BA49" s="120"/>
      <c r="BB49" s="447">
        <f>SUM(AP49:BA49)</f>
        <v>0</v>
      </c>
      <c r="BC49" s="120"/>
      <c r="BD49" s="120"/>
      <c r="BE49" s="120"/>
      <c r="BF49" s="120"/>
      <c r="BG49" s="120"/>
      <c r="BH49" s="120"/>
      <c r="BI49" s="120"/>
      <c r="BJ49" s="120"/>
      <c r="BK49" s="120"/>
      <c r="BL49" s="120"/>
      <c r="BM49" s="120"/>
      <c r="BN49" s="120"/>
      <c r="BO49" s="447">
        <f>SUM(BC49:BN49)</f>
        <v>0</v>
      </c>
      <c r="BP49" s="120"/>
      <c r="BQ49" s="120"/>
      <c r="BR49" s="120"/>
      <c r="BS49" s="120"/>
      <c r="BT49" s="120"/>
      <c r="BU49" s="120"/>
      <c r="BV49" s="120"/>
      <c r="BW49" s="120"/>
      <c r="BX49" s="120"/>
      <c r="BY49" s="120"/>
      <c r="BZ49" s="120"/>
      <c r="CA49" s="120"/>
      <c r="CB49" s="447">
        <f>SUM(BP49:CA49)</f>
        <v>0</v>
      </c>
      <c r="CC49" s="120"/>
      <c r="CD49" s="120"/>
      <c r="CE49" s="120"/>
      <c r="CF49" s="120"/>
      <c r="CG49" s="120"/>
      <c r="CH49" s="120"/>
      <c r="CI49" s="120"/>
      <c r="CJ49" s="120"/>
      <c r="CK49" s="120"/>
      <c r="CL49" s="120"/>
      <c r="CM49" s="120"/>
      <c r="CN49" s="120"/>
      <c r="CO49" s="447">
        <f>SUM(CC49:CN49)</f>
        <v>0</v>
      </c>
    </row>
    <row r="50" spans="1:93" ht="24.95" customHeight="1" outlineLevel="1" thickBot="1">
      <c r="A50" s="122" t="s">
        <v>339</v>
      </c>
      <c r="B50" s="516">
        <f t="shared" ref="B50:N50" si="201">SUM(B47:B49)</f>
        <v>8988350.1559999995</v>
      </c>
      <c r="C50" s="516">
        <f t="shared" si="201"/>
        <v>570726.20600000001</v>
      </c>
      <c r="D50" s="516">
        <f t="shared" si="201"/>
        <v>570726.20600000001</v>
      </c>
      <c r="E50" s="516">
        <f t="shared" si="201"/>
        <v>570726.20600000001</v>
      </c>
      <c r="F50" s="516">
        <f t="shared" si="201"/>
        <v>569426.20600000001</v>
      </c>
      <c r="G50" s="516">
        <f t="shared" si="201"/>
        <v>570726.20600000001</v>
      </c>
      <c r="H50" s="516">
        <f t="shared" si="201"/>
        <v>570726.20600000001</v>
      </c>
      <c r="I50" s="516">
        <f t="shared" si="201"/>
        <v>570726.20600000001</v>
      </c>
      <c r="J50" s="516">
        <f t="shared" si="201"/>
        <v>570726.20600000001</v>
      </c>
      <c r="K50" s="516">
        <f t="shared" si="201"/>
        <v>570726.20600000001</v>
      </c>
      <c r="L50" s="516">
        <f t="shared" si="201"/>
        <v>570726.20600000001</v>
      </c>
      <c r="M50" s="516">
        <f t="shared" si="201"/>
        <v>570726.20600000001</v>
      </c>
      <c r="N50" s="516">
        <f t="shared" si="201"/>
        <v>570726.20600000001</v>
      </c>
      <c r="O50" s="544">
        <f>SUM(B50:N50)</f>
        <v>15835764.628000002</v>
      </c>
      <c r="P50" s="516">
        <f t="shared" ref="P50:AA50" ca="1" si="202">SUM(P47:P49)</f>
        <v>654957.81689599995</v>
      </c>
      <c r="Q50" s="516">
        <f t="shared" ca="1" si="202"/>
        <v>650758.21189599996</v>
      </c>
      <c r="R50" s="516">
        <f t="shared" ca="1" si="202"/>
        <v>650758.21189599996</v>
      </c>
      <c r="S50" s="516">
        <f t="shared" ca="1" si="202"/>
        <v>649393.21189599996</v>
      </c>
      <c r="T50" s="516">
        <f t="shared" ca="1" si="202"/>
        <v>650758.21189599996</v>
      </c>
      <c r="U50" s="516">
        <f t="shared" ca="1" si="202"/>
        <v>650758.21189599996</v>
      </c>
      <c r="V50" s="516">
        <f t="shared" ca="1" si="202"/>
        <v>650758.21189599996</v>
      </c>
      <c r="W50" s="516">
        <f t="shared" ca="1" si="202"/>
        <v>650758.21189599996</v>
      </c>
      <c r="X50" s="516">
        <f t="shared" ca="1" si="202"/>
        <v>650758.21189599996</v>
      </c>
      <c r="Y50" s="516">
        <f t="shared" ca="1" si="202"/>
        <v>650758.21189599996</v>
      </c>
      <c r="Z50" s="516">
        <f t="shared" ca="1" si="202"/>
        <v>650758.21189599996</v>
      </c>
      <c r="AA50" s="516">
        <f t="shared" ca="1" si="202"/>
        <v>650758.21189599996</v>
      </c>
      <c r="AB50" s="544">
        <f ca="1">SUM(P50:AA50)</f>
        <v>7811933.1477520019</v>
      </c>
      <c r="AC50" s="516">
        <f t="shared" ref="AC50:AN50" ca="1" si="203">SUM(AC47:AC49)</f>
        <v>742703.06533999997</v>
      </c>
      <c r="AD50" s="516">
        <f t="shared" ca="1" si="203"/>
        <v>742703.06533999997</v>
      </c>
      <c r="AE50" s="516">
        <f t="shared" ca="1" si="203"/>
        <v>742703.06533999997</v>
      </c>
      <c r="AF50" s="516">
        <f t="shared" ca="1" si="203"/>
        <v>742703.06533999997</v>
      </c>
      <c r="AG50" s="516">
        <f t="shared" ca="1" si="203"/>
        <v>742703.06533999997</v>
      </c>
      <c r="AH50" s="516">
        <f t="shared" ca="1" si="203"/>
        <v>742703.06533999997</v>
      </c>
      <c r="AI50" s="516">
        <f t="shared" ca="1" si="203"/>
        <v>742703.06533999997</v>
      </c>
      <c r="AJ50" s="516">
        <f t="shared" ca="1" si="203"/>
        <v>742703.06533999997</v>
      </c>
      <c r="AK50" s="516">
        <f t="shared" ca="1" si="203"/>
        <v>742703.06533999997</v>
      </c>
      <c r="AL50" s="516">
        <f t="shared" ca="1" si="203"/>
        <v>742703.06533999997</v>
      </c>
      <c r="AM50" s="516">
        <f t="shared" ca="1" si="203"/>
        <v>742703.06533999997</v>
      </c>
      <c r="AN50" s="516">
        <f t="shared" ca="1" si="203"/>
        <v>742703.06533999997</v>
      </c>
      <c r="AO50" s="544">
        <f ca="1">SUM(AC50:AN50)</f>
        <v>8912436.7840800006</v>
      </c>
      <c r="AP50" s="516">
        <f t="shared" ref="AP50:BA50" ca="1" si="204">SUM(AP47:AP49)</f>
        <v>843405.49953999987</v>
      </c>
      <c r="AQ50" s="516">
        <f t="shared" ca="1" si="204"/>
        <v>843405.49953999987</v>
      </c>
      <c r="AR50" s="516">
        <f t="shared" ca="1" si="204"/>
        <v>843405.49953999987</v>
      </c>
      <c r="AS50" s="516">
        <f t="shared" ca="1" si="204"/>
        <v>843405.49953999987</v>
      </c>
      <c r="AT50" s="516">
        <f t="shared" ca="1" si="204"/>
        <v>843405.49953999987</v>
      </c>
      <c r="AU50" s="516">
        <f t="shared" ca="1" si="204"/>
        <v>843405.49953999987</v>
      </c>
      <c r="AV50" s="516">
        <f t="shared" ca="1" si="204"/>
        <v>843405.49953999987</v>
      </c>
      <c r="AW50" s="516">
        <f t="shared" ca="1" si="204"/>
        <v>843405.49953999987</v>
      </c>
      <c r="AX50" s="516">
        <f t="shared" ca="1" si="204"/>
        <v>843405.49953999987</v>
      </c>
      <c r="AY50" s="516">
        <f t="shared" ca="1" si="204"/>
        <v>843405.49953999987</v>
      </c>
      <c r="AZ50" s="516">
        <f t="shared" ca="1" si="204"/>
        <v>843405.49953999987</v>
      </c>
      <c r="BA50" s="516">
        <f t="shared" ca="1" si="204"/>
        <v>843405.49953999987</v>
      </c>
      <c r="BB50" s="544">
        <f ca="1">SUM(AP50:BA50)</f>
        <v>10120865.994479999</v>
      </c>
      <c r="BC50" s="516">
        <f t="shared" ref="BC50:BN50" ca="1" si="205">SUM(BC47:BC49)</f>
        <v>953593.90914979973</v>
      </c>
      <c r="BD50" s="516">
        <f t="shared" ca="1" si="205"/>
        <v>953593.90914979973</v>
      </c>
      <c r="BE50" s="516">
        <f t="shared" ca="1" si="205"/>
        <v>953593.90914979973</v>
      </c>
      <c r="BF50" s="516">
        <f t="shared" ca="1" si="205"/>
        <v>953593.90914979973</v>
      </c>
      <c r="BG50" s="516">
        <f t="shared" ca="1" si="205"/>
        <v>953593.90914979973</v>
      </c>
      <c r="BH50" s="516">
        <f t="shared" ca="1" si="205"/>
        <v>953593.90914979973</v>
      </c>
      <c r="BI50" s="516">
        <f t="shared" ca="1" si="205"/>
        <v>953593.90914979973</v>
      </c>
      <c r="BJ50" s="516">
        <f t="shared" ca="1" si="205"/>
        <v>953593.90914979973</v>
      </c>
      <c r="BK50" s="516">
        <f t="shared" ca="1" si="205"/>
        <v>953593.90914979973</v>
      </c>
      <c r="BL50" s="516">
        <f t="shared" ca="1" si="205"/>
        <v>953593.90914979973</v>
      </c>
      <c r="BM50" s="516">
        <f t="shared" ca="1" si="205"/>
        <v>953593.90914979973</v>
      </c>
      <c r="BN50" s="516">
        <f t="shared" ca="1" si="205"/>
        <v>953593.90914979973</v>
      </c>
      <c r="BO50" s="544">
        <f ca="1">SUM(BC50:BN50)</f>
        <v>11443126.909797596</v>
      </c>
      <c r="BP50" s="516">
        <f t="shared" ref="BP50:CA50" ca="1" si="206">SUM(BP47:BP49)</f>
        <v>1074062.9301677498</v>
      </c>
      <c r="BQ50" s="516">
        <f t="shared" ca="1" si="206"/>
        <v>1074062.9301677498</v>
      </c>
      <c r="BR50" s="516">
        <f t="shared" ca="1" si="206"/>
        <v>1074062.9301677498</v>
      </c>
      <c r="BS50" s="516">
        <f t="shared" ca="1" si="206"/>
        <v>1074062.9301677498</v>
      </c>
      <c r="BT50" s="516">
        <f t="shared" ca="1" si="206"/>
        <v>1074062.9301677498</v>
      </c>
      <c r="BU50" s="516">
        <f t="shared" ca="1" si="206"/>
        <v>1074062.9301677498</v>
      </c>
      <c r="BV50" s="516">
        <f t="shared" ca="1" si="206"/>
        <v>1074062.9301677498</v>
      </c>
      <c r="BW50" s="516">
        <f t="shared" ca="1" si="206"/>
        <v>1074062.9301677498</v>
      </c>
      <c r="BX50" s="516">
        <f t="shared" ca="1" si="206"/>
        <v>1074062.9301677498</v>
      </c>
      <c r="BY50" s="516">
        <f t="shared" ca="1" si="206"/>
        <v>1074062.9301677498</v>
      </c>
      <c r="BZ50" s="516">
        <f t="shared" ca="1" si="206"/>
        <v>1074062.9301677498</v>
      </c>
      <c r="CA50" s="516">
        <f t="shared" ca="1" si="206"/>
        <v>1074062.9301677498</v>
      </c>
      <c r="CB50" s="544">
        <f ca="1">SUM(BP50:CA50)</f>
        <v>12888755.162012996</v>
      </c>
      <c r="CC50" s="516">
        <f t="shared" ref="CC50:CN50" ca="1" si="207">SUM(CC47:CC49)</f>
        <v>1140127.2036519875</v>
      </c>
      <c r="CD50" s="516">
        <f t="shared" ca="1" si="207"/>
        <v>1140127.2036519875</v>
      </c>
      <c r="CE50" s="516">
        <f t="shared" ca="1" si="207"/>
        <v>1140127.2036519875</v>
      </c>
      <c r="CF50" s="516">
        <f t="shared" ca="1" si="207"/>
        <v>1140127.2036519875</v>
      </c>
      <c r="CG50" s="516">
        <f t="shared" ca="1" si="207"/>
        <v>1140127.2036519875</v>
      </c>
      <c r="CH50" s="516">
        <f t="shared" ca="1" si="207"/>
        <v>1140127.2036519875</v>
      </c>
      <c r="CI50" s="516">
        <f t="shared" ca="1" si="207"/>
        <v>1140127.2036519875</v>
      </c>
      <c r="CJ50" s="516">
        <f t="shared" ca="1" si="207"/>
        <v>1140127.2036519875</v>
      </c>
      <c r="CK50" s="516">
        <f t="shared" ca="1" si="207"/>
        <v>1140127.2036519875</v>
      </c>
      <c r="CL50" s="516">
        <f t="shared" ca="1" si="207"/>
        <v>1140127.2036519875</v>
      </c>
      <c r="CM50" s="516">
        <f t="shared" ca="1" si="207"/>
        <v>1140127.2036519875</v>
      </c>
      <c r="CN50" s="516">
        <f t="shared" ca="1" si="207"/>
        <v>1140127.2036519875</v>
      </c>
      <c r="CO50" s="544">
        <f ca="1">SUM(CC50:CN50)</f>
        <v>13681526.443823846</v>
      </c>
    </row>
    <row r="51" spans="1:93" ht="24.95" customHeight="1" outlineLevel="1" thickBot="1">
      <c r="A51" s="122" t="s">
        <v>342</v>
      </c>
      <c r="B51" s="516">
        <f t="shared" ref="B51:N51" si="208">B40-B50</f>
        <v>-8988350.1559999995</v>
      </c>
      <c r="C51" s="516">
        <f t="shared" si="208"/>
        <v>-570726.20600000001</v>
      </c>
      <c r="D51" s="516">
        <f t="shared" si="208"/>
        <v>-223388.08100000001</v>
      </c>
      <c r="E51" s="516">
        <f t="shared" si="208"/>
        <v>123950.04399999999</v>
      </c>
      <c r="F51" s="516">
        <f t="shared" si="208"/>
        <v>249200.08799999999</v>
      </c>
      <c r="G51" s="516">
        <f t="shared" si="208"/>
        <v>373150.13199999998</v>
      </c>
      <c r="H51" s="516">
        <f t="shared" si="208"/>
        <v>497100.17599999998</v>
      </c>
      <c r="I51" s="516">
        <f t="shared" si="208"/>
        <v>621050.22</v>
      </c>
      <c r="J51" s="516">
        <f t="shared" si="208"/>
        <v>745000.26399999997</v>
      </c>
      <c r="K51" s="516">
        <f t="shared" si="208"/>
        <v>868950.30799999996</v>
      </c>
      <c r="L51" s="516">
        <f t="shared" si="208"/>
        <v>992900.35199999996</v>
      </c>
      <c r="M51" s="516">
        <f t="shared" si="208"/>
        <v>1116850.3959999999</v>
      </c>
      <c r="N51" s="516">
        <f t="shared" si="208"/>
        <v>1240800.44</v>
      </c>
      <c r="O51" s="448">
        <f ca="1">N60-'Projected FS'!C123</f>
        <v>0</v>
      </c>
      <c r="P51" s="516">
        <f t="shared" ref="P51:AA51" ca="1" si="209">P40-P50</f>
        <v>1280518.873104</v>
      </c>
      <c r="Q51" s="516">
        <f t="shared" ca="1" si="209"/>
        <v>1382095.039958</v>
      </c>
      <c r="R51" s="516">
        <f t="shared" ca="1" si="209"/>
        <v>1541329.3355620001</v>
      </c>
      <c r="S51" s="516">
        <f t="shared" ca="1" si="209"/>
        <v>1701928.6311659999</v>
      </c>
      <c r="T51" s="516">
        <f t="shared" ca="1" si="209"/>
        <v>1861162.9267699998</v>
      </c>
      <c r="U51" s="516">
        <f t="shared" ca="1" si="209"/>
        <v>2020397.2223739997</v>
      </c>
      <c r="V51" s="516">
        <f t="shared" ca="1" si="209"/>
        <v>2179631.5179779995</v>
      </c>
      <c r="W51" s="516">
        <f t="shared" ca="1" si="209"/>
        <v>2338865.8135819994</v>
      </c>
      <c r="X51" s="516">
        <f t="shared" ca="1" si="209"/>
        <v>2498100.1091859993</v>
      </c>
      <c r="Y51" s="516">
        <f t="shared" ca="1" si="209"/>
        <v>2657334.4047899991</v>
      </c>
      <c r="Z51" s="516">
        <f t="shared" ca="1" si="209"/>
        <v>2816568.700393999</v>
      </c>
      <c r="AA51" s="516">
        <f t="shared" ca="1" si="209"/>
        <v>2975802.9959979989</v>
      </c>
      <c r="AB51" s="448">
        <f ca="1">AA60-'Projected FS'!D123</f>
        <v>46195.654999996535</v>
      </c>
      <c r="AC51" s="516">
        <f t="shared" ref="AC51:AN51" ca="1" si="210">AC40-AC50</f>
        <v>3043092.438157999</v>
      </c>
      <c r="AD51" s="516">
        <f t="shared" ca="1" si="210"/>
        <v>3173713.1984429993</v>
      </c>
      <c r="AE51" s="516">
        <f t="shared" ca="1" si="210"/>
        <v>3367665.2768529989</v>
      </c>
      <c r="AF51" s="516">
        <f t="shared" ca="1" si="210"/>
        <v>3561617.3552629985</v>
      </c>
      <c r="AG51" s="516">
        <f t="shared" ca="1" si="210"/>
        <v>3755569.4336729981</v>
      </c>
      <c r="AH51" s="516">
        <f t="shared" ca="1" si="210"/>
        <v>3949521.5120829977</v>
      </c>
      <c r="AI51" s="516">
        <f t="shared" ca="1" si="210"/>
        <v>4143473.5904929973</v>
      </c>
      <c r="AJ51" s="516">
        <f t="shared" ca="1" si="210"/>
        <v>4337425.6689029969</v>
      </c>
      <c r="AK51" s="516">
        <f t="shared" ca="1" si="210"/>
        <v>4531377.7473129965</v>
      </c>
      <c r="AL51" s="516">
        <f t="shared" ca="1" si="210"/>
        <v>4725329.8257229961</v>
      </c>
      <c r="AM51" s="516">
        <f t="shared" ca="1" si="210"/>
        <v>4919281.9041329958</v>
      </c>
      <c r="AN51" s="516">
        <f t="shared" ca="1" si="210"/>
        <v>5113233.9825429954</v>
      </c>
      <c r="AO51" s="448">
        <f ca="1">Table4253136151[[#This Row],[Year 3
Month 12]]-'Projected FS'!E123</f>
        <v>100197.19099999219</v>
      </c>
      <c r="AP51" s="516">
        <f t="shared" ref="AP51:BA51" ca="1" si="211">AP40-AP50</f>
        <v>5206483.626752995</v>
      </c>
      <c r="AQ51" s="516">
        <f t="shared" ca="1" si="211"/>
        <v>5369200.8959629945</v>
      </c>
      <c r="AR51" s="516">
        <f t="shared" ca="1" si="211"/>
        <v>5601385.7901729941</v>
      </c>
      <c r="AS51" s="516">
        <f t="shared" ca="1" si="211"/>
        <v>5833570.6843829937</v>
      </c>
      <c r="AT51" s="516">
        <f t="shared" ca="1" si="211"/>
        <v>6065755.5785929933</v>
      </c>
      <c r="AU51" s="516">
        <f t="shared" ca="1" si="211"/>
        <v>6297940.4728029929</v>
      </c>
      <c r="AV51" s="516">
        <f t="shared" ca="1" si="211"/>
        <v>6530125.3670129925</v>
      </c>
      <c r="AW51" s="516">
        <f t="shared" ca="1" si="211"/>
        <v>6762310.2612229921</v>
      </c>
      <c r="AX51" s="516">
        <f t="shared" ca="1" si="211"/>
        <v>6994495.1554329917</v>
      </c>
      <c r="AY51" s="516">
        <f t="shared" ca="1" si="211"/>
        <v>7226680.0496429913</v>
      </c>
      <c r="AZ51" s="516">
        <f t="shared" ca="1" si="211"/>
        <v>7458864.9438529909</v>
      </c>
      <c r="BA51" s="516">
        <f t="shared" ca="1" si="211"/>
        <v>7691049.8380629914</v>
      </c>
      <c r="BB51" s="448">
        <f ca="1">Table4253136153[[#This Row],[Year 4
Month 12]]-'Projected FS'!F123</f>
        <v>159670.54309998732</v>
      </c>
      <c r="BC51" s="516">
        <f t="shared" ref="BC51:BN51" ca="1" si="212">BC40-BC50</f>
        <v>7813046.3226631917</v>
      </c>
      <c r="BD51" s="516">
        <f t="shared" ca="1" si="212"/>
        <v>8011156.1683883928</v>
      </c>
      <c r="BE51" s="516">
        <f t="shared" ca="1" si="212"/>
        <v>8285379.3752385937</v>
      </c>
      <c r="BF51" s="516">
        <f t="shared" ca="1" si="212"/>
        <v>8559602.5820887946</v>
      </c>
      <c r="BG51" s="516">
        <f t="shared" ca="1" si="212"/>
        <v>8833825.7889389955</v>
      </c>
      <c r="BH51" s="516">
        <f t="shared" ca="1" si="212"/>
        <v>9108048.9957891963</v>
      </c>
      <c r="BI51" s="516">
        <f t="shared" ca="1" si="212"/>
        <v>9382272.2026393972</v>
      </c>
      <c r="BJ51" s="516">
        <f t="shared" ca="1" si="212"/>
        <v>9656495.4094895981</v>
      </c>
      <c r="BK51" s="516">
        <f t="shared" ca="1" si="212"/>
        <v>9930718.616339799</v>
      </c>
      <c r="BL51" s="516">
        <f t="shared" ca="1" si="212"/>
        <v>10204941.82319</v>
      </c>
      <c r="BM51" s="516">
        <f t="shared" ca="1" si="212"/>
        <v>10479165.030040201</v>
      </c>
      <c r="BN51" s="516">
        <f t="shared" ca="1" si="212"/>
        <v>10753388.236890402</v>
      </c>
      <c r="BO51" s="448">
        <f ca="1">Table4253136153147[[#This Row],[Year 5
Month 12]]-'Projected FS'!G123</f>
        <v>225166.47603499703</v>
      </c>
      <c r="BP51" s="516">
        <f t="shared" ref="BP51:CA51" ca="1" si="213">BP40-BP50</f>
        <v>10907142.422722653</v>
      </c>
      <c r="BQ51" s="516">
        <f t="shared" ca="1" si="213"/>
        <v>11144211.446804903</v>
      </c>
      <c r="BR51" s="516">
        <f t="shared" ca="1" si="213"/>
        <v>11464595.309137154</v>
      </c>
      <c r="BS51" s="516">
        <f t="shared" ca="1" si="213"/>
        <v>11784979.171469405</v>
      </c>
      <c r="BT51" s="516">
        <f t="shared" ca="1" si="213"/>
        <v>12105363.033801656</v>
      </c>
      <c r="BU51" s="516">
        <f t="shared" ca="1" si="213"/>
        <v>12425746.896133907</v>
      </c>
      <c r="BV51" s="516">
        <f t="shared" ca="1" si="213"/>
        <v>12746130.758466158</v>
      </c>
      <c r="BW51" s="516">
        <f t="shared" ca="1" si="213"/>
        <v>13066514.620798409</v>
      </c>
      <c r="BX51" s="516">
        <f t="shared" ca="1" si="213"/>
        <v>13386898.48313066</v>
      </c>
      <c r="BY51" s="516">
        <f t="shared" ca="1" si="213"/>
        <v>13707282.345462911</v>
      </c>
      <c r="BZ51" s="516">
        <f t="shared" ca="1" si="213"/>
        <v>14027666.207795162</v>
      </c>
      <c r="CA51" s="516">
        <f t="shared" ca="1" si="213"/>
        <v>14348050.070127413</v>
      </c>
      <c r="CB51" s="448">
        <f ca="1">Table4253136153147162[[#This Row],[Year 6
Month 12]]-'Projected FS'!H123</f>
        <v>297291.01016976126</v>
      </c>
      <c r="CC51" s="516">
        <f t="shared" ref="CC51:CN51" ca="1" si="214">CC40-CC50</f>
        <v>14602369.658975426</v>
      </c>
      <c r="CD51" s="516">
        <f t="shared" ca="1" si="214"/>
        <v>14898531.913948439</v>
      </c>
      <c r="CE51" s="516">
        <f t="shared" ca="1" si="214"/>
        <v>15236536.835046452</v>
      </c>
      <c r="CF51" s="516">
        <f t="shared" ca="1" si="214"/>
        <v>15574541.756144464</v>
      </c>
      <c r="CG51" s="516">
        <f t="shared" ca="1" si="214"/>
        <v>15912546.677242476</v>
      </c>
      <c r="CH51" s="516">
        <f t="shared" ca="1" si="214"/>
        <v>16250551.598340489</v>
      </c>
      <c r="CI51" s="516">
        <f t="shared" ca="1" si="214"/>
        <v>16588556.519438501</v>
      </c>
      <c r="CJ51" s="516">
        <f t="shared" ca="1" si="214"/>
        <v>16926561.440536514</v>
      </c>
      <c r="CK51" s="516">
        <f t="shared" ca="1" si="214"/>
        <v>17264566.361634526</v>
      </c>
      <c r="CL51" s="516">
        <f t="shared" ca="1" si="214"/>
        <v>17602571.282732539</v>
      </c>
      <c r="CM51" s="516">
        <f t="shared" ca="1" si="214"/>
        <v>17940576.203830551</v>
      </c>
      <c r="CN51" s="516">
        <f t="shared" ca="1" si="214"/>
        <v>18278581.124928564</v>
      </c>
      <c r="CO51" s="448">
        <f ca="1">Table4253136153147165[[#This Row],[Year 7
Month 12]]-'Projected FS'!I123</f>
        <v>376710.95601955429</v>
      </c>
    </row>
    <row r="52" spans="1:93" ht="24.95" customHeight="1" outlineLevel="1" thickBot="1">
      <c r="A52" s="230" t="s">
        <v>343</v>
      </c>
      <c r="O52" s="549"/>
      <c r="AB52" s="549"/>
      <c r="AO52" s="549"/>
      <c r="BB52" s="549"/>
      <c r="BO52" s="549"/>
      <c r="CB52" s="549"/>
      <c r="CO52" s="549"/>
    </row>
    <row r="53" spans="1:93" s="104" customFormat="1" ht="24.95" customHeight="1" outlineLevel="1" thickTop="1" thickBot="1">
      <c r="A53" s="188" t="str">
        <f>'Summary. Assumptions. Inputs'!$G$30</f>
        <v>Equity financing</v>
      </c>
      <c r="B53" s="526">
        <f>IF(B$51&lt;0,B$51*-1,0)-'Capital Expenditures'!H85-'Capital Expenditures'!H86-'OPEREX, PAYROL'!R116</f>
        <v>8988350.1559999995</v>
      </c>
      <c r="C53" s="526">
        <f>IF(C$51&lt;0,C$51*-1,0)</f>
        <v>570726.20600000001</v>
      </c>
      <c r="D53" s="526">
        <f t="shared" ref="D53:N53" si="215">IF(D$51&lt;0,D$51*-1,0)</f>
        <v>223388.08100000001</v>
      </c>
      <c r="E53" s="526">
        <f t="shared" si="215"/>
        <v>0</v>
      </c>
      <c r="F53" s="526">
        <f t="shared" si="215"/>
        <v>0</v>
      </c>
      <c r="G53" s="526">
        <f t="shared" si="215"/>
        <v>0</v>
      </c>
      <c r="H53" s="526">
        <f t="shared" si="215"/>
        <v>0</v>
      </c>
      <c r="I53" s="526">
        <f t="shared" si="215"/>
        <v>0</v>
      </c>
      <c r="J53" s="526">
        <f t="shared" si="215"/>
        <v>0</v>
      </c>
      <c r="K53" s="526">
        <f t="shared" si="215"/>
        <v>0</v>
      </c>
      <c r="L53" s="526">
        <f t="shared" si="215"/>
        <v>0</v>
      </c>
      <c r="M53" s="526">
        <f t="shared" si="215"/>
        <v>0</v>
      </c>
      <c r="N53" s="526">
        <f t="shared" si="215"/>
        <v>0</v>
      </c>
      <c r="O53" s="550">
        <f>SUM('Cashflow Projection &amp; Investme'!$B53:$N53)</f>
        <v>9782464.443</v>
      </c>
      <c r="P53" s="526">
        <f ca="1">IF(P$51&lt;0,P$51*-1,0)</f>
        <v>0</v>
      </c>
      <c r="Q53" s="526">
        <f t="shared" ref="Q53:AA53" ca="1" si="216">IF(Q$51&lt;0,Q$51*-1,0)</f>
        <v>0</v>
      </c>
      <c r="R53" s="526">
        <f t="shared" ca="1" si="216"/>
        <v>0</v>
      </c>
      <c r="S53" s="526">
        <f t="shared" ca="1" si="216"/>
        <v>0</v>
      </c>
      <c r="T53" s="526">
        <f t="shared" ca="1" si="216"/>
        <v>0</v>
      </c>
      <c r="U53" s="526">
        <f t="shared" ca="1" si="216"/>
        <v>0</v>
      </c>
      <c r="V53" s="526">
        <f t="shared" ca="1" si="216"/>
        <v>0</v>
      </c>
      <c r="W53" s="526">
        <f t="shared" ca="1" si="216"/>
        <v>0</v>
      </c>
      <c r="X53" s="526">
        <f t="shared" ca="1" si="216"/>
        <v>0</v>
      </c>
      <c r="Y53" s="526">
        <f t="shared" ca="1" si="216"/>
        <v>0</v>
      </c>
      <c r="Z53" s="526">
        <f t="shared" ca="1" si="216"/>
        <v>0</v>
      </c>
      <c r="AA53" s="526">
        <f t="shared" ca="1" si="216"/>
        <v>0</v>
      </c>
      <c r="AB53" s="546">
        <f t="shared" ref="AB53" si="217">SUM(AB52:AB52)</f>
        <v>0</v>
      </c>
      <c r="AC53" s="526">
        <f ca="1">IF(AC$51&lt;0,AC$51*-1,0)</f>
        <v>0</v>
      </c>
      <c r="AD53" s="526">
        <f t="shared" ref="AD53:AN53" ca="1" si="218">IF(AD$51&lt;0,AD$51*-1,0)</f>
        <v>0</v>
      </c>
      <c r="AE53" s="526">
        <f t="shared" ca="1" si="218"/>
        <v>0</v>
      </c>
      <c r="AF53" s="526">
        <f t="shared" ca="1" si="218"/>
        <v>0</v>
      </c>
      <c r="AG53" s="526">
        <f t="shared" ca="1" si="218"/>
        <v>0</v>
      </c>
      <c r="AH53" s="526">
        <f t="shared" ca="1" si="218"/>
        <v>0</v>
      </c>
      <c r="AI53" s="526">
        <f t="shared" ca="1" si="218"/>
        <v>0</v>
      </c>
      <c r="AJ53" s="526">
        <f t="shared" ca="1" si="218"/>
        <v>0</v>
      </c>
      <c r="AK53" s="526">
        <f t="shared" ca="1" si="218"/>
        <v>0</v>
      </c>
      <c r="AL53" s="526">
        <f t="shared" ca="1" si="218"/>
        <v>0</v>
      </c>
      <c r="AM53" s="526">
        <f t="shared" ca="1" si="218"/>
        <v>0</v>
      </c>
      <c r="AN53" s="526">
        <f t="shared" ca="1" si="218"/>
        <v>0</v>
      </c>
      <c r="AO53" s="545">
        <f ca="1">SUM(Table4253136151[[#This Row],[Year 3
Month 1]:[Year 3
Month 12]])</f>
        <v>0</v>
      </c>
      <c r="AP53" s="526">
        <f ca="1">IF(AP$51&lt;0,AP$51*-1,0)</f>
        <v>0</v>
      </c>
      <c r="AQ53" s="526">
        <f t="shared" ref="AQ53:BA53" ca="1" si="219">IF(AQ$51&lt;0,AQ$51*-1,0)</f>
        <v>0</v>
      </c>
      <c r="AR53" s="526">
        <f t="shared" ca="1" si="219"/>
        <v>0</v>
      </c>
      <c r="AS53" s="526">
        <f t="shared" ca="1" si="219"/>
        <v>0</v>
      </c>
      <c r="AT53" s="526">
        <f t="shared" ca="1" si="219"/>
        <v>0</v>
      </c>
      <c r="AU53" s="526">
        <f t="shared" ca="1" si="219"/>
        <v>0</v>
      </c>
      <c r="AV53" s="526">
        <f t="shared" ca="1" si="219"/>
        <v>0</v>
      </c>
      <c r="AW53" s="526">
        <f t="shared" ca="1" si="219"/>
        <v>0</v>
      </c>
      <c r="AX53" s="526">
        <f t="shared" ca="1" si="219"/>
        <v>0</v>
      </c>
      <c r="AY53" s="526">
        <f t="shared" ca="1" si="219"/>
        <v>0</v>
      </c>
      <c r="AZ53" s="526">
        <f t="shared" ca="1" si="219"/>
        <v>0</v>
      </c>
      <c r="BA53" s="526">
        <f t="shared" ca="1" si="219"/>
        <v>0</v>
      </c>
      <c r="BB53" s="545">
        <f ca="1">SUM(Table4253136151[[#This Row],[Year 3
Month 1]:[Year 3
Month 12]])</f>
        <v>0</v>
      </c>
      <c r="BC53" s="526">
        <f ca="1">IF(BC$51&lt;0,BC$51*-1,0)</f>
        <v>0</v>
      </c>
      <c r="BD53" s="526">
        <f t="shared" ref="BD53:BN53" ca="1" si="220">IF(BD$51&lt;0,BD$51*-1,0)</f>
        <v>0</v>
      </c>
      <c r="BE53" s="526">
        <f t="shared" ca="1" si="220"/>
        <v>0</v>
      </c>
      <c r="BF53" s="526">
        <f t="shared" ca="1" si="220"/>
        <v>0</v>
      </c>
      <c r="BG53" s="526">
        <f t="shared" ca="1" si="220"/>
        <v>0</v>
      </c>
      <c r="BH53" s="526">
        <f t="shared" ca="1" si="220"/>
        <v>0</v>
      </c>
      <c r="BI53" s="526">
        <f t="shared" ca="1" si="220"/>
        <v>0</v>
      </c>
      <c r="BJ53" s="526">
        <f t="shared" ca="1" si="220"/>
        <v>0</v>
      </c>
      <c r="BK53" s="526">
        <f t="shared" ca="1" si="220"/>
        <v>0</v>
      </c>
      <c r="BL53" s="526">
        <f t="shared" ca="1" si="220"/>
        <v>0</v>
      </c>
      <c r="BM53" s="526">
        <f t="shared" ca="1" si="220"/>
        <v>0</v>
      </c>
      <c r="BN53" s="526">
        <f t="shared" ca="1" si="220"/>
        <v>0</v>
      </c>
      <c r="BO53" s="545"/>
      <c r="BP53" s="526">
        <f ca="1">IF(BP$51&lt;0,BP$51*-1,0)</f>
        <v>0</v>
      </c>
      <c r="BQ53" s="526">
        <f t="shared" ref="BQ53:CA53" ca="1" si="221">IF(BQ$51&lt;0,BQ$51*-1,0)</f>
        <v>0</v>
      </c>
      <c r="BR53" s="526">
        <f t="shared" ca="1" si="221"/>
        <v>0</v>
      </c>
      <c r="BS53" s="526">
        <f t="shared" ca="1" si="221"/>
        <v>0</v>
      </c>
      <c r="BT53" s="526">
        <f t="shared" ca="1" si="221"/>
        <v>0</v>
      </c>
      <c r="BU53" s="526">
        <f t="shared" ca="1" si="221"/>
        <v>0</v>
      </c>
      <c r="BV53" s="526">
        <f t="shared" ca="1" si="221"/>
        <v>0</v>
      </c>
      <c r="BW53" s="526">
        <f t="shared" ca="1" si="221"/>
        <v>0</v>
      </c>
      <c r="BX53" s="526">
        <f t="shared" ca="1" si="221"/>
        <v>0</v>
      </c>
      <c r="BY53" s="526">
        <f t="shared" ca="1" si="221"/>
        <v>0</v>
      </c>
      <c r="BZ53" s="526">
        <f t="shared" ca="1" si="221"/>
        <v>0</v>
      </c>
      <c r="CA53" s="526">
        <f t="shared" ca="1" si="221"/>
        <v>0</v>
      </c>
      <c r="CB53" s="545">
        <f ca="1">SUM(Table4253136151[[#This Row],[Year 3
Month 1]:[Year 3
Month 12]])</f>
        <v>0</v>
      </c>
      <c r="CC53" s="526">
        <f ca="1">IF(CC$51&lt;0,CC$51*-1,0)</f>
        <v>0</v>
      </c>
      <c r="CD53" s="526">
        <f t="shared" ref="CD53:CN53" ca="1" si="222">IF(CD$51&lt;0,CD$51*-1,0)</f>
        <v>0</v>
      </c>
      <c r="CE53" s="526">
        <f t="shared" ca="1" si="222"/>
        <v>0</v>
      </c>
      <c r="CF53" s="526">
        <f t="shared" ca="1" si="222"/>
        <v>0</v>
      </c>
      <c r="CG53" s="526">
        <f t="shared" ca="1" si="222"/>
        <v>0</v>
      </c>
      <c r="CH53" s="526">
        <f t="shared" ca="1" si="222"/>
        <v>0</v>
      </c>
      <c r="CI53" s="526">
        <f t="shared" ca="1" si="222"/>
        <v>0</v>
      </c>
      <c r="CJ53" s="526">
        <f t="shared" ca="1" si="222"/>
        <v>0</v>
      </c>
      <c r="CK53" s="526">
        <f t="shared" ca="1" si="222"/>
        <v>0</v>
      </c>
      <c r="CL53" s="526">
        <f t="shared" ca="1" si="222"/>
        <v>0</v>
      </c>
      <c r="CM53" s="526">
        <f t="shared" ca="1" si="222"/>
        <v>0</v>
      </c>
      <c r="CN53" s="526">
        <f t="shared" ca="1" si="222"/>
        <v>0</v>
      </c>
      <c r="CO53" s="545">
        <f ca="1">SUM(Table4253136151[[#This Row],[Year 3
Month 1]:[Year 3
Month 12]])</f>
        <v>0</v>
      </c>
    </row>
    <row r="54" spans="1:93" s="107" customFormat="1" ht="24.95" customHeight="1" outlineLevel="1" thickBot="1">
      <c r="A54" s="123" t="s">
        <v>344</v>
      </c>
      <c r="B54" s="525">
        <f t="shared" ref="B54:N54" si="223">B51+SUM(B53)</f>
        <v>0</v>
      </c>
      <c r="C54" s="525">
        <f t="shared" si="223"/>
        <v>0</v>
      </c>
      <c r="D54" s="525">
        <f t="shared" si="223"/>
        <v>0</v>
      </c>
      <c r="E54" s="525">
        <f t="shared" si="223"/>
        <v>123950.04399999999</v>
      </c>
      <c r="F54" s="525">
        <f t="shared" si="223"/>
        <v>249200.08799999999</v>
      </c>
      <c r="G54" s="525">
        <f t="shared" si="223"/>
        <v>373150.13199999998</v>
      </c>
      <c r="H54" s="525">
        <f t="shared" si="223"/>
        <v>497100.17599999998</v>
      </c>
      <c r="I54" s="525">
        <f t="shared" si="223"/>
        <v>621050.22</v>
      </c>
      <c r="J54" s="525">
        <f t="shared" si="223"/>
        <v>745000.26399999997</v>
      </c>
      <c r="K54" s="525">
        <f t="shared" si="223"/>
        <v>868950.30799999996</v>
      </c>
      <c r="L54" s="525">
        <f t="shared" si="223"/>
        <v>992900.35199999996</v>
      </c>
      <c r="M54" s="525">
        <f t="shared" si="223"/>
        <v>1116850.3959999999</v>
      </c>
      <c r="N54" s="525">
        <f t="shared" si="223"/>
        <v>1240800.44</v>
      </c>
      <c r="O54" s="544"/>
      <c r="P54" s="525">
        <f t="shared" ref="P54:AA54" ca="1" si="224">P51+SUM(P53)</f>
        <v>1280518.873104</v>
      </c>
      <c r="Q54" s="525">
        <f t="shared" ca="1" si="224"/>
        <v>1382095.039958</v>
      </c>
      <c r="R54" s="525">
        <f t="shared" ca="1" si="224"/>
        <v>1541329.3355620001</v>
      </c>
      <c r="S54" s="525">
        <f t="shared" ca="1" si="224"/>
        <v>1701928.6311659999</v>
      </c>
      <c r="T54" s="525">
        <f t="shared" ca="1" si="224"/>
        <v>1861162.9267699998</v>
      </c>
      <c r="U54" s="525">
        <f t="shared" ca="1" si="224"/>
        <v>2020397.2223739997</v>
      </c>
      <c r="V54" s="525">
        <f t="shared" ca="1" si="224"/>
        <v>2179631.5179779995</v>
      </c>
      <c r="W54" s="525">
        <f t="shared" ca="1" si="224"/>
        <v>2338865.8135819994</v>
      </c>
      <c r="X54" s="525">
        <f t="shared" ca="1" si="224"/>
        <v>2498100.1091859993</v>
      </c>
      <c r="Y54" s="525">
        <f t="shared" ca="1" si="224"/>
        <v>2657334.4047899991</v>
      </c>
      <c r="Z54" s="525">
        <f t="shared" ca="1" si="224"/>
        <v>2816568.700393999</v>
      </c>
      <c r="AA54" s="525">
        <f t="shared" ca="1" si="224"/>
        <v>2975802.9959979989</v>
      </c>
      <c r="AB54" s="544"/>
      <c r="AC54" s="525">
        <f t="shared" ref="AC54:AN54" ca="1" si="225">AC51+SUM(AC53)</f>
        <v>3043092.438157999</v>
      </c>
      <c r="AD54" s="525">
        <f t="shared" ca="1" si="225"/>
        <v>3173713.1984429993</v>
      </c>
      <c r="AE54" s="525">
        <f t="shared" ca="1" si="225"/>
        <v>3367665.2768529989</v>
      </c>
      <c r="AF54" s="525">
        <f t="shared" ca="1" si="225"/>
        <v>3561617.3552629985</v>
      </c>
      <c r="AG54" s="525">
        <f t="shared" ca="1" si="225"/>
        <v>3755569.4336729981</v>
      </c>
      <c r="AH54" s="525">
        <f t="shared" ca="1" si="225"/>
        <v>3949521.5120829977</v>
      </c>
      <c r="AI54" s="525">
        <f t="shared" ca="1" si="225"/>
        <v>4143473.5904929973</v>
      </c>
      <c r="AJ54" s="525">
        <f t="shared" ca="1" si="225"/>
        <v>4337425.6689029969</v>
      </c>
      <c r="AK54" s="525">
        <f t="shared" ca="1" si="225"/>
        <v>4531377.7473129965</v>
      </c>
      <c r="AL54" s="525">
        <f t="shared" ca="1" si="225"/>
        <v>4725329.8257229961</v>
      </c>
      <c r="AM54" s="525">
        <f t="shared" ca="1" si="225"/>
        <v>4919281.9041329958</v>
      </c>
      <c r="AN54" s="525">
        <f t="shared" ca="1" si="225"/>
        <v>5113233.9825429954</v>
      </c>
      <c r="AO54" s="544"/>
      <c r="AP54" s="525">
        <f t="shared" ref="AP54:BA54" ca="1" si="226">AP51+SUM(AP53)</f>
        <v>5206483.626752995</v>
      </c>
      <c r="AQ54" s="525">
        <f t="shared" ca="1" si="226"/>
        <v>5369200.8959629945</v>
      </c>
      <c r="AR54" s="525">
        <f t="shared" ca="1" si="226"/>
        <v>5601385.7901729941</v>
      </c>
      <c r="AS54" s="525">
        <f t="shared" ca="1" si="226"/>
        <v>5833570.6843829937</v>
      </c>
      <c r="AT54" s="525">
        <f t="shared" ca="1" si="226"/>
        <v>6065755.5785929933</v>
      </c>
      <c r="AU54" s="525">
        <f t="shared" ca="1" si="226"/>
        <v>6297940.4728029929</v>
      </c>
      <c r="AV54" s="525">
        <f t="shared" ca="1" si="226"/>
        <v>6530125.3670129925</v>
      </c>
      <c r="AW54" s="525">
        <f t="shared" ca="1" si="226"/>
        <v>6762310.2612229921</v>
      </c>
      <c r="AX54" s="525">
        <f t="shared" ca="1" si="226"/>
        <v>6994495.1554329917</v>
      </c>
      <c r="AY54" s="525">
        <f t="shared" ca="1" si="226"/>
        <v>7226680.0496429913</v>
      </c>
      <c r="AZ54" s="525">
        <f t="shared" ca="1" si="226"/>
        <v>7458864.9438529909</v>
      </c>
      <c r="BA54" s="525">
        <f t="shared" ca="1" si="226"/>
        <v>7691049.8380629914</v>
      </c>
      <c r="BB54" s="544"/>
      <c r="BC54" s="525">
        <f t="shared" ref="BC54:BN54" ca="1" si="227">BC51+SUM(BC53)</f>
        <v>7813046.3226631917</v>
      </c>
      <c r="BD54" s="525">
        <f t="shared" ca="1" si="227"/>
        <v>8011156.1683883928</v>
      </c>
      <c r="BE54" s="525">
        <f t="shared" ca="1" si="227"/>
        <v>8285379.3752385937</v>
      </c>
      <c r="BF54" s="525">
        <f t="shared" ca="1" si="227"/>
        <v>8559602.5820887946</v>
      </c>
      <c r="BG54" s="525">
        <f t="shared" ca="1" si="227"/>
        <v>8833825.7889389955</v>
      </c>
      <c r="BH54" s="525">
        <f t="shared" ca="1" si="227"/>
        <v>9108048.9957891963</v>
      </c>
      <c r="BI54" s="525">
        <f t="shared" ca="1" si="227"/>
        <v>9382272.2026393972</v>
      </c>
      <c r="BJ54" s="525">
        <f t="shared" ca="1" si="227"/>
        <v>9656495.4094895981</v>
      </c>
      <c r="BK54" s="525">
        <f t="shared" ca="1" si="227"/>
        <v>9930718.616339799</v>
      </c>
      <c r="BL54" s="525">
        <f t="shared" ca="1" si="227"/>
        <v>10204941.82319</v>
      </c>
      <c r="BM54" s="525">
        <f t="shared" ca="1" si="227"/>
        <v>10479165.030040201</v>
      </c>
      <c r="BN54" s="525">
        <f t="shared" ca="1" si="227"/>
        <v>10753388.236890402</v>
      </c>
      <c r="BO54" s="544"/>
      <c r="BP54" s="525">
        <f t="shared" ref="BP54:CA54" ca="1" si="228">BP51+SUM(BP53)</f>
        <v>10907142.422722653</v>
      </c>
      <c r="BQ54" s="525">
        <f t="shared" ca="1" si="228"/>
        <v>11144211.446804903</v>
      </c>
      <c r="BR54" s="525">
        <f t="shared" ca="1" si="228"/>
        <v>11464595.309137154</v>
      </c>
      <c r="BS54" s="525">
        <f t="shared" ca="1" si="228"/>
        <v>11784979.171469405</v>
      </c>
      <c r="BT54" s="525">
        <f t="shared" ca="1" si="228"/>
        <v>12105363.033801656</v>
      </c>
      <c r="BU54" s="525">
        <f t="shared" ca="1" si="228"/>
        <v>12425746.896133907</v>
      </c>
      <c r="BV54" s="525">
        <f t="shared" ca="1" si="228"/>
        <v>12746130.758466158</v>
      </c>
      <c r="BW54" s="525">
        <f t="shared" ca="1" si="228"/>
        <v>13066514.620798409</v>
      </c>
      <c r="BX54" s="525">
        <f t="shared" ca="1" si="228"/>
        <v>13386898.48313066</v>
      </c>
      <c r="BY54" s="525">
        <f t="shared" ca="1" si="228"/>
        <v>13707282.345462911</v>
      </c>
      <c r="BZ54" s="525">
        <f t="shared" ca="1" si="228"/>
        <v>14027666.207795162</v>
      </c>
      <c r="CA54" s="525">
        <f t="shared" ca="1" si="228"/>
        <v>14348050.070127413</v>
      </c>
      <c r="CB54" s="544"/>
      <c r="CC54" s="525">
        <f t="shared" ref="CC54:CN54" ca="1" si="229">CC51+SUM(CC53)</f>
        <v>14602369.658975426</v>
      </c>
      <c r="CD54" s="525">
        <f t="shared" ca="1" si="229"/>
        <v>14898531.913948439</v>
      </c>
      <c r="CE54" s="525">
        <f t="shared" ca="1" si="229"/>
        <v>15236536.835046452</v>
      </c>
      <c r="CF54" s="525">
        <f t="shared" ca="1" si="229"/>
        <v>15574541.756144464</v>
      </c>
      <c r="CG54" s="525">
        <f t="shared" ca="1" si="229"/>
        <v>15912546.677242476</v>
      </c>
      <c r="CH54" s="525">
        <f t="shared" ca="1" si="229"/>
        <v>16250551.598340489</v>
      </c>
      <c r="CI54" s="525">
        <f t="shared" ca="1" si="229"/>
        <v>16588556.519438501</v>
      </c>
      <c r="CJ54" s="525">
        <f t="shared" ca="1" si="229"/>
        <v>16926561.440536514</v>
      </c>
      <c r="CK54" s="525">
        <f t="shared" ca="1" si="229"/>
        <v>17264566.361634526</v>
      </c>
      <c r="CL54" s="525">
        <f t="shared" ca="1" si="229"/>
        <v>17602571.282732539</v>
      </c>
      <c r="CM54" s="525">
        <f t="shared" ca="1" si="229"/>
        <v>17940576.203830551</v>
      </c>
      <c r="CN54" s="525">
        <f t="shared" ca="1" si="229"/>
        <v>18278581.124928564</v>
      </c>
      <c r="CO54" s="544"/>
    </row>
    <row r="55" spans="1:93" s="104" customFormat="1" ht="24.95" customHeight="1" outlineLevel="1" thickBot="1">
      <c r="A55" s="188" t="str">
        <f>'Summary. Assumptions. Inputs'!$G$31</f>
        <v>Debt financing</v>
      </c>
      <c r="B55" s="529">
        <f>'Capital Expenditures'!H85</f>
        <v>0</v>
      </c>
      <c r="C55" s="529"/>
      <c r="D55" s="529"/>
      <c r="E55" s="529"/>
      <c r="F55" s="529"/>
      <c r="G55" s="529"/>
      <c r="H55" s="529"/>
      <c r="I55" s="529"/>
      <c r="J55" s="529"/>
      <c r="K55" s="529"/>
      <c r="L55" s="529"/>
      <c r="M55" s="529"/>
      <c r="N55" s="529"/>
      <c r="O55" s="550">
        <f>SUM('Cashflow Projection &amp; Investme'!$B55:$N55)</f>
        <v>0</v>
      </c>
      <c r="P55" s="529"/>
      <c r="Q55" s="529"/>
      <c r="R55" s="529"/>
      <c r="S55" s="529"/>
      <c r="T55" s="529"/>
      <c r="U55" s="529"/>
      <c r="V55" s="529"/>
      <c r="W55" s="529"/>
      <c r="X55" s="529"/>
      <c r="Y55" s="529"/>
      <c r="Z55" s="529"/>
      <c r="AA55" s="529"/>
      <c r="AB55" s="546">
        <f t="shared" ref="AB55:AB60" si="230">SUM(AB54:AB54)</f>
        <v>0</v>
      </c>
      <c r="AC55" s="529"/>
      <c r="AD55" s="529"/>
      <c r="AE55" s="529"/>
      <c r="AF55" s="529"/>
      <c r="AG55" s="529"/>
      <c r="AH55" s="529"/>
      <c r="AI55" s="529"/>
      <c r="AJ55" s="529"/>
      <c r="AK55" s="529"/>
      <c r="AL55" s="529"/>
      <c r="AM55" s="529"/>
      <c r="AN55" s="529"/>
      <c r="AO55" s="550">
        <f>SUM('Cashflow Projection &amp; Investme'!$B55:$N55)</f>
        <v>0</v>
      </c>
      <c r="AP55" s="529"/>
      <c r="AQ55" s="529"/>
      <c r="AR55" s="529"/>
      <c r="AS55" s="529"/>
      <c r="AT55" s="529"/>
      <c r="AU55" s="529"/>
      <c r="AV55" s="529"/>
      <c r="AW55" s="529"/>
      <c r="AX55" s="529"/>
      <c r="AY55" s="529"/>
      <c r="AZ55" s="529"/>
      <c r="BA55" s="529"/>
      <c r="BB55" s="550">
        <f>SUM('Cashflow Projection &amp; Investme'!$B55:$N55)</f>
        <v>0</v>
      </c>
      <c r="BC55" s="529"/>
      <c r="BD55" s="529"/>
      <c r="BE55" s="529"/>
      <c r="BF55" s="529"/>
      <c r="BG55" s="529"/>
      <c r="BH55" s="529"/>
      <c r="BI55" s="529"/>
      <c r="BJ55" s="529"/>
      <c r="BK55" s="529"/>
      <c r="BL55" s="529"/>
      <c r="BM55" s="529"/>
      <c r="BN55" s="529"/>
      <c r="BO55" s="544">
        <f>SUM(BC55:BN55)</f>
        <v>0</v>
      </c>
      <c r="BP55" s="529"/>
      <c r="BQ55" s="529"/>
      <c r="BR55" s="529"/>
      <c r="BS55" s="529"/>
      <c r="BT55" s="529"/>
      <c r="BU55" s="529"/>
      <c r="BV55" s="529"/>
      <c r="BW55" s="529"/>
      <c r="BX55" s="529"/>
      <c r="BY55" s="529"/>
      <c r="BZ55" s="529"/>
      <c r="CA55" s="529"/>
      <c r="CB55" s="545">
        <f>SUM(BP55:CA55)</f>
        <v>0</v>
      </c>
      <c r="CC55" s="529"/>
      <c r="CD55" s="529"/>
      <c r="CE55" s="529"/>
      <c r="CF55" s="529"/>
      <c r="CG55" s="529"/>
      <c r="CH55" s="529"/>
      <c r="CI55" s="529"/>
      <c r="CJ55" s="529"/>
      <c r="CK55" s="529"/>
      <c r="CL55" s="529"/>
      <c r="CM55" s="529"/>
      <c r="CN55" s="529"/>
      <c r="CO55" s="550">
        <f>SUM('Cashflow Projection &amp; Investme'!$B55:$N55)</f>
        <v>0</v>
      </c>
    </row>
    <row r="56" spans="1:93" s="107" customFormat="1" ht="24.95" customHeight="1" outlineLevel="1" thickBot="1">
      <c r="A56" s="123" t="s">
        <v>345</v>
      </c>
      <c r="B56" s="525">
        <f t="shared" ref="B56:N56" si="231">B54+SUM(B55)</f>
        <v>0</v>
      </c>
      <c r="C56" s="525">
        <f t="shared" si="231"/>
        <v>0</v>
      </c>
      <c r="D56" s="525">
        <f t="shared" si="231"/>
        <v>0</v>
      </c>
      <c r="E56" s="525">
        <f t="shared" si="231"/>
        <v>123950.04399999999</v>
      </c>
      <c r="F56" s="525">
        <f t="shared" si="231"/>
        <v>249200.08799999999</v>
      </c>
      <c r="G56" s="525">
        <f t="shared" si="231"/>
        <v>373150.13199999998</v>
      </c>
      <c r="H56" s="525">
        <f t="shared" si="231"/>
        <v>497100.17599999998</v>
      </c>
      <c r="I56" s="525">
        <f t="shared" si="231"/>
        <v>621050.22</v>
      </c>
      <c r="J56" s="525">
        <f t="shared" si="231"/>
        <v>745000.26399999997</v>
      </c>
      <c r="K56" s="525">
        <f t="shared" si="231"/>
        <v>868950.30799999996</v>
      </c>
      <c r="L56" s="525">
        <f t="shared" si="231"/>
        <v>992900.35199999996</v>
      </c>
      <c r="M56" s="525">
        <f t="shared" si="231"/>
        <v>1116850.3959999999</v>
      </c>
      <c r="N56" s="525">
        <f t="shared" si="231"/>
        <v>1240800.44</v>
      </c>
      <c r="O56" s="544"/>
      <c r="P56" s="525">
        <f t="shared" ref="P56:AA56" ca="1" si="232">P54+SUM(P55)</f>
        <v>1280518.873104</v>
      </c>
      <c r="Q56" s="525">
        <f t="shared" ca="1" si="232"/>
        <v>1382095.039958</v>
      </c>
      <c r="R56" s="525">
        <f t="shared" ca="1" si="232"/>
        <v>1541329.3355620001</v>
      </c>
      <c r="S56" s="525">
        <f t="shared" ca="1" si="232"/>
        <v>1701928.6311659999</v>
      </c>
      <c r="T56" s="525">
        <f t="shared" ca="1" si="232"/>
        <v>1861162.9267699998</v>
      </c>
      <c r="U56" s="525">
        <f t="shared" ca="1" si="232"/>
        <v>2020397.2223739997</v>
      </c>
      <c r="V56" s="525">
        <f t="shared" ca="1" si="232"/>
        <v>2179631.5179779995</v>
      </c>
      <c r="W56" s="525">
        <f t="shared" ca="1" si="232"/>
        <v>2338865.8135819994</v>
      </c>
      <c r="X56" s="525">
        <f t="shared" ca="1" si="232"/>
        <v>2498100.1091859993</v>
      </c>
      <c r="Y56" s="525">
        <f t="shared" ca="1" si="232"/>
        <v>2657334.4047899991</v>
      </c>
      <c r="Z56" s="525">
        <f t="shared" ca="1" si="232"/>
        <v>2816568.700393999</v>
      </c>
      <c r="AA56" s="525">
        <f t="shared" ca="1" si="232"/>
        <v>2975802.9959979989</v>
      </c>
      <c r="AB56" s="546">
        <f t="shared" si="230"/>
        <v>0</v>
      </c>
      <c r="AC56" s="525">
        <f t="shared" ref="AC56:AN56" ca="1" si="233">AC54+SUM(AC55)</f>
        <v>3043092.438157999</v>
      </c>
      <c r="AD56" s="525">
        <f t="shared" ca="1" si="233"/>
        <v>3173713.1984429993</v>
      </c>
      <c r="AE56" s="525">
        <f t="shared" ca="1" si="233"/>
        <v>3367665.2768529989</v>
      </c>
      <c r="AF56" s="525">
        <f t="shared" ca="1" si="233"/>
        <v>3561617.3552629985</v>
      </c>
      <c r="AG56" s="525">
        <f t="shared" ca="1" si="233"/>
        <v>3755569.4336729981</v>
      </c>
      <c r="AH56" s="525">
        <f t="shared" ca="1" si="233"/>
        <v>3949521.5120829977</v>
      </c>
      <c r="AI56" s="525">
        <f t="shared" ca="1" si="233"/>
        <v>4143473.5904929973</v>
      </c>
      <c r="AJ56" s="525">
        <f t="shared" ca="1" si="233"/>
        <v>4337425.6689029969</v>
      </c>
      <c r="AK56" s="525">
        <f t="shared" ca="1" si="233"/>
        <v>4531377.7473129965</v>
      </c>
      <c r="AL56" s="525">
        <f t="shared" ca="1" si="233"/>
        <v>4725329.8257229961</v>
      </c>
      <c r="AM56" s="525">
        <f t="shared" ca="1" si="233"/>
        <v>4919281.9041329958</v>
      </c>
      <c r="AN56" s="525">
        <f t="shared" ca="1" si="233"/>
        <v>5113233.9825429954</v>
      </c>
      <c r="AO56" s="544"/>
      <c r="AP56" s="525">
        <f t="shared" ref="AP56:BA56" ca="1" si="234">AP54+SUM(AP55)</f>
        <v>5206483.626752995</v>
      </c>
      <c r="AQ56" s="525">
        <f t="shared" ca="1" si="234"/>
        <v>5369200.8959629945</v>
      </c>
      <c r="AR56" s="525">
        <f t="shared" ca="1" si="234"/>
        <v>5601385.7901729941</v>
      </c>
      <c r="AS56" s="525">
        <f t="shared" ca="1" si="234"/>
        <v>5833570.6843829937</v>
      </c>
      <c r="AT56" s="525">
        <f t="shared" ca="1" si="234"/>
        <v>6065755.5785929933</v>
      </c>
      <c r="AU56" s="525">
        <f t="shared" ca="1" si="234"/>
        <v>6297940.4728029929</v>
      </c>
      <c r="AV56" s="525">
        <f t="shared" ca="1" si="234"/>
        <v>6530125.3670129925</v>
      </c>
      <c r="AW56" s="525">
        <f t="shared" ca="1" si="234"/>
        <v>6762310.2612229921</v>
      </c>
      <c r="AX56" s="525">
        <f t="shared" ca="1" si="234"/>
        <v>6994495.1554329917</v>
      </c>
      <c r="AY56" s="525">
        <f t="shared" ca="1" si="234"/>
        <v>7226680.0496429913</v>
      </c>
      <c r="AZ56" s="525">
        <f t="shared" ca="1" si="234"/>
        <v>7458864.9438529909</v>
      </c>
      <c r="BA56" s="525">
        <f t="shared" ca="1" si="234"/>
        <v>7691049.8380629914</v>
      </c>
      <c r="BB56" s="544"/>
      <c r="BC56" s="525">
        <f t="shared" ref="BC56:BN56" ca="1" si="235">BC54+SUM(BC55)</f>
        <v>7813046.3226631917</v>
      </c>
      <c r="BD56" s="525">
        <f t="shared" ca="1" si="235"/>
        <v>8011156.1683883928</v>
      </c>
      <c r="BE56" s="525">
        <f t="shared" ca="1" si="235"/>
        <v>8285379.3752385937</v>
      </c>
      <c r="BF56" s="525">
        <f t="shared" ca="1" si="235"/>
        <v>8559602.5820887946</v>
      </c>
      <c r="BG56" s="525">
        <f t="shared" ca="1" si="235"/>
        <v>8833825.7889389955</v>
      </c>
      <c r="BH56" s="525">
        <f t="shared" ca="1" si="235"/>
        <v>9108048.9957891963</v>
      </c>
      <c r="BI56" s="525">
        <f t="shared" ca="1" si="235"/>
        <v>9382272.2026393972</v>
      </c>
      <c r="BJ56" s="525">
        <f t="shared" ca="1" si="235"/>
        <v>9656495.4094895981</v>
      </c>
      <c r="BK56" s="525">
        <f t="shared" ca="1" si="235"/>
        <v>9930718.616339799</v>
      </c>
      <c r="BL56" s="525">
        <f t="shared" ca="1" si="235"/>
        <v>10204941.82319</v>
      </c>
      <c r="BM56" s="525">
        <f t="shared" ca="1" si="235"/>
        <v>10479165.030040201</v>
      </c>
      <c r="BN56" s="525">
        <f t="shared" ca="1" si="235"/>
        <v>10753388.236890402</v>
      </c>
      <c r="BO56" s="544"/>
      <c r="BP56" s="525">
        <f t="shared" ref="BP56:CA56" ca="1" si="236">BP54+SUM(BP55)</f>
        <v>10907142.422722653</v>
      </c>
      <c r="BQ56" s="525">
        <f t="shared" ca="1" si="236"/>
        <v>11144211.446804903</v>
      </c>
      <c r="BR56" s="525">
        <f t="shared" ca="1" si="236"/>
        <v>11464595.309137154</v>
      </c>
      <c r="BS56" s="525">
        <f t="shared" ca="1" si="236"/>
        <v>11784979.171469405</v>
      </c>
      <c r="BT56" s="525">
        <f t="shared" ca="1" si="236"/>
        <v>12105363.033801656</v>
      </c>
      <c r="BU56" s="525">
        <f t="shared" ca="1" si="236"/>
        <v>12425746.896133907</v>
      </c>
      <c r="BV56" s="525">
        <f t="shared" ca="1" si="236"/>
        <v>12746130.758466158</v>
      </c>
      <c r="BW56" s="525">
        <f t="shared" ca="1" si="236"/>
        <v>13066514.620798409</v>
      </c>
      <c r="BX56" s="525">
        <f t="shared" ca="1" si="236"/>
        <v>13386898.48313066</v>
      </c>
      <c r="BY56" s="525">
        <f t="shared" ca="1" si="236"/>
        <v>13707282.345462911</v>
      </c>
      <c r="BZ56" s="525">
        <f t="shared" ca="1" si="236"/>
        <v>14027666.207795162</v>
      </c>
      <c r="CA56" s="525">
        <f t="shared" ca="1" si="236"/>
        <v>14348050.070127413</v>
      </c>
      <c r="CB56" s="544"/>
      <c r="CC56" s="525">
        <f t="shared" ref="CC56:CN56" ca="1" si="237">CC54+SUM(CC55)</f>
        <v>14602369.658975426</v>
      </c>
      <c r="CD56" s="525">
        <f t="shared" ca="1" si="237"/>
        <v>14898531.913948439</v>
      </c>
      <c r="CE56" s="525">
        <f t="shared" ca="1" si="237"/>
        <v>15236536.835046452</v>
      </c>
      <c r="CF56" s="525">
        <f t="shared" ca="1" si="237"/>
        <v>15574541.756144464</v>
      </c>
      <c r="CG56" s="525">
        <f t="shared" ca="1" si="237"/>
        <v>15912546.677242476</v>
      </c>
      <c r="CH56" s="525">
        <f t="shared" ca="1" si="237"/>
        <v>16250551.598340489</v>
      </c>
      <c r="CI56" s="525">
        <f t="shared" ca="1" si="237"/>
        <v>16588556.519438501</v>
      </c>
      <c r="CJ56" s="525">
        <f t="shared" ca="1" si="237"/>
        <v>16926561.440536514</v>
      </c>
      <c r="CK56" s="525">
        <f t="shared" ca="1" si="237"/>
        <v>17264566.361634526</v>
      </c>
      <c r="CL56" s="525">
        <f t="shared" ca="1" si="237"/>
        <v>17602571.282732539</v>
      </c>
      <c r="CM56" s="525">
        <f t="shared" ca="1" si="237"/>
        <v>17940576.203830551</v>
      </c>
      <c r="CN56" s="525">
        <f t="shared" ca="1" si="237"/>
        <v>18278581.124928564</v>
      </c>
      <c r="CO56" s="544"/>
    </row>
    <row r="57" spans="1:93" s="104" customFormat="1" ht="24.95" customHeight="1" outlineLevel="1" thickBot="1">
      <c r="A57" s="188" t="str">
        <f>'Summary. Assumptions. Inputs'!$G$38</f>
        <v>Grant (Capex)</v>
      </c>
      <c r="B57" s="532">
        <f>'Capital Expenditures'!H86</f>
        <v>0</v>
      </c>
      <c r="C57" s="532"/>
      <c r="D57" s="532"/>
      <c r="E57" s="532"/>
      <c r="F57" s="532"/>
      <c r="G57" s="532"/>
      <c r="H57" s="532"/>
      <c r="I57" s="532"/>
      <c r="J57" s="532"/>
      <c r="K57" s="532"/>
      <c r="L57" s="532"/>
      <c r="M57" s="532"/>
      <c r="N57" s="532"/>
      <c r="O57" s="550">
        <f>SUM('Cashflow Projection &amp; Investme'!$B57:$N57)</f>
        <v>0</v>
      </c>
      <c r="P57" s="532"/>
      <c r="Q57" s="532"/>
      <c r="R57" s="532"/>
      <c r="S57" s="532"/>
      <c r="T57" s="532"/>
      <c r="U57" s="532"/>
      <c r="V57" s="532"/>
      <c r="W57" s="532"/>
      <c r="X57" s="532"/>
      <c r="Y57" s="532"/>
      <c r="Z57" s="532"/>
      <c r="AA57" s="532"/>
      <c r="AB57" s="546">
        <f t="shared" si="230"/>
        <v>0</v>
      </c>
      <c r="AC57" s="532"/>
      <c r="AD57" s="532"/>
      <c r="AE57" s="532"/>
      <c r="AF57" s="532"/>
      <c r="AG57" s="532"/>
      <c r="AH57" s="532"/>
      <c r="AI57" s="532"/>
      <c r="AJ57" s="532"/>
      <c r="AK57" s="532"/>
      <c r="AL57" s="532"/>
      <c r="AM57" s="532"/>
      <c r="AN57" s="532"/>
      <c r="AO57" s="550">
        <f>SUM('Cashflow Projection &amp; Investme'!$B57:$N57)</f>
        <v>0</v>
      </c>
      <c r="AP57" s="532"/>
      <c r="AQ57" s="532"/>
      <c r="AR57" s="532"/>
      <c r="AS57" s="532"/>
      <c r="AT57" s="532"/>
      <c r="AU57" s="532"/>
      <c r="AV57" s="532"/>
      <c r="AW57" s="532"/>
      <c r="AX57" s="532"/>
      <c r="AY57" s="532"/>
      <c r="AZ57" s="532"/>
      <c r="BA57" s="532"/>
      <c r="BB57" s="550">
        <f>SUM('Cashflow Projection &amp; Investme'!$B57:$N57)</f>
        <v>0</v>
      </c>
      <c r="BC57" s="532"/>
      <c r="BD57" s="532"/>
      <c r="BE57" s="532"/>
      <c r="BF57" s="532"/>
      <c r="BG57" s="532"/>
      <c r="BH57" s="532"/>
      <c r="BI57" s="532"/>
      <c r="BJ57" s="532"/>
      <c r="BK57" s="532"/>
      <c r="BL57" s="532"/>
      <c r="BM57" s="532"/>
      <c r="BN57" s="532"/>
      <c r="BO57" s="550">
        <f>SUM('Cashflow Projection &amp; Investme'!$B57:$N57)</f>
        <v>0</v>
      </c>
      <c r="BP57" s="532"/>
      <c r="BQ57" s="532"/>
      <c r="BR57" s="532"/>
      <c r="BS57" s="532"/>
      <c r="BT57" s="532"/>
      <c r="BU57" s="532"/>
      <c r="BV57" s="532"/>
      <c r="BW57" s="532"/>
      <c r="BX57" s="532"/>
      <c r="BY57" s="532"/>
      <c r="BZ57" s="532"/>
      <c r="CA57" s="532"/>
      <c r="CB57" s="550">
        <f>SUM('Cashflow Projection &amp; Investme'!$B57:$N57)</f>
        <v>0</v>
      </c>
      <c r="CC57" s="532"/>
      <c r="CD57" s="532"/>
      <c r="CE57" s="532"/>
      <c r="CF57" s="532"/>
      <c r="CG57" s="532"/>
      <c r="CH57" s="532"/>
      <c r="CI57" s="532"/>
      <c r="CJ57" s="532"/>
      <c r="CK57" s="532"/>
      <c r="CL57" s="532"/>
      <c r="CM57" s="532"/>
      <c r="CN57" s="532"/>
      <c r="CO57" s="550">
        <f>SUM('Cashflow Projection &amp; Investme'!$B57:$N57)</f>
        <v>0</v>
      </c>
    </row>
    <row r="58" spans="1:93" s="107" customFormat="1" ht="24.95" customHeight="1" outlineLevel="1" thickBot="1">
      <c r="A58" s="123" t="s">
        <v>346</v>
      </c>
      <c r="B58" s="525">
        <f t="shared" ref="B58:N58" si="238">B56+SUM(B57)</f>
        <v>0</v>
      </c>
      <c r="C58" s="525">
        <f t="shared" si="238"/>
        <v>0</v>
      </c>
      <c r="D58" s="525">
        <f t="shared" si="238"/>
        <v>0</v>
      </c>
      <c r="E58" s="525">
        <f t="shared" si="238"/>
        <v>123950.04399999999</v>
      </c>
      <c r="F58" s="525">
        <f t="shared" si="238"/>
        <v>249200.08799999999</v>
      </c>
      <c r="G58" s="525">
        <f t="shared" si="238"/>
        <v>373150.13199999998</v>
      </c>
      <c r="H58" s="525">
        <f t="shared" si="238"/>
        <v>497100.17599999998</v>
      </c>
      <c r="I58" s="525">
        <f t="shared" si="238"/>
        <v>621050.22</v>
      </c>
      <c r="J58" s="525">
        <f t="shared" si="238"/>
        <v>745000.26399999997</v>
      </c>
      <c r="K58" s="525">
        <f t="shared" si="238"/>
        <v>868950.30799999996</v>
      </c>
      <c r="L58" s="525">
        <f t="shared" si="238"/>
        <v>992900.35199999996</v>
      </c>
      <c r="M58" s="525">
        <f t="shared" si="238"/>
        <v>1116850.3959999999</v>
      </c>
      <c r="N58" s="525">
        <f t="shared" si="238"/>
        <v>1240800.44</v>
      </c>
      <c r="O58" s="544"/>
      <c r="P58" s="525">
        <f t="shared" ref="P58:AA58" ca="1" si="239">P56+SUM(P57)</f>
        <v>1280518.873104</v>
      </c>
      <c r="Q58" s="525">
        <f t="shared" ca="1" si="239"/>
        <v>1382095.039958</v>
      </c>
      <c r="R58" s="525">
        <f t="shared" ca="1" si="239"/>
        <v>1541329.3355620001</v>
      </c>
      <c r="S58" s="525">
        <f t="shared" ca="1" si="239"/>
        <v>1701928.6311659999</v>
      </c>
      <c r="T58" s="525">
        <f t="shared" ca="1" si="239"/>
        <v>1861162.9267699998</v>
      </c>
      <c r="U58" s="525">
        <f t="shared" ca="1" si="239"/>
        <v>2020397.2223739997</v>
      </c>
      <c r="V58" s="525">
        <f t="shared" ca="1" si="239"/>
        <v>2179631.5179779995</v>
      </c>
      <c r="W58" s="525">
        <f t="shared" ca="1" si="239"/>
        <v>2338865.8135819994</v>
      </c>
      <c r="X58" s="525">
        <f t="shared" ca="1" si="239"/>
        <v>2498100.1091859993</v>
      </c>
      <c r="Y58" s="525">
        <f t="shared" ca="1" si="239"/>
        <v>2657334.4047899991</v>
      </c>
      <c r="Z58" s="525">
        <f t="shared" ca="1" si="239"/>
        <v>2816568.700393999</v>
      </c>
      <c r="AA58" s="525">
        <f t="shared" ca="1" si="239"/>
        <v>2975802.9959979989</v>
      </c>
      <c r="AB58" s="546">
        <f t="shared" si="230"/>
        <v>0</v>
      </c>
      <c r="AC58" s="525">
        <f t="shared" ref="AC58:AN58" ca="1" si="240">AC56+SUM(AC57)</f>
        <v>3043092.438157999</v>
      </c>
      <c r="AD58" s="525">
        <f t="shared" ca="1" si="240"/>
        <v>3173713.1984429993</v>
      </c>
      <c r="AE58" s="525">
        <f t="shared" ca="1" si="240"/>
        <v>3367665.2768529989</v>
      </c>
      <c r="AF58" s="525">
        <f t="shared" ca="1" si="240"/>
        <v>3561617.3552629985</v>
      </c>
      <c r="AG58" s="525">
        <f t="shared" ca="1" si="240"/>
        <v>3755569.4336729981</v>
      </c>
      <c r="AH58" s="525">
        <f t="shared" ca="1" si="240"/>
        <v>3949521.5120829977</v>
      </c>
      <c r="AI58" s="525">
        <f t="shared" ca="1" si="240"/>
        <v>4143473.5904929973</v>
      </c>
      <c r="AJ58" s="525">
        <f t="shared" ca="1" si="240"/>
        <v>4337425.6689029969</v>
      </c>
      <c r="AK58" s="525">
        <f t="shared" ca="1" si="240"/>
        <v>4531377.7473129965</v>
      </c>
      <c r="AL58" s="525">
        <f t="shared" ca="1" si="240"/>
        <v>4725329.8257229961</v>
      </c>
      <c r="AM58" s="525">
        <f t="shared" ca="1" si="240"/>
        <v>4919281.9041329958</v>
      </c>
      <c r="AN58" s="525">
        <f t="shared" ca="1" si="240"/>
        <v>5113233.9825429954</v>
      </c>
      <c r="AO58" s="544"/>
      <c r="AP58" s="525">
        <f t="shared" ref="AP58:BA58" ca="1" si="241">AP56+SUM(AP57)</f>
        <v>5206483.626752995</v>
      </c>
      <c r="AQ58" s="525">
        <f t="shared" ca="1" si="241"/>
        <v>5369200.8959629945</v>
      </c>
      <c r="AR58" s="525">
        <f t="shared" ca="1" si="241"/>
        <v>5601385.7901729941</v>
      </c>
      <c r="AS58" s="525">
        <f t="shared" ca="1" si="241"/>
        <v>5833570.6843829937</v>
      </c>
      <c r="AT58" s="525">
        <f t="shared" ca="1" si="241"/>
        <v>6065755.5785929933</v>
      </c>
      <c r="AU58" s="525">
        <f t="shared" ca="1" si="241"/>
        <v>6297940.4728029929</v>
      </c>
      <c r="AV58" s="525">
        <f t="shared" ca="1" si="241"/>
        <v>6530125.3670129925</v>
      </c>
      <c r="AW58" s="525">
        <f t="shared" ca="1" si="241"/>
        <v>6762310.2612229921</v>
      </c>
      <c r="AX58" s="525">
        <f t="shared" ca="1" si="241"/>
        <v>6994495.1554329917</v>
      </c>
      <c r="AY58" s="525">
        <f t="shared" ca="1" si="241"/>
        <v>7226680.0496429913</v>
      </c>
      <c r="AZ58" s="525">
        <f t="shared" ca="1" si="241"/>
        <v>7458864.9438529909</v>
      </c>
      <c r="BA58" s="525">
        <f t="shared" ca="1" si="241"/>
        <v>7691049.8380629914</v>
      </c>
      <c r="BB58" s="544"/>
      <c r="BC58" s="525">
        <f t="shared" ref="BC58:BN58" ca="1" si="242">BC56+SUM(BC57)</f>
        <v>7813046.3226631917</v>
      </c>
      <c r="BD58" s="525">
        <f t="shared" ca="1" si="242"/>
        <v>8011156.1683883928</v>
      </c>
      <c r="BE58" s="525">
        <f t="shared" ca="1" si="242"/>
        <v>8285379.3752385937</v>
      </c>
      <c r="BF58" s="525">
        <f t="shared" ca="1" si="242"/>
        <v>8559602.5820887946</v>
      </c>
      <c r="BG58" s="525">
        <f t="shared" ca="1" si="242"/>
        <v>8833825.7889389955</v>
      </c>
      <c r="BH58" s="525">
        <f t="shared" ca="1" si="242"/>
        <v>9108048.9957891963</v>
      </c>
      <c r="BI58" s="525">
        <f t="shared" ca="1" si="242"/>
        <v>9382272.2026393972</v>
      </c>
      <c r="BJ58" s="525">
        <f t="shared" ca="1" si="242"/>
        <v>9656495.4094895981</v>
      </c>
      <c r="BK58" s="525">
        <f t="shared" ca="1" si="242"/>
        <v>9930718.616339799</v>
      </c>
      <c r="BL58" s="525">
        <f t="shared" ca="1" si="242"/>
        <v>10204941.82319</v>
      </c>
      <c r="BM58" s="525">
        <f t="shared" ca="1" si="242"/>
        <v>10479165.030040201</v>
      </c>
      <c r="BN58" s="525">
        <f t="shared" ca="1" si="242"/>
        <v>10753388.236890402</v>
      </c>
      <c r="BO58" s="544"/>
      <c r="BP58" s="525">
        <f t="shared" ref="BP58:CA58" ca="1" si="243">BP56+SUM(BP57)</f>
        <v>10907142.422722653</v>
      </c>
      <c r="BQ58" s="525">
        <f t="shared" ca="1" si="243"/>
        <v>11144211.446804903</v>
      </c>
      <c r="BR58" s="525">
        <f t="shared" ca="1" si="243"/>
        <v>11464595.309137154</v>
      </c>
      <c r="BS58" s="525">
        <f t="shared" ca="1" si="243"/>
        <v>11784979.171469405</v>
      </c>
      <c r="BT58" s="525">
        <f t="shared" ca="1" si="243"/>
        <v>12105363.033801656</v>
      </c>
      <c r="BU58" s="525">
        <f t="shared" ca="1" si="243"/>
        <v>12425746.896133907</v>
      </c>
      <c r="BV58" s="525">
        <f t="shared" ca="1" si="243"/>
        <v>12746130.758466158</v>
      </c>
      <c r="BW58" s="525">
        <f t="shared" ca="1" si="243"/>
        <v>13066514.620798409</v>
      </c>
      <c r="BX58" s="525">
        <f t="shared" ca="1" si="243"/>
        <v>13386898.48313066</v>
      </c>
      <c r="BY58" s="525">
        <f t="shared" ca="1" si="243"/>
        <v>13707282.345462911</v>
      </c>
      <c r="BZ58" s="525">
        <f t="shared" ca="1" si="243"/>
        <v>14027666.207795162</v>
      </c>
      <c r="CA58" s="525">
        <f t="shared" ca="1" si="243"/>
        <v>14348050.070127413</v>
      </c>
      <c r="CB58" s="544"/>
      <c r="CC58" s="525">
        <f t="shared" ref="CC58:CN58" ca="1" si="244">CC56+SUM(CC57)</f>
        <v>14602369.658975426</v>
      </c>
      <c r="CD58" s="525">
        <f t="shared" ca="1" si="244"/>
        <v>14898531.913948439</v>
      </c>
      <c r="CE58" s="525">
        <f t="shared" ca="1" si="244"/>
        <v>15236536.835046452</v>
      </c>
      <c r="CF58" s="525">
        <f t="shared" ca="1" si="244"/>
        <v>15574541.756144464</v>
      </c>
      <c r="CG58" s="525">
        <f t="shared" ca="1" si="244"/>
        <v>15912546.677242476</v>
      </c>
      <c r="CH58" s="525">
        <f t="shared" ca="1" si="244"/>
        <v>16250551.598340489</v>
      </c>
      <c r="CI58" s="525">
        <f t="shared" ca="1" si="244"/>
        <v>16588556.519438501</v>
      </c>
      <c r="CJ58" s="525">
        <f t="shared" ca="1" si="244"/>
        <v>16926561.440536514</v>
      </c>
      <c r="CK58" s="525">
        <f t="shared" ca="1" si="244"/>
        <v>17264566.361634526</v>
      </c>
      <c r="CL58" s="525">
        <f t="shared" ca="1" si="244"/>
        <v>17602571.282732539</v>
      </c>
      <c r="CM58" s="525">
        <f t="shared" ca="1" si="244"/>
        <v>17940576.203830551</v>
      </c>
      <c r="CN58" s="525">
        <f t="shared" ca="1" si="244"/>
        <v>18278581.124928564</v>
      </c>
      <c r="CO58" s="544"/>
    </row>
    <row r="59" spans="1:93" s="104" customFormat="1" ht="24.95" customHeight="1" outlineLevel="1" thickBot="1">
      <c r="A59" s="188" t="str">
        <f>'Summary. Assumptions. Inputs'!$G$39</f>
        <v>Grant (Opex)</v>
      </c>
      <c r="B59" s="532">
        <f>'OPEREX, PAYROL'!R116</f>
        <v>0</v>
      </c>
      <c r="C59" s="532"/>
      <c r="D59" s="532"/>
      <c r="E59" s="532"/>
      <c r="F59" s="532"/>
      <c r="G59" s="532"/>
      <c r="H59" s="532"/>
      <c r="I59" s="532"/>
      <c r="J59" s="532"/>
      <c r="K59" s="532"/>
      <c r="L59" s="532"/>
      <c r="M59" s="532"/>
      <c r="N59" s="532"/>
      <c r="O59" s="550">
        <f>SUM('Cashflow Projection &amp; Investme'!$B59:$N59)</f>
        <v>0</v>
      </c>
      <c r="P59" s="532"/>
      <c r="Q59" s="532"/>
      <c r="R59" s="532"/>
      <c r="S59" s="532"/>
      <c r="T59" s="532"/>
      <c r="U59" s="532"/>
      <c r="V59" s="532"/>
      <c r="W59" s="532"/>
      <c r="X59" s="532"/>
      <c r="Y59" s="532"/>
      <c r="Z59" s="532"/>
      <c r="AA59" s="532"/>
      <c r="AB59" s="546">
        <f t="shared" si="230"/>
        <v>0</v>
      </c>
      <c r="AC59" s="532"/>
      <c r="AD59" s="532"/>
      <c r="AE59" s="532"/>
      <c r="AF59" s="532"/>
      <c r="AG59" s="532"/>
      <c r="AH59" s="532"/>
      <c r="AI59" s="532"/>
      <c r="AJ59" s="532"/>
      <c r="AK59" s="532"/>
      <c r="AL59" s="532"/>
      <c r="AM59" s="532"/>
      <c r="AN59" s="532"/>
      <c r="AO59" s="550">
        <f>SUM('Cashflow Projection &amp; Investme'!$B59:$N59)</f>
        <v>0</v>
      </c>
      <c r="AP59" s="532"/>
      <c r="AQ59" s="532"/>
      <c r="AR59" s="532"/>
      <c r="AS59" s="532"/>
      <c r="AT59" s="532"/>
      <c r="AU59" s="532"/>
      <c r="AV59" s="532"/>
      <c r="AW59" s="532"/>
      <c r="AX59" s="532"/>
      <c r="AY59" s="532"/>
      <c r="AZ59" s="532"/>
      <c r="BA59" s="532"/>
      <c r="BB59" s="550">
        <f>SUM('Cashflow Projection &amp; Investme'!$B59:$N59)</f>
        <v>0</v>
      </c>
      <c r="BC59" s="532"/>
      <c r="BD59" s="532"/>
      <c r="BE59" s="532"/>
      <c r="BF59" s="532"/>
      <c r="BG59" s="532"/>
      <c r="BH59" s="532"/>
      <c r="BI59" s="532"/>
      <c r="BJ59" s="532"/>
      <c r="BK59" s="532"/>
      <c r="BL59" s="532"/>
      <c r="BM59" s="532"/>
      <c r="BN59" s="532"/>
      <c r="BO59" s="550">
        <f>SUM('Cashflow Projection &amp; Investme'!$B59:$N59)</f>
        <v>0</v>
      </c>
      <c r="BP59" s="532"/>
      <c r="BQ59" s="532"/>
      <c r="BR59" s="532"/>
      <c r="BS59" s="532"/>
      <c r="BT59" s="532"/>
      <c r="BU59" s="532"/>
      <c r="BV59" s="532"/>
      <c r="BW59" s="532"/>
      <c r="BX59" s="532"/>
      <c r="BY59" s="532"/>
      <c r="BZ59" s="532"/>
      <c r="CA59" s="532"/>
      <c r="CB59" s="550">
        <f>SUM('Cashflow Projection &amp; Investme'!$B59:$N59)</f>
        <v>0</v>
      </c>
      <c r="CC59" s="532"/>
      <c r="CD59" s="532"/>
      <c r="CE59" s="532"/>
      <c r="CF59" s="532"/>
      <c r="CG59" s="532"/>
      <c r="CH59" s="532"/>
      <c r="CI59" s="532"/>
      <c r="CJ59" s="532"/>
      <c r="CK59" s="532"/>
      <c r="CL59" s="532"/>
      <c r="CM59" s="532"/>
      <c r="CN59" s="532"/>
      <c r="CO59" s="550">
        <f>SUM('Cashflow Projection &amp; Investme'!$B59:$N59)</f>
        <v>0</v>
      </c>
    </row>
    <row r="60" spans="1:93" s="107" customFormat="1" ht="24.95" customHeight="1" outlineLevel="1" thickBot="1">
      <c r="A60" s="123" t="s">
        <v>345</v>
      </c>
      <c r="B60" s="525">
        <f t="shared" ref="B60:N60" si="245">B58+SUM(B59)</f>
        <v>0</v>
      </c>
      <c r="C60" s="525">
        <f t="shared" si="245"/>
        <v>0</v>
      </c>
      <c r="D60" s="525">
        <f t="shared" si="245"/>
        <v>0</v>
      </c>
      <c r="E60" s="525">
        <f t="shared" si="245"/>
        <v>123950.04399999999</v>
      </c>
      <c r="F60" s="525">
        <f t="shared" si="245"/>
        <v>249200.08799999999</v>
      </c>
      <c r="G60" s="525">
        <f t="shared" si="245"/>
        <v>373150.13199999998</v>
      </c>
      <c r="H60" s="525">
        <f t="shared" si="245"/>
        <v>497100.17599999998</v>
      </c>
      <c r="I60" s="525">
        <f t="shared" si="245"/>
        <v>621050.22</v>
      </c>
      <c r="J60" s="525">
        <f t="shared" si="245"/>
        <v>745000.26399999997</v>
      </c>
      <c r="K60" s="525">
        <f t="shared" si="245"/>
        <v>868950.30799999996</v>
      </c>
      <c r="L60" s="525">
        <f t="shared" si="245"/>
        <v>992900.35199999996</v>
      </c>
      <c r="M60" s="525">
        <f t="shared" si="245"/>
        <v>1116850.3959999999</v>
      </c>
      <c r="N60" s="525">
        <f t="shared" si="245"/>
        <v>1240800.44</v>
      </c>
      <c r="O60" s="544"/>
      <c r="P60" s="525">
        <f t="shared" ref="P60:AA60" ca="1" si="246">P58+SUM(P59)</f>
        <v>1280518.873104</v>
      </c>
      <c r="Q60" s="525">
        <f t="shared" ca="1" si="246"/>
        <v>1382095.039958</v>
      </c>
      <c r="R60" s="525">
        <f t="shared" ca="1" si="246"/>
        <v>1541329.3355620001</v>
      </c>
      <c r="S60" s="525">
        <f t="shared" ca="1" si="246"/>
        <v>1701928.6311659999</v>
      </c>
      <c r="T60" s="525">
        <f t="shared" ca="1" si="246"/>
        <v>1861162.9267699998</v>
      </c>
      <c r="U60" s="525">
        <f t="shared" ca="1" si="246"/>
        <v>2020397.2223739997</v>
      </c>
      <c r="V60" s="525">
        <f t="shared" ca="1" si="246"/>
        <v>2179631.5179779995</v>
      </c>
      <c r="W60" s="525">
        <f t="shared" ca="1" si="246"/>
        <v>2338865.8135819994</v>
      </c>
      <c r="X60" s="525">
        <f t="shared" ca="1" si="246"/>
        <v>2498100.1091859993</v>
      </c>
      <c r="Y60" s="525">
        <f t="shared" ca="1" si="246"/>
        <v>2657334.4047899991</v>
      </c>
      <c r="Z60" s="525">
        <f t="shared" ca="1" si="246"/>
        <v>2816568.700393999</v>
      </c>
      <c r="AA60" s="525">
        <f t="shared" ca="1" si="246"/>
        <v>2975802.9959979989</v>
      </c>
      <c r="AB60" s="546">
        <f t="shared" si="230"/>
        <v>0</v>
      </c>
      <c r="AC60" s="525">
        <f t="shared" ref="AC60:AN60" ca="1" si="247">AC58+SUM(AC59)</f>
        <v>3043092.438157999</v>
      </c>
      <c r="AD60" s="525">
        <f t="shared" ca="1" si="247"/>
        <v>3173713.1984429993</v>
      </c>
      <c r="AE60" s="525">
        <f t="shared" ca="1" si="247"/>
        <v>3367665.2768529989</v>
      </c>
      <c r="AF60" s="525">
        <f t="shared" ca="1" si="247"/>
        <v>3561617.3552629985</v>
      </c>
      <c r="AG60" s="525">
        <f t="shared" ca="1" si="247"/>
        <v>3755569.4336729981</v>
      </c>
      <c r="AH60" s="525">
        <f t="shared" ca="1" si="247"/>
        <v>3949521.5120829977</v>
      </c>
      <c r="AI60" s="525">
        <f t="shared" ca="1" si="247"/>
        <v>4143473.5904929973</v>
      </c>
      <c r="AJ60" s="525">
        <f t="shared" ca="1" si="247"/>
        <v>4337425.6689029969</v>
      </c>
      <c r="AK60" s="525">
        <f t="shared" ca="1" si="247"/>
        <v>4531377.7473129965</v>
      </c>
      <c r="AL60" s="525">
        <f t="shared" ca="1" si="247"/>
        <v>4725329.8257229961</v>
      </c>
      <c r="AM60" s="525">
        <f t="shared" ca="1" si="247"/>
        <v>4919281.9041329958</v>
      </c>
      <c r="AN60" s="525">
        <f t="shared" ca="1" si="247"/>
        <v>5113233.9825429954</v>
      </c>
      <c r="AO60" s="544"/>
      <c r="AP60" s="525">
        <f t="shared" ref="AP60:BA60" ca="1" si="248">AP58+SUM(AP59)</f>
        <v>5206483.626752995</v>
      </c>
      <c r="AQ60" s="525">
        <f t="shared" ca="1" si="248"/>
        <v>5369200.8959629945</v>
      </c>
      <c r="AR60" s="525">
        <f t="shared" ca="1" si="248"/>
        <v>5601385.7901729941</v>
      </c>
      <c r="AS60" s="525">
        <f t="shared" ca="1" si="248"/>
        <v>5833570.6843829937</v>
      </c>
      <c r="AT60" s="525">
        <f t="shared" ca="1" si="248"/>
        <v>6065755.5785929933</v>
      </c>
      <c r="AU60" s="525">
        <f t="shared" ca="1" si="248"/>
        <v>6297940.4728029929</v>
      </c>
      <c r="AV60" s="525">
        <f t="shared" ca="1" si="248"/>
        <v>6530125.3670129925</v>
      </c>
      <c r="AW60" s="525">
        <f t="shared" ca="1" si="248"/>
        <v>6762310.2612229921</v>
      </c>
      <c r="AX60" s="525">
        <f t="shared" ca="1" si="248"/>
        <v>6994495.1554329917</v>
      </c>
      <c r="AY60" s="525">
        <f t="shared" ca="1" si="248"/>
        <v>7226680.0496429913</v>
      </c>
      <c r="AZ60" s="525">
        <f t="shared" ca="1" si="248"/>
        <v>7458864.9438529909</v>
      </c>
      <c r="BA60" s="525">
        <f t="shared" ca="1" si="248"/>
        <v>7691049.8380629914</v>
      </c>
      <c r="BB60" s="544"/>
      <c r="BC60" s="525">
        <f t="shared" ref="BC60:BN60" ca="1" si="249">BC58+SUM(BC59)</f>
        <v>7813046.3226631917</v>
      </c>
      <c r="BD60" s="525">
        <f t="shared" ca="1" si="249"/>
        <v>8011156.1683883928</v>
      </c>
      <c r="BE60" s="525">
        <f t="shared" ca="1" si="249"/>
        <v>8285379.3752385937</v>
      </c>
      <c r="BF60" s="525">
        <f t="shared" ca="1" si="249"/>
        <v>8559602.5820887946</v>
      </c>
      <c r="BG60" s="525">
        <f t="shared" ca="1" si="249"/>
        <v>8833825.7889389955</v>
      </c>
      <c r="BH60" s="525">
        <f t="shared" ca="1" si="249"/>
        <v>9108048.9957891963</v>
      </c>
      <c r="BI60" s="525">
        <f t="shared" ca="1" si="249"/>
        <v>9382272.2026393972</v>
      </c>
      <c r="BJ60" s="525">
        <f t="shared" ca="1" si="249"/>
        <v>9656495.4094895981</v>
      </c>
      <c r="BK60" s="525">
        <f t="shared" ca="1" si="249"/>
        <v>9930718.616339799</v>
      </c>
      <c r="BL60" s="525">
        <f t="shared" ca="1" si="249"/>
        <v>10204941.82319</v>
      </c>
      <c r="BM60" s="525">
        <f t="shared" ca="1" si="249"/>
        <v>10479165.030040201</v>
      </c>
      <c r="BN60" s="525">
        <f t="shared" ca="1" si="249"/>
        <v>10753388.236890402</v>
      </c>
      <c r="BO60" s="544"/>
      <c r="BP60" s="525">
        <f t="shared" ref="BP60:CA60" ca="1" si="250">BP58+SUM(BP59)</f>
        <v>10907142.422722653</v>
      </c>
      <c r="BQ60" s="525">
        <f t="shared" ca="1" si="250"/>
        <v>11144211.446804903</v>
      </c>
      <c r="BR60" s="525">
        <f t="shared" ca="1" si="250"/>
        <v>11464595.309137154</v>
      </c>
      <c r="BS60" s="525">
        <f t="shared" ca="1" si="250"/>
        <v>11784979.171469405</v>
      </c>
      <c r="BT60" s="525">
        <f t="shared" ca="1" si="250"/>
        <v>12105363.033801656</v>
      </c>
      <c r="BU60" s="525">
        <f t="shared" ca="1" si="250"/>
        <v>12425746.896133907</v>
      </c>
      <c r="BV60" s="525">
        <f t="shared" ca="1" si="250"/>
        <v>12746130.758466158</v>
      </c>
      <c r="BW60" s="525">
        <f t="shared" ca="1" si="250"/>
        <v>13066514.620798409</v>
      </c>
      <c r="BX60" s="525">
        <f t="shared" ca="1" si="250"/>
        <v>13386898.48313066</v>
      </c>
      <c r="BY60" s="525">
        <f t="shared" ca="1" si="250"/>
        <v>13707282.345462911</v>
      </c>
      <c r="BZ60" s="525">
        <f t="shared" ca="1" si="250"/>
        <v>14027666.207795162</v>
      </c>
      <c r="CA60" s="525">
        <f t="shared" ca="1" si="250"/>
        <v>14348050.070127413</v>
      </c>
      <c r="CB60" s="544"/>
      <c r="CC60" s="525">
        <f t="shared" ref="CC60:CN60" ca="1" si="251">CC58+SUM(CC59)</f>
        <v>14602369.658975426</v>
      </c>
      <c r="CD60" s="525">
        <f t="shared" ca="1" si="251"/>
        <v>14898531.913948439</v>
      </c>
      <c r="CE60" s="525">
        <f t="shared" ca="1" si="251"/>
        <v>15236536.835046452</v>
      </c>
      <c r="CF60" s="525">
        <f t="shared" ca="1" si="251"/>
        <v>15574541.756144464</v>
      </c>
      <c r="CG60" s="525">
        <f t="shared" ca="1" si="251"/>
        <v>15912546.677242476</v>
      </c>
      <c r="CH60" s="525">
        <f t="shared" ca="1" si="251"/>
        <v>16250551.598340489</v>
      </c>
      <c r="CI60" s="525">
        <f t="shared" ca="1" si="251"/>
        <v>16588556.519438501</v>
      </c>
      <c r="CJ60" s="525">
        <f t="shared" ca="1" si="251"/>
        <v>16926561.440536514</v>
      </c>
      <c r="CK60" s="525">
        <f t="shared" ca="1" si="251"/>
        <v>17264566.361634526</v>
      </c>
      <c r="CL60" s="525">
        <f t="shared" ca="1" si="251"/>
        <v>17602571.282732539</v>
      </c>
      <c r="CM60" s="525">
        <f t="shared" ca="1" si="251"/>
        <v>17940576.203830551</v>
      </c>
      <c r="CN60" s="525">
        <f t="shared" ca="1" si="251"/>
        <v>18278581.124928564</v>
      </c>
      <c r="CO60" s="544"/>
    </row>
    <row r="61" spans="1:93" hidden="1"/>
    <row r="62" spans="1:93" s="104" customFormat="1" ht="21" hidden="1" customHeight="1" outlineLevel="1" thickBot="1">
      <c r="A62" s="140" t="str">
        <f>CONCATENATE("Currency:"," ",'Summary. Assumptions. Inputs'!$J$7)</f>
        <v>Currency: USD</v>
      </c>
      <c r="B62" s="106"/>
      <c r="C62" s="106"/>
      <c r="D62" s="106"/>
      <c r="E62" s="106"/>
      <c r="F62" s="106"/>
      <c r="G62" s="106"/>
      <c r="H62" s="106"/>
      <c r="I62" s="106"/>
      <c r="J62" s="1"/>
      <c r="K62" s="1"/>
      <c r="L62" s="1"/>
      <c r="M62" s="1"/>
      <c r="N62" s="1"/>
      <c r="O62" s="1"/>
      <c r="P62" s="106"/>
      <c r="Q62" s="106"/>
      <c r="R62" s="106"/>
      <c r="S62" s="106"/>
      <c r="T62" s="106"/>
      <c r="U62" s="106"/>
      <c r="V62" s="106"/>
      <c r="W62" s="106"/>
      <c r="X62" s="106"/>
      <c r="Y62" s="1"/>
      <c r="Z62" s="1"/>
      <c r="AA62" s="1"/>
      <c r="AB62" s="1"/>
      <c r="AC62" s="106"/>
      <c r="AD62" s="106"/>
      <c r="AE62" s="106"/>
      <c r="AF62" s="106"/>
      <c r="AG62" s="106"/>
      <c r="AH62" s="106"/>
      <c r="AI62" s="106"/>
      <c r="AJ62" s="106"/>
      <c r="AK62" s="106"/>
      <c r="AL62" s="1"/>
      <c r="AM62" s="1"/>
      <c r="AN62" s="1"/>
      <c r="AO62" s="1"/>
      <c r="AP62" s="106"/>
      <c r="AQ62" s="106"/>
      <c r="AR62" s="106"/>
      <c r="AS62" s="106"/>
      <c r="AT62" s="106"/>
      <c r="AU62" s="106"/>
      <c r="AV62" s="106"/>
      <c r="AW62" s="106"/>
      <c r="AX62" s="106"/>
      <c r="AY62" s="1"/>
      <c r="AZ62" s="1"/>
      <c r="BA62" s="1"/>
      <c r="BB62" s="1"/>
      <c r="BC62" s="106"/>
      <c r="BD62" s="106"/>
      <c r="BE62" s="106"/>
      <c r="BF62" s="106"/>
      <c r="BG62" s="106"/>
      <c r="BH62" s="106"/>
      <c r="BI62" s="106"/>
      <c r="BJ62" s="106"/>
      <c r="BK62" s="106"/>
      <c r="BL62" s="1"/>
      <c r="BM62" s="1"/>
      <c r="BN62" s="1"/>
      <c r="BO62" s="1"/>
      <c r="BP62" s="106"/>
      <c r="BQ62" s="106"/>
      <c r="BR62" s="106"/>
      <c r="BS62" s="106"/>
      <c r="BT62" s="106"/>
      <c r="BU62" s="106"/>
      <c r="BV62" s="106"/>
      <c r="BW62" s="106"/>
      <c r="BX62" s="106"/>
      <c r="BY62" s="1"/>
      <c r="BZ62" s="1"/>
      <c r="CA62" s="1"/>
      <c r="CB62" s="1"/>
      <c r="CC62" s="106"/>
      <c r="CD62" s="106"/>
      <c r="CE62" s="106"/>
      <c r="CF62" s="106"/>
      <c r="CG62" s="106"/>
      <c r="CH62" s="106"/>
      <c r="CI62" s="106"/>
      <c r="CJ62" s="106"/>
      <c r="CK62" s="106"/>
      <c r="CL62" s="1"/>
      <c r="CM62" s="1"/>
      <c r="CN62" s="1"/>
      <c r="CO62" s="1"/>
    </row>
    <row r="63" spans="1:93" s="104" customFormat="1" ht="21" hidden="1" customHeight="1" outlineLevel="1" thickBot="1">
      <c r="A63" s="331" t="s">
        <v>137</v>
      </c>
      <c r="B63" s="105"/>
      <c r="C63" s="106"/>
      <c r="D63" s="106"/>
      <c r="E63" s="106"/>
      <c r="F63" s="106"/>
      <c r="G63" s="106"/>
      <c r="H63" s="106"/>
      <c r="I63" s="106"/>
      <c r="J63" s="1"/>
      <c r="K63" s="1"/>
      <c r="L63" s="1"/>
      <c r="M63" s="1"/>
      <c r="N63" s="1"/>
      <c r="O63" s="1"/>
      <c r="P63" s="105"/>
      <c r="Q63" s="105"/>
      <c r="R63" s="106"/>
      <c r="S63" s="106"/>
      <c r="T63" s="106"/>
      <c r="U63" s="106"/>
      <c r="V63" s="106"/>
      <c r="W63" s="106"/>
      <c r="X63" s="106"/>
      <c r="Y63" s="1"/>
      <c r="Z63" s="1"/>
      <c r="AA63" s="1"/>
      <c r="AB63" s="1"/>
      <c r="AC63" s="105"/>
      <c r="AD63" s="105"/>
      <c r="AE63" s="106"/>
      <c r="AF63" s="106"/>
      <c r="AG63" s="106"/>
      <c r="AH63" s="106"/>
      <c r="AI63" s="106"/>
      <c r="AJ63" s="106"/>
      <c r="AK63" s="106"/>
      <c r="AL63" s="1"/>
      <c r="AM63" s="1"/>
      <c r="AN63" s="1"/>
      <c r="AO63" s="1"/>
      <c r="AP63" s="105"/>
      <c r="AQ63" s="105"/>
      <c r="AR63" s="106"/>
      <c r="AS63" s="106"/>
      <c r="AT63" s="106"/>
      <c r="AU63" s="106"/>
      <c r="AV63" s="106"/>
      <c r="AW63" s="106"/>
      <c r="AX63" s="106"/>
      <c r="AY63" s="1"/>
      <c r="AZ63" s="1"/>
      <c r="BA63" s="1"/>
      <c r="BB63" s="1"/>
      <c r="BC63" s="105"/>
      <c r="BD63" s="105"/>
      <c r="BE63" s="106"/>
      <c r="BF63" s="106"/>
      <c r="BG63" s="106"/>
      <c r="BH63" s="106"/>
      <c r="BI63" s="106"/>
      <c r="BJ63" s="106"/>
      <c r="BK63" s="106"/>
      <c r="BL63" s="1"/>
      <c r="BM63" s="1"/>
      <c r="BN63" s="1"/>
      <c r="BO63" s="1"/>
      <c r="BP63" s="105"/>
      <c r="BQ63" s="105"/>
      <c r="BR63" s="106"/>
      <c r="BS63" s="106"/>
      <c r="BT63" s="106"/>
      <c r="BU63" s="106"/>
      <c r="BV63" s="106"/>
      <c r="BW63" s="106"/>
      <c r="BX63" s="106"/>
      <c r="BY63" s="1"/>
      <c r="BZ63" s="1"/>
      <c r="CA63" s="1"/>
      <c r="CB63" s="1"/>
      <c r="CC63" s="105"/>
      <c r="CD63" s="105"/>
      <c r="CE63" s="106"/>
      <c r="CF63" s="106"/>
      <c r="CG63" s="106"/>
      <c r="CH63" s="106"/>
      <c r="CI63" s="106"/>
      <c r="CJ63" s="106"/>
      <c r="CK63" s="106"/>
      <c r="CL63" s="1"/>
      <c r="CM63" s="1"/>
      <c r="CN63" s="1"/>
      <c r="CO63" s="1"/>
    </row>
    <row r="64" spans="1:93" s="107" customFormat="1" ht="42.75" hidden="1" customHeight="1" outlineLevel="1" thickBot="1">
      <c r="A64" s="127" t="s">
        <v>252</v>
      </c>
      <c r="B64" s="127" t="s">
        <v>301</v>
      </c>
      <c r="C64" s="427" t="s">
        <v>347</v>
      </c>
      <c r="D64" s="427" t="s">
        <v>348</v>
      </c>
      <c r="E64" s="427" t="s">
        <v>349</v>
      </c>
      <c r="F64" s="427" t="s">
        <v>350</v>
      </c>
      <c r="G64" s="427" t="s">
        <v>351</v>
      </c>
      <c r="H64" s="427" t="s">
        <v>352</v>
      </c>
      <c r="I64" s="427" t="s">
        <v>353</v>
      </c>
      <c r="J64" s="427" t="s">
        <v>354</v>
      </c>
      <c r="K64" s="427" t="s">
        <v>355</v>
      </c>
      <c r="L64" s="427" t="s">
        <v>356</v>
      </c>
      <c r="M64" s="427" t="s">
        <v>357</v>
      </c>
      <c r="N64" s="427" t="s">
        <v>358</v>
      </c>
      <c r="O64" s="444" t="s">
        <v>110</v>
      </c>
      <c r="P64" s="427" t="s">
        <v>360</v>
      </c>
      <c r="Q64" s="427" t="s">
        <v>361</v>
      </c>
      <c r="R64" s="427" t="s">
        <v>362</v>
      </c>
      <c r="S64" s="427" t="s">
        <v>363</v>
      </c>
      <c r="T64" s="427" t="s">
        <v>364</v>
      </c>
      <c r="U64" s="427" t="s">
        <v>365</v>
      </c>
      <c r="V64" s="427" t="s">
        <v>366</v>
      </c>
      <c r="W64" s="427" t="s">
        <v>367</v>
      </c>
      <c r="X64" s="427" t="s">
        <v>368</v>
      </c>
      <c r="Y64" s="427" t="s">
        <v>369</v>
      </c>
      <c r="Z64" s="427" t="s">
        <v>370</v>
      </c>
      <c r="AA64" s="427" t="s">
        <v>371</v>
      </c>
      <c r="AB64" s="449" t="s">
        <v>372</v>
      </c>
      <c r="AC64" s="427" t="s">
        <v>373</v>
      </c>
      <c r="AD64" s="427" t="s">
        <v>374</v>
      </c>
      <c r="AE64" s="427" t="s">
        <v>375</v>
      </c>
      <c r="AF64" s="427" t="s">
        <v>376</v>
      </c>
      <c r="AG64" s="427" t="s">
        <v>377</v>
      </c>
      <c r="AH64" s="427" t="s">
        <v>378</v>
      </c>
      <c r="AI64" s="427" t="s">
        <v>379</v>
      </c>
      <c r="AJ64" s="427" t="s">
        <v>380</v>
      </c>
      <c r="AK64" s="427" t="s">
        <v>381</v>
      </c>
      <c r="AL64" s="427" t="s">
        <v>382</v>
      </c>
      <c r="AM64" s="427" t="s">
        <v>383</v>
      </c>
      <c r="AN64" s="427" t="s">
        <v>384</v>
      </c>
      <c r="AO64" s="449" t="s">
        <v>385</v>
      </c>
      <c r="AP64" s="427" t="s">
        <v>386</v>
      </c>
      <c r="AQ64" s="427" t="s">
        <v>387</v>
      </c>
      <c r="AR64" s="427" t="s">
        <v>388</v>
      </c>
      <c r="AS64" s="427" t="s">
        <v>389</v>
      </c>
      <c r="AT64" s="427" t="s">
        <v>390</v>
      </c>
      <c r="AU64" s="427" t="s">
        <v>391</v>
      </c>
      <c r="AV64" s="427" t="s">
        <v>392</v>
      </c>
      <c r="AW64" s="427" t="s">
        <v>393</v>
      </c>
      <c r="AX64" s="427" t="s">
        <v>394</v>
      </c>
      <c r="AY64" s="427" t="s">
        <v>395</v>
      </c>
      <c r="AZ64" s="427" t="s">
        <v>396</v>
      </c>
      <c r="BA64" s="427" t="s">
        <v>397</v>
      </c>
      <c r="BB64" s="449" t="s">
        <v>398</v>
      </c>
      <c r="BC64" s="427" t="s">
        <v>399</v>
      </c>
      <c r="BD64" s="427" t="s">
        <v>400</v>
      </c>
      <c r="BE64" s="427" t="s">
        <v>401</v>
      </c>
      <c r="BF64" s="427" t="s">
        <v>402</v>
      </c>
      <c r="BG64" s="427" t="s">
        <v>403</v>
      </c>
      <c r="BH64" s="427" t="s">
        <v>404</v>
      </c>
      <c r="BI64" s="427" t="s">
        <v>405</v>
      </c>
      <c r="BJ64" s="427" t="s">
        <v>406</v>
      </c>
      <c r="BK64" s="427" t="s">
        <v>407</v>
      </c>
      <c r="BL64" s="427" t="s">
        <v>408</v>
      </c>
      <c r="BM64" s="427" t="s">
        <v>409</v>
      </c>
      <c r="BN64" s="427" t="s">
        <v>410</v>
      </c>
      <c r="BO64" s="449" t="s">
        <v>411</v>
      </c>
      <c r="BP64" s="427" t="s">
        <v>412</v>
      </c>
      <c r="BQ64" s="427" t="s">
        <v>413</v>
      </c>
      <c r="BR64" s="427" t="s">
        <v>414</v>
      </c>
      <c r="BS64" s="427" t="s">
        <v>415</v>
      </c>
      <c r="BT64" s="427" t="s">
        <v>416</v>
      </c>
      <c r="BU64" s="427" t="s">
        <v>417</v>
      </c>
      <c r="BV64" s="427" t="s">
        <v>418</v>
      </c>
      <c r="BW64" s="427" t="s">
        <v>419</v>
      </c>
      <c r="BX64" s="427" t="s">
        <v>420</v>
      </c>
      <c r="BY64" s="427" t="s">
        <v>421</v>
      </c>
      <c r="BZ64" s="427" t="s">
        <v>422</v>
      </c>
      <c r="CA64" s="427" t="s">
        <v>423</v>
      </c>
      <c r="CB64" s="449" t="s">
        <v>424</v>
      </c>
      <c r="CC64" s="427" t="s">
        <v>425</v>
      </c>
      <c r="CD64" s="427" t="s">
        <v>426</v>
      </c>
      <c r="CE64" s="427" t="s">
        <v>427</v>
      </c>
      <c r="CF64" s="427" t="s">
        <v>428</v>
      </c>
      <c r="CG64" s="427" t="s">
        <v>429</v>
      </c>
      <c r="CH64" s="427" t="s">
        <v>430</v>
      </c>
      <c r="CI64" s="427" t="s">
        <v>431</v>
      </c>
      <c r="CJ64" s="427" t="s">
        <v>432</v>
      </c>
      <c r="CK64" s="427" t="s">
        <v>433</v>
      </c>
      <c r="CL64" s="427" t="s">
        <v>434</v>
      </c>
      <c r="CM64" s="427" t="s">
        <v>435</v>
      </c>
      <c r="CN64" s="427" t="s">
        <v>436</v>
      </c>
      <c r="CO64" s="449" t="s">
        <v>437</v>
      </c>
    </row>
    <row r="65" spans="1:93" s="107" customFormat="1" ht="24.95" hidden="1" customHeight="1" outlineLevel="1" thickBot="1">
      <c r="A65" s="122" t="s">
        <v>245</v>
      </c>
      <c r="B65" s="125"/>
      <c r="C65" s="516">
        <f>B89</f>
        <v>0</v>
      </c>
      <c r="D65" s="516">
        <f t="shared" ref="D65" si="252">C89</f>
        <v>0</v>
      </c>
      <c r="E65" s="516">
        <f t="shared" ref="E65" si="253">D89</f>
        <v>0</v>
      </c>
      <c r="F65" s="516">
        <f t="shared" ref="F65" si="254">E89</f>
        <v>0</v>
      </c>
      <c r="G65" s="516">
        <f t="shared" ref="G65" si="255">F89</f>
        <v>0</v>
      </c>
      <c r="H65" s="516">
        <f t="shared" ref="H65" si="256">G89</f>
        <v>0</v>
      </c>
      <c r="I65" s="516">
        <f t="shared" ref="I65" si="257">H89</f>
        <v>0</v>
      </c>
      <c r="J65" s="516">
        <f t="shared" ref="J65" si="258">I89</f>
        <v>0</v>
      </c>
      <c r="K65" s="516">
        <f t="shared" ref="K65" si="259">J89</f>
        <v>0</v>
      </c>
      <c r="L65" s="516">
        <f t="shared" ref="L65" si="260">K89</f>
        <v>0</v>
      </c>
      <c r="M65" s="516">
        <f t="shared" ref="M65" si="261">L89</f>
        <v>0</v>
      </c>
      <c r="N65" s="516">
        <f t="shared" ref="N65" si="262">M89</f>
        <v>0</v>
      </c>
      <c r="O65" s="517"/>
      <c r="P65" s="516">
        <f>N89</f>
        <v>0</v>
      </c>
      <c r="Q65" s="516">
        <f t="shared" ref="Q65" si="263">P89</f>
        <v>0</v>
      </c>
      <c r="R65" s="516">
        <f t="shared" ref="R65" si="264">Q89</f>
        <v>0</v>
      </c>
      <c r="S65" s="516">
        <f t="shared" ref="S65" si="265">R89</f>
        <v>0</v>
      </c>
      <c r="T65" s="516">
        <f t="shared" ref="T65" si="266">S89</f>
        <v>0</v>
      </c>
      <c r="U65" s="516">
        <f t="shared" ref="U65" si="267">T89</f>
        <v>0</v>
      </c>
      <c r="V65" s="516">
        <f t="shared" ref="V65" si="268">U89</f>
        <v>0</v>
      </c>
      <c r="W65" s="516">
        <f t="shared" ref="W65" si="269">V89</f>
        <v>0</v>
      </c>
      <c r="X65" s="516">
        <f t="shared" ref="X65" si="270">W89</f>
        <v>0</v>
      </c>
      <c r="Y65" s="516">
        <f t="shared" ref="Y65" si="271">X89</f>
        <v>0</v>
      </c>
      <c r="Z65" s="516">
        <f t="shared" ref="Z65" si="272">Y89</f>
        <v>0</v>
      </c>
      <c r="AA65" s="516">
        <f t="shared" ref="AA65" si="273">Z89</f>
        <v>0</v>
      </c>
      <c r="AB65" s="544"/>
      <c r="AC65" s="516">
        <f>AA89</f>
        <v>0</v>
      </c>
      <c r="AD65" s="516">
        <f t="shared" ref="AD65" si="274">AC89</f>
        <v>0</v>
      </c>
      <c r="AE65" s="516">
        <f t="shared" ref="AE65" si="275">AD89</f>
        <v>0</v>
      </c>
      <c r="AF65" s="516">
        <f t="shared" ref="AF65" si="276">AE89</f>
        <v>0</v>
      </c>
      <c r="AG65" s="516">
        <f t="shared" ref="AG65" si="277">AF89</f>
        <v>0</v>
      </c>
      <c r="AH65" s="516">
        <f t="shared" ref="AH65" si="278">AG89</f>
        <v>0</v>
      </c>
      <c r="AI65" s="516">
        <f t="shared" ref="AI65" si="279">AH89</f>
        <v>0</v>
      </c>
      <c r="AJ65" s="516">
        <f t="shared" ref="AJ65" si="280">AI89</f>
        <v>0</v>
      </c>
      <c r="AK65" s="516">
        <f t="shared" ref="AK65" si="281">AJ89</f>
        <v>0</v>
      </c>
      <c r="AL65" s="516">
        <f t="shared" ref="AL65" si="282">AK89</f>
        <v>0</v>
      </c>
      <c r="AM65" s="516">
        <f t="shared" ref="AM65" si="283">AL89</f>
        <v>0</v>
      </c>
      <c r="AN65" s="516">
        <f t="shared" ref="AN65" si="284">AM89</f>
        <v>0</v>
      </c>
      <c r="AO65" s="544"/>
      <c r="AP65" s="516">
        <f>AN89</f>
        <v>0</v>
      </c>
      <c r="AQ65" s="516">
        <f t="shared" ref="AQ65" si="285">AP89</f>
        <v>0</v>
      </c>
      <c r="AR65" s="516">
        <f t="shared" ref="AR65" si="286">AQ89</f>
        <v>0</v>
      </c>
      <c r="AS65" s="516">
        <f t="shared" ref="AS65" si="287">AR89</f>
        <v>0</v>
      </c>
      <c r="AT65" s="516">
        <f t="shared" ref="AT65" si="288">AS89</f>
        <v>0</v>
      </c>
      <c r="AU65" s="516">
        <f t="shared" ref="AU65" si="289">AT89</f>
        <v>0</v>
      </c>
      <c r="AV65" s="516">
        <f t="shared" ref="AV65" si="290">AU89</f>
        <v>0</v>
      </c>
      <c r="AW65" s="516">
        <f t="shared" ref="AW65" si="291">AV89</f>
        <v>0</v>
      </c>
      <c r="AX65" s="516">
        <f t="shared" ref="AX65" si="292">AW89</f>
        <v>0</v>
      </c>
      <c r="AY65" s="516">
        <f t="shared" ref="AY65" si="293">AX89</f>
        <v>0</v>
      </c>
      <c r="AZ65" s="516">
        <f t="shared" ref="AZ65" si="294">AY89</f>
        <v>0</v>
      </c>
      <c r="BA65" s="516">
        <f t="shared" ref="BA65" si="295">AZ89</f>
        <v>0</v>
      </c>
      <c r="BB65" s="544"/>
      <c r="BC65" s="516">
        <f>BA89</f>
        <v>0</v>
      </c>
      <c r="BD65" s="516">
        <f t="shared" ref="BD65" si="296">BC89</f>
        <v>0</v>
      </c>
      <c r="BE65" s="516">
        <f t="shared" ref="BE65" si="297">BD89</f>
        <v>0</v>
      </c>
      <c r="BF65" s="516">
        <f t="shared" ref="BF65" si="298">BE89</f>
        <v>0</v>
      </c>
      <c r="BG65" s="516">
        <f t="shared" ref="BG65" si="299">BF89</f>
        <v>0</v>
      </c>
      <c r="BH65" s="516">
        <f t="shared" ref="BH65" si="300">BG89</f>
        <v>0</v>
      </c>
      <c r="BI65" s="516">
        <f t="shared" ref="BI65" si="301">BH89</f>
        <v>0</v>
      </c>
      <c r="BJ65" s="516">
        <f t="shared" ref="BJ65" si="302">BI89</f>
        <v>0</v>
      </c>
      <c r="BK65" s="516">
        <f t="shared" ref="BK65" si="303">BJ89</f>
        <v>0</v>
      </c>
      <c r="BL65" s="516">
        <f t="shared" ref="BL65" si="304">BK89</f>
        <v>0</v>
      </c>
      <c r="BM65" s="516">
        <f t="shared" ref="BM65" si="305">BL89</f>
        <v>0</v>
      </c>
      <c r="BN65" s="516">
        <f t="shared" ref="BN65" si="306">BM89</f>
        <v>0</v>
      </c>
      <c r="BO65" s="544"/>
      <c r="BP65" s="516">
        <f>BN89</f>
        <v>0</v>
      </c>
      <c r="BQ65" s="516">
        <f t="shared" ref="BQ65" si="307">BP89</f>
        <v>0</v>
      </c>
      <c r="BR65" s="516">
        <f t="shared" ref="BR65" si="308">BQ89</f>
        <v>0</v>
      </c>
      <c r="BS65" s="516">
        <f t="shared" ref="BS65" si="309">BR89</f>
        <v>0</v>
      </c>
      <c r="BT65" s="516">
        <f t="shared" ref="BT65" si="310">BS89</f>
        <v>0</v>
      </c>
      <c r="BU65" s="516">
        <f t="shared" ref="BU65" si="311">BT89</f>
        <v>0</v>
      </c>
      <c r="BV65" s="516">
        <f t="shared" ref="BV65" si="312">BU89</f>
        <v>0</v>
      </c>
      <c r="BW65" s="516">
        <f t="shared" ref="BW65" si="313">BV89</f>
        <v>0</v>
      </c>
      <c r="BX65" s="516">
        <f t="shared" ref="BX65" si="314">BW89</f>
        <v>0</v>
      </c>
      <c r="BY65" s="516">
        <f t="shared" ref="BY65" si="315">BX89</f>
        <v>0</v>
      </c>
      <c r="BZ65" s="516">
        <f t="shared" ref="BZ65" si="316">BY89</f>
        <v>0</v>
      </c>
      <c r="CA65" s="516">
        <f t="shared" ref="CA65" si="317">BZ89</f>
        <v>0</v>
      </c>
      <c r="CB65" s="544"/>
      <c r="CC65" s="516">
        <f>CA89</f>
        <v>0</v>
      </c>
      <c r="CD65" s="516">
        <f t="shared" ref="CD65" si="318">CC89</f>
        <v>0</v>
      </c>
      <c r="CE65" s="516">
        <f t="shared" ref="CE65" si="319">CD89</f>
        <v>0</v>
      </c>
      <c r="CF65" s="516">
        <f t="shared" ref="CF65" si="320">CE89</f>
        <v>0</v>
      </c>
      <c r="CG65" s="516">
        <f t="shared" ref="CG65" si="321">CF89</f>
        <v>0</v>
      </c>
      <c r="CH65" s="516">
        <f t="shared" ref="CH65" si="322">CG89</f>
        <v>0</v>
      </c>
      <c r="CI65" s="516">
        <f t="shared" ref="CI65" si="323">CH89</f>
        <v>0</v>
      </c>
      <c r="CJ65" s="516">
        <f t="shared" ref="CJ65" si="324">CI89</f>
        <v>0</v>
      </c>
      <c r="CK65" s="516">
        <f t="shared" ref="CK65" si="325">CJ89</f>
        <v>0</v>
      </c>
      <c r="CL65" s="516">
        <f t="shared" ref="CL65" si="326">CK89</f>
        <v>0</v>
      </c>
      <c r="CM65" s="516">
        <f t="shared" ref="CM65" si="327">CL89</f>
        <v>0</v>
      </c>
      <c r="CN65" s="516">
        <f t="shared" ref="CN65" si="328">CM89</f>
        <v>0</v>
      </c>
      <c r="CO65" s="544"/>
    </row>
    <row r="66" spans="1:93" s="107" customFormat="1" ht="24.95" hidden="1" customHeight="1" outlineLevel="1">
      <c r="A66" s="123" t="s">
        <v>330</v>
      </c>
      <c r="B66" s="116"/>
      <c r="C66" s="116"/>
      <c r="D66" s="116"/>
      <c r="E66" s="116"/>
      <c r="F66" s="116"/>
      <c r="G66" s="116"/>
      <c r="H66" s="116"/>
      <c r="I66" s="116"/>
      <c r="J66" s="116"/>
      <c r="K66" s="116"/>
      <c r="L66" s="116"/>
      <c r="M66" s="116"/>
      <c r="N66" s="116"/>
      <c r="O66" s="117"/>
      <c r="P66" s="116"/>
      <c r="Q66" s="116"/>
      <c r="R66" s="116"/>
      <c r="S66" s="116"/>
      <c r="T66" s="116"/>
      <c r="U66" s="116"/>
      <c r="V66" s="116"/>
      <c r="W66" s="116"/>
      <c r="X66" s="116"/>
      <c r="Y66" s="116"/>
      <c r="Z66" s="116"/>
      <c r="AA66" s="116"/>
      <c r="AB66" s="445"/>
      <c r="AC66" s="116"/>
      <c r="AD66" s="116"/>
      <c r="AE66" s="116"/>
      <c r="AF66" s="116"/>
      <c r="AG66" s="116"/>
      <c r="AH66" s="116"/>
      <c r="AI66" s="116"/>
      <c r="AJ66" s="116"/>
      <c r="AK66" s="116"/>
      <c r="AL66" s="116"/>
      <c r="AM66" s="116"/>
      <c r="AN66" s="116"/>
      <c r="AO66" s="445"/>
      <c r="AP66" s="116"/>
      <c r="AQ66" s="116"/>
      <c r="AR66" s="116"/>
      <c r="AS66" s="116"/>
      <c r="AT66" s="116"/>
      <c r="AU66" s="116"/>
      <c r="AV66" s="116"/>
      <c r="AW66" s="116"/>
      <c r="AX66" s="116"/>
      <c r="AY66" s="116"/>
      <c r="AZ66" s="116"/>
      <c r="BA66" s="116"/>
      <c r="BB66" s="445"/>
      <c r="BC66" s="116"/>
      <c r="BD66" s="116"/>
      <c r="BE66" s="116"/>
      <c r="BF66" s="116"/>
      <c r="BG66" s="116"/>
      <c r="BH66" s="116"/>
      <c r="BI66" s="116"/>
      <c r="BJ66" s="116"/>
      <c r="BK66" s="116"/>
      <c r="BL66" s="116"/>
      <c r="BM66" s="116"/>
      <c r="BN66" s="116"/>
      <c r="BO66" s="445"/>
      <c r="BP66" s="116"/>
      <c r="BQ66" s="116"/>
      <c r="BR66" s="116"/>
      <c r="BS66" s="116"/>
      <c r="BT66" s="116"/>
      <c r="BU66" s="116"/>
      <c r="BV66" s="116"/>
      <c r="BW66" s="116"/>
      <c r="BX66" s="116"/>
      <c r="BY66" s="116"/>
      <c r="BZ66" s="116"/>
      <c r="CA66" s="116"/>
      <c r="CB66" s="445"/>
      <c r="CC66" s="116"/>
      <c r="CD66" s="116"/>
      <c r="CE66" s="116"/>
      <c r="CF66" s="116"/>
      <c r="CG66" s="116"/>
      <c r="CH66" s="116"/>
      <c r="CI66" s="116"/>
      <c r="CJ66" s="116"/>
      <c r="CK66" s="116"/>
      <c r="CL66" s="116"/>
      <c r="CM66" s="116"/>
      <c r="CN66" s="116"/>
      <c r="CO66" s="445"/>
    </row>
    <row r="67" spans="1:93" s="104" customFormat="1" ht="24.95" hidden="1" customHeight="1" outlineLevel="1">
      <c r="A67" s="124" t="s">
        <v>331</v>
      </c>
      <c r="B67" s="518"/>
      <c r="C67" s="518">
        <f>SUMPRODUCT('Sales, Production, &amp; Other Assu'!$D$19:$D$48*'Scenario Analysis'!$B$6,Table17[Unit Price in Study Currency]*(1+'Scenario Analysis'!$D$6)*(1+'Scenario Analysis'!$C$6)*'Scenario Analysis'!$E$14)</f>
        <v>0</v>
      </c>
      <c r="D67" s="518">
        <f>SUMPRODUCT('Sales, Production, &amp; Other Assu'!$E$19:$E$48*'Scenario Analysis'!$B$6,Table17[Unit Price in Study Currency]*(1+'Scenario Analysis'!$D$6)*(1+'Scenario Analysis'!$C$6)*'Scenario Analysis'!$E$14)+SUMPRODUCT('Sales, Production, &amp; Other Assu'!$D$19:$D$48*'Scenario Analysis'!$B$6,Table17[Unit Price in Study Currency]*(1+'Scenario Analysis'!$D$6)*(1+'Scenario Analysis'!$C$6)*'Scenario Analysis'!$E$15)</f>
        <v>308745</v>
      </c>
      <c r="E67" s="518">
        <f>SUMPRODUCT('Sales, Production, &amp; Other Assu'!$F$19:$F$48*'Scenario Analysis'!$B$6,Table17[Unit Price in Study Currency]*(1+'Scenario Analysis'!$D$6)*(1+'Scenario Analysis'!$C$6)*'Scenario Analysis'!$E$14)+SUMPRODUCT('Sales, Production, &amp; Other Assu'!$E$19:$E$48*'Scenario Analysis'!$B$6,Table17[Unit Price in Study Currency]*(1+'Scenario Analysis'!$D$6)*(1+'Scenario Analysis'!$C$6)*'Scenario Analysis'!$E$15)+SUMPRODUCT('Sales, Production, &amp; Other Assu'!$D$19:$D$48*'Scenario Analysis'!$B$6,Table17[Unit Price in Study Currency]*(1+'Scenario Analysis'!$D$6)*(1+'Scenario Analysis'!$C$6)*'Scenario Analysis'!$E$16)</f>
        <v>617490</v>
      </c>
      <c r="F67" s="518">
        <f>SUMPRODUCT('Sales, Production, &amp; Other Assu'!$G$19:$G$48*'Scenario Analysis'!$B$6,Table17[Unit Price in Study Currency]*(1+'Scenario Analysis'!$D$6)*(1+'Scenario Analysis'!$C$6)*'Scenario Analysis'!$E$14)+SUMPRODUCT('Sales, Production, &amp; Other Assu'!$F$19:$F$48*'Scenario Analysis'!$B$6,Table17[Unit Price in Study Currency]*(1+'Scenario Analysis'!$D$6)*(1+'Scenario Analysis'!$C$6)*'Scenario Analysis'!$E$15)+SUMPRODUCT('Sales, Production, &amp; Other Assu'!$E$19:$E$48*'Scenario Analysis'!$B$6,Table17[Unit Price in Study Currency]*(1+'Scenario Analysis'!$D$6)*(1+'Scenario Analysis'!$C$6)*'Scenario Analysis'!$E$16)+SUMPRODUCT('Sales, Production, &amp; Other Assu'!$D$19:$D$48*'Scenario Analysis'!$B$6,Table17[Unit Price in Study Currency]*(1+'Scenario Analysis'!$D$6)*(1+'Scenario Analysis'!$C$6)*'Scenario Analysis'!$E$17)</f>
        <v>617490</v>
      </c>
      <c r="G67" s="518">
        <f>SUMPRODUCT('Sales, Production, &amp; Other Assu'!$H$19:$H$48*'Scenario Analysis'!$B$6,Table17[Unit Price in Study Currency]*(1+'Scenario Analysis'!$D$6)*(1+'Scenario Analysis'!$C$6)*'Scenario Analysis'!$E$14)+SUMPRODUCT('Sales, Production, &amp; Other Assu'!$G$19:$G$48*'Scenario Analysis'!$B$6,Table17[Unit Price in Study Currency]*(1+'Scenario Analysis'!$D$6)*(1+'Scenario Analysis'!$C$6)*'Scenario Analysis'!$E$15)+SUMPRODUCT('Sales, Production, &amp; Other Assu'!$F$19:$F$48*'Scenario Analysis'!$B$6,Table17[Unit Price in Study Currency]*(1+'Scenario Analysis'!$D$6)*(1+'Scenario Analysis'!$C$6)*'Scenario Analysis'!$E$16)+SUMPRODUCT('Sales, Production, &amp; Other Assu'!$E$19:$E$48*'Scenario Analysis'!$B$6,Table17[Unit Price in Study Currency]*(1+'Scenario Analysis'!$D$6)*(1+'Scenario Analysis'!$C$6)*'Scenario Analysis'!$E$17)+SUMPRODUCT('Sales, Production, &amp; Other Assu'!$D$19:$D$48*'Scenario Analysis'!$B$6,Table17[Unit Price in Study Currency]*(1+'Scenario Analysis'!$D$6)*(1+'Scenario Analysis'!$C$6)*'Scenario Analysis'!$E$18)</f>
        <v>617490</v>
      </c>
      <c r="H67" s="518">
        <f>SUMPRODUCT('Sales, Production, &amp; Other Assu'!$I$19:$I$48*'Scenario Analysis'!$B$6,Table17[Unit Price in Study Currency]*(1+'Scenario Analysis'!$D$6)*(1+'Scenario Analysis'!$C$6)*'Scenario Analysis'!$E$14)+SUMPRODUCT('Sales, Production, &amp; Other Assu'!$H$19:$H$48*'Scenario Analysis'!$B$6,Table17[Unit Price in Study Currency]*(1+'Scenario Analysis'!$D$6)*(1+'Scenario Analysis'!$C$6)*'Scenario Analysis'!$E$15)+SUMPRODUCT('Sales, Production, &amp; Other Assu'!$G$19:$G$48*'Scenario Analysis'!$B$6,Table17[Unit Price in Study Currency]*(1+'Scenario Analysis'!$D$6)*(1+'Scenario Analysis'!$C$6)*'Scenario Analysis'!$E$16)+SUMPRODUCT('Sales, Production, &amp; Other Assu'!$F$19:$F$48*'Scenario Analysis'!$B$6,Table17[Unit Price in Study Currency]*(1+'Scenario Analysis'!$D$6)*(1+'Scenario Analysis'!$C$6)*'Scenario Analysis'!$E$17)+SUMPRODUCT('Sales, Production, &amp; Other Assu'!$E$19:$E$48*'Scenario Analysis'!$B$6,Table17[Unit Price in Study Currency]*(1+'Scenario Analysis'!$D$6)*(1+'Scenario Analysis'!$C$6)*'Scenario Analysis'!$E$18)+SUMPRODUCT('Sales, Production, &amp; Other Assu'!$D$19:$D$48*'Scenario Analysis'!$B$6,Table17[Unit Price in Study Currency]*(1+'Scenario Analysis'!$D$6)*(1+'Scenario Analysis'!$C$5)*'Scenario Analysis'!$E$19)</f>
        <v>617490</v>
      </c>
      <c r="I67" s="518">
        <f>SUMPRODUCT('Sales, Production, &amp; Other Assu'!$J$19:$J$48*'Scenario Analysis'!$B$6,Table17[Unit Price in Study Currency]*(1+'Scenario Analysis'!$D$6)*(1+'Scenario Analysis'!$C$6)*'Scenario Analysis'!$E$14)+SUMPRODUCT('Sales, Production, &amp; Other Assu'!$I$19:$I$48*'Scenario Analysis'!$B$6,Table17[Unit Price in Study Currency]*(1+'Scenario Analysis'!$D$6)*(1+'Scenario Analysis'!$C$6)*'Scenario Analysis'!$E$15)+SUMPRODUCT('Sales, Production, &amp; Other Assu'!$H$19:$H$48*'Scenario Analysis'!$B$6,Table17[Unit Price in Study Currency]*(1+'Scenario Analysis'!$D$6)*(1+'Scenario Analysis'!$C$6)*'Scenario Analysis'!$E$16)+SUMPRODUCT('Sales, Production, &amp; Other Assu'!$G$19:$G$48*'Scenario Analysis'!$B$6,Table17[Unit Price in Study Currency]*(1+'Scenario Analysis'!$D$6)*(1+'Scenario Analysis'!$C$6)*'Scenario Analysis'!$E$17)+SUMPRODUCT('Sales, Production, &amp; Other Assu'!$F$19:$F$48*'Scenario Analysis'!$B$6,Table17[Unit Price in Study Currency]*(1+'Scenario Analysis'!$D$6)*(1+'Scenario Analysis'!$C$6)*'Scenario Analysis'!$E$18)+SUMPRODUCT('Sales, Production, &amp; Other Assu'!$E$19:$E$48*'Scenario Analysis'!$B$6,Table17[Unit Price in Study Currency]*(1+'Scenario Analysis'!$D$6)*(1+'Scenario Analysis'!$C$6)*'Scenario Analysis'!$E$19)</f>
        <v>617490</v>
      </c>
      <c r="J67" s="518">
        <f>SUMPRODUCT('Sales, Production, &amp; Other Assu'!$K$19:$K$48*'Scenario Analysis'!$B$6,Table17[Unit Price in Study Currency]*(1+'Scenario Analysis'!$D$6)*(1+'Scenario Analysis'!$C$6)*'Scenario Analysis'!$E$14)+SUMPRODUCT('Sales, Production, &amp; Other Assu'!$J$19:$J$48*'Scenario Analysis'!$B$6,Table17[Unit Price in Study Currency]*(1+'Scenario Analysis'!$D$6)*(1+'Scenario Analysis'!$C$6)*'Scenario Analysis'!$E$15)+SUMPRODUCT('Sales, Production, &amp; Other Assu'!$I$19:$I$48*'Scenario Analysis'!$B$6,Table17[Unit Price in Study Currency]*(1+'Scenario Analysis'!$D$6)*(1+'Scenario Analysis'!$C$6)*'Scenario Analysis'!$E$16)+SUMPRODUCT('Sales, Production, &amp; Other Assu'!$H$19:$H$48*'Scenario Analysis'!$B$6,Table17[Unit Price in Study Currency]*(1+'Scenario Analysis'!$D$6)*(1+'Scenario Analysis'!$C$6)*'Scenario Analysis'!$E$17)+SUMPRODUCT('Sales, Production, &amp; Other Assu'!$G$19:$G$48*'Scenario Analysis'!$B$6,Table17[Unit Price in Study Currency]*(1+'Scenario Analysis'!$D$6)*(1+'Scenario Analysis'!$C$6)*'Scenario Analysis'!$E$18)+SUMPRODUCT('Sales, Production, &amp; Other Assu'!$F$19:$F$48*'Scenario Analysis'!$B$6,Table17[Unit Price in Study Currency]*(1+'Scenario Analysis'!$D$6)*(1+'Scenario Analysis'!$C$6)*'Scenario Analysis'!$E$19)</f>
        <v>617490</v>
      </c>
      <c r="K67" s="518">
        <f>SUMPRODUCT('Sales, Production, &amp; Other Assu'!$L$19:$L$48*'Scenario Analysis'!$B$6,Table17[Unit Price in Study Currency]*(1+'Scenario Analysis'!$D$6)*(1+'Scenario Analysis'!$C$6)*'Scenario Analysis'!$E$14)+SUMPRODUCT('Sales, Production, &amp; Other Assu'!$K$19:$K$48*'Scenario Analysis'!$B$6,Table17[Unit Price in Study Currency]*(1+'Scenario Analysis'!$D$6)*(1+'Scenario Analysis'!$C$6)*'Scenario Analysis'!$E$15)+SUMPRODUCT('Sales, Production, &amp; Other Assu'!$J$19:$J$48*'Scenario Analysis'!$B$6,Table17[Unit Price in Study Currency]*(1+'Scenario Analysis'!$D$6)*(1+'Scenario Analysis'!$C$6)*'Scenario Analysis'!$E$16)+SUMPRODUCT('Sales, Production, &amp; Other Assu'!$I$19:$I$48*'Scenario Analysis'!$B$6,Table17[Unit Price in Study Currency]*(1+'Scenario Analysis'!$D$6)*(1+'Scenario Analysis'!$C$6)*'Scenario Analysis'!$E$17)+SUMPRODUCT('Sales, Production, &amp; Other Assu'!$H$19:$H$48*'Scenario Analysis'!$B$6,Table17[Unit Price in Study Currency]*(1+'Scenario Analysis'!$D$6)*(1+'Scenario Analysis'!$C$6)*'Scenario Analysis'!$E$18)+SUMPRODUCT('Sales, Production, &amp; Other Assu'!$G$19:$G$48*'Scenario Analysis'!$B$6,Table17[Unit Price in Study Currency]*(1+'Scenario Analysis'!$D$6)*(1+'Scenario Analysis'!$C$6)*'Scenario Analysis'!$E$19)</f>
        <v>617490</v>
      </c>
      <c r="L67" s="518">
        <f>SUMPRODUCT('Sales, Production, &amp; Other Assu'!$M$19:$M$48*'Scenario Analysis'!$B$6,Table17[Unit Price in Study Currency]*(1+'Scenario Analysis'!$D$6)*(1+'Scenario Analysis'!$C$6)*'Scenario Analysis'!$E$14)+SUMPRODUCT('Sales, Production, &amp; Other Assu'!$L$19:$L$48*'Scenario Analysis'!$B$6,Table17[Unit Price in Study Currency]*(1+'Scenario Analysis'!$D$6)*(1+'Scenario Analysis'!$C$6)*'Scenario Analysis'!$E$15)+SUMPRODUCT('Sales, Production, &amp; Other Assu'!$K$19:$K$48*'Scenario Analysis'!$B$6,Table17[Unit Price in Study Currency]*(1+'Scenario Analysis'!$D$6)*(1+'Scenario Analysis'!$C$6)*'Scenario Analysis'!$E$16)+SUMPRODUCT('Sales, Production, &amp; Other Assu'!$J$19:$J$48*'Scenario Analysis'!$B$6,Table17[Unit Price in Study Currency]*(1+'Scenario Analysis'!$D$6)*(1+'Scenario Analysis'!$C$6)*'Scenario Analysis'!$E$17)+SUMPRODUCT('Sales, Production, &amp; Other Assu'!$I$19:$I$48*'Scenario Analysis'!$B$6,Table17[Unit Price in Study Currency]*(1+'Scenario Analysis'!$D$6)*(1+'Scenario Analysis'!$C$6)*'Scenario Analysis'!$E$18)+SUMPRODUCT('Sales, Production, &amp; Other Assu'!$H$19:$H$48*'Scenario Analysis'!$B$6,Table17[Unit Price in Study Currency]*(1+'Scenario Analysis'!$D$6)*(1+'Scenario Analysis'!$C$6)*'Scenario Analysis'!$E$19)</f>
        <v>617490</v>
      </c>
      <c r="M67" s="518">
        <f>SUMPRODUCT('Sales, Production, &amp; Other Assu'!$N$19:$N$48*'Scenario Analysis'!$B$6,Table17[Unit Price in Study Currency]*(1+'Scenario Analysis'!$D$6)*(1+'Scenario Analysis'!$C$6)*'Scenario Analysis'!$E$14)+SUMPRODUCT('Sales, Production, &amp; Other Assu'!$M$19:$M$48*'Scenario Analysis'!$B$6,Table17[Unit Price in Study Currency]*(1+'Scenario Analysis'!$D$6)*(1+'Scenario Analysis'!$C$6)*'Scenario Analysis'!$E$15)+SUMPRODUCT('Sales, Production, &amp; Other Assu'!$L$19:$L$48*'Scenario Analysis'!$B$6,Table17[Unit Price in Study Currency]*(1+'Scenario Analysis'!$D$6)*(1+'Scenario Analysis'!$C$6)*'Scenario Analysis'!$E$16)+SUMPRODUCT('Sales, Production, &amp; Other Assu'!$K$19:$K$48*'Scenario Analysis'!$B$6,Table17[Unit Price in Study Currency]*(1+'Scenario Analysis'!$D$6)*(1+'Scenario Analysis'!$C$6)*'Scenario Analysis'!$E$17)+SUMPRODUCT('Sales, Production, &amp; Other Assu'!$J$19:$J$48*'Scenario Analysis'!$B$6,Table17[Unit Price in Study Currency]*(1+'Scenario Analysis'!$D$6)*(1+'Scenario Analysis'!$C$6)*'Scenario Analysis'!$E$18)+SUMPRODUCT('Sales, Production, &amp; Other Assu'!$I$19:$I$48*'Scenario Analysis'!$B$6,Table17[Unit Price in Study Currency]*(1+'Scenario Analysis'!$D$6)*(1+'Scenario Analysis'!$C$6)*'Scenario Analysis'!$E$19)</f>
        <v>617490</v>
      </c>
      <c r="N67" s="518">
        <f>SUMPRODUCT('Sales, Production, &amp; Other Assu'!$O$19:$O$48*'Scenario Analysis'!$B$6,Table17[Unit Price in Study Currency]*(1+'Scenario Analysis'!$D$6)*(1+'Scenario Analysis'!$C$6)*'Scenario Analysis'!$E$14)+SUMPRODUCT('Sales, Production, &amp; Other Assu'!$N$19:$N$48*'Scenario Analysis'!$B$6,Table17[Unit Price in Study Currency]*(1+'Scenario Analysis'!$D$6)*(1+'Scenario Analysis'!$C$6)*'Scenario Analysis'!$E$15)+SUMPRODUCT('Sales, Production, &amp; Other Assu'!$M$19:$M$48*'Scenario Analysis'!$B$6,Table17[Unit Price in Study Currency]*(1+'Scenario Analysis'!$D$6)*(1+'Scenario Analysis'!$C$6)*'Scenario Analysis'!$E$16)+SUMPRODUCT('Sales, Production, &amp; Other Assu'!$L$19:$L$48*'Scenario Analysis'!$B$6,Table17[Unit Price in Study Currency]*(1+'Scenario Analysis'!$D$6)*(1+'Scenario Analysis'!$C$6)*'Scenario Analysis'!$E$17)+SUMPRODUCT('Sales, Production, &amp; Other Assu'!$K$19:$K$48*'Scenario Analysis'!$B$6,Table17[Unit Price in Study Currency]*(1+'Scenario Analysis'!$D$6)*(1+'Scenario Analysis'!$C$6)*'Scenario Analysis'!$E$18)+SUMPRODUCT('Sales, Production, &amp; Other Assu'!$J$19:$J$48*'Scenario Analysis'!$B$6,Table17[Unit Price in Study Currency]*(1+'Scenario Analysis'!$D$6)*(1+'Scenario Analysis'!$C$6)*'Scenario Analysis'!$E$19)</f>
        <v>617490</v>
      </c>
      <c r="O67" s="519">
        <f>SUM('Cashflow Projection &amp; Investme'!$B67:$N67)</f>
        <v>6483645</v>
      </c>
      <c r="P67" s="518">
        <f>SUMPRODUCT('Sales, Production, &amp; Other Assu'!$Q$19:$Q$48*'Scenario Analysis'!$B$6,Table17[Unit Price in Study Currency]*(1+'Scenario Analysis'!$D$6)*(1+'Scenario Analysis'!$C$6)*'Scenario Analysis'!$E$14)+SUMPRODUCT('Sales, Production, &amp; Other Assu'!$O$19:$O$48*'Scenario Analysis'!$B$6,Table17[Unit Price in Study Currency]*(1+'Scenario Analysis'!$D$6)*(1+'Scenario Analysis'!$C$6)*'Scenario Analysis'!$E$15)+SUMPRODUCT('Sales, Production, &amp; Other Assu'!$N$19:$N$48*'Scenario Analysis'!$B$6,Table17[Unit Price in Study Currency]*(1+'Scenario Analysis'!$D$6)*(1+'Scenario Analysis'!$C$6)*'Scenario Analysis'!$E$16)+SUMPRODUCT('Sales, Production, &amp; Other Assu'!$M$19:$M$48*'Scenario Analysis'!$B$6,Table17[Unit Price in Study Currency]*(1+'Scenario Analysis'!$D$6)*(1+'Scenario Analysis'!$C$6)*'Scenario Analysis'!$E$17)+SUMPRODUCT('Sales, Production, &amp; Other Assu'!$L$19:$L$48*'Scenario Analysis'!$B$6,Table17[Unit Price in Study Currency]*(1+'Scenario Analysis'!$D$6)*(1+'Scenario Analysis'!$C$6)*'Scenario Analysis'!$E$18)+SUMPRODUCT('Sales, Production, &amp; Other Assu'!$J$19:$J$48*'Scenario Analysis'!$B$6,Table17[Unit Price in Study Currency]*(1+'Scenario Analysis'!$D$6)*(1+'Scenario Analysis'!$C$6)*'Scenario Analysis'!$E$19)</f>
        <v>617490</v>
      </c>
      <c r="Q67" s="518">
        <f>SUMPRODUCT('Sales, Production, &amp; Other Assu'!R19:R48*'Scenario Analysis'!$B$6,Table17[Unit Price in Study Currency]*(1+'Scenario Analysis'!$D$6)*(1+'Scenario Analysis'!$C$6)*'Scenario Analysis'!$E$14)+SUMPRODUCT('Sales, Production, &amp; Other Assu'!Q19:Q48*'Scenario Analysis'!$B$6,Table17[Unit Price in Study Currency]*(1+'Scenario Analysis'!$D$6)*(1+'Scenario Analysis'!$C$6)*'Scenario Analysis'!$E$15)+SUMPRODUCT('Sales, Production, &amp; Other Assu'!O19:O48*'Scenario Analysis'!$B$6,Table17[Unit Price in Study Currency]*(1+'Scenario Analysis'!$D$6)*(1+'Scenario Analysis'!$C$6)*'Scenario Analysis'!$E$16)+SUMPRODUCT('Sales, Production, &amp; Other Assu'!N19:N48*'Scenario Analysis'!$B$6,Table17[Unit Price in Study Currency]*(1+'Scenario Analysis'!$D$6)*(1+'Scenario Analysis'!$C$6)*'Scenario Analysis'!$E$17)+SUMPRODUCT('Sales, Production, &amp; Other Assu'!M19:M48*'Scenario Analysis'!$B$6,Table17[Unit Price in Study Currency]*(1+'Scenario Analysis'!$D$6)*(1+'Scenario Analysis'!$C$6)*'Scenario Analysis'!$E$18)+SUMPRODUCT('Sales, Production, &amp; Other Assu'!L19:L48*'Scenario Analysis'!$B$6,Table17[Unit Price in Study Currency]*(1+'Scenario Analysis'!$D$6)*(1+'Scenario Analysis'!$C$6)*'Scenario Analysis'!$E$19)</f>
        <v>668741.66999999993</v>
      </c>
      <c r="R67" s="518">
        <f>SUMPRODUCT('Sales, Production, &amp; Other Assu'!S19:S48*'Scenario Analysis'!$B$6,Table17[Unit Price in Study Currency]*(1+'Scenario Analysis'!$D$6)*(1+'Scenario Analysis'!$C$6)*'Scenario Analysis'!$E$14)+SUMPRODUCT('Sales, Production, &amp; Other Assu'!R19:R48*'Scenario Analysis'!$B$6,Table17[Unit Price in Study Currency]*(1+'Scenario Analysis'!$D$6)*(1+'Scenario Analysis'!$C$6)*'Scenario Analysis'!$E$15)+SUMPRODUCT('Sales, Production, &amp; Other Assu'!Q19:Q48*'Scenario Analysis'!$B$6,Table17[Unit Price in Study Currency]*(1+'Scenario Analysis'!$D$6)*(1+'Scenario Analysis'!$C$6)*'Scenario Analysis'!$E$16)+SUMPRODUCT('Sales, Production, &amp; Other Assu'!O19:O48*'Scenario Analysis'!$B$6,Table17[Unit Price in Study Currency]*(1+'Scenario Analysis'!$D$6)*(1+'Scenario Analysis'!$C$6)*'Scenario Analysis'!$E$17)+SUMPRODUCT('Sales, Production, &amp; Other Assu'!N19:N48*'Scenario Analysis'!$B$6,Table17[Unit Price in Study Currency]*(1+'Scenario Analysis'!$D$6)*(1+'Scenario Analysis'!$C$6)*'Scenario Analysis'!$E$18)+SUMPRODUCT('Sales, Production, &amp; Other Assu'!M19:M48*'Scenario Analysis'!$B$6,Table17[Unit Price in Study Currency]*(1+'Scenario Analysis'!$D$6)*(1+'Scenario Analysis'!$C$6)*'Scenario Analysis'!$E$19)</f>
        <v>719993.34</v>
      </c>
      <c r="S67" s="518">
        <f>SUMPRODUCT('Sales, Production, &amp; Other Assu'!T19:T48*'Scenario Analysis'!$B$6,Table17[Unit Price in Study Currency]*(1+'Scenario Analysis'!$D$6)*(1+'Scenario Analysis'!$C$6)*'Scenario Analysis'!$E$14)+SUMPRODUCT('Sales, Production, &amp; Other Assu'!S19:S48*'Scenario Analysis'!$B$6,Table17[Unit Price in Study Currency]*(1+'Scenario Analysis'!$D$6)*(1+'Scenario Analysis'!$C$6)*'Scenario Analysis'!$E$15)+SUMPRODUCT('Sales, Production, &amp; Other Assu'!R19:R48*'Scenario Analysis'!$B$6,Table17[Unit Price in Study Currency]*(1+'Scenario Analysis'!$D$6)*(1+'Scenario Analysis'!$C$6)*'Scenario Analysis'!$E$16)+SUMPRODUCT('Sales, Production, &amp; Other Assu'!Q19:Q48*'Scenario Analysis'!$B$6,Table17[Unit Price in Study Currency]*(1+'Scenario Analysis'!$D$6)*(1+'Scenario Analysis'!$C$6)*'Scenario Analysis'!$E$17)+SUMPRODUCT('Sales, Production, &amp; Other Assu'!O19:O48*'Scenario Analysis'!$B$6,Table17[Unit Price in Study Currency]*(1+'Scenario Analysis'!$D$6)*(1+'Scenario Analysis'!$C$6)*'Scenario Analysis'!$E$18)+SUMPRODUCT('Sales, Production, &amp; Other Assu'!N19:N48*'Scenario Analysis'!$B$6,Table17[Unit Price in Study Currency]*(1+'Scenario Analysis'!$D$6)*(1+'Scenario Analysis'!$C$6)*'Scenario Analysis'!$E$19)</f>
        <v>719993.34</v>
      </c>
      <c r="T67" s="518">
        <f>SUMPRODUCT('Sales, Production, &amp; Other Assu'!U19:U48*'Scenario Analysis'!$B$6,Table17[Unit Price in Study Currency]*(1+'Scenario Analysis'!$D$6)*(1+'Scenario Analysis'!$C$6)*'Scenario Analysis'!$E$14)+SUMPRODUCT('Sales, Production, &amp; Other Assu'!T19:T48*'Scenario Analysis'!$B$6,Table17[Unit Price in Study Currency]*(1+'Scenario Analysis'!$D$6)*(1+'Scenario Analysis'!$C$6)*'Scenario Analysis'!$E$15)+SUMPRODUCT('Sales, Production, &amp; Other Assu'!S19:S48*'Scenario Analysis'!$B$6,Table17[Unit Price in Study Currency]*(1+'Scenario Analysis'!$D$6)*(1+'Scenario Analysis'!$C$6)*'Scenario Analysis'!$E$16)+SUMPRODUCT('Sales, Production, &amp; Other Assu'!R19:R48*'Scenario Analysis'!$B$6,Table17[Unit Price in Study Currency]*(1+'Scenario Analysis'!$D$6)*(1+'Scenario Analysis'!$C$6)*'Scenario Analysis'!$E$17)+SUMPRODUCT('Sales, Production, &amp; Other Assu'!Q19:Q48*'Scenario Analysis'!$B$6,Table17[Unit Price in Study Currency]*(1+'Scenario Analysis'!$D$6)*(1+'Scenario Analysis'!$C$6)*'Scenario Analysis'!$E$18)+SUMPRODUCT('Sales, Production, &amp; Other Assu'!O19:O48*'Scenario Analysis'!$B$6,Table17[Unit Price in Study Currency]*(1+'Scenario Analysis'!$D$6)*(1+'Scenario Analysis'!$C$6)*'Scenario Analysis'!$E$19)</f>
        <v>719993.34</v>
      </c>
      <c r="U67" s="518">
        <f>SUMPRODUCT('Sales, Production, &amp; Other Assu'!V19:V48*'Scenario Analysis'!$B$6,Table17[Unit Price in Study Currency]*(1+'Scenario Analysis'!$D$6)*(1+'Scenario Analysis'!$C$6)*'Scenario Analysis'!$E$14)+SUMPRODUCT('Sales, Production, &amp; Other Assu'!U19:U48*'Scenario Analysis'!$B$6,Table17[Unit Price in Study Currency]*(1+'Scenario Analysis'!$D$6)*(1+'Scenario Analysis'!$C$6)*'Scenario Analysis'!$E$15)+SUMPRODUCT('Sales, Production, &amp; Other Assu'!T19:T48*'Scenario Analysis'!$B$6,Table17[Unit Price in Study Currency]*(1+'Scenario Analysis'!$D$6)*(1+'Scenario Analysis'!$C$6)*'Scenario Analysis'!$E$16)+SUMPRODUCT('Sales, Production, &amp; Other Assu'!S19:S48*'Scenario Analysis'!$B$6,Table17[Unit Price in Study Currency]*(1+'Scenario Analysis'!$D$6)*(1+'Scenario Analysis'!$C$6)*'Scenario Analysis'!$E$17)+SUMPRODUCT('Sales, Production, &amp; Other Assu'!R19:R48*'Scenario Analysis'!$B$6,Table17[Unit Price in Study Currency]*(1+'Scenario Analysis'!$D$6)*(1+'Scenario Analysis'!$C$6)*'Scenario Analysis'!$E$18)+SUMPRODUCT('Sales, Production, &amp; Other Assu'!Q19:Q48*'Scenario Analysis'!$B$6,Table17[Unit Price in Study Currency]*(1+'Scenario Analysis'!$D$6)*(1+'Scenario Analysis'!$C$6)*'Scenario Analysis'!$E$19)</f>
        <v>719993.34</v>
      </c>
      <c r="V67" s="518">
        <f>SUMPRODUCT('Sales, Production, &amp; Other Assu'!W19:W48*'Scenario Analysis'!$B$6,Table17[Unit Price in Study Currency]*(1+'Scenario Analysis'!$D$6)*(1+'Scenario Analysis'!$C$6)*'Scenario Analysis'!$E$14)+SUMPRODUCT('Sales, Production, &amp; Other Assu'!V19:V48*'Scenario Analysis'!$B$6,Table17[Unit Price in Study Currency]*(1+'Scenario Analysis'!$D$6)*(1+'Scenario Analysis'!$C$6)*'Scenario Analysis'!$E$15)+SUMPRODUCT('Sales, Production, &amp; Other Assu'!U19:U48*'Scenario Analysis'!$B$6,Table17[Unit Price in Study Currency]*(1+'Scenario Analysis'!$D$6)*(1+'Scenario Analysis'!$C$6)*'Scenario Analysis'!$E$16)+SUMPRODUCT('Sales, Production, &amp; Other Assu'!T19:T48*'Scenario Analysis'!$B$6,Table17[Unit Price in Study Currency]*(1+'Scenario Analysis'!$D$6)*(1+'Scenario Analysis'!$C$6)*'Scenario Analysis'!$E$17)+SUMPRODUCT('Sales, Production, &amp; Other Assu'!S19:S48*'Scenario Analysis'!$B$6,Table17[Unit Price in Study Currency]*(1+'Scenario Analysis'!$D$6)*(1+'Scenario Analysis'!$C$6)*'Scenario Analysis'!$E$18)+SUMPRODUCT('Sales, Production, &amp; Other Assu'!R19:R48*'Scenario Analysis'!$B$6,Table17[Unit Price in Study Currency]*(1+'Scenario Analysis'!$D$6)*(1+'Scenario Analysis'!$C$6)*'Scenario Analysis'!$E$19)</f>
        <v>719993.34</v>
      </c>
      <c r="W67" s="518">
        <f>SUMPRODUCT('Sales, Production, &amp; Other Assu'!X19:X48*'Scenario Analysis'!$B$6,Table17[Unit Price in Study Currency]*(1+'Scenario Analysis'!$D$6)*(1+'Scenario Analysis'!$C$6)*'Scenario Analysis'!$E$14)+SUMPRODUCT('Sales, Production, &amp; Other Assu'!W19:W48*'Scenario Analysis'!$B$6,Table17[Unit Price in Study Currency]*(1+'Scenario Analysis'!$D$6)*(1+'Scenario Analysis'!$C$6)*'Scenario Analysis'!$E$15)+SUMPRODUCT('Sales, Production, &amp; Other Assu'!V19:V48*'Scenario Analysis'!$B$6,Table17[Unit Price in Study Currency]*(1+'Scenario Analysis'!$D$6)*(1+'Scenario Analysis'!$C$6)*'Scenario Analysis'!$E$16)+SUMPRODUCT('Sales, Production, &amp; Other Assu'!U19:U48*'Scenario Analysis'!$B$6,Table17[Unit Price in Study Currency]*(1+'Scenario Analysis'!$D$6)*(1+'Scenario Analysis'!$C$6)*'Scenario Analysis'!$E$17)+SUMPRODUCT('Sales, Production, &amp; Other Assu'!T19:T48*'Scenario Analysis'!$B$6,Table17[Unit Price in Study Currency]*(1+'Scenario Analysis'!$D$6)*(1+'Scenario Analysis'!$C$6)*'Scenario Analysis'!$E$18)+SUMPRODUCT('Sales, Production, &amp; Other Assu'!S19:S48*'Scenario Analysis'!$B$6,Table17[Unit Price in Study Currency]*(1+'Scenario Analysis'!$D$6)*(1+'Scenario Analysis'!$C$6)*'Scenario Analysis'!$E$19)</f>
        <v>719993.34</v>
      </c>
      <c r="X67" s="518">
        <f>SUMPRODUCT('Sales, Production, &amp; Other Assu'!Y19:Y48*'Scenario Analysis'!$B$6,Table17[Unit Price in Study Currency]*(1+'Scenario Analysis'!$D$6)*(1+'Scenario Analysis'!$C$6)*'Scenario Analysis'!$E$14)+SUMPRODUCT('Sales, Production, &amp; Other Assu'!X19:X48*'Scenario Analysis'!$B$6,Table17[Unit Price in Study Currency]*(1+'Scenario Analysis'!$D$6)*(1+'Scenario Analysis'!$C$6)*'Scenario Analysis'!$E$15)+SUMPRODUCT('Sales, Production, &amp; Other Assu'!W19:W48*'Scenario Analysis'!$B$6,Table17[Unit Price in Study Currency]*(1+'Scenario Analysis'!$D$6)*(1+'Scenario Analysis'!$C$6)*'Scenario Analysis'!$E$16)+SUMPRODUCT('Sales, Production, &amp; Other Assu'!V19:V48*'Scenario Analysis'!$B$6,Table17[Unit Price in Study Currency]*(1+'Scenario Analysis'!$D$6)*(1+'Scenario Analysis'!$C$6)*'Scenario Analysis'!$E$17)+SUMPRODUCT('Sales, Production, &amp; Other Assu'!U19:U48*'Scenario Analysis'!$B$6,Table17[Unit Price in Study Currency]*(1+'Scenario Analysis'!$D$6)*(1+'Scenario Analysis'!$C$6)*'Scenario Analysis'!$E$18)+SUMPRODUCT('Sales, Production, &amp; Other Assu'!T19:T48*'Scenario Analysis'!$B$6,Table17[Unit Price in Study Currency]*(1+'Scenario Analysis'!$D$6)*(1+'Scenario Analysis'!$C$6)*'Scenario Analysis'!$E$19)</f>
        <v>719993.34</v>
      </c>
      <c r="Y67" s="518">
        <f>SUMPRODUCT('Sales, Production, &amp; Other Assu'!Z19:Z48*'Scenario Analysis'!$B$6,Table17[Unit Price in Study Currency]*(1+'Scenario Analysis'!$D$6)*(1+'Scenario Analysis'!$C$6)*'Scenario Analysis'!$E$14)+SUMPRODUCT('Sales, Production, &amp; Other Assu'!Y19:Y48*'Scenario Analysis'!$B$6,Table17[Unit Price in Study Currency]*(1+'Scenario Analysis'!$D$6)*(1+'Scenario Analysis'!$C$6)*'Scenario Analysis'!$E$15)+SUMPRODUCT('Sales, Production, &amp; Other Assu'!X19:X48*'Scenario Analysis'!$B$6,Table17[Unit Price in Study Currency]*(1+'Scenario Analysis'!$D$6)*(1+'Scenario Analysis'!$C$6)*'Scenario Analysis'!$E$16)+SUMPRODUCT('Sales, Production, &amp; Other Assu'!W19:W48*'Scenario Analysis'!$B$6,Table17[Unit Price in Study Currency]*(1+'Scenario Analysis'!$D$6)*(1+'Scenario Analysis'!$C$6)*'Scenario Analysis'!$E$17)+SUMPRODUCT('Sales, Production, &amp; Other Assu'!V19:V48*'Scenario Analysis'!$B$6,Table17[Unit Price in Study Currency]*(1+'Scenario Analysis'!$D$6)*(1+'Scenario Analysis'!$C$6)*'Scenario Analysis'!$E$18)+SUMPRODUCT('Sales, Production, &amp; Other Assu'!U19:U48*'Scenario Analysis'!$B$6,Table17[Unit Price in Study Currency]*(1+'Scenario Analysis'!$D$6)*(1+'Scenario Analysis'!$C$6)*'Scenario Analysis'!$E$19)</f>
        <v>719993.34</v>
      </c>
      <c r="Z67" s="518">
        <f>SUMPRODUCT('Sales, Production, &amp; Other Assu'!AA19:AA48*'Scenario Analysis'!$B$6,Table17[Unit Price in Study Currency]*(1+'Scenario Analysis'!$D$6)*(1+'Scenario Analysis'!$C$6)*'Scenario Analysis'!$E$14)+SUMPRODUCT('Sales, Production, &amp; Other Assu'!Z19:Z48*'Scenario Analysis'!$B$6,Table17[Unit Price in Study Currency]*(1+'Scenario Analysis'!$D$6)*(1+'Scenario Analysis'!$C$6)*'Scenario Analysis'!$E$15)+SUMPRODUCT('Sales, Production, &amp; Other Assu'!Y19:Y48*'Scenario Analysis'!$B$6,Table17[Unit Price in Study Currency]*(1+'Scenario Analysis'!$D$6)*(1+'Scenario Analysis'!$C$6)*'Scenario Analysis'!$E$16)+SUMPRODUCT('Sales, Production, &amp; Other Assu'!X19:X48*'Scenario Analysis'!$B$6,Table17[Unit Price in Study Currency]*(1+'Scenario Analysis'!$D$6)*(1+'Scenario Analysis'!$C$6)*'Scenario Analysis'!$E$17)+SUMPRODUCT('Sales, Production, &amp; Other Assu'!W19:W48*'Scenario Analysis'!$B$6,Table17[Unit Price in Study Currency]*(1+'Scenario Analysis'!$D$6)*(1+'Scenario Analysis'!$C$6)*'Scenario Analysis'!$E$18)+SUMPRODUCT('Sales, Production, &amp; Other Assu'!V19:V48*'Scenario Analysis'!$B$6,Table17[Unit Price in Study Currency]*(1+'Scenario Analysis'!$D$6)*(1+'Scenario Analysis'!$C$6)*'Scenario Analysis'!$E$19)</f>
        <v>719993.34</v>
      </c>
      <c r="AA67" s="518">
        <f>SUMPRODUCT('Sales, Production, &amp; Other Assu'!AB19:AB48*'Scenario Analysis'!$B$6,Table17[Unit Price in Study Currency]*(1+'Scenario Analysis'!$D$6)*(1+'Scenario Analysis'!$C$6)*'Scenario Analysis'!$E$14)+SUMPRODUCT('Sales, Production, &amp; Other Assu'!AA19:AA48*'Scenario Analysis'!$B$6,Table17[Unit Price in Study Currency]*(1+'Scenario Analysis'!$D$6)*(1+'Scenario Analysis'!$C$6)*'Scenario Analysis'!$E$15)+SUMPRODUCT('Sales, Production, &amp; Other Assu'!Z19:Z48*'Scenario Analysis'!$B$6,Table17[Unit Price in Study Currency]*(1+'Scenario Analysis'!$D$6)*(1+'Scenario Analysis'!$C$6)*'Scenario Analysis'!$E$16)+SUMPRODUCT('Sales, Production, &amp; Other Assu'!Y19:Y48*'Scenario Analysis'!$B$6,Table17[Unit Price in Study Currency]*(1+'Scenario Analysis'!$D$6)*(1+'Scenario Analysis'!$C$6)*'Scenario Analysis'!$E$17)+SUMPRODUCT('Sales, Production, &amp; Other Assu'!X19:X48*'Scenario Analysis'!$B$6,Table17[Unit Price in Study Currency]*(1+'Scenario Analysis'!$D$6)*(1+'Scenario Analysis'!$C$6)*'Scenario Analysis'!$E$18)+SUMPRODUCT('Sales, Production, &amp; Other Assu'!W19:W48*'Scenario Analysis'!$B$6,Table17[Unit Price in Study Currency]*(1+'Scenario Analysis'!$D$6)*(1+'Scenario Analysis'!$C$6)*'Scenario Analysis'!$E$19)</f>
        <v>719993.34</v>
      </c>
      <c r="AB67" s="545">
        <f>SUM(P67:AA67)</f>
        <v>8486165.0699999984</v>
      </c>
      <c r="AC67" s="518">
        <f>SUMPRODUCT('Sales, Production, &amp; Other Assu'!AD19:AD48*'Scenario Analysis'!$B$6,Table17[Unit Price in Study Currency]*(1+'Scenario Analysis'!$D$6)*(1+'Scenario Analysis'!$C$6)*'Scenario Analysis'!$E$14)+SUMPRODUCT('Sales, Production, &amp; Other Assu'!X19:X48*'Scenario Analysis'!$B$6,Table17[Unit Price in Study Currency]*(1+'Scenario Analysis'!$D$6)*(1+'Scenario Analysis'!$C$6)*'Scenario Analysis'!$E$15)+SUMPRODUCT('Sales, Production, &amp; Other Assu'!AB19:AB48*'Scenario Analysis'!$B$6,Table17[Unit Price in Study Currency]*(1+'Scenario Analysis'!$D$6)*(1+'Scenario Analysis'!$C$6)*'Scenario Analysis'!$E$16)+SUMPRODUCT('Sales, Production, &amp; Other Assu'!AA19:AA48*'Scenario Analysis'!$B$6,Table17[Unit Price in Study Currency]*(1+'Scenario Analysis'!$D$6)*(1+'Scenario Analysis'!$C$6)*'Scenario Analysis'!$E$17)+SUMPRODUCT('Sales, Production, &amp; Other Assu'!Z19:Z48*'Scenario Analysis'!$B$6,Table17[Unit Price in Study Currency]*(1+'Scenario Analysis'!$D$6)*(1+'Scenario Analysis'!$C$6)*'Scenario Analysis'!$E$18)+SUMPRODUCT('Sales, Production, &amp; Other Assu'!Y19:Y48*'Scenario Analysis'!$B$6,Table17[Unit Price in Study Currency]*(1+'Scenario Analysis'!$D$6)*(1+'Scenario Analysis'!$C$6)*'Scenario Analysis'!$E$19)</f>
        <v>719993.34</v>
      </c>
      <c r="AD67" s="518">
        <f>SUMPRODUCT('Sales, Production, &amp; Other Assu'!AE19:AE48*'Scenario Analysis'!$B$6,Table17[Unit Price in Study Currency]*(1+'Scenario Analysis'!$D$6)*(1+'Scenario Analysis'!$C$6)*'Scenario Analysis'!$E$14)+SUMPRODUCT('Sales, Production, &amp; Other Assu'!AD19:AD48*'Scenario Analysis'!$B$6,Table17[Unit Price in Study Currency]*(1+'Scenario Analysis'!$D$6)*(1+'Scenario Analysis'!$C$6)*'Scenario Analysis'!$E$15)+SUMPRODUCT('Sales, Production, &amp; Other Assu'!Y19:Y48*'Scenario Analysis'!$B$6,Table17[Unit Price in Study Currency]*(1+'Scenario Analysis'!$D$6)*(1+'Scenario Analysis'!$C$6)*'Scenario Analysis'!$E$16)+SUMPRODUCT('Sales, Production, &amp; Other Assu'!AB19:AB48*'Scenario Analysis'!$B$6,Table17[Unit Price in Study Currency]*(1+'Scenario Analysis'!$D$6)*(1+'Scenario Analysis'!$C$6)*'Scenario Analysis'!$E$17)+SUMPRODUCT('Sales, Production, &amp; Other Assu'!AA19:AA48*'Scenario Analysis'!$B$6,Table17[Unit Price in Study Currency]*(1+'Scenario Analysis'!$D$6)*(1+'Scenario Analysis'!$C$6)*'Scenario Analysis'!$E$18)+SUMPRODUCT('Sales, Production, &amp; Other Assu'!Z19:Z48*'Scenario Analysis'!$B$6,Table17[Unit Price in Study Currency]*(1+'Scenario Analysis'!$D$6)*(1+'Scenario Analysis'!$C$6)*'Scenario Analysis'!$E$19)</f>
        <v>776287.84499999997</v>
      </c>
      <c r="AE67" s="518">
        <f>SUMPRODUCT('Sales, Production, &amp; Other Assu'!AF19:AF48*'Scenario Analysis'!$B$6,Table17[Unit Price in Study Currency]*(1+'Scenario Analysis'!$D$6)*(1+'Scenario Analysis'!$C$6)*'Scenario Analysis'!$E$14)+SUMPRODUCT('Sales, Production, &amp; Other Assu'!AE19:AE48*'Scenario Analysis'!$B$6,Table17[Unit Price in Study Currency]*(1+'Scenario Analysis'!$D$6)*(1+'Scenario Analysis'!$C$6)*'Scenario Analysis'!$E$15)+SUMPRODUCT('Sales, Production, &amp; Other Assu'!AD19:AD48*'Scenario Analysis'!$B$6,Table17[Unit Price in Study Currency]*(1+'Scenario Analysis'!$D$6)*(1+'Scenario Analysis'!$C$6)*'Scenario Analysis'!$E$16)+SUMPRODUCT('Sales, Production, &amp; Other Assu'!Z19:Z48*'Scenario Analysis'!$B$6,Table17[Unit Price in Study Currency]*(1+'Scenario Analysis'!$D$6)*(1+'Scenario Analysis'!$C$6)*'Scenario Analysis'!$E$17)+SUMPRODUCT('Sales, Production, &amp; Other Assu'!AB19:AB48*'Scenario Analysis'!$B$6,Table17[Unit Price in Study Currency]*(1+'Scenario Analysis'!$D$6)*(1+'Scenario Analysis'!$C$6)*'Scenario Analysis'!$E$18)+SUMPRODUCT('Sales, Production, &amp; Other Assu'!AA19:AA48*'Scenario Analysis'!$B$6,Table17[Unit Price in Study Currency]*(1+'Scenario Analysis'!$D$6)*(1+'Scenario Analysis'!$C$6)*'Scenario Analysis'!$E$19)</f>
        <v>832582.35</v>
      </c>
      <c r="AF67" s="518">
        <f>SUMPRODUCT('Sales, Production, &amp; Other Assu'!AG19:AG48*'Scenario Analysis'!$B$6,Table17[Unit Price in Study Currency]*(1+'Scenario Analysis'!$D$6)*(1+'Scenario Analysis'!$C$6)*'Scenario Analysis'!$E$14)+SUMPRODUCT('Sales, Production, &amp; Other Assu'!AF19:AF48*'Scenario Analysis'!$B$6,Table17[Unit Price in Study Currency]*(1+'Scenario Analysis'!$D$6)*(1+'Scenario Analysis'!$C$6)*'Scenario Analysis'!$E$15)+SUMPRODUCT('Sales, Production, &amp; Other Assu'!AE19:AE48*'Scenario Analysis'!$B$6,Table17[Unit Price in Study Currency]*(1+'Scenario Analysis'!$D$6)*(1+'Scenario Analysis'!$C$6)*'Scenario Analysis'!$E$16)+SUMPRODUCT('Sales, Production, &amp; Other Assu'!AD19:AD48*'Scenario Analysis'!$B$6,Table17[Unit Price in Study Currency]*(1+'Scenario Analysis'!$D$6)*(1+'Scenario Analysis'!$C$6)*'Scenario Analysis'!$E$17)+SUMPRODUCT('Sales, Production, &amp; Other Assu'!AA19:AA48*'Scenario Analysis'!$B$6,Table17[Unit Price in Study Currency]*(1+'Scenario Analysis'!$D$6)*(1+'Scenario Analysis'!$C$6)*'Scenario Analysis'!$E$18)+SUMPRODUCT('Sales, Production, &amp; Other Assu'!AB19:AB48*'Scenario Analysis'!$B$6,Table17[Unit Price in Study Currency]*(1+'Scenario Analysis'!$D$6)*(1+'Scenario Analysis'!$C$6)*'Scenario Analysis'!$E$19)</f>
        <v>832582.35</v>
      </c>
      <c r="AG67" s="518">
        <f>SUMPRODUCT('Sales, Production, &amp; Other Assu'!AH19:AH48*'Scenario Analysis'!$B$6,Table17[Unit Price in Study Currency]*(1+'Scenario Analysis'!$D$6)*(1+'Scenario Analysis'!$C$6)*'Scenario Analysis'!$E$14)+SUMPRODUCT('Sales, Production, &amp; Other Assu'!AG19:AG48*'Scenario Analysis'!$B$6,Table17[Unit Price in Study Currency]*(1+'Scenario Analysis'!$D$6)*(1+'Scenario Analysis'!$C$6)*'Scenario Analysis'!$E$15)+SUMPRODUCT('Sales, Production, &amp; Other Assu'!AF19:AF48*'Scenario Analysis'!$B$6,Table17[Unit Price in Study Currency]*(1+'Scenario Analysis'!$D$6)*(1+'Scenario Analysis'!$C$6)*'Scenario Analysis'!$E$16)+SUMPRODUCT('Sales, Production, &amp; Other Assu'!AE19:AE48*'Scenario Analysis'!$B$6,Table17[Unit Price in Study Currency]*(1+'Scenario Analysis'!$D$6)*(1+'Scenario Analysis'!$C$6)*'Scenario Analysis'!$E$17)+SUMPRODUCT('Sales, Production, &amp; Other Assu'!AD19:AD48*'Scenario Analysis'!$B$6,Table17[Unit Price in Study Currency]*(1+'Scenario Analysis'!$D$6)*(1+'Scenario Analysis'!$C$6)*'Scenario Analysis'!$E$18)+SUMPRODUCT('Sales, Production, &amp; Other Assu'!AB19:AB48*'Scenario Analysis'!$B$6,Table17[Unit Price in Study Currency]*(1+'Scenario Analysis'!$D$6)*(1+'Scenario Analysis'!$C$6)*'Scenario Analysis'!$E$19)</f>
        <v>832582.35</v>
      </c>
      <c r="AH67" s="518">
        <f>SUMPRODUCT('Sales, Production, &amp; Other Assu'!AI19:AI48*'Scenario Analysis'!$B$6,Table17[Unit Price in Study Currency]*(1+'Scenario Analysis'!$D$6)*(1+'Scenario Analysis'!$C$6)*'Scenario Analysis'!$E$14)+SUMPRODUCT('Sales, Production, &amp; Other Assu'!AH19:AH48*'Scenario Analysis'!$B$6,Table17[Unit Price in Study Currency]*(1+'Scenario Analysis'!$D$6)*(1+'Scenario Analysis'!$C$6)*'Scenario Analysis'!$E$15)+SUMPRODUCT('Sales, Production, &amp; Other Assu'!AG19:AG48*'Scenario Analysis'!$B$6,Table17[Unit Price in Study Currency]*(1+'Scenario Analysis'!$D$6)*(1+'Scenario Analysis'!$C$6)*'Scenario Analysis'!$E$16)+SUMPRODUCT('Sales, Production, &amp; Other Assu'!AF19:AF48*'Scenario Analysis'!$B$6,Table17[Unit Price in Study Currency]*(1+'Scenario Analysis'!$D$6)*(1+'Scenario Analysis'!$C$6)*'Scenario Analysis'!$E$17)+SUMPRODUCT('Sales, Production, &amp; Other Assu'!AE19:AE48*'Scenario Analysis'!$B$6,Table17[Unit Price in Study Currency]*(1+'Scenario Analysis'!$D$6)*(1+'Scenario Analysis'!$C$6)*'Scenario Analysis'!$E$18)+SUMPRODUCT('Sales, Production, &amp; Other Assu'!AD19:AD48*'Scenario Analysis'!$B$6,Table17[Unit Price in Study Currency]*(1+'Scenario Analysis'!$D$6)*(1+'Scenario Analysis'!$C$6)*'Scenario Analysis'!$E$19)</f>
        <v>832582.35</v>
      </c>
      <c r="AI67" s="518">
        <f>SUMPRODUCT('Sales, Production, &amp; Other Assu'!AJ19:AJ48*'Scenario Analysis'!$B$6,Table17[Unit Price in Study Currency]*(1+'Scenario Analysis'!$D$6)*(1+'Scenario Analysis'!$C$6)*'Scenario Analysis'!$E$14)+SUMPRODUCT('Sales, Production, &amp; Other Assu'!AI19:AI48*'Scenario Analysis'!$B$6,Table17[Unit Price in Study Currency]*(1+'Scenario Analysis'!$D$6)*(1+'Scenario Analysis'!$C$6)*'Scenario Analysis'!$E$15)+SUMPRODUCT('Sales, Production, &amp; Other Assu'!AH19:AH48*'Scenario Analysis'!$B$6,Table17[Unit Price in Study Currency]*(1+'Scenario Analysis'!$D$6)*(1+'Scenario Analysis'!$C$6)*'Scenario Analysis'!$E$16)+SUMPRODUCT('Sales, Production, &amp; Other Assu'!AG19:AG48*'Scenario Analysis'!$B$6,Table17[Unit Price in Study Currency]*(1+'Scenario Analysis'!$D$6)*(1+'Scenario Analysis'!$C$6)*'Scenario Analysis'!$E$17)+SUMPRODUCT('Sales, Production, &amp; Other Assu'!AF19:AF48*'Scenario Analysis'!$B$6,Table17[Unit Price in Study Currency]*(1+'Scenario Analysis'!$D$6)*(1+'Scenario Analysis'!$C$6)*'Scenario Analysis'!$E$18)+SUMPRODUCT('Sales, Production, &amp; Other Assu'!AE19:AE48*'Scenario Analysis'!$B$6,Table17[Unit Price in Study Currency]*(1+'Scenario Analysis'!$D$6)*(1+'Scenario Analysis'!$C$6)*'Scenario Analysis'!$E$19)</f>
        <v>832582.35</v>
      </c>
      <c r="AJ67" s="518">
        <f>SUMPRODUCT('Sales, Production, &amp; Other Assu'!AK19:AK48*'Scenario Analysis'!$B$6,Table17[Unit Price in Study Currency]*(1+'Scenario Analysis'!$D$6)*(1+'Scenario Analysis'!$C$6)*'Scenario Analysis'!$E$14)+SUMPRODUCT('Sales, Production, &amp; Other Assu'!AJ19:AJ48*'Scenario Analysis'!$B$6,Table17[Unit Price in Study Currency]*(1+'Scenario Analysis'!$D$6)*(1+'Scenario Analysis'!$C$6)*'Scenario Analysis'!$E$15)+SUMPRODUCT('Sales, Production, &amp; Other Assu'!AI19:AI48*'Scenario Analysis'!$B$6,Table17[Unit Price in Study Currency]*(1+'Scenario Analysis'!$D$6)*(1+'Scenario Analysis'!$C$6)*'Scenario Analysis'!$E$16)+SUMPRODUCT('Sales, Production, &amp; Other Assu'!AH19:AH48*'Scenario Analysis'!$B$6,Table17[Unit Price in Study Currency]*(1+'Scenario Analysis'!$D$6)*(1+'Scenario Analysis'!$C$6)*'Scenario Analysis'!$E$17)+SUMPRODUCT('Sales, Production, &amp; Other Assu'!AG19:AG48*'Scenario Analysis'!$B$6,Table17[Unit Price in Study Currency]*(1+'Scenario Analysis'!$D$6)*(1+'Scenario Analysis'!$C$6)*'Scenario Analysis'!$E$18)+SUMPRODUCT('Sales, Production, &amp; Other Assu'!AF19:AF48*'Scenario Analysis'!$B$6,Table17[Unit Price in Study Currency]*(1+'Scenario Analysis'!$D$6)*(1+'Scenario Analysis'!$C$6)*'Scenario Analysis'!$E$19)</f>
        <v>832582.35</v>
      </c>
      <c r="AK67" s="518">
        <f>SUMPRODUCT('Sales, Production, &amp; Other Assu'!AL19:AL48*'Scenario Analysis'!$B$6,Table17[Unit Price in Study Currency]*(1+'Scenario Analysis'!$D$6)*(1+'Scenario Analysis'!$C$6)*'Scenario Analysis'!$E$14)+SUMPRODUCT('Sales, Production, &amp; Other Assu'!AK19:AK48*'Scenario Analysis'!$B$6,Table17[Unit Price in Study Currency]*(1+'Scenario Analysis'!$D$6)*(1+'Scenario Analysis'!$C$6)*'Scenario Analysis'!$E$15)+SUMPRODUCT('Sales, Production, &amp; Other Assu'!AJ19:AJ48*'Scenario Analysis'!$B$6,Table17[Unit Price in Study Currency]*(1+'Scenario Analysis'!$D$6)*(1+'Scenario Analysis'!$C$6)*'Scenario Analysis'!$E$16)+SUMPRODUCT('Sales, Production, &amp; Other Assu'!AI19:AI48*'Scenario Analysis'!$B$6,Table17[Unit Price in Study Currency]*(1+'Scenario Analysis'!$D$6)*(1+'Scenario Analysis'!$C$6)*'Scenario Analysis'!$E$17)+SUMPRODUCT('Sales, Production, &amp; Other Assu'!AH19:AH48*'Scenario Analysis'!$B$6,Table17[Unit Price in Study Currency]*(1+'Scenario Analysis'!$D$6)*(1+'Scenario Analysis'!$C$6)*'Scenario Analysis'!$E$18)+SUMPRODUCT('Sales, Production, &amp; Other Assu'!AG19:AG48*'Scenario Analysis'!$B$6,Table17[Unit Price in Study Currency]*(1+'Scenario Analysis'!$D$6)*(1+'Scenario Analysis'!$C$6)*'Scenario Analysis'!$E$19)</f>
        <v>832582.35</v>
      </c>
      <c r="AL67" s="518">
        <f>SUMPRODUCT('Sales, Production, &amp; Other Assu'!AM19:AM48*'Scenario Analysis'!$B$6,Table17[Unit Price in Study Currency]*(1+'Scenario Analysis'!$D$6)*(1+'Scenario Analysis'!$C$6)*'Scenario Analysis'!$E$14)+SUMPRODUCT('Sales, Production, &amp; Other Assu'!AL19:AL48*'Scenario Analysis'!$B$6,Table17[Unit Price in Study Currency]*(1+'Scenario Analysis'!$D$6)*(1+'Scenario Analysis'!$C$6)*'Scenario Analysis'!$E$15)+SUMPRODUCT('Sales, Production, &amp; Other Assu'!AK19:AK48*'Scenario Analysis'!$B$6,Table17[Unit Price in Study Currency]*(1+'Scenario Analysis'!$D$6)*(1+'Scenario Analysis'!$C$6)*'Scenario Analysis'!$E$16)+SUMPRODUCT('Sales, Production, &amp; Other Assu'!AJ19:AJ48*'Scenario Analysis'!$B$6,Table17[Unit Price in Study Currency]*(1+'Scenario Analysis'!$D$6)*(1+'Scenario Analysis'!$C$6)*'Scenario Analysis'!$E$17)+SUMPRODUCT('Sales, Production, &amp; Other Assu'!AI19:AI48*'Scenario Analysis'!$B$6,Table17[Unit Price in Study Currency]*(1+'Scenario Analysis'!$D$6)*(1+'Scenario Analysis'!$C$6)*'Scenario Analysis'!$E$18)+SUMPRODUCT('Sales, Production, &amp; Other Assu'!AH19:AH48*'Scenario Analysis'!$B$6,Table17[Unit Price in Study Currency]*(1+'Scenario Analysis'!$D$6)*(1+'Scenario Analysis'!$C$6)*'Scenario Analysis'!$E$19)</f>
        <v>832582.35</v>
      </c>
      <c r="AM67" s="518">
        <f>SUMPRODUCT('Sales, Production, &amp; Other Assu'!AN19:AN48*'Scenario Analysis'!$B$6,Table17[Unit Price in Study Currency]*(1+'Scenario Analysis'!$D$6)*(1+'Scenario Analysis'!$C$6)*'Scenario Analysis'!$E$14)+SUMPRODUCT('Sales, Production, &amp; Other Assu'!AM19:AM48*'Scenario Analysis'!$B$6,Table17[Unit Price in Study Currency]*(1+'Scenario Analysis'!$D$6)*(1+'Scenario Analysis'!$C$6)*'Scenario Analysis'!$E$15)+SUMPRODUCT('Sales, Production, &amp; Other Assu'!AL19:AL48*'Scenario Analysis'!$B$6,Table17[Unit Price in Study Currency]*(1+'Scenario Analysis'!$D$6)*(1+'Scenario Analysis'!$C$6)*'Scenario Analysis'!$E$16)+SUMPRODUCT('Sales, Production, &amp; Other Assu'!AK19:AK48*'Scenario Analysis'!$B$6,Table17[Unit Price in Study Currency]*(1+'Scenario Analysis'!$D$6)*(1+'Scenario Analysis'!$C$6)*'Scenario Analysis'!$E$17)+SUMPRODUCT('Sales, Production, &amp; Other Assu'!AJ19:AJ48*'Scenario Analysis'!$B$6,Table17[Unit Price in Study Currency]*(1+'Scenario Analysis'!$D$6)*(1+'Scenario Analysis'!$C$6)*'Scenario Analysis'!$E$18)+SUMPRODUCT('Sales, Production, &amp; Other Assu'!AI19:AI48*'Scenario Analysis'!$B$6,Table17[Unit Price in Study Currency]*(1+'Scenario Analysis'!$D$6)*(1+'Scenario Analysis'!$C$6)*'Scenario Analysis'!$E$19)</f>
        <v>832582.35</v>
      </c>
      <c r="AN67" s="518">
        <f>SUMPRODUCT('Sales, Production, &amp; Other Assu'!AO19:AO48*'Scenario Analysis'!$B$6,Table17[Unit Price in Study Currency]*(1+'Scenario Analysis'!$D$6)*(1+'Scenario Analysis'!$C$6)*'Scenario Analysis'!$E$14)+SUMPRODUCT('Sales, Production, &amp; Other Assu'!AN19:AN48*'Scenario Analysis'!$B$6,Table17[Unit Price in Study Currency]*(1+'Scenario Analysis'!$D$6)*(1+'Scenario Analysis'!$C$6)*'Scenario Analysis'!$E$15)+SUMPRODUCT('Sales, Production, &amp; Other Assu'!AM19:AM48*'Scenario Analysis'!$B$6,Table17[Unit Price in Study Currency]*(1+'Scenario Analysis'!$D$6)*(1+'Scenario Analysis'!$C$6)*'Scenario Analysis'!$E$16)+SUMPRODUCT('Sales, Production, &amp; Other Assu'!AL19:AL48*'Scenario Analysis'!$B$6,Table17[Unit Price in Study Currency]*(1+'Scenario Analysis'!$D$6)*(1+'Scenario Analysis'!$C$6)*'Scenario Analysis'!$E$17)+SUMPRODUCT('Sales, Production, &amp; Other Assu'!AK19:AK48*'Scenario Analysis'!$B$6,Table17[Unit Price in Study Currency]*(1+'Scenario Analysis'!$D$6)*(1+'Scenario Analysis'!$C$6)*'Scenario Analysis'!$E$18)+SUMPRODUCT('Sales, Production, &amp; Other Assu'!AJ19:AJ48*'Scenario Analysis'!$B$6,Table17[Unit Price in Study Currency]*(1+'Scenario Analysis'!$D$6)*(1+'Scenario Analysis'!$C$6)*'Scenario Analysis'!$E$19)</f>
        <v>832582.35</v>
      </c>
      <c r="AO67" s="545">
        <f>SUM(AC67:AN67)</f>
        <v>9822104.6849999987</v>
      </c>
      <c r="AP67" s="518">
        <f>SUMPRODUCT('Sales, Production, &amp; Other Assu'!AQ19:AQ48*'Scenario Analysis'!$B$6,Table17[Unit Price in Study Currency]*(1+'Scenario Analysis'!$D$6)*(1+'Scenario Analysis'!$C$6)*'Scenario Analysis'!$E$14)+SUMPRODUCT('Sales, Production, &amp; Other Assu'!AO19:AO48*'Scenario Analysis'!$B$6,Table17[Unit Price in Study Currency]*(1+'Scenario Analysis'!$D$6)*(1+'Scenario Analysis'!$C$6)*'Scenario Analysis'!$E$15)+SUMPRODUCT('Sales, Production, &amp; Other Assu'!AN19:AN48*'Scenario Analysis'!$B$6,Table17[Unit Price in Study Currency]*(1+'Scenario Analysis'!$D$6)*(1+'Scenario Analysis'!$C$6)*'Scenario Analysis'!$E$16)+SUMPRODUCT('Sales, Production, &amp; Other Assu'!AM19:AM48*'Scenario Analysis'!$B$6,Table17[Unit Price in Study Currency]*(1+'Scenario Analysis'!$D$6)*(1+'Scenario Analysis'!$C$6)*'Scenario Analysis'!$E$17)+SUMPRODUCT('Sales, Production, &amp; Other Assu'!AL19:AL48*'Scenario Analysis'!$B$6,Table17[Unit Price in Study Currency]*(1+'Scenario Analysis'!$D$6)*(1+'Scenario Analysis'!$C$6)*'Scenario Analysis'!$E$18)+SUMPRODUCT('Sales, Production, &amp; Other Assu'!AK19:AK48*'Scenario Analysis'!$B$6,Table17[Unit Price in Study Currency]*(1+'Scenario Analysis'!$D$6)*(1+'Scenario Analysis'!$C$6)*'Scenario Analysis'!$E$19)</f>
        <v>832582.35</v>
      </c>
      <c r="AQ67" s="518">
        <f>SUMPRODUCT('Sales, Production, &amp; Other Assu'!AR19:AR48*'Scenario Analysis'!$B$6,Table17[Unit Price in Study Currency]*(1+'Scenario Analysis'!$D$6)*(1+'Scenario Analysis'!$C$6)*'Scenario Analysis'!$E$14)+SUMPRODUCT('Sales, Production, &amp; Other Assu'!AQ19:AQ48*'Scenario Analysis'!$B$6,Table17[Unit Price in Study Currency]*(1+'Scenario Analysis'!$D$6)*(1+'Scenario Analysis'!$C$6)*'Scenario Analysis'!$E$15)+SUMPRODUCT('Sales, Production, &amp; Other Assu'!AO19:AO48*'Scenario Analysis'!$B$6,Table17[Unit Price in Study Currency]*(1+'Scenario Analysis'!$D$6)*(1+'Scenario Analysis'!$C$6)*'Scenario Analysis'!$E$16)+SUMPRODUCT('Sales, Production, &amp; Other Assu'!AN19:AN48*'Scenario Analysis'!$B$6,Table17[Unit Price in Study Currency]*(1+'Scenario Analysis'!$D$6)*(1+'Scenario Analysis'!$C$6)*'Scenario Analysis'!$E$17)+SUMPRODUCT('Sales, Production, &amp; Other Assu'!AM19:AM48*'Scenario Analysis'!$B$6,Table17[Unit Price in Study Currency]*(1+'Scenario Analysis'!$D$6)*(1+'Scenario Analysis'!$C$6)*'Scenario Analysis'!$E$18)+SUMPRODUCT('Sales, Production, &amp; Other Assu'!AL19:AL48*'Scenario Analysis'!$B$6,Table17[Unit Price in Study Currency]*(1+'Scenario Analysis'!$D$6)*(1+'Scenario Analysis'!$C$6)*'Scenario Analysis'!$E$19)</f>
        <v>894331.35</v>
      </c>
      <c r="AR67" s="518">
        <f>SUMPRODUCT('Sales, Production, &amp; Other Assu'!AS19:AS48*'Scenario Analysis'!$B$6,Table17[Unit Price in Study Currency]*(1+'Scenario Analysis'!$D$6)*(1+'Scenario Analysis'!$C$6)*'Scenario Analysis'!$E$14)+SUMPRODUCT('Sales, Production, &amp; Other Assu'!AR19:AR48*'Scenario Analysis'!$B$6,Table17[Unit Price in Study Currency]*(1+'Scenario Analysis'!$D$6)*(1+'Scenario Analysis'!$C$6)*'Scenario Analysis'!$E$15)+SUMPRODUCT('Sales, Production, &amp; Other Assu'!AQ19:AQ48*'Scenario Analysis'!$B$6,Table17[Unit Price in Study Currency]*(1+'Scenario Analysis'!$D$6)*(1+'Scenario Analysis'!$C$6)*'Scenario Analysis'!$E$16)+SUMPRODUCT('Sales, Production, &amp; Other Assu'!AO19:AO48*'Scenario Analysis'!$B$6,Table17[Unit Price in Study Currency]*(1+'Scenario Analysis'!$D$6)*(1+'Scenario Analysis'!$C$6)*'Scenario Analysis'!$E$17)+SUMPRODUCT('Sales, Production, &amp; Other Assu'!AN19:AN48*'Scenario Analysis'!$B$6,Table17[Unit Price in Study Currency]*(1+'Scenario Analysis'!$D$6)*(1+'Scenario Analysis'!$C$6)*'Scenario Analysis'!$E$18)+SUMPRODUCT('Sales, Production, &amp; Other Assu'!AM19:AM48*'Scenario Analysis'!$B$6,Table17[Unit Price in Study Currency]*(1+'Scenario Analysis'!$D$6)*(1+'Scenario Analysis'!$C$6)*'Scenario Analysis'!$E$19)</f>
        <v>956080.35</v>
      </c>
      <c r="AS67" s="518">
        <f>SUMPRODUCT('Sales, Production, &amp; Other Assu'!AT19:AT48*'Scenario Analysis'!$B$6,Table17[Unit Price in Study Currency]*(1+'Scenario Analysis'!$D$6)*(1+'Scenario Analysis'!$C$6)*'Scenario Analysis'!$E$14)+SUMPRODUCT('Sales, Production, &amp; Other Assu'!AS19:AS48*'Scenario Analysis'!$B$6,Table17[Unit Price in Study Currency]*(1+'Scenario Analysis'!$D$6)*(1+'Scenario Analysis'!$C$6)*'Scenario Analysis'!$E$15)+SUMPRODUCT('Sales, Production, &amp; Other Assu'!AR19:AR48*'Scenario Analysis'!$B$6,Table17[Unit Price in Study Currency]*(1+'Scenario Analysis'!$D$6)*(1+'Scenario Analysis'!$C$6)*'Scenario Analysis'!$E$16)+SUMPRODUCT('Sales, Production, &amp; Other Assu'!AQ19:AQ48*'Scenario Analysis'!$B$6,Table17[Unit Price in Study Currency]*(1+'Scenario Analysis'!$D$6)*(1+'Scenario Analysis'!$C$6)*'Scenario Analysis'!$E$17)+SUMPRODUCT('Sales, Production, &amp; Other Assu'!AO19:AO48*'Scenario Analysis'!$B$6,Table17[Unit Price in Study Currency]*(1+'Scenario Analysis'!$D$6)*(1+'Scenario Analysis'!$C$6)*'Scenario Analysis'!$E$18)+SUMPRODUCT('Sales, Production, &amp; Other Assu'!AN19:AN48*'Scenario Analysis'!$B$6,Table17[Unit Price in Study Currency]*(1+'Scenario Analysis'!$D$6)*(1+'Scenario Analysis'!$C$6)*'Scenario Analysis'!$E$19)</f>
        <v>956080.35</v>
      </c>
      <c r="AT67" s="518">
        <f>SUMPRODUCT('Sales, Production, &amp; Other Assu'!AU19:AU48*'Scenario Analysis'!$B$6,Table17[Unit Price in Study Currency]*(1+'Scenario Analysis'!$D$6)*(1+'Scenario Analysis'!$C$6)*'Scenario Analysis'!$E$14)+SUMPRODUCT('Sales, Production, &amp; Other Assu'!AT19:AT48*'Scenario Analysis'!$B$6,Table17[Unit Price in Study Currency]*(1+'Scenario Analysis'!$D$6)*(1+'Scenario Analysis'!$C$6)*'Scenario Analysis'!$E$15)+SUMPRODUCT('Sales, Production, &amp; Other Assu'!AS19:AS48*'Scenario Analysis'!$B$6,Table17[Unit Price in Study Currency]*(1+'Scenario Analysis'!$D$6)*(1+'Scenario Analysis'!$C$6)*'Scenario Analysis'!$E$16)+SUMPRODUCT('Sales, Production, &amp; Other Assu'!AR19:AR48*'Scenario Analysis'!$B$6,Table17[Unit Price in Study Currency]*(1+'Scenario Analysis'!$D$6)*(1+'Scenario Analysis'!$C$6)*'Scenario Analysis'!$E$17)+SUMPRODUCT('Sales, Production, &amp; Other Assu'!AQ19:AQ48*'Scenario Analysis'!$B$6,Table17[Unit Price in Study Currency]*(1+'Scenario Analysis'!$D$6)*(1+'Scenario Analysis'!$C$6)*'Scenario Analysis'!$E$18)+SUMPRODUCT('Sales, Production, &amp; Other Assu'!AO19:AO48*'Scenario Analysis'!$B$6,Table17[Unit Price in Study Currency]*(1+'Scenario Analysis'!$D$6)*(1+'Scenario Analysis'!$C$6)*'Scenario Analysis'!$E$19)</f>
        <v>956080.35</v>
      </c>
      <c r="AU67" s="518">
        <f>SUMPRODUCT('Sales, Production, &amp; Other Assu'!AV19:AV48*'Scenario Analysis'!$B$6,Table17[Unit Price in Study Currency]*(1+'Scenario Analysis'!$D$6)*(1+'Scenario Analysis'!$C$6)*'Scenario Analysis'!$E$14)+SUMPRODUCT('Sales, Production, &amp; Other Assu'!AU19:AU48*'Scenario Analysis'!$B$6,Table17[Unit Price in Study Currency]*(1+'Scenario Analysis'!$D$6)*(1+'Scenario Analysis'!$C$6)*'Scenario Analysis'!$E$15)+SUMPRODUCT('Sales, Production, &amp; Other Assu'!AT19:AT48*'Scenario Analysis'!$B$6,Table17[Unit Price in Study Currency]*(1+'Scenario Analysis'!$D$6)*(1+'Scenario Analysis'!$C$6)*'Scenario Analysis'!$E$16)+SUMPRODUCT('Sales, Production, &amp; Other Assu'!AS19:AS48*'Scenario Analysis'!$B$6,Table17[Unit Price in Study Currency]*(1+'Scenario Analysis'!$D$6)*(1+'Scenario Analysis'!$C$6)*'Scenario Analysis'!$E$17)+SUMPRODUCT('Sales, Production, &amp; Other Assu'!AR19:AR48*'Scenario Analysis'!$B$6,Table17[Unit Price in Study Currency]*(1+'Scenario Analysis'!$D$6)*(1+'Scenario Analysis'!$C$6)*'Scenario Analysis'!$E$18)+SUMPRODUCT('Sales, Production, &amp; Other Assu'!AQ19:AQ48*'Scenario Analysis'!$B$6,Table17[Unit Price in Study Currency]*(1+'Scenario Analysis'!$D$6)*(1+'Scenario Analysis'!$C$6)*'Scenario Analysis'!$E$19)</f>
        <v>956080.35</v>
      </c>
      <c r="AV67" s="518">
        <f>SUMPRODUCT('Sales, Production, &amp; Other Assu'!AW19:AW48*'Scenario Analysis'!$B$6,Table17[Unit Price in Study Currency]*(1+'Scenario Analysis'!$D$6)*(1+'Scenario Analysis'!$C$6)*'Scenario Analysis'!$E$14)+SUMPRODUCT('Sales, Production, &amp; Other Assu'!AV19:AV48*'Scenario Analysis'!$B$6,Table17[Unit Price in Study Currency]*(1+'Scenario Analysis'!$D$6)*(1+'Scenario Analysis'!$C$6)*'Scenario Analysis'!$E$15)+SUMPRODUCT('Sales, Production, &amp; Other Assu'!AU19:AU48*'Scenario Analysis'!$B$6,Table17[Unit Price in Study Currency]*(1+'Scenario Analysis'!$D$6)*(1+'Scenario Analysis'!$C$6)*'Scenario Analysis'!$E$16)+SUMPRODUCT('Sales, Production, &amp; Other Assu'!AT19:AT48*'Scenario Analysis'!$B$6,Table17[Unit Price in Study Currency]*(1+'Scenario Analysis'!$D$6)*(1+'Scenario Analysis'!$C$6)*'Scenario Analysis'!$E$17)+SUMPRODUCT('Sales, Production, &amp; Other Assu'!AS19:AS48*'Scenario Analysis'!$B$6,Table17[Unit Price in Study Currency]*(1+'Scenario Analysis'!$D$6)*(1+'Scenario Analysis'!$C$6)*'Scenario Analysis'!$E$18)+SUMPRODUCT('Sales, Production, &amp; Other Assu'!AR19:AR48*'Scenario Analysis'!$B$6,Table17[Unit Price in Study Currency]*(1+'Scenario Analysis'!$D$6)*(1+'Scenario Analysis'!$C$6)*'Scenario Analysis'!$E$19)</f>
        <v>956080.35</v>
      </c>
      <c r="AW67" s="518">
        <f>SUMPRODUCT('Sales, Production, &amp; Other Assu'!AX19:AX48*'Scenario Analysis'!$B$6,Table17[Unit Price in Study Currency]*(1+'Scenario Analysis'!$D$6)*(1+'Scenario Analysis'!$C$6)*'Scenario Analysis'!$E$14)+SUMPRODUCT('Sales, Production, &amp; Other Assu'!AW19:AW48*'Scenario Analysis'!$B$6,Table17[Unit Price in Study Currency]*(1+'Scenario Analysis'!$D$6)*(1+'Scenario Analysis'!$C$6)*'Scenario Analysis'!$E$15)+SUMPRODUCT('Sales, Production, &amp; Other Assu'!AV19:AV48*'Scenario Analysis'!$B$6,Table17[Unit Price in Study Currency]*(1+'Scenario Analysis'!$D$6)*(1+'Scenario Analysis'!$C$6)*'Scenario Analysis'!$E$16)+SUMPRODUCT('Sales, Production, &amp; Other Assu'!AU19:AU48*'Scenario Analysis'!$B$6,Table17[Unit Price in Study Currency]*(1+'Scenario Analysis'!$D$6)*(1+'Scenario Analysis'!$C$6)*'Scenario Analysis'!$E$17)+SUMPRODUCT('Sales, Production, &amp; Other Assu'!AT19:AT48*'Scenario Analysis'!$B$6,Table17[Unit Price in Study Currency]*(1+'Scenario Analysis'!$D$6)*(1+'Scenario Analysis'!$C$6)*'Scenario Analysis'!$E$18)+SUMPRODUCT('Sales, Production, &amp; Other Assu'!AS19:AS48*'Scenario Analysis'!$B$6,Table17[Unit Price in Study Currency]*(1+'Scenario Analysis'!$D$6)*(1+'Scenario Analysis'!$C$6)*'Scenario Analysis'!$E$19)</f>
        <v>956080.35</v>
      </c>
      <c r="AX67" s="518">
        <f>SUMPRODUCT('Sales, Production, &amp; Other Assu'!AY19:AY48*'Scenario Analysis'!$B$6,Table17[Unit Price in Study Currency]*(1+'Scenario Analysis'!$D$6)*(1+'Scenario Analysis'!$C$6)*'Scenario Analysis'!$E$14)+SUMPRODUCT('Sales, Production, &amp; Other Assu'!AX19:AX48*'Scenario Analysis'!$B$6,Table17[Unit Price in Study Currency]*(1+'Scenario Analysis'!$D$6)*(1+'Scenario Analysis'!$C$6)*'Scenario Analysis'!$E$15)+SUMPRODUCT('Sales, Production, &amp; Other Assu'!AW19:AW48*'Scenario Analysis'!$B$6,Table17[Unit Price in Study Currency]*(1+'Scenario Analysis'!$D$6)*(1+'Scenario Analysis'!$C$6)*'Scenario Analysis'!$E$16)+SUMPRODUCT('Sales, Production, &amp; Other Assu'!AV19:AV48*'Scenario Analysis'!$B$6,Table17[Unit Price in Study Currency]*(1+'Scenario Analysis'!$D$6)*(1+'Scenario Analysis'!$C$6)*'Scenario Analysis'!$E$17)+SUMPRODUCT('Sales, Production, &amp; Other Assu'!AU19:AU48*'Scenario Analysis'!$B$6,Table17[Unit Price in Study Currency]*(1+'Scenario Analysis'!$D$6)*(1+'Scenario Analysis'!$C$6)*'Scenario Analysis'!$E$18)+SUMPRODUCT('Sales, Production, &amp; Other Assu'!AT19:AT48*'Scenario Analysis'!$B$6,Table17[Unit Price in Study Currency]*(1+'Scenario Analysis'!$D$6)*(1+'Scenario Analysis'!$C$6)*'Scenario Analysis'!$E$19)</f>
        <v>956080.35</v>
      </c>
      <c r="AY67" s="518">
        <f>SUMPRODUCT('Sales, Production, &amp; Other Assu'!AZ19:AZ48*'Scenario Analysis'!$B$6,Table17[Unit Price in Study Currency]*(1+'Scenario Analysis'!$D$6)*(1+'Scenario Analysis'!$C$6)*'Scenario Analysis'!$E$14)+SUMPRODUCT('Sales, Production, &amp; Other Assu'!AY19:AY48*'Scenario Analysis'!$B$6,Table17[Unit Price in Study Currency]*(1+'Scenario Analysis'!$D$6)*(1+'Scenario Analysis'!$C$6)*'Scenario Analysis'!$E$15)+SUMPRODUCT('Sales, Production, &amp; Other Assu'!AX19:AX48*'Scenario Analysis'!$B$6,Table17[Unit Price in Study Currency]*(1+'Scenario Analysis'!$D$6)*(1+'Scenario Analysis'!$C$6)*'Scenario Analysis'!$E$16)+SUMPRODUCT('Sales, Production, &amp; Other Assu'!AW19:AW48*'Scenario Analysis'!$B$6,Table17[Unit Price in Study Currency]*(1+'Scenario Analysis'!$D$6)*(1+'Scenario Analysis'!$C$6)*'Scenario Analysis'!$E$17)+SUMPRODUCT('Sales, Production, &amp; Other Assu'!AV19:AV48*'Scenario Analysis'!$B$6,Table17[Unit Price in Study Currency]*(1+'Scenario Analysis'!$D$6)*(1+'Scenario Analysis'!$C$6)*'Scenario Analysis'!$E$18)+SUMPRODUCT('Sales, Production, &amp; Other Assu'!AU19:AU48*'Scenario Analysis'!$B$6,Table17[Unit Price in Study Currency]*(1+'Scenario Analysis'!$D$6)*(1+'Scenario Analysis'!$C$6)*'Scenario Analysis'!$E$19)</f>
        <v>956080.35</v>
      </c>
      <c r="AZ67" s="518">
        <f>SUMPRODUCT('Sales, Production, &amp; Other Assu'!BA19:BA48*'Scenario Analysis'!$B$6,Table17[Unit Price in Study Currency]*(1+'Scenario Analysis'!$D$6)*(1+'Scenario Analysis'!$C$6)*'Scenario Analysis'!$E$14)+SUMPRODUCT('Sales, Production, &amp; Other Assu'!AZ19:AZ48*'Scenario Analysis'!$B$6,Table17[Unit Price in Study Currency]*(1+'Scenario Analysis'!$D$6)*(1+'Scenario Analysis'!$C$6)*'Scenario Analysis'!$E$15)+SUMPRODUCT('Sales, Production, &amp; Other Assu'!AY19:AY48*'Scenario Analysis'!$B$6,Table17[Unit Price in Study Currency]*(1+'Scenario Analysis'!$D$6)*(1+'Scenario Analysis'!$C$6)*'Scenario Analysis'!$E$16)+SUMPRODUCT('Sales, Production, &amp; Other Assu'!AX19:AX48*'Scenario Analysis'!$B$6,Table17[Unit Price in Study Currency]*(1+'Scenario Analysis'!$D$6)*(1+'Scenario Analysis'!$C$6)*'Scenario Analysis'!$E$17)+SUMPRODUCT('Sales, Production, &amp; Other Assu'!AW19:AW48*'Scenario Analysis'!$B$6,Table17[Unit Price in Study Currency]*(1+'Scenario Analysis'!$D$6)*(1+'Scenario Analysis'!$C$6)*'Scenario Analysis'!$E$18)+SUMPRODUCT('Sales, Production, &amp; Other Assu'!AV19:AV48*'Scenario Analysis'!$B$6,Table17[Unit Price in Study Currency]*(1+'Scenario Analysis'!$D$6)*(1+'Scenario Analysis'!$C$6)*'Scenario Analysis'!$E$19)</f>
        <v>956080.35</v>
      </c>
      <c r="BA67" s="518">
        <f>SUMPRODUCT('Sales, Production, &amp; Other Assu'!BB19:BB48*'Scenario Analysis'!$B$6,Table17[Unit Price in Study Currency]*(1+'Scenario Analysis'!$D$6)*(1+'Scenario Analysis'!$C$6)*'Scenario Analysis'!$E$14)+SUMPRODUCT('Sales, Production, &amp; Other Assu'!BA19:BA48*'Scenario Analysis'!$B$6,Table17[Unit Price in Study Currency]*(1+'Scenario Analysis'!$D$6)*(1+'Scenario Analysis'!$C$6)*'Scenario Analysis'!$E$15)+SUMPRODUCT('Sales, Production, &amp; Other Assu'!AZ19:AZ48*'Scenario Analysis'!$B$6,Table17[Unit Price in Study Currency]*(1+'Scenario Analysis'!$D$6)*(1+'Scenario Analysis'!$C$6)*'Scenario Analysis'!$E$16)+SUMPRODUCT('Sales, Production, &amp; Other Assu'!AY19:AY48*'Scenario Analysis'!$B$6,Table17[Unit Price in Study Currency]*(1+'Scenario Analysis'!$D$6)*(1+'Scenario Analysis'!$C$6)*'Scenario Analysis'!$E$17)+SUMPRODUCT('Sales, Production, &amp; Other Assu'!AX19:AX48*'Scenario Analysis'!$B$6,Table17[Unit Price in Study Currency]*(1+'Scenario Analysis'!$D$6)*(1+'Scenario Analysis'!$C$6)*'Scenario Analysis'!$E$18)+SUMPRODUCT('Sales, Production, &amp; Other Assu'!AW19:AW48*'Scenario Analysis'!$B$6,Table17[Unit Price in Study Currency]*(1+'Scenario Analysis'!$D$6)*(1+'Scenario Analysis'!$C$6)*'Scenario Analysis'!$E$19)</f>
        <v>956080.35</v>
      </c>
      <c r="BB67" s="545">
        <f>SUM(AP67:BA67)</f>
        <v>11287717.199999997</v>
      </c>
      <c r="BC67" s="518">
        <f>SUMPRODUCT('Sales, Production, &amp; Other Assu'!BD19:BD48*'Scenario Analysis'!$B$6,Table17[Unit Price in Study Currency]*(1+'Scenario Analysis'!$D$6)*(1+'Scenario Analysis'!$C$6)*'Scenario Analysis'!$E$14)+SUMPRODUCT('Sales, Production, &amp; Other Assu'!BB19:BB48*'Scenario Analysis'!$B$6,Table17[Unit Price in Study Currency]*(1+'Scenario Analysis'!$D$6)*(1+'Scenario Analysis'!$C$6)*'Scenario Analysis'!$E$15)+SUMPRODUCT('Sales, Production, &amp; Other Assu'!BA19:BA48*'Scenario Analysis'!$B$6,Table17[Unit Price in Study Currency]*(1+'Scenario Analysis'!$D$6)*(1+'Scenario Analysis'!$C$6)*'Scenario Analysis'!$E$16)+SUMPRODUCT('Sales, Production, &amp; Other Assu'!AZ19:AZ48*'Scenario Analysis'!$B$6,Table17[Unit Price in Study Currency]*(1+'Scenario Analysis'!$D$6)*(1+'Scenario Analysis'!$C$6)*'Scenario Analysis'!$E$17)+SUMPRODUCT('Sales, Production, &amp; Other Assu'!AY19:AY48*'Scenario Analysis'!$B$6,Table17[Unit Price in Study Currency]*(1+'Scenario Analysis'!$D$6)*(1+'Scenario Analysis'!$C$6)*'Scenario Analysis'!$E$18)+SUMPRODUCT('Sales, Production, &amp; Other Assu'!AX19:AX48*'Scenario Analysis'!$B$6,Table17[Unit Price in Study Currency]*(1+'Scenario Analysis'!$D$6)*(1+'Scenario Analysis'!$C$6)*'Scenario Analysis'!$E$19)</f>
        <v>956080.35</v>
      </c>
      <c r="BD67" s="518">
        <f>SUMPRODUCT('Sales, Production, &amp; Other Assu'!BE19:BE48*'Scenario Analysis'!$B$6,Table17[Unit Price in Study Currency]*(1+'Scenario Analysis'!$D$6)*(1+'Scenario Analysis'!$C$6)*'Scenario Analysis'!$E$14)+SUMPRODUCT('Sales, Production, &amp; Other Assu'!BD19:BD48*'Scenario Analysis'!$B$6,Table17[Unit Price in Study Currency]*(1+'Scenario Analysis'!$D$6)*(1+'Scenario Analysis'!$C$6)*'Scenario Analysis'!$E$15)+SUMPRODUCT('Sales, Production, &amp; Other Assu'!BB19:BB48*'Scenario Analysis'!$B$6,Table17[Unit Price in Study Currency]*(1+'Scenario Analysis'!$D$6)*(1+'Scenario Analysis'!$C$6)*'Scenario Analysis'!$E$16)+SUMPRODUCT('Sales, Production, &amp; Other Assu'!BA19:BA48*'Scenario Analysis'!$B$6,Table17[Unit Price in Study Currency]*(1+'Scenario Analysis'!$D$6)*(1+'Scenario Analysis'!$C$6)*'Scenario Analysis'!$E$17)+SUMPRODUCT('Sales, Production, &amp; Other Assu'!AZ19:AZ48*'Scenario Analysis'!$B$6,Table17[Unit Price in Study Currency]*(1+'Scenario Analysis'!$D$6)*(1+'Scenario Analysis'!$C$6)*'Scenario Analysis'!$E$18)+SUMPRODUCT('Sales, Production, &amp; Other Assu'!AY19:AY48*'Scenario Analysis'!$B$6,Table17[Unit Price in Study Currency]*(1+'Scenario Analysis'!$D$6)*(1+'Scenario Analysis'!$C$6)*'Scenario Analysis'!$E$19)</f>
        <v>1023736.6709999999</v>
      </c>
      <c r="BE67" s="518">
        <f>SUMPRODUCT('Sales, Production, &amp; Other Assu'!BF19:BF48*'Scenario Analysis'!$B$6,Table17[Unit Price in Study Currency]*(1+'Scenario Analysis'!$D$6)*(1+'Scenario Analysis'!$C$6)*'Scenario Analysis'!$E$14)+SUMPRODUCT('Sales, Production, &amp; Other Assu'!BE19:BE48*'Scenario Analysis'!$B$6,Table17[Unit Price in Study Currency]*(1+'Scenario Analysis'!$D$6)*(1+'Scenario Analysis'!$C$6)*'Scenario Analysis'!$E$15)+SUMPRODUCT('Sales, Production, &amp; Other Assu'!BD19:BD48*'Scenario Analysis'!$B$6,Table17[Unit Price in Study Currency]*(1+'Scenario Analysis'!$D$6)*(1+'Scenario Analysis'!$C$6)*'Scenario Analysis'!$E$16)+SUMPRODUCT('Sales, Production, &amp; Other Assu'!BB19:BB48*'Scenario Analysis'!$B$6,Table17[Unit Price in Study Currency]*(1+'Scenario Analysis'!$D$6)*(1+'Scenario Analysis'!$C$6)*'Scenario Analysis'!$E$17)+SUMPRODUCT('Sales, Production, &amp; Other Assu'!BA19:BA48*'Scenario Analysis'!$B$6,Table17[Unit Price in Study Currency]*(1+'Scenario Analysis'!$D$6)*(1+'Scenario Analysis'!$C$6)*'Scenario Analysis'!$E$18)+SUMPRODUCT('Sales, Production, &amp; Other Assu'!AZ19:AZ48*'Scenario Analysis'!$B$6,Table17[Unit Price in Study Currency]*(1+'Scenario Analysis'!$D$6)*(1+'Scenario Analysis'!$C$6)*'Scenario Analysis'!$E$19)</f>
        <v>1091392.9919999999</v>
      </c>
      <c r="BF67" s="518">
        <f>SUMPRODUCT('Sales, Production, &amp; Other Assu'!BG19:BG48*'Scenario Analysis'!$B$6,Table17[Unit Price in Study Currency]*(1+'Scenario Analysis'!$D$6)*(1+'Scenario Analysis'!$C$6)*'Scenario Analysis'!$E$14)+SUMPRODUCT('Sales, Production, &amp; Other Assu'!BF19:BF48*'Scenario Analysis'!$B$6,Table17[Unit Price in Study Currency]*(1+'Scenario Analysis'!$D$6)*(1+'Scenario Analysis'!$C$6)*'Scenario Analysis'!$E$15)+SUMPRODUCT('Sales, Production, &amp; Other Assu'!BE19:BE48*'Scenario Analysis'!$B$6,Table17[Unit Price in Study Currency]*(1+'Scenario Analysis'!$D$6)*(1+'Scenario Analysis'!$C$6)*'Scenario Analysis'!$E$16)+SUMPRODUCT('Sales, Production, &amp; Other Assu'!BD19:BD48*'Scenario Analysis'!$B$6,Table17[Unit Price in Study Currency]*(1+'Scenario Analysis'!$D$6)*(1+'Scenario Analysis'!$C$6)*'Scenario Analysis'!$E$17)+SUMPRODUCT('Sales, Production, &amp; Other Assu'!BB19:BB48*'Scenario Analysis'!$B$6,Table17[Unit Price in Study Currency]*(1+'Scenario Analysis'!$D$6)*(1+'Scenario Analysis'!$C$6)*'Scenario Analysis'!$E$18)+SUMPRODUCT('Sales, Production, &amp; Other Assu'!BA19:BA48*'Scenario Analysis'!$B$6,Table17[Unit Price in Study Currency]*(1+'Scenario Analysis'!$D$6)*(1+'Scenario Analysis'!$C$6)*'Scenario Analysis'!$E$19)</f>
        <v>1091392.9919999999</v>
      </c>
      <c r="BG67" s="518">
        <f>SUMPRODUCT('Sales, Production, &amp; Other Assu'!BH19:BH48*'Scenario Analysis'!$B$6,Table17[Unit Price in Study Currency]*(1+'Scenario Analysis'!$D$6)*(1+'Scenario Analysis'!$C$6)*'Scenario Analysis'!$E$14)+SUMPRODUCT('Sales, Production, &amp; Other Assu'!BG19:BG48*'Scenario Analysis'!$B$6,Table17[Unit Price in Study Currency]*(1+'Scenario Analysis'!$D$6)*(1+'Scenario Analysis'!$C$6)*'Scenario Analysis'!$E$15)+SUMPRODUCT('Sales, Production, &amp; Other Assu'!BF19:BF48*'Scenario Analysis'!$B$6,Table17[Unit Price in Study Currency]*(1+'Scenario Analysis'!$D$6)*(1+'Scenario Analysis'!$C$6)*'Scenario Analysis'!$E$16)+SUMPRODUCT('Sales, Production, &amp; Other Assu'!BE19:BE48*'Scenario Analysis'!$B$6,Table17[Unit Price in Study Currency]*(1+'Scenario Analysis'!$D$6)*(1+'Scenario Analysis'!$C$6)*'Scenario Analysis'!$E$17)+SUMPRODUCT('Sales, Production, &amp; Other Assu'!BD19:BD48*'Scenario Analysis'!$B$6,Table17[Unit Price in Study Currency]*(1+'Scenario Analysis'!$D$6)*(1+'Scenario Analysis'!$C$6)*'Scenario Analysis'!$E$18)+SUMPRODUCT('Sales, Production, &amp; Other Assu'!BB19:BB48*'Scenario Analysis'!$B$6,Table17[Unit Price in Study Currency]*(1+'Scenario Analysis'!$D$6)*(1+'Scenario Analysis'!$C$6)*'Scenario Analysis'!$E$19)</f>
        <v>1091392.9919999999</v>
      </c>
      <c r="BH67" s="518">
        <f>SUMPRODUCT('Sales, Production, &amp; Other Assu'!BI19:BI48*'Scenario Analysis'!$B$6,Table17[Unit Price in Study Currency]*(1+'Scenario Analysis'!$D$6)*(1+'Scenario Analysis'!$C$6)*'Scenario Analysis'!$E$14)+SUMPRODUCT('Sales, Production, &amp; Other Assu'!BH19:BH48*'Scenario Analysis'!$B$6,Table17[Unit Price in Study Currency]*(1+'Scenario Analysis'!$D$6)*(1+'Scenario Analysis'!$C$6)*'Scenario Analysis'!$E$15)+SUMPRODUCT('Sales, Production, &amp; Other Assu'!BG19:BG48*'Scenario Analysis'!$B$6,Table17[Unit Price in Study Currency]*(1+'Scenario Analysis'!$D$6)*(1+'Scenario Analysis'!$C$6)*'Scenario Analysis'!$E$16)+SUMPRODUCT('Sales, Production, &amp; Other Assu'!BF19:BF48*'Scenario Analysis'!$B$6,Table17[Unit Price in Study Currency]*(1+'Scenario Analysis'!$D$6)*(1+'Scenario Analysis'!$C$6)*'Scenario Analysis'!$E$17)+SUMPRODUCT('Sales, Production, &amp; Other Assu'!BE19:BE48*'Scenario Analysis'!$B$6,Table17[Unit Price in Study Currency]*(1+'Scenario Analysis'!$D$6)*(1+'Scenario Analysis'!$C$6)*'Scenario Analysis'!$E$18)+SUMPRODUCT('Sales, Production, &amp; Other Assu'!BD19:BD48*'Scenario Analysis'!$B$6,Table17[Unit Price in Study Currency]*(1+'Scenario Analysis'!$D$6)*(1+'Scenario Analysis'!$C$6)*'Scenario Analysis'!$E$19)</f>
        <v>1091392.9919999999</v>
      </c>
      <c r="BI67" s="518">
        <f>SUMPRODUCT('Sales, Production, &amp; Other Assu'!BJ19:BJ48*'Scenario Analysis'!$B$6,Table17[Unit Price in Study Currency]*(1+'Scenario Analysis'!$D$6)*(1+'Scenario Analysis'!$C$6)*'Scenario Analysis'!$E$14)+SUMPRODUCT('Sales, Production, &amp; Other Assu'!BI19:BI48*'Scenario Analysis'!$B$6,Table17[Unit Price in Study Currency]*(1+'Scenario Analysis'!$D$6)*(1+'Scenario Analysis'!$C$6)*'Scenario Analysis'!$E$15)+SUMPRODUCT('Sales, Production, &amp; Other Assu'!BH19:BH48*'Scenario Analysis'!$B$6,Table17[Unit Price in Study Currency]*(1+'Scenario Analysis'!$D$6)*(1+'Scenario Analysis'!$C$6)*'Scenario Analysis'!$E$16)+SUMPRODUCT('Sales, Production, &amp; Other Assu'!BG19:BG48*'Scenario Analysis'!$B$6,Table17[Unit Price in Study Currency]*(1+'Scenario Analysis'!$D$6)*(1+'Scenario Analysis'!$C$6)*'Scenario Analysis'!$E$17)+SUMPRODUCT('Sales, Production, &amp; Other Assu'!BF19:BF48*'Scenario Analysis'!$B$6,Table17[Unit Price in Study Currency]*(1+'Scenario Analysis'!$D$6)*(1+'Scenario Analysis'!$C$6)*'Scenario Analysis'!$E$18)+SUMPRODUCT('Sales, Production, &amp; Other Assu'!BE19:BE48*'Scenario Analysis'!$B$6,Table17[Unit Price in Study Currency]*(1+'Scenario Analysis'!$D$6)*(1+'Scenario Analysis'!$C$6)*'Scenario Analysis'!$E$19)</f>
        <v>1091392.9919999999</v>
      </c>
      <c r="BJ67" s="518">
        <f>SUMPRODUCT('Sales, Production, &amp; Other Assu'!BK19:BK48*'Scenario Analysis'!$B$6,Table17[Unit Price in Study Currency]*(1+'Scenario Analysis'!$D$6)*(1+'Scenario Analysis'!$C$6)*'Scenario Analysis'!$E$14)+SUMPRODUCT('Sales, Production, &amp; Other Assu'!BJ19:BJ48*'Scenario Analysis'!$B$6,Table17[Unit Price in Study Currency]*(1+'Scenario Analysis'!$D$6)*(1+'Scenario Analysis'!$C$6)*'Scenario Analysis'!$E$15)+SUMPRODUCT('Sales, Production, &amp; Other Assu'!BI19:BI48*'Scenario Analysis'!$B$6,Table17[Unit Price in Study Currency]*(1+'Scenario Analysis'!$D$6)*(1+'Scenario Analysis'!$C$6)*'Scenario Analysis'!$E$16)+SUMPRODUCT('Sales, Production, &amp; Other Assu'!BH19:BH48*'Scenario Analysis'!$B$6,Table17[Unit Price in Study Currency]*(1+'Scenario Analysis'!$D$6)*(1+'Scenario Analysis'!$C$6)*'Scenario Analysis'!$E$17)+SUMPRODUCT('Sales, Production, &amp; Other Assu'!BG19:BG48*'Scenario Analysis'!$B$6,Table17[Unit Price in Study Currency]*(1+'Scenario Analysis'!$D$6)*(1+'Scenario Analysis'!$C$6)*'Scenario Analysis'!$E$18)+SUMPRODUCT('Sales, Production, &amp; Other Assu'!BF19:BF48*'Scenario Analysis'!$B$6,Table17[Unit Price in Study Currency]*(1+'Scenario Analysis'!$D$6)*(1+'Scenario Analysis'!$C$6)*'Scenario Analysis'!$E$19)</f>
        <v>1091392.9919999999</v>
      </c>
      <c r="BK67" s="518">
        <f>SUMPRODUCT('Sales, Production, &amp; Other Assu'!BL19:BL48*'Scenario Analysis'!$B$6,Table17[Unit Price in Study Currency]*(1+'Scenario Analysis'!$D$6)*(1+'Scenario Analysis'!$C$6)*'Scenario Analysis'!$E$14)+SUMPRODUCT('Sales, Production, &amp; Other Assu'!BK19:BK48*'Scenario Analysis'!$B$6,Table17[Unit Price in Study Currency]*(1+'Scenario Analysis'!$D$6)*(1+'Scenario Analysis'!$C$6)*'Scenario Analysis'!$E$15)+SUMPRODUCT('Sales, Production, &amp; Other Assu'!BJ19:BJ48*'Scenario Analysis'!$B$6,Table17[Unit Price in Study Currency]*(1+'Scenario Analysis'!$D$6)*(1+'Scenario Analysis'!$C$6)*'Scenario Analysis'!$E$16)+SUMPRODUCT('Sales, Production, &amp; Other Assu'!BI19:BI48*'Scenario Analysis'!$B$6,Table17[Unit Price in Study Currency]*(1+'Scenario Analysis'!$D$6)*(1+'Scenario Analysis'!$C$6)*'Scenario Analysis'!$E$17)+SUMPRODUCT('Sales, Production, &amp; Other Assu'!BH19:BH48*'Scenario Analysis'!$B$6,Table17[Unit Price in Study Currency]*(1+'Scenario Analysis'!$D$6)*(1+'Scenario Analysis'!$C$6)*'Scenario Analysis'!$E$18)+SUMPRODUCT('Sales, Production, &amp; Other Assu'!BG19:BG48*'Scenario Analysis'!$B$6,Table17[Unit Price in Study Currency]*(1+'Scenario Analysis'!$D$6)*(1+'Scenario Analysis'!$C$6)*'Scenario Analysis'!$E$19)</f>
        <v>1091392.9919999999</v>
      </c>
      <c r="BL67" s="518">
        <f>SUMPRODUCT('Sales, Production, &amp; Other Assu'!BM19:BM48*'Scenario Analysis'!$B$6,Table17[Unit Price in Study Currency]*(1+'Scenario Analysis'!$D$6)*(1+'Scenario Analysis'!$C$6)*'Scenario Analysis'!$E$14)+SUMPRODUCT('Sales, Production, &amp; Other Assu'!BL19:BL48*'Scenario Analysis'!$B$6,Table17[Unit Price in Study Currency]*(1+'Scenario Analysis'!$D$6)*(1+'Scenario Analysis'!$C$6)*'Scenario Analysis'!$E$15)+SUMPRODUCT('Sales, Production, &amp; Other Assu'!BK19:BK48*'Scenario Analysis'!$B$6,Table17[Unit Price in Study Currency]*(1+'Scenario Analysis'!$D$6)*(1+'Scenario Analysis'!$C$6)*'Scenario Analysis'!$E$16)+SUMPRODUCT('Sales, Production, &amp; Other Assu'!BJ19:BJ48*'Scenario Analysis'!$B$6,Table17[Unit Price in Study Currency]*(1+'Scenario Analysis'!$D$6)*(1+'Scenario Analysis'!$C$6)*'Scenario Analysis'!$E$17)+SUMPRODUCT('Sales, Production, &amp; Other Assu'!BI19:BI48*'Scenario Analysis'!$B$6,Table17[Unit Price in Study Currency]*(1+'Scenario Analysis'!$D$6)*(1+'Scenario Analysis'!$C$6)*'Scenario Analysis'!$E$18)+SUMPRODUCT('Sales, Production, &amp; Other Assu'!BH19:BH48*'Scenario Analysis'!$B$6,Table17[Unit Price in Study Currency]*(1+'Scenario Analysis'!$D$6)*(1+'Scenario Analysis'!$C$6)*'Scenario Analysis'!$E$19)</f>
        <v>1091392.9919999999</v>
      </c>
      <c r="BM67" s="518">
        <f>SUMPRODUCT('Sales, Production, &amp; Other Assu'!BN19:BN48*'Scenario Analysis'!$B$6,Table17[Unit Price in Study Currency]*(1+'Scenario Analysis'!$D$6)*(1+'Scenario Analysis'!$C$6)*'Scenario Analysis'!$E$14)+SUMPRODUCT('Sales, Production, &amp; Other Assu'!BM19:BM48*'Scenario Analysis'!$B$6,Table17[Unit Price in Study Currency]*(1+'Scenario Analysis'!$D$6)*(1+'Scenario Analysis'!$C$6)*'Scenario Analysis'!$E$15)+SUMPRODUCT('Sales, Production, &amp; Other Assu'!BL19:BL48*'Scenario Analysis'!$B$6,Table17[Unit Price in Study Currency]*(1+'Scenario Analysis'!$D$6)*(1+'Scenario Analysis'!$C$6)*'Scenario Analysis'!$E$16)+SUMPRODUCT('Sales, Production, &amp; Other Assu'!BK19:BK48*'Scenario Analysis'!$B$6,Table17[Unit Price in Study Currency]*(1+'Scenario Analysis'!$D$6)*(1+'Scenario Analysis'!$C$6)*'Scenario Analysis'!$E$17)+SUMPRODUCT('Sales, Production, &amp; Other Assu'!BJ19:BJ48*'Scenario Analysis'!$B$6,Table17[Unit Price in Study Currency]*(1+'Scenario Analysis'!$D$6)*(1+'Scenario Analysis'!$C$6)*'Scenario Analysis'!$E$18)+SUMPRODUCT('Sales, Production, &amp; Other Assu'!BI19:BI48*'Scenario Analysis'!$B$6,Table17[Unit Price in Study Currency]*(1+'Scenario Analysis'!$D$6)*(1+'Scenario Analysis'!$C$6)*'Scenario Analysis'!$E$19)</f>
        <v>1091392.9919999999</v>
      </c>
      <c r="BN67" s="518">
        <f>SUMPRODUCT('Sales, Production, &amp; Other Assu'!BO19:BO48*'Scenario Analysis'!$B$6,Table17[Unit Price in Study Currency]*(1+'Scenario Analysis'!$D$6)*(1+'Scenario Analysis'!$C$6)*'Scenario Analysis'!$E$14)+SUMPRODUCT('Sales, Production, &amp; Other Assu'!BN19:BN48*'Scenario Analysis'!$B$6,Table17[Unit Price in Study Currency]*(1+'Scenario Analysis'!$D$6)*(1+'Scenario Analysis'!$C$6)*'Scenario Analysis'!$E$15)+SUMPRODUCT('Sales, Production, &amp; Other Assu'!BM19:BM48*'Scenario Analysis'!$B$6,Table17[Unit Price in Study Currency]*(1+'Scenario Analysis'!$D$6)*(1+'Scenario Analysis'!$C$6)*'Scenario Analysis'!$E$16)+SUMPRODUCT('Sales, Production, &amp; Other Assu'!BL19:BL48*'Scenario Analysis'!$B$6,Table17[Unit Price in Study Currency]*(1+'Scenario Analysis'!$D$6)*(1+'Scenario Analysis'!$C$6)*'Scenario Analysis'!$E$17)+SUMPRODUCT('Sales, Production, &amp; Other Assu'!BK19:BK48*'Scenario Analysis'!$B$6,Table17[Unit Price in Study Currency]*(1+'Scenario Analysis'!$D$6)*(1+'Scenario Analysis'!$C$6)*'Scenario Analysis'!$E$18)+SUMPRODUCT('Sales, Production, &amp; Other Assu'!BJ19:BJ48*'Scenario Analysis'!$B$6,Table17[Unit Price in Study Currency]*(1+'Scenario Analysis'!$D$6)*(1+'Scenario Analysis'!$C$6)*'Scenario Analysis'!$E$19)</f>
        <v>1091392.9919999999</v>
      </c>
      <c r="BO67" s="545">
        <f>SUM(BC67:BN67)</f>
        <v>12893746.941</v>
      </c>
      <c r="BP67" s="518">
        <f>SUMPRODUCT('Sales, Production, &amp; Other Assu'!BQ19:BQ48*'Scenario Analysis'!$B$6,Table17[Unit Price in Study Currency]*(1+'Scenario Analysis'!$D$6)*(1+'Scenario Analysis'!$C$6)*'Scenario Analysis'!$E$14)+SUMPRODUCT('Sales, Production, &amp; Other Assu'!BO19:BO48*'Scenario Analysis'!$B$6,Table17[Unit Price in Study Currency]*(1+'Scenario Analysis'!$D$6)*(1+'Scenario Analysis'!$C$6)*'Scenario Analysis'!$E$15)+SUMPRODUCT('Sales, Production, &amp; Other Assu'!BN19:BN48*'Scenario Analysis'!$B$6,Table17[Unit Price in Study Currency]*(1+'Scenario Analysis'!$D$6)*(1+'Scenario Analysis'!$C$6)*'Scenario Analysis'!$E$16)+SUMPRODUCT('Sales, Production, &amp; Other Assu'!BM19:BM48*'Scenario Analysis'!$B$6,Table17[Unit Price in Study Currency]*(1+'Scenario Analysis'!$D$6)*(1+'Scenario Analysis'!$C$6)*'Scenario Analysis'!$E$17)+SUMPRODUCT('Sales, Production, &amp; Other Assu'!BL19:BL48*'Scenario Analysis'!$B$6,Table17[Unit Price in Study Currency]*(1+'Scenario Analysis'!$D$6)*(1+'Scenario Analysis'!$C$6)*'Scenario Analysis'!$E$18)+SUMPRODUCT('Sales, Production, &amp; Other Assu'!BK19:BK48*'Scenario Analysis'!$B$6,Table17[Unit Price in Study Currency]*(1+'Scenario Analysis'!$D$6)*(1+'Scenario Analysis'!$C$6)*'Scenario Analysis'!$E$19)</f>
        <v>1091392.9919999999</v>
      </c>
      <c r="BQ67" s="518">
        <f>SUMPRODUCT('Sales, Production, &amp; Other Assu'!BR19:BR48*'Scenario Analysis'!$B$6,Table17[Unit Price in Study Currency]*(1+'Scenario Analysis'!$D$6)*(1+'Scenario Analysis'!$C$6)*'Scenario Analysis'!$E$14)+SUMPRODUCT('Sales, Production, &amp; Other Assu'!BQ19:BQ48*'Scenario Analysis'!$B$6,Table17[Unit Price in Study Currency]*(1+'Scenario Analysis'!$D$6)*(1+'Scenario Analysis'!$C$6)*'Scenario Analysis'!$E$15)+SUMPRODUCT('Sales, Production, &amp; Other Assu'!BO19:BO48*'Scenario Analysis'!$B$6,Table17[Unit Price in Study Currency]*(1+'Scenario Analysis'!$D$6)*(1+'Scenario Analysis'!$C$6)*'Scenario Analysis'!$E$16)+SUMPRODUCT('Sales, Production, &amp; Other Assu'!BN19:BN48*'Scenario Analysis'!$B$6,Table17[Unit Price in Study Currency]*(1+'Scenario Analysis'!$D$6)*(1+'Scenario Analysis'!$C$6)*'Scenario Analysis'!$E$17)+SUMPRODUCT('Sales, Production, &amp; Other Assu'!BM19:BM48*'Scenario Analysis'!$B$6,Table17[Unit Price in Study Currency]*(1+'Scenario Analysis'!$D$6)*(1+'Scenario Analysis'!$C$6)*'Scenario Analysis'!$E$18)+SUMPRODUCT('Sales, Production, &amp; Other Assu'!BL19:BL48*'Scenario Analysis'!$B$6,Table17[Unit Price in Study Currency]*(1+'Scenario Analysis'!$D$6)*(1+'Scenario Analysis'!$C$6)*'Scenario Analysis'!$E$19)</f>
        <v>1165450.6259999997</v>
      </c>
      <c r="BR67" s="518">
        <f>SUMPRODUCT('Sales, Production, &amp; Other Assu'!BS19:BS48*'Scenario Analysis'!$B$6,Table17[Unit Price in Study Currency]*(1+'Scenario Analysis'!$D$6)*(1+'Scenario Analysis'!$C$6)*'Scenario Analysis'!$E$14)+SUMPRODUCT('Sales, Production, &amp; Other Assu'!BR19:BR48*'Scenario Analysis'!$B$6,Table17[Unit Price in Study Currency]*(1+'Scenario Analysis'!$D$6)*(1+'Scenario Analysis'!$C$6)*'Scenario Analysis'!$E$15)+SUMPRODUCT('Sales, Production, &amp; Other Assu'!BQ19:BQ48*'Scenario Analysis'!$B$6,Table17[Unit Price in Study Currency]*(1+'Scenario Analysis'!$D$6)*(1+'Scenario Analysis'!$C$6)*'Scenario Analysis'!$E$16)+SUMPRODUCT('Sales, Production, &amp; Other Assu'!BO19:BO48*'Scenario Analysis'!$B$6,Table17[Unit Price in Study Currency]*(1+'Scenario Analysis'!$D$6)*(1+'Scenario Analysis'!$C$6)*'Scenario Analysis'!$E$17)+SUMPRODUCT('Sales, Production, &amp; Other Assu'!BN19:BN48*'Scenario Analysis'!$B$6,Table17[Unit Price in Study Currency]*(1+'Scenario Analysis'!$D$6)*(1+'Scenario Analysis'!$C$6)*'Scenario Analysis'!$E$18)+SUMPRODUCT('Sales, Production, &amp; Other Assu'!BM19:BM48*'Scenario Analysis'!$B$6,Table17[Unit Price in Study Currency]*(1+'Scenario Analysis'!$D$6)*(1+'Scenario Analysis'!$C$6)*'Scenario Analysis'!$E$19)</f>
        <v>1239508.2599999998</v>
      </c>
      <c r="BS67" s="518">
        <f>SUMPRODUCT('Sales, Production, &amp; Other Assu'!BT19:BT48*'Scenario Analysis'!$B$6,Table17[Unit Price in Study Currency]*(1+'Scenario Analysis'!$D$6)*(1+'Scenario Analysis'!$C$6)*'Scenario Analysis'!$E$14)+SUMPRODUCT('Sales, Production, &amp; Other Assu'!BS19:BS48*'Scenario Analysis'!$B$6,Table17[Unit Price in Study Currency]*(1+'Scenario Analysis'!$D$6)*(1+'Scenario Analysis'!$C$6)*'Scenario Analysis'!$E$15)+SUMPRODUCT('Sales, Production, &amp; Other Assu'!BR19:BR48*'Scenario Analysis'!$B$6,Table17[Unit Price in Study Currency]*(1+'Scenario Analysis'!$D$6)*(1+'Scenario Analysis'!$C$6)*'Scenario Analysis'!$E$16)+SUMPRODUCT('Sales, Production, &amp; Other Assu'!BQ19:BQ48*'Scenario Analysis'!$B$6,Table17[Unit Price in Study Currency]*(1+'Scenario Analysis'!$D$6)*(1+'Scenario Analysis'!$C$6)*'Scenario Analysis'!$E$17)+SUMPRODUCT('Sales, Production, &amp; Other Assu'!BO19:BO48*'Scenario Analysis'!$B$6,Table17[Unit Price in Study Currency]*(1+'Scenario Analysis'!$D$6)*(1+'Scenario Analysis'!$C$6)*'Scenario Analysis'!$E$18)+SUMPRODUCT('Sales, Production, &amp; Other Assu'!BN19:BN48*'Scenario Analysis'!$B$6,Table17[Unit Price in Study Currency]*(1+'Scenario Analysis'!$D$6)*(1+'Scenario Analysis'!$C$6)*'Scenario Analysis'!$E$19)</f>
        <v>1239508.2599999998</v>
      </c>
      <c r="BT67" s="518">
        <f>SUMPRODUCT('Sales, Production, &amp; Other Assu'!BU19:BU48*'Scenario Analysis'!$B$6,Table17[Unit Price in Study Currency]*(1+'Scenario Analysis'!$D$6)*(1+'Scenario Analysis'!$C$6)*'Scenario Analysis'!$E$14)+SUMPRODUCT('Sales, Production, &amp; Other Assu'!BT19:BT48*'Scenario Analysis'!$B$6,Table17[Unit Price in Study Currency]*(1+'Scenario Analysis'!$D$6)*(1+'Scenario Analysis'!$C$6)*'Scenario Analysis'!$E$15)+SUMPRODUCT('Sales, Production, &amp; Other Assu'!BS19:BS48*'Scenario Analysis'!$B$6,Table17[Unit Price in Study Currency]*(1+'Scenario Analysis'!$D$6)*(1+'Scenario Analysis'!$C$6)*'Scenario Analysis'!$E$16)+SUMPRODUCT('Sales, Production, &amp; Other Assu'!BR19:BR48*'Scenario Analysis'!$B$6,Table17[Unit Price in Study Currency]*(1+'Scenario Analysis'!$D$6)*(1+'Scenario Analysis'!$C$6)*'Scenario Analysis'!$E$17)+SUMPRODUCT('Sales, Production, &amp; Other Assu'!BQ19:BQ48*'Scenario Analysis'!$B$6,Table17[Unit Price in Study Currency]*(1+'Scenario Analysis'!$D$6)*(1+'Scenario Analysis'!$C$6)*'Scenario Analysis'!$E$18)+SUMPRODUCT('Sales, Production, &amp; Other Assu'!BO19:BO48*'Scenario Analysis'!$B$6,Table17[Unit Price in Study Currency]*(1+'Scenario Analysis'!$D$6)*(1+'Scenario Analysis'!$C$6)*'Scenario Analysis'!$E$19)</f>
        <v>1239508.2599999998</v>
      </c>
      <c r="BU67" s="518">
        <f>SUMPRODUCT('Sales, Production, &amp; Other Assu'!BV19:BV48*'Scenario Analysis'!$B$6,Table17[Unit Price in Study Currency]*(1+'Scenario Analysis'!$D$6)*(1+'Scenario Analysis'!$C$6)*'Scenario Analysis'!$E$14)+SUMPRODUCT('Sales, Production, &amp; Other Assu'!BU19:BU48*'Scenario Analysis'!$B$6,Table17[Unit Price in Study Currency]*(1+'Scenario Analysis'!$D$6)*(1+'Scenario Analysis'!$C$6)*'Scenario Analysis'!$E$15)+SUMPRODUCT('Sales, Production, &amp; Other Assu'!BT19:BT48*'Scenario Analysis'!$B$6,Table17[Unit Price in Study Currency]*(1+'Scenario Analysis'!$D$6)*(1+'Scenario Analysis'!$C$6)*'Scenario Analysis'!$E$16)+SUMPRODUCT('Sales, Production, &amp; Other Assu'!BS19:BS48*'Scenario Analysis'!$B$6,Table17[Unit Price in Study Currency]*(1+'Scenario Analysis'!$D$6)*(1+'Scenario Analysis'!$C$6)*'Scenario Analysis'!$E$17)+SUMPRODUCT('Sales, Production, &amp; Other Assu'!BR19:BR48*'Scenario Analysis'!$B$6,Table17[Unit Price in Study Currency]*(1+'Scenario Analysis'!$D$6)*(1+'Scenario Analysis'!$C$6)*'Scenario Analysis'!$E$18)+SUMPRODUCT('Sales, Production, &amp; Other Assu'!BQ19:BQ48*'Scenario Analysis'!$B$6,Table17[Unit Price in Study Currency]*(1+'Scenario Analysis'!$D$6)*(1+'Scenario Analysis'!$C$6)*'Scenario Analysis'!$E$19)</f>
        <v>1239508.2599999998</v>
      </c>
      <c r="BV67" s="518">
        <f>SUMPRODUCT('Sales, Production, &amp; Other Assu'!BW19:BW48*'Scenario Analysis'!$B$6,Table17[Unit Price in Study Currency]*(1+'Scenario Analysis'!$D$6)*(1+'Scenario Analysis'!$C$6)*'Scenario Analysis'!$E$14)+SUMPRODUCT('Sales, Production, &amp; Other Assu'!BV19:BV48*'Scenario Analysis'!$B$6,Table17[Unit Price in Study Currency]*(1+'Scenario Analysis'!$D$6)*(1+'Scenario Analysis'!$C$6)*'Scenario Analysis'!$E$15)+SUMPRODUCT('Sales, Production, &amp; Other Assu'!BU19:BU48*'Scenario Analysis'!$B$6,Table17[Unit Price in Study Currency]*(1+'Scenario Analysis'!$D$6)*(1+'Scenario Analysis'!$C$6)*'Scenario Analysis'!$E$16)+SUMPRODUCT('Sales, Production, &amp; Other Assu'!BT19:BT48*'Scenario Analysis'!$B$6,Table17[Unit Price in Study Currency]*(1+'Scenario Analysis'!$D$6)*(1+'Scenario Analysis'!$C$6)*'Scenario Analysis'!$E$17)+SUMPRODUCT('Sales, Production, &amp; Other Assu'!BS19:BS48*'Scenario Analysis'!$B$6,Table17[Unit Price in Study Currency]*(1+'Scenario Analysis'!$D$6)*(1+'Scenario Analysis'!$C$6)*'Scenario Analysis'!$E$18)+SUMPRODUCT('Sales, Production, &amp; Other Assu'!BR19:BR48*'Scenario Analysis'!$B$6,Table17[Unit Price in Study Currency]*(1+'Scenario Analysis'!$D$6)*(1+'Scenario Analysis'!$C$6)*'Scenario Analysis'!$E$19)</f>
        <v>1239508.2599999998</v>
      </c>
      <c r="BW67" s="518">
        <f>SUMPRODUCT('Sales, Production, &amp; Other Assu'!BX19:BX48*'Scenario Analysis'!$B$6,Table17[Unit Price in Study Currency]*(1+'Scenario Analysis'!$D$6)*(1+'Scenario Analysis'!$C$6)*'Scenario Analysis'!$E$14)+SUMPRODUCT('Sales, Production, &amp; Other Assu'!BW19:BW48*'Scenario Analysis'!$B$6,Table17[Unit Price in Study Currency]*(1+'Scenario Analysis'!$D$6)*(1+'Scenario Analysis'!$C$6)*'Scenario Analysis'!$E$15)+SUMPRODUCT('Sales, Production, &amp; Other Assu'!BV19:BV48*'Scenario Analysis'!$B$6,Table17[Unit Price in Study Currency]*(1+'Scenario Analysis'!$D$6)*(1+'Scenario Analysis'!$C$6)*'Scenario Analysis'!$E$16)+SUMPRODUCT('Sales, Production, &amp; Other Assu'!BU19:BU48*'Scenario Analysis'!$B$6,Table17[Unit Price in Study Currency]*(1+'Scenario Analysis'!$D$6)*(1+'Scenario Analysis'!$C$6)*'Scenario Analysis'!$E$17)+SUMPRODUCT('Sales, Production, &amp; Other Assu'!BT19:BT48*'Scenario Analysis'!$B$6,Table17[Unit Price in Study Currency]*(1+'Scenario Analysis'!$D$6)*(1+'Scenario Analysis'!$C$6)*'Scenario Analysis'!$E$18)+SUMPRODUCT('Sales, Production, &amp; Other Assu'!BS19:BS48*'Scenario Analysis'!$B$6,Table17[Unit Price in Study Currency]*(1+'Scenario Analysis'!$D$6)*(1+'Scenario Analysis'!$C$6)*'Scenario Analysis'!$E$19)</f>
        <v>1239508.2599999998</v>
      </c>
      <c r="BX67" s="518">
        <f>SUMPRODUCT('Sales, Production, &amp; Other Assu'!BY19:BY48*'Scenario Analysis'!$B$6,Table17[Unit Price in Study Currency]*(1+'Scenario Analysis'!$D$6)*(1+'Scenario Analysis'!$C$6)*'Scenario Analysis'!$E$14)+SUMPRODUCT('Sales, Production, &amp; Other Assu'!BX19:BX48*'Scenario Analysis'!$B$6,Table17[Unit Price in Study Currency]*(1+'Scenario Analysis'!$D$6)*(1+'Scenario Analysis'!$C$6)*'Scenario Analysis'!$E$15)+SUMPRODUCT('Sales, Production, &amp; Other Assu'!BW19:BW48*'Scenario Analysis'!$B$6,Table17[Unit Price in Study Currency]*(1+'Scenario Analysis'!$D$6)*(1+'Scenario Analysis'!$C$6)*'Scenario Analysis'!$E$16)+SUMPRODUCT('Sales, Production, &amp; Other Assu'!BV19:BV48*'Scenario Analysis'!$B$6,Table17[Unit Price in Study Currency]*(1+'Scenario Analysis'!$D$6)*(1+'Scenario Analysis'!$C$6)*'Scenario Analysis'!$E$17)+SUMPRODUCT('Sales, Production, &amp; Other Assu'!BU19:BU48*'Scenario Analysis'!$B$6,Table17[Unit Price in Study Currency]*(1+'Scenario Analysis'!$D$6)*(1+'Scenario Analysis'!$C$6)*'Scenario Analysis'!$E$18)+SUMPRODUCT('Sales, Production, &amp; Other Assu'!BT19:BT48*'Scenario Analysis'!$B$6,Table17[Unit Price in Study Currency]*(1+'Scenario Analysis'!$D$6)*(1+'Scenario Analysis'!$C$6)*'Scenario Analysis'!$E$19)</f>
        <v>1239508.2599999998</v>
      </c>
      <c r="BY67" s="518">
        <f>SUMPRODUCT('Sales, Production, &amp; Other Assu'!BZ19:BZ48*'Scenario Analysis'!$B$6,Table17[Unit Price in Study Currency]*(1+'Scenario Analysis'!$D$6)*(1+'Scenario Analysis'!$C$6)*'Scenario Analysis'!$E$14)+SUMPRODUCT('Sales, Production, &amp; Other Assu'!BY19:BY48*'Scenario Analysis'!$B$6,Table17[Unit Price in Study Currency]*(1+'Scenario Analysis'!$D$6)*(1+'Scenario Analysis'!$C$6)*'Scenario Analysis'!$E$15)+SUMPRODUCT('Sales, Production, &amp; Other Assu'!BX19:BX48*'Scenario Analysis'!$B$6,Table17[Unit Price in Study Currency]*(1+'Scenario Analysis'!$D$6)*(1+'Scenario Analysis'!$C$6)*'Scenario Analysis'!$E$16)+SUMPRODUCT('Sales, Production, &amp; Other Assu'!BW19:BW48*'Scenario Analysis'!$B$6,Table17[Unit Price in Study Currency]*(1+'Scenario Analysis'!$D$6)*(1+'Scenario Analysis'!$C$6)*'Scenario Analysis'!$E$17)+SUMPRODUCT('Sales, Production, &amp; Other Assu'!BV19:BV48*'Scenario Analysis'!$B$6,Table17[Unit Price in Study Currency]*(1+'Scenario Analysis'!$D$6)*(1+'Scenario Analysis'!$C$6)*'Scenario Analysis'!$E$18)+SUMPRODUCT('Sales, Production, &amp; Other Assu'!BU19:BU48*'Scenario Analysis'!$B$6,Table17[Unit Price in Study Currency]*(1+'Scenario Analysis'!$D$6)*(1+'Scenario Analysis'!$C$6)*'Scenario Analysis'!$E$19)</f>
        <v>1239508.2599999998</v>
      </c>
      <c r="BZ67" s="518">
        <f>SUMPRODUCT('Sales, Production, &amp; Other Assu'!CA19:CA48*'Scenario Analysis'!$B$6,Table17[Unit Price in Study Currency]*(1+'Scenario Analysis'!$D$6)*(1+'Scenario Analysis'!$C$6)*'Scenario Analysis'!$E$14)+SUMPRODUCT('Sales, Production, &amp; Other Assu'!BZ19:BZ48*'Scenario Analysis'!$B$6,Table17[Unit Price in Study Currency]*(1+'Scenario Analysis'!$D$6)*(1+'Scenario Analysis'!$C$6)*'Scenario Analysis'!$E$15)+SUMPRODUCT('Sales, Production, &amp; Other Assu'!BY19:BY48*'Scenario Analysis'!$B$6,Table17[Unit Price in Study Currency]*(1+'Scenario Analysis'!$D$6)*(1+'Scenario Analysis'!$C$6)*'Scenario Analysis'!$E$16)+SUMPRODUCT('Sales, Production, &amp; Other Assu'!BX19:BX48*'Scenario Analysis'!$B$6,Table17[Unit Price in Study Currency]*(1+'Scenario Analysis'!$D$6)*(1+'Scenario Analysis'!$C$6)*'Scenario Analysis'!$E$17)+SUMPRODUCT('Sales, Production, &amp; Other Assu'!BW19:BW48*'Scenario Analysis'!$B$6,Table17[Unit Price in Study Currency]*(1+'Scenario Analysis'!$D$6)*(1+'Scenario Analysis'!$C$6)*'Scenario Analysis'!$E$18)+SUMPRODUCT('Sales, Production, &amp; Other Assu'!BV19:BV48*'Scenario Analysis'!$B$6,Table17[Unit Price in Study Currency]*(1+'Scenario Analysis'!$D$6)*(1+'Scenario Analysis'!$C$6)*'Scenario Analysis'!$E$19)</f>
        <v>1239508.2599999998</v>
      </c>
      <c r="CA67" s="518">
        <f>SUMPRODUCT('Sales, Production, &amp; Other Assu'!CB19:CB48*'Scenario Analysis'!$B$6,Table17[Unit Price in Study Currency]*(1+'Scenario Analysis'!$D$6)*(1+'Scenario Analysis'!$C$6)*'Scenario Analysis'!$E$14)+SUMPRODUCT('Sales, Production, &amp; Other Assu'!CA19:CA48*'Scenario Analysis'!$B$6,Table17[Unit Price in Study Currency]*(1+'Scenario Analysis'!$D$6)*(1+'Scenario Analysis'!$C$6)*'Scenario Analysis'!$E$15)+SUMPRODUCT('Sales, Production, &amp; Other Assu'!BZ19:BZ48*'Scenario Analysis'!$B$6,Table17[Unit Price in Study Currency]*(1+'Scenario Analysis'!$D$6)*(1+'Scenario Analysis'!$C$6)*'Scenario Analysis'!$E$16)+SUMPRODUCT('Sales, Production, &amp; Other Assu'!BY19:BY48*'Scenario Analysis'!$B$6,Table17[Unit Price in Study Currency]*(1+'Scenario Analysis'!$D$6)*(1+'Scenario Analysis'!$C$6)*'Scenario Analysis'!$E$17)+SUMPRODUCT('Sales, Production, &amp; Other Assu'!BX19:BX48*'Scenario Analysis'!$B$6,Table17[Unit Price in Study Currency]*(1+'Scenario Analysis'!$D$6)*(1+'Scenario Analysis'!$C$6)*'Scenario Analysis'!$E$18)+SUMPRODUCT('Sales, Production, &amp; Other Assu'!BW19:BW48*'Scenario Analysis'!$B$6,Table17[Unit Price in Study Currency]*(1+'Scenario Analysis'!$D$6)*(1+'Scenario Analysis'!$C$6)*'Scenario Analysis'!$E$19)</f>
        <v>1239508.2599999998</v>
      </c>
      <c r="CB67" s="545">
        <f>SUM(BP67:CA67)</f>
        <v>14651926.217999997</v>
      </c>
      <c r="CC67" s="518">
        <f>SUMPRODUCT('Sales, Production, &amp; Other Assu'!CD19:CD48*'Scenario Analysis'!$B$6,Table17[Unit Price in Study Currency]*(1+'Scenario Analysis'!$D$6)*(1+'Scenario Analysis'!$C$6)*'Scenario Analysis'!$E$14)+SUMPRODUCT('Sales, Production, &amp; Other Assu'!CB19:CB48*'Scenario Analysis'!$B$6,Table17[Unit Price in Study Currency]*(1+'Scenario Analysis'!$D$6)*(1+'Scenario Analysis'!$C$6)*'Scenario Analysis'!$E$15)+SUMPRODUCT('Sales, Production, &amp; Other Assu'!CA19:CA48*'Scenario Analysis'!$B$6,Table17[Unit Price in Study Currency]*(1+'Scenario Analysis'!$D$6)*(1+'Scenario Analysis'!$C$6)*'Scenario Analysis'!$E$16)+SUMPRODUCT('Sales, Production, &amp; Other Assu'!BZ19:BZ48*'Scenario Analysis'!$B$6,Table17[Unit Price in Study Currency]*(1+'Scenario Analysis'!$D$6)*(1+'Scenario Analysis'!$C$6)*'Scenario Analysis'!$E$17)+SUMPRODUCT('Sales, Production, &amp; Other Assu'!BY19:BY48*'Scenario Analysis'!$B$6,Table17[Unit Price in Study Currency]*(1+'Scenario Analysis'!$D$6)*(1+'Scenario Analysis'!$C$6)*'Scenario Analysis'!$E$18)+SUMPRODUCT('Sales, Production, &amp; Other Assu'!BX19:BX48*'Scenario Analysis'!$B$6,Table17[Unit Price in Study Currency]*(1+'Scenario Analysis'!$D$6)*(1+'Scenario Analysis'!$C$6)*'Scenario Analysis'!$E$19)</f>
        <v>1239508.2599999998</v>
      </c>
      <c r="CD67" s="518">
        <f>SUMPRODUCT('Sales, Production, &amp; Other Assu'!CE19:CE48*'Scenario Analysis'!$B$6,Table17[Unit Price in Study Currency]*(1+'Scenario Analysis'!$D$6)*(1+'Scenario Analysis'!$C$6)*'Scenario Analysis'!$E$14)+SUMPRODUCT('Sales, Production, &amp; Other Assu'!CD19:CD48*'Scenario Analysis'!$B$6,Table17[Unit Price in Study Currency]*(1+'Scenario Analysis'!$D$6)*(1+'Scenario Analysis'!$C$6)*'Scenario Analysis'!$E$15)+SUMPRODUCT('Sales, Production, &amp; Other Assu'!CB19:CB48*'Scenario Analysis'!$B$6,Table17[Unit Price in Study Currency]*(1+'Scenario Analysis'!$D$6)*(1+'Scenario Analysis'!$C$6)*'Scenario Analysis'!$E$16)+SUMPRODUCT('Sales, Production, &amp; Other Assu'!CA19:CA48*'Scenario Analysis'!$B$6,Table17[Unit Price in Study Currency]*(1+'Scenario Analysis'!$D$6)*(1+'Scenario Analysis'!$C$6)*'Scenario Analysis'!$E$17)+SUMPRODUCT('Sales, Production, &amp; Other Assu'!BZ19:BZ48*'Scenario Analysis'!$B$6,Table17[Unit Price in Study Currency]*(1+'Scenario Analysis'!$D$6)*(1+'Scenario Analysis'!$C$6)*'Scenario Analysis'!$E$18)+SUMPRODUCT('Sales, Production, &amp; Other Assu'!BY19:BY48*'Scenario Analysis'!$B$6,Table17[Unit Price in Study Currency]*(1+'Scenario Analysis'!$D$6)*(1+'Scenario Analysis'!$C$6)*'Scenario Analysis'!$E$19)</f>
        <v>1276701.7409999999</v>
      </c>
      <c r="CE67" s="518">
        <f>SUMPRODUCT('Sales, Production, &amp; Other Assu'!CF19:CF48*'Scenario Analysis'!$B$6,Table17[Unit Price in Study Currency]*(1+'Scenario Analysis'!$D$6)*(1+'Scenario Analysis'!$C$6)*'Scenario Analysis'!$E$14)+SUMPRODUCT('Sales, Production, &amp; Other Assu'!CE19:CE48*'Scenario Analysis'!$B$6,Table17[Unit Price in Study Currency]*(1+'Scenario Analysis'!$D$6)*(1+'Scenario Analysis'!$C$6)*'Scenario Analysis'!$E$15)+SUMPRODUCT('Sales, Production, &amp; Other Assu'!CD19:CD48*'Scenario Analysis'!$B$6,Table17[Unit Price in Study Currency]*(1+'Scenario Analysis'!$D$6)*(1+'Scenario Analysis'!$C$6)*'Scenario Analysis'!$E$16)+SUMPRODUCT('Sales, Production, &amp; Other Assu'!CB19:CB48*'Scenario Analysis'!$B$6,Table17[Unit Price in Study Currency]*(1+'Scenario Analysis'!$D$6)*(1+'Scenario Analysis'!$C$6)*'Scenario Analysis'!$E$17)+SUMPRODUCT('Sales, Production, &amp; Other Assu'!CA19:CA48*'Scenario Analysis'!$B$6,Table17[Unit Price in Study Currency]*(1+'Scenario Analysis'!$D$6)*(1+'Scenario Analysis'!$C$6)*'Scenario Analysis'!$E$18)+SUMPRODUCT('Sales, Production, &amp; Other Assu'!BZ19:BZ48*'Scenario Analysis'!$B$6,Table17[Unit Price in Study Currency]*(1+'Scenario Analysis'!$D$6)*(1+'Scenario Analysis'!$C$6)*'Scenario Analysis'!$E$19)</f>
        <v>1313895.2219999998</v>
      </c>
      <c r="CF67" s="518">
        <f>SUMPRODUCT('Sales, Production, &amp; Other Assu'!CG19:CG48*'Scenario Analysis'!$B$6,Table17[Unit Price in Study Currency]*(1+'Scenario Analysis'!$D$6)*(1+'Scenario Analysis'!$C$6)*'Scenario Analysis'!$E$14)+SUMPRODUCT('Sales, Production, &amp; Other Assu'!CF19:CF48*'Scenario Analysis'!$B$6,Table17[Unit Price in Study Currency]*(1+'Scenario Analysis'!$D$6)*(1+'Scenario Analysis'!$C$6)*'Scenario Analysis'!$E$15)+SUMPRODUCT('Sales, Production, &amp; Other Assu'!CE19:CE48*'Scenario Analysis'!$B$6,Table17[Unit Price in Study Currency]*(1+'Scenario Analysis'!$D$6)*(1+'Scenario Analysis'!$C$6)*'Scenario Analysis'!$E$16)+SUMPRODUCT('Sales, Production, &amp; Other Assu'!CD19:CD48*'Scenario Analysis'!$B$6,Table17[Unit Price in Study Currency]*(1+'Scenario Analysis'!$D$6)*(1+'Scenario Analysis'!$C$6)*'Scenario Analysis'!$E$17)+SUMPRODUCT('Sales, Production, &amp; Other Assu'!CB19:CB48*'Scenario Analysis'!$B$6,Table17[Unit Price in Study Currency]*(1+'Scenario Analysis'!$D$6)*(1+'Scenario Analysis'!$C$6)*'Scenario Analysis'!$E$18)+SUMPRODUCT('Sales, Production, &amp; Other Assu'!CA19:CA48*'Scenario Analysis'!$B$6,Table17[Unit Price in Study Currency]*(1+'Scenario Analysis'!$D$6)*(1+'Scenario Analysis'!$C$6)*'Scenario Analysis'!$E$19)</f>
        <v>1313895.2219999998</v>
      </c>
      <c r="CG67" s="518">
        <f>SUMPRODUCT('Sales, Production, &amp; Other Assu'!CH19:CH48*'Scenario Analysis'!$B$6,Table17[Unit Price in Study Currency]*(1+'Scenario Analysis'!$D$6)*(1+'Scenario Analysis'!$C$6)*'Scenario Analysis'!$E$14)+SUMPRODUCT('Sales, Production, &amp; Other Assu'!CG19:CG48*'Scenario Analysis'!$B$6,Table17[Unit Price in Study Currency]*(1+'Scenario Analysis'!$D$6)*(1+'Scenario Analysis'!$C$6)*'Scenario Analysis'!$E$15)+SUMPRODUCT('Sales, Production, &amp; Other Assu'!CF19:CF48*'Scenario Analysis'!$B$6,Table17[Unit Price in Study Currency]*(1+'Scenario Analysis'!$D$6)*(1+'Scenario Analysis'!$C$6)*'Scenario Analysis'!$E$16)+SUMPRODUCT('Sales, Production, &amp; Other Assu'!CE19:CE48*'Scenario Analysis'!$B$6,Table17[Unit Price in Study Currency]*(1+'Scenario Analysis'!$D$6)*(1+'Scenario Analysis'!$C$6)*'Scenario Analysis'!$E$17)+SUMPRODUCT('Sales, Production, &amp; Other Assu'!CD19:CD48*'Scenario Analysis'!$B$6,Table17[Unit Price in Study Currency]*(1+'Scenario Analysis'!$D$6)*(1+'Scenario Analysis'!$C$6)*'Scenario Analysis'!$E$18)+SUMPRODUCT('Sales, Production, &amp; Other Assu'!CB19:CB48*'Scenario Analysis'!$B$6,Table17[Unit Price in Study Currency]*(1+'Scenario Analysis'!$D$6)*(1+'Scenario Analysis'!$C$6)*'Scenario Analysis'!$E$19)</f>
        <v>1313895.2219999998</v>
      </c>
      <c r="CH67" s="518">
        <f>SUMPRODUCT('Sales, Production, &amp; Other Assu'!CI19:CI48*'Scenario Analysis'!$B$6,Table17[Unit Price in Study Currency]*(1+'Scenario Analysis'!$D$6)*(1+'Scenario Analysis'!$C$6)*'Scenario Analysis'!$E$14)+SUMPRODUCT('Sales, Production, &amp; Other Assu'!CH19:CH48*'Scenario Analysis'!$B$6,Table17[Unit Price in Study Currency]*(1+'Scenario Analysis'!$D$6)*(1+'Scenario Analysis'!$C$6)*'Scenario Analysis'!$E$15)+SUMPRODUCT('Sales, Production, &amp; Other Assu'!CG19:CG48*'Scenario Analysis'!$B$6,Table17[Unit Price in Study Currency]*(1+'Scenario Analysis'!$D$6)*(1+'Scenario Analysis'!$C$6)*'Scenario Analysis'!$E$16)+SUMPRODUCT('Sales, Production, &amp; Other Assu'!CF19:CF48*'Scenario Analysis'!$B$6,Table17[Unit Price in Study Currency]*(1+'Scenario Analysis'!$D$6)*(1+'Scenario Analysis'!$C$6)*'Scenario Analysis'!$E$17)+SUMPRODUCT('Sales, Production, &amp; Other Assu'!CE19:CE48*'Scenario Analysis'!$B$6,Table17[Unit Price in Study Currency]*(1+'Scenario Analysis'!$D$6)*(1+'Scenario Analysis'!$C$6)*'Scenario Analysis'!$E$18)+SUMPRODUCT('Sales, Production, &amp; Other Assu'!CD19:CD48*'Scenario Analysis'!$B$6,Table17[Unit Price in Study Currency]*(1+'Scenario Analysis'!$D$6)*(1+'Scenario Analysis'!$C$6)*'Scenario Analysis'!$E$19)</f>
        <v>1313895.2219999998</v>
      </c>
      <c r="CI67" s="518">
        <f>SUMPRODUCT('Sales, Production, &amp; Other Assu'!CJ19:CJ48*'Scenario Analysis'!$B$6,Table17[Unit Price in Study Currency]*(1+'Scenario Analysis'!$D$6)*(1+'Scenario Analysis'!$C$6)*'Scenario Analysis'!$E$14)+SUMPRODUCT('Sales, Production, &amp; Other Assu'!CI19:CI48*'Scenario Analysis'!$B$6,Table17[Unit Price in Study Currency]*(1+'Scenario Analysis'!$D$6)*(1+'Scenario Analysis'!$C$6)*'Scenario Analysis'!$E$15)+SUMPRODUCT('Sales, Production, &amp; Other Assu'!CH19:CH48*'Scenario Analysis'!$B$6,Table17[Unit Price in Study Currency]*(1+'Scenario Analysis'!$D$6)*(1+'Scenario Analysis'!$C$6)*'Scenario Analysis'!$E$16)+SUMPRODUCT('Sales, Production, &amp; Other Assu'!CG19:CG48*'Scenario Analysis'!$B$6,Table17[Unit Price in Study Currency]*(1+'Scenario Analysis'!$D$6)*(1+'Scenario Analysis'!$C$6)*'Scenario Analysis'!$E$17)+SUMPRODUCT('Sales, Production, &amp; Other Assu'!CF19:CF48*'Scenario Analysis'!$B$6,Table17[Unit Price in Study Currency]*(1+'Scenario Analysis'!$D$6)*(1+'Scenario Analysis'!$C$6)*'Scenario Analysis'!$E$18)+SUMPRODUCT('Sales, Production, &amp; Other Assu'!CE19:CE48*'Scenario Analysis'!$B$6,Table17[Unit Price in Study Currency]*(1+'Scenario Analysis'!$D$6)*(1+'Scenario Analysis'!$C$6)*'Scenario Analysis'!$E$19)</f>
        <v>1313895.2219999998</v>
      </c>
      <c r="CJ67" s="518">
        <f>SUMPRODUCT('Sales, Production, &amp; Other Assu'!CK19:CK48*'Scenario Analysis'!$B$6,Table17[Unit Price in Study Currency]*(1+'Scenario Analysis'!$D$6)*(1+'Scenario Analysis'!$C$6)*'Scenario Analysis'!$E$14)+SUMPRODUCT('Sales, Production, &amp; Other Assu'!CJ19:CJ48*'Scenario Analysis'!$B$6,Table17[Unit Price in Study Currency]*(1+'Scenario Analysis'!$D$6)*(1+'Scenario Analysis'!$C$6)*'Scenario Analysis'!$E$15)+SUMPRODUCT('Sales, Production, &amp; Other Assu'!CI19:CI48*'Scenario Analysis'!$B$6,Table17[Unit Price in Study Currency]*(1+'Scenario Analysis'!$D$6)*(1+'Scenario Analysis'!$C$6)*'Scenario Analysis'!$E$16)+SUMPRODUCT('Sales, Production, &amp; Other Assu'!CH19:CH48*'Scenario Analysis'!$B$6,Table17[Unit Price in Study Currency]*(1+'Scenario Analysis'!$D$6)*(1+'Scenario Analysis'!$C$6)*'Scenario Analysis'!$E$17)+SUMPRODUCT('Sales, Production, &amp; Other Assu'!CG19:CG48*'Scenario Analysis'!$B$6,Table17[Unit Price in Study Currency]*(1+'Scenario Analysis'!$D$6)*(1+'Scenario Analysis'!$C$6)*'Scenario Analysis'!$E$18)+SUMPRODUCT('Sales, Production, &amp; Other Assu'!CF19:CF48*'Scenario Analysis'!$B$6,Table17[Unit Price in Study Currency]*(1+'Scenario Analysis'!$D$6)*(1+'Scenario Analysis'!$C$6)*'Scenario Analysis'!$E$19)</f>
        <v>1313895.2219999998</v>
      </c>
      <c r="CK67" s="518">
        <f>SUMPRODUCT('Sales, Production, &amp; Other Assu'!CL19:CL48*'Scenario Analysis'!$B$6,Table17[Unit Price in Study Currency]*(1+'Scenario Analysis'!$D$6)*(1+'Scenario Analysis'!$C$6)*'Scenario Analysis'!$E$14)+SUMPRODUCT('Sales, Production, &amp; Other Assu'!CK19:CK48*'Scenario Analysis'!$B$6,Table17[Unit Price in Study Currency]*(1+'Scenario Analysis'!$D$6)*(1+'Scenario Analysis'!$C$6)*'Scenario Analysis'!$E$15)+SUMPRODUCT('Sales, Production, &amp; Other Assu'!CJ19:CJ48*'Scenario Analysis'!$B$6,Table17[Unit Price in Study Currency]*(1+'Scenario Analysis'!$D$6)*(1+'Scenario Analysis'!$C$6)*'Scenario Analysis'!$E$16)+SUMPRODUCT('Sales, Production, &amp; Other Assu'!CI19:CI48*'Scenario Analysis'!$B$6,Table17[Unit Price in Study Currency]*(1+'Scenario Analysis'!$D$6)*(1+'Scenario Analysis'!$C$6)*'Scenario Analysis'!$E$17)+SUMPRODUCT('Sales, Production, &amp; Other Assu'!CH19:CH48*'Scenario Analysis'!$B$6,Table17[Unit Price in Study Currency]*(1+'Scenario Analysis'!$D$6)*(1+'Scenario Analysis'!$C$6)*'Scenario Analysis'!$E$18)+SUMPRODUCT('Sales, Production, &amp; Other Assu'!CG19:CG48*'Scenario Analysis'!$B$6,Table17[Unit Price in Study Currency]*(1+'Scenario Analysis'!$D$6)*(1+'Scenario Analysis'!$C$6)*'Scenario Analysis'!$E$19)</f>
        <v>1313895.2219999998</v>
      </c>
      <c r="CL67" s="518">
        <f>SUMPRODUCT('Sales, Production, &amp; Other Assu'!CM19:CM48*'Scenario Analysis'!$B$6,Table17[Unit Price in Study Currency]*(1+'Scenario Analysis'!$D$6)*(1+'Scenario Analysis'!$C$6)*'Scenario Analysis'!$E$14)+SUMPRODUCT('Sales, Production, &amp; Other Assu'!CL19:CL48*'Scenario Analysis'!$B$6,Table17[Unit Price in Study Currency]*(1+'Scenario Analysis'!$D$6)*(1+'Scenario Analysis'!$C$6)*'Scenario Analysis'!$E$15)+SUMPRODUCT('Sales, Production, &amp; Other Assu'!CK19:CK48*'Scenario Analysis'!$B$6,Table17[Unit Price in Study Currency]*(1+'Scenario Analysis'!$D$6)*(1+'Scenario Analysis'!$C$6)*'Scenario Analysis'!$E$16)+SUMPRODUCT('Sales, Production, &amp; Other Assu'!CJ19:CJ48*'Scenario Analysis'!$B$6,Table17[Unit Price in Study Currency]*(1+'Scenario Analysis'!$D$6)*(1+'Scenario Analysis'!$C$6)*'Scenario Analysis'!$E$17)+SUMPRODUCT('Sales, Production, &amp; Other Assu'!CI19:CI48*'Scenario Analysis'!$B$6,Table17[Unit Price in Study Currency]*(1+'Scenario Analysis'!$D$6)*(1+'Scenario Analysis'!$C$6)*'Scenario Analysis'!$E$18)+SUMPRODUCT('Sales, Production, &amp; Other Assu'!CH19:CH48*'Scenario Analysis'!$B$6,Table17[Unit Price in Study Currency]*(1+'Scenario Analysis'!$D$6)*(1+'Scenario Analysis'!$C$6)*'Scenario Analysis'!$E$19)</f>
        <v>1313895.2219999998</v>
      </c>
      <c r="CM67" s="518">
        <f>SUMPRODUCT('Sales, Production, &amp; Other Assu'!CN19:CN48*'Scenario Analysis'!$B$6,Table17[Unit Price in Study Currency]*(1+'Scenario Analysis'!$D$6)*(1+'Scenario Analysis'!$C$6)*'Scenario Analysis'!$E$14)+SUMPRODUCT('Sales, Production, &amp; Other Assu'!CM19:CM48*'Scenario Analysis'!$B$6,Table17[Unit Price in Study Currency]*(1+'Scenario Analysis'!$D$6)*(1+'Scenario Analysis'!$C$6)*'Scenario Analysis'!$E$15)+SUMPRODUCT('Sales, Production, &amp; Other Assu'!CL19:CL48*'Scenario Analysis'!$B$6,Table17[Unit Price in Study Currency]*(1+'Scenario Analysis'!$D$6)*(1+'Scenario Analysis'!$C$6)*'Scenario Analysis'!$E$16)+SUMPRODUCT('Sales, Production, &amp; Other Assu'!CK19:CK48*'Scenario Analysis'!$B$6,Table17[Unit Price in Study Currency]*(1+'Scenario Analysis'!$D$6)*(1+'Scenario Analysis'!$C$6)*'Scenario Analysis'!$E$17)+SUMPRODUCT('Sales, Production, &amp; Other Assu'!CJ19:CJ48*'Scenario Analysis'!$B$6,Table17[Unit Price in Study Currency]*(1+'Scenario Analysis'!$D$6)*(1+'Scenario Analysis'!$C$6)*'Scenario Analysis'!$E$18)+SUMPRODUCT('Sales, Production, &amp; Other Assu'!CI19:CI48*'Scenario Analysis'!$B$6,Table17[Unit Price in Study Currency]*(1+'Scenario Analysis'!$D$6)*(1+'Scenario Analysis'!$C$6)*'Scenario Analysis'!$E$19)</f>
        <v>1313895.2219999998</v>
      </c>
      <c r="CN67" s="518">
        <f>SUMPRODUCT('Sales, Production, &amp; Other Assu'!CO19:CO48*'Scenario Analysis'!$B$6,Table17[Unit Price in Study Currency]*(1+'Scenario Analysis'!$D$6)*(1+'Scenario Analysis'!$C$6)*'Scenario Analysis'!$E$14)+SUMPRODUCT('Sales, Production, &amp; Other Assu'!CN19:CN48*'Scenario Analysis'!$B$6,Table17[Unit Price in Study Currency]*(1+'Scenario Analysis'!$D$6)*(1+'Scenario Analysis'!$C$6)*'Scenario Analysis'!$E$15)+SUMPRODUCT('Sales, Production, &amp; Other Assu'!CM19:CM48*'Scenario Analysis'!$B$6,Table17[Unit Price in Study Currency]*(1+'Scenario Analysis'!$D$6)*(1+'Scenario Analysis'!$C$6)*'Scenario Analysis'!$E$16)+SUMPRODUCT('Sales, Production, &amp; Other Assu'!CL19:CL48*'Scenario Analysis'!$B$6,Table17[Unit Price in Study Currency]*(1+'Scenario Analysis'!$D$6)*(1+'Scenario Analysis'!$C$6)*'Scenario Analysis'!$E$17)+SUMPRODUCT('Sales, Production, &amp; Other Assu'!CK19:CK48*'Scenario Analysis'!$B$6,Table17[Unit Price in Study Currency]*(1+'Scenario Analysis'!$D$6)*(1+'Scenario Analysis'!$C$6)*'Scenario Analysis'!$E$18)+SUMPRODUCT('Sales, Production, &amp; Other Assu'!CJ19:CJ48*'Scenario Analysis'!$B$6,Table17[Unit Price in Study Currency]*(1+'Scenario Analysis'!$D$6)*(1+'Scenario Analysis'!$C$6)*'Scenario Analysis'!$E$19)</f>
        <v>1313895.2219999998</v>
      </c>
      <c r="CO67" s="545">
        <f>SUM(CC67:CN67)</f>
        <v>15655162.220999995</v>
      </c>
    </row>
    <row r="68" spans="1:93" s="112" customFormat="1" ht="24.95" hidden="1" customHeight="1" outlineLevel="1" thickBot="1">
      <c r="A68" s="123" t="s">
        <v>332</v>
      </c>
      <c r="B68" s="520">
        <f>SUM(B67:B67)</f>
        <v>0</v>
      </c>
      <c r="C68" s="520">
        <f>SUBTOTAL(109,C67)</f>
        <v>0</v>
      </c>
      <c r="D68" s="520">
        <f t="shared" ref="D68:N68" si="329">SUBTOTAL(109,D67)</f>
        <v>0</v>
      </c>
      <c r="E68" s="520">
        <f t="shared" si="329"/>
        <v>0</v>
      </c>
      <c r="F68" s="520">
        <f t="shared" si="329"/>
        <v>0</v>
      </c>
      <c r="G68" s="520">
        <f t="shared" si="329"/>
        <v>0</v>
      </c>
      <c r="H68" s="520">
        <f t="shared" si="329"/>
        <v>0</v>
      </c>
      <c r="I68" s="520">
        <f t="shared" si="329"/>
        <v>0</v>
      </c>
      <c r="J68" s="520">
        <f t="shared" si="329"/>
        <v>0</v>
      </c>
      <c r="K68" s="520">
        <f t="shared" si="329"/>
        <v>0</v>
      </c>
      <c r="L68" s="520">
        <f t="shared" si="329"/>
        <v>0</v>
      </c>
      <c r="M68" s="520">
        <f t="shared" si="329"/>
        <v>0</v>
      </c>
      <c r="N68" s="520">
        <f t="shared" si="329"/>
        <v>0</v>
      </c>
      <c r="O68" s="521">
        <f t="shared" ref="O68" si="330">SUM(O67:O67)</f>
        <v>6483645</v>
      </c>
      <c r="P68" s="520">
        <f>SUBTOTAL(109,P67)</f>
        <v>0</v>
      </c>
      <c r="Q68" s="520">
        <f t="shared" ref="Q68:AA68" si="331">SUBTOTAL(109,Q67)</f>
        <v>0</v>
      </c>
      <c r="R68" s="520">
        <f t="shared" si="331"/>
        <v>0</v>
      </c>
      <c r="S68" s="520">
        <f t="shared" si="331"/>
        <v>0</v>
      </c>
      <c r="T68" s="520">
        <f t="shared" si="331"/>
        <v>0</v>
      </c>
      <c r="U68" s="520">
        <f t="shared" si="331"/>
        <v>0</v>
      </c>
      <c r="V68" s="520">
        <f t="shared" si="331"/>
        <v>0</v>
      </c>
      <c r="W68" s="520">
        <f t="shared" si="331"/>
        <v>0</v>
      </c>
      <c r="X68" s="520">
        <f t="shared" si="331"/>
        <v>0</v>
      </c>
      <c r="Y68" s="520">
        <f t="shared" si="331"/>
        <v>0</v>
      </c>
      <c r="Z68" s="520">
        <f t="shared" si="331"/>
        <v>0</v>
      </c>
      <c r="AA68" s="520">
        <f t="shared" si="331"/>
        <v>0</v>
      </c>
      <c r="AB68" s="546">
        <f t="shared" ref="AB68" si="332">SUM(AB67:AB67)</f>
        <v>8486165.0699999984</v>
      </c>
      <c r="AC68" s="520">
        <f>SUBTOTAL(109,AC67)</f>
        <v>0</v>
      </c>
      <c r="AD68" s="520">
        <f t="shared" ref="AD68:AN68" si="333">SUBTOTAL(109,AD67)</f>
        <v>0</v>
      </c>
      <c r="AE68" s="520">
        <f t="shared" si="333"/>
        <v>0</v>
      </c>
      <c r="AF68" s="520">
        <f t="shared" si="333"/>
        <v>0</v>
      </c>
      <c r="AG68" s="520">
        <f t="shared" si="333"/>
        <v>0</v>
      </c>
      <c r="AH68" s="520">
        <f t="shared" si="333"/>
        <v>0</v>
      </c>
      <c r="AI68" s="520">
        <f t="shared" si="333"/>
        <v>0</v>
      </c>
      <c r="AJ68" s="520">
        <f t="shared" si="333"/>
        <v>0</v>
      </c>
      <c r="AK68" s="520">
        <f t="shared" si="333"/>
        <v>0</v>
      </c>
      <c r="AL68" s="520">
        <f t="shared" si="333"/>
        <v>0</v>
      </c>
      <c r="AM68" s="520">
        <f t="shared" si="333"/>
        <v>0</v>
      </c>
      <c r="AN68" s="520">
        <f t="shared" si="333"/>
        <v>0</v>
      </c>
      <c r="AO68" s="546">
        <f t="shared" ref="AO68" si="334">SUM(AO67:AO67)</f>
        <v>9822104.6849999987</v>
      </c>
      <c r="AP68" s="520">
        <f>SUBTOTAL(109,AP67)</f>
        <v>0</v>
      </c>
      <c r="AQ68" s="520">
        <f t="shared" ref="AQ68:BA68" si="335">SUBTOTAL(109,AQ67)</f>
        <v>0</v>
      </c>
      <c r="AR68" s="520">
        <f t="shared" si="335"/>
        <v>0</v>
      </c>
      <c r="AS68" s="520">
        <f t="shared" si="335"/>
        <v>0</v>
      </c>
      <c r="AT68" s="520">
        <f t="shared" si="335"/>
        <v>0</v>
      </c>
      <c r="AU68" s="520">
        <f t="shared" si="335"/>
        <v>0</v>
      </c>
      <c r="AV68" s="520">
        <f t="shared" si="335"/>
        <v>0</v>
      </c>
      <c r="AW68" s="520">
        <f t="shared" si="335"/>
        <v>0</v>
      </c>
      <c r="AX68" s="520">
        <f t="shared" si="335"/>
        <v>0</v>
      </c>
      <c r="AY68" s="520">
        <f t="shared" si="335"/>
        <v>0</v>
      </c>
      <c r="AZ68" s="520">
        <f t="shared" si="335"/>
        <v>0</v>
      </c>
      <c r="BA68" s="520">
        <f t="shared" si="335"/>
        <v>0</v>
      </c>
      <c r="BB68" s="546">
        <f t="shared" ref="BB68" si="336">SUM(BB67:BB67)</f>
        <v>11287717.199999997</v>
      </c>
      <c r="BC68" s="520">
        <f>SUBTOTAL(109,BC67)</f>
        <v>0</v>
      </c>
      <c r="BD68" s="520">
        <f t="shared" ref="BD68:BN68" si="337">SUBTOTAL(109,BD67)</f>
        <v>0</v>
      </c>
      <c r="BE68" s="520">
        <f t="shared" si="337"/>
        <v>0</v>
      </c>
      <c r="BF68" s="520">
        <f t="shared" si="337"/>
        <v>0</v>
      </c>
      <c r="BG68" s="520">
        <f t="shared" si="337"/>
        <v>0</v>
      </c>
      <c r="BH68" s="520">
        <f t="shared" si="337"/>
        <v>0</v>
      </c>
      <c r="BI68" s="520">
        <f t="shared" si="337"/>
        <v>0</v>
      </c>
      <c r="BJ68" s="520">
        <f t="shared" si="337"/>
        <v>0</v>
      </c>
      <c r="BK68" s="520">
        <f t="shared" si="337"/>
        <v>0</v>
      </c>
      <c r="BL68" s="520">
        <f t="shared" si="337"/>
        <v>0</v>
      </c>
      <c r="BM68" s="520">
        <f t="shared" si="337"/>
        <v>0</v>
      </c>
      <c r="BN68" s="520">
        <f t="shared" si="337"/>
        <v>0</v>
      </c>
      <c r="BO68" s="546">
        <f t="shared" ref="BO68" si="338">SUM(BO67:BO67)</f>
        <v>12893746.941</v>
      </c>
      <c r="BP68" s="520">
        <f>SUBTOTAL(109,BP67)</f>
        <v>0</v>
      </c>
      <c r="BQ68" s="520">
        <f t="shared" ref="BQ68:CA68" si="339">SUBTOTAL(109,BQ67)</f>
        <v>0</v>
      </c>
      <c r="BR68" s="520">
        <f t="shared" si="339"/>
        <v>0</v>
      </c>
      <c r="BS68" s="520">
        <f t="shared" si="339"/>
        <v>0</v>
      </c>
      <c r="BT68" s="520">
        <f t="shared" si="339"/>
        <v>0</v>
      </c>
      <c r="BU68" s="520">
        <f t="shared" si="339"/>
        <v>0</v>
      </c>
      <c r="BV68" s="520">
        <f t="shared" si="339"/>
        <v>0</v>
      </c>
      <c r="BW68" s="520">
        <f t="shared" si="339"/>
        <v>0</v>
      </c>
      <c r="BX68" s="520">
        <f t="shared" si="339"/>
        <v>0</v>
      </c>
      <c r="BY68" s="520">
        <f t="shared" si="339"/>
        <v>0</v>
      </c>
      <c r="BZ68" s="520">
        <f t="shared" si="339"/>
        <v>0</v>
      </c>
      <c r="CA68" s="520">
        <f t="shared" si="339"/>
        <v>0</v>
      </c>
      <c r="CB68" s="546">
        <f t="shared" ref="CB68" si="340">SUM(CB67:CB67)</f>
        <v>14651926.217999997</v>
      </c>
      <c r="CC68" s="520">
        <f>SUBTOTAL(109,CC67)</f>
        <v>0</v>
      </c>
      <c r="CD68" s="520">
        <f t="shared" ref="CD68:CN68" si="341">SUBTOTAL(109,CD67)</f>
        <v>0</v>
      </c>
      <c r="CE68" s="520">
        <f t="shared" si="341"/>
        <v>0</v>
      </c>
      <c r="CF68" s="520">
        <f t="shared" si="341"/>
        <v>0</v>
      </c>
      <c r="CG68" s="520">
        <f t="shared" si="341"/>
        <v>0</v>
      </c>
      <c r="CH68" s="520">
        <f t="shared" si="341"/>
        <v>0</v>
      </c>
      <c r="CI68" s="520">
        <f t="shared" si="341"/>
        <v>0</v>
      </c>
      <c r="CJ68" s="520">
        <f t="shared" si="341"/>
        <v>0</v>
      </c>
      <c r="CK68" s="520">
        <f t="shared" si="341"/>
        <v>0</v>
      </c>
      <c r="CL68" s="520">
        <f t="shared" si="341"/>
        <v>0</v>
      </c>
      <c r="CM68" s="520">
        <f t="shared" si="341"/>
        <v>0</v>
      </c>
      <c r="CN68" s="520">
        <f t="shared" si="341"/>
        <v>0</v>
      </c>
      <c r="CO68" s="546">
        <f t="shared" ref="CO68" si="342">SUM(CO67:CO67)</f>
        <v>15655162.220999995</v>
      </c>
    </row>
    <row r="69" spans="1:93" s="107" customFormat="1" ht="24.95" hidden="1" customHeight="1" outlineLevel="1" thickBot="1">
      <c r="A69" s="122" t="s">
        <v>333</v>
      </c>
      <c r="B69" s="516">
        <f t="shared" ref="B69:O69" si="343">B65+B68</f>
        <v>0</v>
      </c>
      <c r="C69" s="516">
        <f t="shared" si="343"/>
        <v>0</v>
      </c>
      <c r="D69" s="516">
        <f t="shared" si="343"/>
        <v>0</v>
      </c>
      <c r="E69" s="516">
        <f t="shared" si="343"/>
        <v>0</v>
      </c>
      <c r="F69" s="516">
        <f t="shared" si="343"/>
        <v>0</v>
      </c>
      <c r="G69" s="516">
        <f t="shared" si="343"/>
        <v>0</v>
      </c>
      <c r="H69" s="516">
        <f t="shared" si="343"/>
        <v>0</v>
      </c>
      <c r="I69" s="516">
        <f t="shared" si="343"/>
        <v>0</v>
      </c>
      <c r="J69" s="516">
        <f t="shared" si="343"/>
        <v>0</v>
      </c>
      <c r="K69" s="516">
        <f t="shared" si="343"/>
        <v>0</v>
      </c>
      <c r="L69" s="516">
        <f t="shared" si="343"/>
        <v>0</v>
      </c>
      <c r="M69" s="516">
        <f t="shared" si="343"/>
        <v>0</v>
      </c>
      <c r="N69" s="516">
        <f t="shared" si="343"/>
        <v>0</v>
      </c>
      <c r="O69" s="551">
        <f t="shared" si="343"/>
        <v>6483645</v>
      </c>
      <c r="P69" s="516">
        <f t="shared" ref="P69:AB69" si="344">P65+P68</f>
        <v>0</v>
      </c>
      <c r="Q69" s="516">
        <f t="shared" si="344"/>
        <v>0</v>
      </c>
      <c r="R69" s="516">
        <f t="shared" si="344"/>
        <v>0</v>
      </c>
      <c r="S69" s="516">
        <f t="shared" si="344"/>
        <v>0</v>
      </c>
      <c r="T69" s="516">
        <f t="shared" si="344"/>
        <v>0</v>
      </c>
      <c r="U69" s="516">
        <f t="shared" si="344"/>
        <v>0</v>
      </c>
      <c r="V69" s="516">
        <f t="shared" si="344"/>
        <v>0</v>
      </c>
      <c r="W69" s="516">
        <f t="shared" si="344"/>
        <v>0</v>
      </c>
      <c r="X69" s="516">
        <f t="shared" si="344"/>
        <v>0</v>
      </c>
      <c r="Y69" s="516">
        <f t="shared" si="344"/>
        <v>0</v>
      </c>
      <c r="Z69" s="516">
        <f t="shared" si="344"/>
        <v>0</v>
      </c>
      <c r="AA69" s="516">
        <f t="shared" si="344"/>
        <v>0</v>
      </c>
      <c r="AB69" s="544">
        <f t="shared" si="344"/>
        <v>8486165.0699999984</v>
      </c>
      <c r="AC69" s="516">
        <f t="shared" ref="AC69:BB69" si="345">AC65+AC68</f>
        <v>0</v>
      </c>
      <c r="AD69" s="516">
        <f t="shared" si="345"/>
        <v>0</v>
      </c>
      <c r="AE69" s="516">
        <f t="shared" si="345"/>
        <v>0</v>
      </c>
      <c r="AF69" s="516">
        <f t="shared" si="345"/>
        <v>0</v>
      </c>
      <c r="AG69" s="516">
        <f t="shared" si="345"/>
        <v>0</v>
      </c>
      <c r="AH69" s="516">
        <f t="shared" si="345"/>
        <v>0</v>
      </c>
      <c r="AI69" s="516">
        <f t="shared" si="345"/>
        <v>0</v>
      </c>
      <c r="AJ69" s="516">
        <f t="shared" si="345"/>
        <v>0</v>
      </c>
      <c r="AK69" s="516">
        <f t="shared" si="345"/>
        <v>0</v>
      </c>
      <c r="AL69" s="516">
        <f t="shared" si="345"/>
        <v>0</v>
      </c>
      <c r="AM69" s="516">
        <f t="shared" si="345"/>
        <v>0</v>
      </c>
      <c r="AN69" s="516">
        <f t="shared" si="345"/>
        <v>0</v>
      </c>
      <c r="AO69" s="544">
        <f t="shared" si="345"/>
        <v>9822104.6849999987</v>
      </c>
      <c r="AP69" s="516">
        <f t="shared" si="345"/>
        <v>0</v>
      </c>
      <c r="AQ69" s="516">
        <f t="shared" si="345"/>
        <v>0</v>
      </c>
      <c r="AR69" s="516">
        <f t="shared" si="345"/>
        <v>0</v>
      </c>
      <c r="AS69" s="516">
        <f t="shared" si="345"/>
        <v>0</v>
      </c>
      <c r="AT69" s="516">
        <f t="shared" si="345"/>
        <v>0</v>
      </c>
      <c r="AU69" s="516">
        <f t="shared" si="345"/>
        <v>0</v>
      </c>
      <c r="AV69" s="516">
        <f t="shared" si="345"/>
        <v>0</v>
      </c>
      <c r="AW69" s="516">
        <f t="shared" si="345"/>
        <v>0</v>
      </c>
      <c r="AX69" s="516">
        <f t="shared" si="345"/>
        <v>0</v>
      </c>
      <c r="AY69" s="516">
        <f t="shared" si="345"/>
        <v>0</v>
      </c>
      <c r="AZ69" s="516">
        <f t="shared" si="345"/>
        <v>0</v>
      </c>
      <c r="BA69" s="516">
        <f t="shared" si="345"/>
        <v>0</v>
      </c>
      <c r="BB69" s="544">
        <f t="shared" si="345"/>
        <v>11287717.199999997</v>
      </c>
      <c r="BC69" s="516">
        <f t="shared" ref="BC69:BO69" si="346">BC65+BC68</f>
        <v>0</v>
      </c>
      <c r="BD69" s="516">
        <f t="shared" si="346"/>
        <v>0</v>
      </c>
      <c r="BE69" s="516">
        <f t="shared" si="346"/>
        <v>0</v>
      </c>
      <c r="BF69" s="516">
        <f t="shared" si="346"/>
        <v>0</v>
      </c>
      <c r="BG69" s="516">
        <f t="shared" si="346"/>
        <v>0</v>
      </c>
      <c r="BH69" s="516">
        <f t="shared" si="346"/>
        <v>0</v>
      </c>
      <c r="BI69" s="516">
        <f t="shared" si="346"/>
        <v>0</v>
      </c>
      <c r="BJ69" s="516">
        <f t="shared" si="346"/>
        <v>0</v>
      </c>
      <c r="BK69" s="516">
        <f t="shared" si="346"/>
        <v>0</v>
      </c>
      <c r="BL69" s="516">
        <f t="shared" si="346"/>
        <v>0</v>
      </c>
      <c r="BM69" s="516">
        <f t="shared" si="346"/>
        <v>0</v>
      </c>
      <c r="BN69" s="516">
        <f t="shared" si="346"/>
        <v>0</v>
      </c>
      <c r="BO69" s="544">
        <f t="shared" si="346"/>
        <v>12893746.941</v>
      </c>
      <c r="BP69" s="516">
        <f t="shared" ref="BP69:CO69" si="347">BP65+BP68</f>
        <v>0</v>
      </c>
      <c r="BQ69" s="516">
        <f t="shared" si="347"/>
        <v>0</v>
      </c>
      <c r="BR69" s="516">
        <f t="shared" si="347"/>
        <v>0</v>
      </c>
      <c r="BS69" s="516">
        <f t="shared" si="347"/>
        <v>0</v>
      </c>
      <c r="BT69" s="516">
        <f t="shared" si="347"/>
        <v>0</v>
      </c>
      <c r="BU69" s="516">
        <f t="shared" si="347"/>
        <v>0</v>
      </c>
      <c r="BV69" s="516">
        <f t="shared" si="347"/>
        <v>0</v>
      </c>
      <c r="BW69" s="516">
        <f t="shared" si="347"/>
        <v>0</v>
      </c>
      <c r="BX69" s="516">
        <f t="shared" si="347"/>
        <v>0</v>
      </c>
      <c r="BY69" s="516">
        <f t="shared" si="347"/>
        <v>0</v>
      </c>
      <c r="BZ69" s="516">
        <f t="shared" si="347"/>
        <v>0</v>
      </c>
      <c r="CA69" s="516">
        <f t="shared" si="347"/>
        <v>0</v>
      </c>
      <c r="CB69" s="544">
        <f t="shared" si="347"/>
        <v>14651926.217999997</v>
      </c>
      <c r="CC69" s="516">
        <f t="shared" si="347"/>
        <v>0</v>
      </c>
      <c r="CD69" s="516">
        <f t="shared" si="347"/>
        <v>0</v>
      </c>
      <c r="CE69" s="516">
        <f t="shared" si="347"/>
        <v>0</v>
      </c>
      <c r="CF69" s="516">
        <f t="shared" si="347"/>
        <v>0</v>
      </c>
      <c r="CG69" s="516">
        <f t="shared" si="347"/>
        <v>0</v>
      </c>
      <c r="CH69" s="516">
        <f t="shared" si="347"/>
        <v>0</v>
      </c>
      <c r="CI69" s="516">
        <f t="shared" si="347"/>
        <v>0</v>
      </c>
      <c r="CJ69" s="516">
        <f t="shared" si="347"/>
        <v>0</v>
      </c>
      <c r="CK69" s="516">
        <f t="shared" si="347"/>
        <v>0</v>
      </c>
      <c r="CL69" s="516">
        <f t="shared" si="347"/>
        <v>0</v>
      </c>
      <c r="CM69" s="516">
        <f t="shared" si="347"/>
        <v>0</v>
      </c>
      <c r="CN69" s="516">
        <f t="shared" si="347"/>
        <v>0</v>
      </c>
      <c r="CO69" s="544">
        <f t="shared" si="347"/>
        <v>15655162.220999995</v>
      </c>
    </row>
    <row r="70" spans="1:93" s="107" customFormat="1" ht="24.95" hidden="1" customHeight="1" outlineLevel="1">
      <c r="A70" s="123" t="s">
        <v>334</v>
      </c>
      <c r="B70" s="116"/>
      <c r="C70" s="116"/>
      <c r="D70" s="116"/>
      <c r="E70" s="116"/>
      <c r="F70" s="116"/>
      <c r="G70" s="116"/>
      <c r="H70" s="116"/>
      <c r="I70" s="116"/>
      <c r="J70" s="116"/>
      <c r="K70" s="116"/>
      <c r="L70" s="116"/>
      <c r="M70" s="116"/>
      <c r="N70" s="116"/>
      <c r="O70" s="117"/>
      <c r="P70" s="116"/>
      <c r="Q70" s="116"/>
      <c r="R70" s="116"/>
      <c r="S70" s="116"/>
      <c r="T70" s="116"/>
      <c r="U70" s="116"/>
      <c r="V70" s="116"/>
      <c r="W70" s="116"/>
      <c r="X70" s="116"/>
      <c r="Y70" s="116"/>
      <c r="Z70" s="116"/>
      <c r="AA70" s="116"/>
      <c r="AB70" s="445"/>
      <c r="AC70" s="116"/>
      <c r="AD70" s="116"/>
      <c r="AE70" s="116"/>
      <c r="AF70" s="116"/>
      <c r="AG70" s="116"/>
      <c r="AH70" s="116"/>
      <c r="AI70" s="116"/>
      <c r="AJ70" s="116"/>
      <c r="AK70" s="116"/>
      <c r="AL70" s="116"/>
      <c r="AM70" s="116"/>
      <c r="AN70" s="116"/>
      <c r="AO70" s="445"/>
      <c r="AP70" s="116"/>
      <c r="AQ70" s="116"/>
      <c r="AR70" s="116"/>
      <c r="AS70" s="116"/>
      <c r="AT70" s="116"/>
      <c r="AU70" s="116"/>
      <c r="AV70" s="116"/>
      <c r="AW70" s="116"/>
      <c r="AX70" s="116"/>
      <c r="AY70" s="116"/>
      <c r="AZ70" s="116"/>
      <c r="BA70" s="116"/>
      <c r="BB70" s="445"/>
      <c r="BC70" s="116"/>
      <c r="BD70" s="116"/>
      <c r="BE70" s="116"/>
      <c r="BF70" s="116"/>
      <c r="BG70" s="116"/>
      <c r="BH70" s="116"/>
      <c r="BI70" s="116"/>
      <c r="BJ70" s="116"/>
      <c r="BK70" s="116"/>
      <c r="BL70" s="116"/>
      <c r="BM70" s="116"/>
      <c r="BN70" s="116"/>
      <c r="BO70" s="445"/>
      <c r="BP70" s="116"/>
      <c r="BQ70" s="116"/>
      <c r="BR70" s="116"/>
      <c r="BS70" s="116"/>
      <c r="BT70" s="116"/>
      <c r="BU70" s="116"/>
      <c r="BV70" s="116"/>
      <c r="BW70" s="116"/>
      <c r="BX70" s="116"/>
      <c r="BY70" s="116"/>
      <c r="BZ70" s="116"/>
      <c r="CA70" s="116"/>
      <c r="CB70" s="445"/>
      <c r="CC70" s="116"/>
      <c r="CD70" s="116"/>
      <c r="CE70" s="116"/>
      <c r="CF70" s="116"/>
      <c r="CG70" s="116"/>
      <c r="CH70" s="116"/>
      <c r="CI70" s="116"/>
      <c r="CJ70" s="116"/>
      <c r="CK70" s="116"/>
      <c r="CL70" s="116"/>
      <c r="CM70" s="116"/>
      <c r="CN70" s="116"/>
      <c r="CO70" s="445"/>
    </row>
    <row r="71" spans="1:93" s="107" customFormat="1" ht="24.95" hidden="1" customHeight="1" outlineLevel="1">
      <c r="A71" s="124" t="s">
        <v>335</v>
      </c>
      <c r="B71" s="518">
        <f>SUMPRODUCT(Table7[Pre-Operation],'BEP. &amp; Summary Results'!$C$6:$C$35)*'Scenario Analysis'!$B$6*(1+'Scenario Analysis'!$E$6)*'Scenario Analysis'!$E$20</f>
        <v>410693.47200000001</v>
      </c>
      <c r="C71" s="518">
        <f>SUMPRODUCT(Table7[Year 1
Month 1],'BEP. &amp; Summary Results'!$C$6:$C$35)*'Scenario Analysis'!$B$6*(1+'Scenario Analysis'!$E$6)*'Scenario Analysis'!$E$20+SUMPRODUCT(Table7[Pre-Operation],'BEP. &amp; Summary Results'!$C$6:$C$35)*'Scenario Analysis'!$B$6*(1+'Scenario Analysis'!$E$6)*'Scenario Analysis'!$E$21</f>
        <v>410693.47200000001</v>
      </c>
      <c r="D71" s="518">
        <f>SUMPRODUCT(Table7[Year 1
Month 2],'BEP. &amp; Summary Results'!$C$6:$C$35)*'Scenario Analysis'!$B$6*(1+'Scenario Analysis'!$E$6)*'Scenario Analysis'!$E$20+SUMPRODUCT(Table7[Year 1
Month 1],'BEP. &amp; Summary Results'!$C$6:$C$35)*'Scenario Analysis'!$B$6*(1+'Scenario Analysis'!$E$6)*'Scenario Analysis'!$E$21+SUMPRODUCT(Table7[Pre-Operation],'BEP. &amp; Summary Results'!$C$6:$C$35)*'Scenario Analysis'!$B$6*(1+'Scenario Analysis'!$E$6)*'Scenario Analysis'!$E$22</f>
        <v>410693.47200000001</v>
      </c>
      <c r="E71" s="518">
        <f>SUMPRODUCT(Table7[Year 1
Month 3],'BEP. &amp; Summary Results'!$C$6:$C$35)*'Scenario Analysis'!$B$6*(1+'Scenario Analysis'!$E$6)*'Scenario Analysis'!$E$20+SUMPRODUCT(Table7[Year 1
Month 2],'BEP. &amp; Summary Results'!$C$6:$C$35)*'Scenario Analysis'!$B$6*(1+'Scenario Analysis'!$E$6)*'Summary. Assumptions. Inputs'!$C$39+SUMPRODUCT(Table7[Year 1
Month 1],'BEP. &amp; Summary Results'!$C$6:$C$35)*'Scenario Analysis'!$B$6*(1+'Scenario Analysis'!$E$6)*'Scenario Analysis'!$E$22+SUMPRODUCT(Table7[Pre-Operation],'BEP. &amp; Summary Results'!$C$6:$C$35)*'Scenario Analysis'!$B$6*(1+'Scenario Analysis'!$E$6)*'Scenario Analysis'!$E$23</f>
        <v>410693.47200000001</v>
      </c>
      <c r="F71" s="518">
        <f>SUMPRODUCT(Table7[Year 1
Month 4],'BEP. &amp; Summary Results'!$C$6:$C$35)*'Scenario Analysis'!$B$6*(1+'Scenario Analysis'!$E$6)*'Scenario Analysis'!$E$20+SUMPRODUCT(Table7[Year 1
Month 3],'BEP. &amp; Summary Results'!$C$6:$C$35)*'Scenario Analysis'!$B$6*(1+'Scenario Analysis'!$E$6)*'Scenario Analysis'!$E$21+SUMPRODUCT(Table7[Year 1
Month 2],'BEP. &amp; Summary Results'!$C$6:$C$35)*'Scenario Analysis'!$B$6*(1+'Scenario Analysis'!$E$6)*'Scenario Analysis'!$E$22+SUMPRODUCT(Table7[Year 1
Month 1],'BEP. &amp; Summary Results'!$C$6:$C$35)*'Scenario Analysis'!$B$6*(1+'Scenario Analysis'!$E$6)*'Scenario Analysis'!$E$23+SUMPRODUCT(Table7[Pre-Operation],'BEP. &amp; Summary Results'!$C$6:$C$35)*'Scenario Analysis'!$B$6*(1+'Scenario Analysis'!$E$6)*'Scenario Analysis'!$E$24</f>
        <v>410693.47200000001</v>
      </c>
      <c r="G71" s="518">
        <f>SUMPRODUCT(Table7[Year 1
Month 5],'BEP. &amp; Summary Results'!$C$6:$C$35)*'Scenario Analysis'!$B$6*(1+'Scenario Analysis'!$E$6)*'Scenario Analysis'!$E$20+SUMPRODUCT(Table7[Year 1
Month 4],'BEP. &amp; Summary Results'!$C$6:$C$35)*'Scenario Analysis'!$B$6*(1+'Scenario Analysis'!$E$6)*'Scenario Analysis'!$E$21+SUMPRODUCT(Table7[Year 1
Month 3],'BEP. &amp; Summary Results'!$C$6:$C$35)*'Scenario Analysis'!$B$6*(1+'Scenario Analysis'!$E$6)*'Scenario Analysis'!$E$22+SUMPRODUCT(Table7[Year 1
Month 2],'BEP. &amp; Summary Results'!$C$6:$C$35)*'Scenario Analysis'!$B$6*(1+'Scenario Analysis'!$E$6)*'Scenario Analysis'!$E$23+SUMPRODUCT(Table7[Year 1
Month 1],'BEP. &amp; Summary Results'!$C$6:$C$35)*'Scenario Analysis'!$B$6*(1+'Scenario Analysis'!$E$6)*'Scenario Analysis'!$E$24+SUMPRODUCT(Table7[Pre-Operation],'BEP. &amp; Summary Results'!$C$6:$C$35)*'Scenario Analysis'!$B$6*(1+'Scenario Analysis'!$E$6)*'Scenario Analysis'!$E$25</f>
        <v>410693.47200000001</v>
      </c>
      <c r="H71" s="518">
        <f>SUMPRODUCT(Table7[Year 1
Month 6],'BEP. &amp; Summary Results'!$C$6:$C$35)*'Scenario Analysis'!$B$6*(1+'Scenario Analysis'!$E$6)*'Scenario Analysis'!$E$20+SUMPRODUCT(Table7[Year 1
Month 5],'BEP. &amp; Summary Results'!$C$6:$C$35)*'Scenario Analysis'!$B$6*(1+'Scenario Analysis'!$E$6)*'Scenario Analysis'!$E$21+SUMPRODUCT(Table7[Year 1
Month 4],'BEP. &amp; Summary Results'!$C$6:$C$35)*'Scenario Analysis'!$B$6*(1+'Scenario Analysis'!$E$6)*'Scenario Analysis'!$E$22+SUMPRODUCT(Table7[Year 1
Month 3],'BEP. &amp; Summary Results'!$C$6:$C$35)*'Scenario Analysis'!$B$6*(1+'Scenario Analysis'!$E$6)*'Scenario Analysis'!$E$23+SUMPRODUCT(Table7[Year 1
Month 2],'BEP. &amp; Summary Results'!$C$6:$C$35)*'Scenario Analysis'!$B$6*(1+'Scenario Analysis'!$E$6)*'Scenario Analysis'!$E$24+SUMPRODUCT(Table7[Year 1
Month 1],'BEP. &amp; Summary Results'!$C$6:$C$35)*'Scenario Analysis'!$B$6*(1+'Scenario Analysis'!$E$6)*'Scenario Analysis'!$E$25</f>
        <v>410693.47200000001</v>
      </c>
      <c r="I71" s="518">
        <f>SUMPRODUCT(Table7[Year 1
Month 7],'BEP. &amp; Summary Results'!$C$6:$C$35)*'Scenario Analysis'!$B$6*(1+'Scenario Analysis'!$E$6)*'Scenario Analysis'!$E$20+SUMPRODUCT(Table7[Year 1
Month 6],'BEP. &amp; Summary Results'!$C$6:$C$35)*'Scenario Analysis'!$B$6*(1+'Scenario Analysis'!$E$6)*'Scenario Analysis'!$E$21+SUMPRODUCT(Table7[Year 1
Month 5],'BEP. &amp; Summary Results'!$C$6:$C$35)*'Scenario Analysis'!$B$6*(1+'Scenario Analysis'!$E$6)*'Scenario Analysis'!$E$22+SUMPRODUCT(Table7[Year 1
Month 4],'BEP. &amp; Summary Results'!$C$6:$C$35)*'Scenario Analysis'!$B$6*(1+'Scenario Analysis'!$E$6)*'Scenario Analysis'!$E$23+SUMPRODUCT(Table7[Year 1
Month 3],'BEP. &amp; Summary Results'!$C$6:$C$35)*'Scenario Analysis'!$B$6*(1+'Scenario Analysis'!$E$6)*'Scenario Analysis'!$E$24+SUMPRODUCT(Table7[Year 1
Month 2],'BEP. &amp; Summary Results'!$C$6:$C$35)*'Scenario Analysis'!$B$6*(1+'Scenario Analysis'!$E$6)*'Scenario Analysis'!$E$25</f>
        <v>410693.47200000001</v>
      </c>
      <c r="J71" s="518">
        <f>SUMPRODUCT(Table7[Year 1
Month 8],'BEP. &amp; Summary Results'!$C$6:$C$35)*'Scenario Analysis'!$B$6*(1+'Scenario Analysis'!$E$6)*'Scenario Analysis'!$E$20+SUMPRODUCT(Table7[Year 1
Month 7],'BEP. &amp; Summary Results'!$C$6:$C$35)*'Scenario Analysis'!$B$6*(1+'Scenario Analysis'!$E$6)*'Scenario Analysis'!$E$21+SUMPRODUCT(Table7[Year 1
Month 6],'BEP. &amp; Summary Results'!$C$6:$C$35)*'Scenario Analysis'!$B$6*(1+'Scenario Analysis'!$E$6)*'Scenario Analysis'!$E$22+SUMPRODUCT(Table7[Year 1
Month 5],'BEP. &amp; Summary Results'!$C$6:$C$35)*'Scenario Analysis'!$B$6*(1+'Scenario Analysis'!$E$6)*'Scenario Analysis'!$E$23+SUMPRODUCT(Table7[Year 1
Month 4],'BEP. &amp; Summary Results'!$C$6:$C$35)*'Scenario Analysis'!$B$6*(1+'Scenario Analysis'!$E$6)*'Scenario Analysis'!$E$24+SUMPRODUCT(Table7[Year 1
Month 3],'BEP. &amp; Summary Results'!$C$6:$C$35)*'Scenario Analysis'!$B$6*(1+'Scenario Analysis'!$E$6)*'Scenario Analysis'!$E$25</f>
        <v>410693.47200000001</v>
      </c>
      <c r="K71" s="518">
        <f>SUMPRODUCT(Table7[Year 1
Month 9],'BEP. &amp; Summary Results'!$C$6:$C$35)*'Scenario Analysis'!$B$6*(1+'Scenario Analysis'!$E$6)*'Scenario Analysis'!$E$20+SUMPRODUCT(Table7[Year 1
Month 8],'BEP. &amp; Summary Results'!$C$6:$C$35)*'Scenario Analysis'!$B$6*(1+'Scenario Analysis'!$E$6)*'Scenario Analysis'!$E$21+SUMPRODUCT(Table7[Year 1
Month 7],'BEP. &amp; Summary Results'!$C$6:$C$35)*'Scenario Analysis'!$B$6*(1+'Scenario Analysis'!$E$6)*'Scenario Analysis'!$E$22+SUMPRODUCT(Table7[Year 1
Month 6],'BEP. &amp; Summary Results'!$C$6:$C$35)*'Scenario Analysis'!$B$6*(1+'Scenario Analysis'!$E$6)*'Scenario Analysis'!$E$23+SUMPRODUCT(Table7[Year 1
Month 5],'BEP. &amp; Summary Results'!$C$6:$C$35)*'Scenario Analysis'!$B$6*(1+'Scenario Analysis'!$E$6)*'Scenario Analysis'!$E$24+SUMPRODUCT(Table7[Year 1
Month 4],'BEP. &amp; Summary Results'!$C$6:$C$35)*'Scenario Analysis'!$B$6*(1+'Scenario Analysis'!$E$6)*'Scenario Analysis'!$E$25</f>
        <v>410693.47200000001</v>
      </c>
      <c r="L71" s="518">
        <f>SUMPRODUCT(Table7[Year 1
Month 10],'BEP. &amp; Summary Results'!$C$6:$C$35)*'Scenario Analysis'!$B$6*(1+'Scenario Analysis'!$E$6)*'Scenario Analysis'!$E$20+SUMPRODUCT(Table7[Year 1
Month 9],'BEP. &amp; Summary Results'!$C$6:$C$35)*'Scenario Analysis'!$B$6*(1+'Scenario Analysis'!$E$6)*'Scenario Analysis'!$E$21+SUMPRODUCT(Table7[Year 1
Month 8],'BEP. &amp; Summary Results'!$C$6:$C$35)*'Scenario Analysis'!$B$6*(1+'Scenario Analysis'!$E$6)*'Scenario Analysis'!$E$22+SUMPRODUCT(Table7[Year 1
Month 7],'BEP. &amp; Summary Results'!$C$6:$C$35)*'Scenario Analysis'!$B$6*(1+'Scenario Analysis'!$E$6)*'Scenario Analysis'!$E$23+SUMPRODUCT(Table7[Year 1
Month 6],'BEP. &amp; Summary Results'!$C$6:$C$35)*'Scenario Analysis'!$B$6*(1+'Scenario Analysis'!$E$6)*'Scenario Analysis'!$E$24+SUMPRODUCT(Table7[Year 1
Month 5],'BEP. &amp; Summary Results'!$C$6:$C$35)*'Scenario Analysis'!$B$6*(1+'Scenario Analysis'!$E$6)*'Scenario Analysis'!$E$25</f>
        <v>410693.47200000001</v>
      </c>
      <c r="M71" s="518">
        <f>SUMPRODUCT(Table7[Year 1
Month 11],'BEP. &amp; Summary Results'!$C$6:$C$35)*'Scenario Analysis'!$B$6*(1+'Scenario Analysis'!$E$6)*'Scenario Analysis'!$E$20+SUMPRODUCT(Table7[Year 1
Month 10],'BEP. &amp; Summary Results'!$C$6:$C$35)*'Scenario Analysis'!$B$6*(1+'Scenario Analysis'!$E$6)*'Scenario Analysis'!$E$21+SUMPRODUCT(Table7[Year 1
Month 9],'BEP. &amp; Summary Results'!$C$6:$C$35)*'Scenario Analysis'!$B$6*(1+'Scenario Analysis'!$E$6)*'Scenario Analysis'!$E$22+SUMPRODUCT(Table7[Year 1
Month 8],'BEP. &amp; Summary Results'!$C$6:$C$35)*'Scenario Analysis'!$B$6*(1+'Scenario Analysis'!$E$6)*'Scenario Analysis'!$E$23+SUMPRODUCT(Table7[Year 1
Month 7],'BEP. &amp; Summary Results'!$C$6:$C$35)*'Scenario Analysis'!$B$6*(1+'Scenario Analysis'!$E$6)*'Scenario Analysis'!$E$24+SUMPRODUCT(Table7[Year 1
Month 6],'BEP. &amp; Summary Results'!$C$6:$C$35)*'Scenario Analysis'!$B$6*(1+'Scenario Analysis'!$E$6)*'Scenario Analysis'!$E$25</f>
        <v>410693.47200000001</v>
      </c>
      <c r="N71" s="518">
        <f>SUMPRODUCT(Table7[Year 1
Month 11],'BEP. &amp; Summary Results'!$C$6:$C$35)*'Scenario Analysis'!$B$6*(1+'Scenario Analysis'!$E$6)*'Scenario Analysis'!$E$20+SUMPRODUCT(Table7[Year 1
Month 10],'BEP. &amp; Summary Results'!$C$6:$C$35)*'Scenario Analysis'!$B$6*(1+'Scenario Analysis'!$E$6)*'Scenario Analysis'!$E$21+SUMPRODUCT(Table7[Year 1
Month 9],'BEP. &amp; Summary Results'!$C$6:$C$35)*'Scenario Analysis'!$B$6*(1+'Scenario Analysis'!$E$6)*'Scenario Analysis'!$E$22+SUMPRODUCT(Table7[Year 1
Month 8],'BEP. &amp; Summary Results'!$C$6:$C$35)*'Scenario Analysis'!$B$6*(1+'Scenario Analysis'!$E$6)*'Scenario Analysis'!$E$23+SUMPRODUCT(Table7[Year 1
Month 7],'BEP. &amp; Summary Results'!$C$6:$C$35)*'Scenario Analysis'!$B$6*(1+'Scenario Analysis'!$E$6)*'Scenario Analysis'!$E$24+SUMPRODUCT(Table7[Year 1
Month 6],'BEP. &amp; Summary Results'!$C$6:$C$35)*'Scenario Analysis'!$B$6*(1+'Scenario Analysis'!$E$6)*'Scenario Analysis'!$E$25</f>
        <v>410693.47200000001</v>
      </c>
      <c r="O71" s="519">
        <f>SUM(B71:N71)</f>
        <v>5339015.1359999999</v>
      </c>
      <c r="P71" s="518">
        <f>SUMPRODUCT(Table7[Year 2
Month 1],'BEP. &amp; Summary Results'!$C$6:$C$35)*'Scenario Analysis'!$B$6*(1+'Scenario Analysis'!$E$6)*'Scenario Analysis'!$E$20+SUMPRODUCT(Table7[Year 1
Month 12],'BEP. &amp; Summary Results'!$C$6:$C$35)*'Scenario Analysis'!$B$6*(1+'Scenario Analysis'!$E$6)*'Scenario Analysis'!$E$21+SUMPRODUCT(Table7[Year 1
Month 11],'BEP. &amp; Summary Results'!$C$6:$C$35)*'Scenario Analysis'!$B$6*(1+'Scenario Analysis'!$E$6)*'Scenario Analysis'!$E$22+SUMPRODUCT(Table7[Year 1
Month 10],'BEP. &amp; Summary Results'!$C$6:$C$35)*'Scenario Analysis'!$B$6*(1+'Scenario Analysis'!$E$6)*'Scenario Analysis'!$E$23+SUMPRODUCT(Table7[Year 1
Month 9],'BEP. &amp; Summary Results'!$C$6:$C$35)*'Scenario Analysis'!$B$6*(1+'Scenario Analysis'!$E$6)*'Scenario Analysis'!$E$24+SUMPRODUCT(Table7[Year 1
Month 8],'BEP. &amp; Summary Results'!$C$6:$C$35)*'Scenario Analysis'!$B$6*(1+'Scenario Analysis'!$E$6)*'Scenario Analysis'!$E$25</f>
        <v>478868.58835199988</v>
      </c>
      <c r="Q71" s="518">
        <f>SUMPRODUCT(Table7[Year 2
Month 2],'BEP. &amp; Summary Results'!$C$6:$C$35)*'Scenario Analysis'!$B$6*(1+'Scenario Analysis'!$E$6)*'Scenario Analysis'!$E$20+SUMPRODUCT(Table7[Year 2
Month 1],'BEP. &amp; Summary Results'!$C$6:$C$35)*'Scenario Analysis'!$B$6*(1+'Scenario Analysis'!$E$6)*'Scenario Analysis'!$E$21+SUMPRODUCT(Table7[Year 1
Month 12],'BEP. &amp; Summary Results'!$C$6:$C$35)*'Scenario Analysis'!$B$6*(1+'Scenario Analysis'!$E$6)*'Scenario Analysis'!$E$22+SUMPRODUCT(Table7[Year 1
Month 11],'BEP. &amp; Summary Results'!$C$6:$C$35)*'Scenario Analysis'!$B$6*(1+'Scenario Analysis'!$E$6)*'Scenario Analysis'!$E$23+SUMPRODUCT(Table7[Year 1
Month 10],'BEP. &amp; Summary Results'!$C$6:$C$35)*'Scenario Analysis'!$B$6*(1+'Scenario Analysis'!$E$6)*'Scenario Analysis'!$E$24+SUMPRODUCT(Table7[Year 1
Month 9],'BEP. &amp; Summary Results'!$C$6:$C$35)*'Scenario Analysis'!$B$6*(1+'Scenario Analysis'!$E$6)*'Scenario Analysis'!$E$25</f>
        <v>478868.58835199988</v>
      </c>
      <c r="R71" s="518">
        <f>SUMPRODUCT(Table7[Year 2
Month 3],'BEP. &amp; Summary Results'!$C$6:$C$35)*'Scenario Analysis'!$B$6*(1+'Scenario Analysis'!$E$6)*'Scenario Analysis'!$E$20+SUMPRODUCT(Table7[Year 2
Month 2],'BEP. &amp; Summary Results'!$C$6:$C$35)*'Scenario Analysis'!$B$6*(1+'Scenario Analysis'!$E$6)*'Scenario Analysis'!$E$21+SUMPRODUCT(Table7[Year 2
Month 1],'BEP. &amp; Summary Results'!$C$6:$C$35)*'Scenario Analysis'!$B$6*(1+'Scenario Analysis'!$E$6)*'Scenario Analysis'!$E$22+SUMPRODUCT(Table7[Year 1
Month 12],'BEP. &amp; Summary Results'!$C$6:$C$35)*'Scenario Analysis'!$B$6*(1+'Scenario Analysis'!$E$6)*'Scenario Analysis'!$E$23+SUMPRODUCT(Table7[Year 1
Month 11],'BEP. &amp; Summary Results'!$C$6:$C$35)*'Scenario Analysis'!$B$6*(1+'Scenario Analysis'!$E$6)*'Scenario Analysis'!$E$24+SUMPRODUCT(Table7[Year 1
Month 10],'BEP. &amp; Summary Results'!$C$6:$C$35)*'Scenario Analysis'!$B$6*(1+'Scenario Analysis'!$E$6)*'Scenario Analysis'!$E$25</f>
        <v>478868.58835199988</v>
      </c>
      <c r="S71" s="518">
        <f>SUMPRODUCT(Table7[Year 2
Month 4],'BEP. &amp; Summary Results'!$C$6:$C$35)*'Scenario Analysis'!$B$6*(1+'Scenario Analysis'!$E$6)*'Scenario Analysis'!$E$20+SUMPRODUCT(Table7[Year 2
Month 3],'BEP. &amp; Summary Results'!$C$6:$C$35)*'Scenario Analysis'!$B$6*(1+'Scenario Analysis'!$E$6)*'Scenario Analysis'!$E$21+SUMPRODUCT(Table7[Year 2
Month 2],'BEP. &amp; Summary Results'!$C$6:$C$35)*'Scenario Analysis'!$B$6*(1+'Scenario Analysis'!$E$6)*'Scenario Analysis'!$E$22+SUMPRODUCT(Table7[Year 2
Month 1],'BEP. &amp; Summary Results'!$C$6:$C$35)*'Scenario Analysis'!$B$6*(1+'Scenario Analysis'!$E$6)*'Scenario Analysis'!$E$23+SUMPRODUCT(Table7[Year 1
Month 12],'BEP. &amp; Summary Results'!$C$6:$C$35)*'Scenario Analysis'!$B$6*(1+'Scenario Analysis'!$E$6)*'Scenario Analysis'!$E$24+SUMPRODUCT(Table7[Year 1
Month 11],'BEP. &amp; Summary Results'!$C$6:$C$35)*'Scenario Analysis'!$B$6*(1+'Scenario Analysis'!$E$6)*'Scenario Analysis'!$E$25</f>
        <v>478868.58835199988</v>
      </c>
      <c r="T71" s="518">
        <f>SUMPRODUCT(Table7[Year 2
Month 5],'BEP. &amp; Summary Results'!$C$6:$C$35)*'Scenario Analysis'!$B$6*(1+'Scenario Analysis'!$E$6)*'Scenario Analysis'!$E$20+SUMPRODUCT(Table7[Year 2
Month 4],'BEP. &amp; Summary Results'!$C$6:$C$35)*'Scenario Analysis'!$B$6*(1+'Scenario Analysis'!$E$6)*'Scenario Analysis'!$E$21+SUMPRODUCT(Table7[Year 2
Month 3],'BEP. &amp; Summary Results'!$C$6:$C$35)*'Scenario Analysis'!$B$6*(1+'Scenario Analysis'!$E$6)*'Scenario Analysis'!$E$22+SUMPRODUCT(Table7[Year 2
Month 2],'BEP. &amp; Summary Results'!$C$6:$C$35)*'Scenario Analysis'!$B$6*(1+'Scenario Analysis'!$E$6)*'Scenario Analysis'!$E$23+SUMPRODUCT(Table7[Year 2
Month 1],'BEP. &amp; Summary Results'!$C$6:$C$35)*'Scenario Analysis'!$B$6*(1+'Scenario Analysis'!$E$6)*'Scenario Analysis'!$E$24+SUMPRODUCT(Table7[Year 1
Month 12],'BEP. &amp; Summary Results'!$C$6:$C$35)*'Scenario Analysis'!$B$6*(1+'Scenario Analysis'!$E$6)*'Scenario Analysis'!$E$25</f>
        <v>478868.58835199988</v>
      </c>
      <c r="U71" s="518">
        <f>SUMPRODUCT(Table7[Year 2
Month 6],'BEP. &amp; Summary Results'!$C$6:$C$35)*'Scenario Analysis'!$B$6*(1+'Scenario Analysis'!$E$6)*'Scenario Analysis'!$E$20+SUMPRODUCT(Table7[Year 2
Month 5],'BEP. &amp; Summary Results'!$C$6:$C$35)*'Scenario Analysis'!$B$6*(1+'Scenario Analysis'!$E$6)*'Scenario Analysis'!$E$21+SUMPRODUCT(Table7[Year 2
Month 4],'BEP. &amp; Summary Results'!$C$6:$C$35)*'Scenario Analysis'!$B$6*(1+'Scenario Analysis'!$E$6)*'Scenario Analysis'!$E$22+SUMPRODUCT(Table7[Year 2
Month 3],'BEP. &amp; Summary Results'!$C$6:$C$35)*'Scenario Analysis'!$B$6*(1+'Scenario Analysis'!$E$6)*'Scenario Analysis'!$E$23+SUMPRODUCT(Table7[Year 2
Month 2],'BEP. &amp; Summary Results'!$C$6:$C$35)*'Scenario Analysis'!$B$6*(1+'Scenario Analysis'!$E$6)*'Scenario Analysis'!$E$24+SUMPRODUCT(Table7[Year 2
Month 1],'BEP. &amp; Summary Results'!$C$6:$C$35)*'Scenario Analysis'!$B$6*(1+'Scenario Analysis'!$E$6)*'Scenario Analysis'!$E$25</f>
        <v>478868.58835199988</v>
      </c>
      <c r="V71" s="518">
        <f>SUMPRODUCT(Table7[Year 2
Month 6],'BEP. &amp; Summary Results'!$C$6:$C$35)*'Scenario Analysis'!$B$6*(1+'Scenario Analysis'!$E$6)*'Scenario Analysis'!$E$20+SUMPRODUCT(Table7[Year 2
Month 5],'BEP. &amp; Summary Results'!$C$6:$C$35)*'Scenario Analysis'!$B$6*(1+'Scenario Analysis'!$E$6)*'Scenario Analysis'!$E$21+SUMPRODUCT(Table7[Year 2
Month 4],'BEP. &amp; Summary Results'!$C$6:$C$35)*'Scenario Analysis'!$B$6*(1+'Scenario Analysis'!$E$6)*'Scenario Analysis'!$E$22+SUMPRODUCT(Table7[Year 2
Month 3],'BEP. &amp; Summary Results'!$C$6:$C$35)*'Scenario Analysis'!$B$6*(1+'Scenario Analysis'!$E$6)*'Scenario Analysis'!$E$23+SUMPRODUCT(Table7[Year 2
Month 2],'BEP. &amp; Summary Results'!$C$6:$C$35)*'Scenario Analysis'!$B$6*(1+'Scenario Analysis'!$E$6)*'Scenario Analysis'!$E$24+SUMPRODUCT(Table7[Year 2
Month 7],'BEP. &amp; Summary Results'!$C$6:$C$35)*'Scenario Analysis'!$B$6*(1+'Scenario Analysis'!$E$6)*'Scenario Analysis'!$E$25</f>
        <v>478868.58835199988</v>
      </c>
      <c r="W71" s="518">
        <f>SUMPRODUCT(Table7[Year 2
Month 6],'BEP. &amp; Summary Results'!$C$6:$C$35)*'Scenario Analysis'!$B$6*(1+'Scenario Analysis'!$E$6)*'Scenario Analysis'!$E$20+SUMPRODUCT(Table7[Year 2
Month 5],'BEP. &amp; Summary Results'!$C$6:$C$35)*'Scenario Analysis'!$B$6*(1+'Scenario Analysis'!$E$6)*'Scenario Analysis'!$E$21+SUMPRODUCT(Table7[Year 2
Month 4],'BEP. &amp; Summary Results'!$C$6:$C$35)*'Scenario Analysis'!$B$6*(1+'Scenario Analysis'!$E$6)*'Scenario Analysis'!$E$22+SUMPRODUCT(Table7[Year 2
Month 3],'BEP. &amp; Summary Results'!$C$6:$C$35)*'Scenario Analysis'!$B$6*(1+'Scenario Analysis'!$E$6)*'Scenario Analysis'!$E$23+SUMPRODUCT(Table7[Year 2
Month 8],'BEP. &amp; Summary Results'!$C$6:$C$35)*'Scenario Analysis'!$B$6*(1+'Scenario Analysis'!$E$6)*'Scenario Analysis'!$E$24+SUMPRODUCT(Table7[Year 2
Month 7],'BEP. &amp; Summary Results'!$C$6:$C$35)*'Scenario Analysis'!$B$6*(1+'Scenario Analysis'!$E$6)*'Scenario Analysis'!$E$25</f>
        <v>478868.58835199988</v>
      </c>
      <c r="X71" s="518">
        <f>SUMPRODUCT(Table7[Year 2
Month 6],'BEP. &amp; Summary Results'!$C$6:$C$35)*'Scenario Analysis'!$B$6*(1+'Scenario Analysis'!$E$6)*'Scenario Analysis'!$E$20+SUMPRODUCT(Table7[Year 2
Month 5],'BEP. &amp; Summary Results'!$C$6:$C$35)*'Scenario Analysis'!$B$6*(1+'Scenario Analysis'!$E$6)*'Scenario Analysis'!$E$21+SUMPRODUCT(Table7[Year 2
Month 4],'BEP. &amp; Summary Results'!$C$6:$C$35)*'Scenario Analysis'!$B$6*(1+'Scenario Analysis'!$E$6)*'Scenario Analysis'!$E$22+SUMPRODUCT(Table7[Year 2
Month 9],'BEP. &amp; Summary Results'!$C$6:$C$35)*'Scenario Analysis'!$B$6*(1+'Scenario Analysis'!$E$6)*'Scenario Analysis'!$E$23+SUMPRODUCT(Table7[Year 2
Month 8],'BEP. &amp; Summary Results'!$C$6:$C$35)*'Scenario Analysis'!$B$6*(1+'Scenario Analysis'!$E$6)*'Scenario Analysis'!$E$24+SUMPRODUCT(Table7[Year 2
Month 7],'BEP. &amp; Summary Results'!$C$6:$C$35)*'Scenario Analysis'!$B$6*(1+'Scenario Analysis'!$E$6)*'Scenario Analysis'!$E$25</f>
        <v>478868.58835199988</v>
      </c>
      <c r="Y71" s="518">
        <f>SUMPRODUCT(Table7[Year 2
Month 6],'BEP. &amp; Summary Results'!$C$6:$C$35)*'Scenario Analysis'!$B$6*(1+'Scenario Analysis'!$E$6)*'Scenario Analysis'!$E$20+SUMPRODUCT(Table7[Year 2
Month 5],'BEP. &amp; Summary Results'!$C$6:$C$35)*'Scenario Analysis'!$B$6*(1+'Scenario Analysis'!$E$6)*'Scenario Analysis'!$E$21+SUMPRODUCT(Table7[Year 2
Month 10],'BEP. &amp; Summary Results'!$C$6:$C$35)*'Scenario Analysis'!$B$6*(1+'Scenario Analysis'!$E$6)*'Scenario Analysis'!$E$22+SUMPRODUCT(Table7[Year 2
Month 9],'BEP. &amp; Summary Results'!$C$6:$C$35)*'Scenario Analysis'!$B$6*(1+'Scenario Analysis'!$E$6)*'Scenario Analysis'!$E$23+SUMPRODUCT(Table7[Year 2
Month 8],'BEP. &amp; Summary Results'!$C$6:$C$35)*'Scenario Analysis'!$B$6*(1+'Scenario Analysis'!$E$6)*'Scenario Analysis'!$E$24+SUMPRODUCT(Table7[Year 2
Month 7],'BEP. &amp; Summary Results'!$C$6:$C$35)*'Scenario Analysis'!$B$6*(1+'Scenario Analysis'!$E$6)*'Scenario Analysis'!$E$25</f>
        <v>478868.58835199988</v>
      </c>
      <c r="Z71" s="518">
        <f>SUMPRODUCT(Table7[Year 2
Month 6],'BEP. &amp; Summary Results'!$C$6:$C$35)*'Scenario Analysis'!$B$6*(1+'Scenario Analysis'!$E$6)*'Scenario Analysis'!$E$20+SUMPRODUCT(Table7[Year 2
Month 11],'BEP. &amp; Summary Results'!$C$6:$C$35)*'Scenario Analysis'!$B$6*(1+'Scenario Analysis'!$E$6)*'Scenario Analysis'!$E$21+SUMPRODUCT(Table7[Year 2
Month 10],'BEP. &amp; Summary Results'!$C$6:$C$35)*'Scenario Analysis'!$B$6*(1+'Scenario Analysis'!$E$6)*'Scenario Analysis'!$E$22+SUMPRODUCT(Table7[Year 2
Month 9],'BEP. &amp; Summary Results'!$C$6:$C$35)*'Scenario Analysis'!$B$6*(1+'Scenario Analysis'!$E$6)*'Scenario Analysis'!$E$23+SUMPRODUCT(Table7[Year 2
Month 8],'BEP. &amp; Summary Results'!$C$6:$C$35)*'Scenario Analysis'!$B$6*(1+'Scenario Analysis'!$E$6)*'Scenario Analysis'!$E$24+SUMPRODUCT(Table7[Year 2
Month 7],'BEP. &amp; Summary Results'!$C$6:$C$35)*'Scenario Analysis'!$B$6*(1+'Scenario Analysis'!$E$6)*'Scenario Analysis'!$E$25</f>
        <v>478868.58835199988</v>
      </c>
      <c r="AA71" s="518">
        <f>SUMPRODUCT(Table7[Year 2
Month 12],'BEP. &amp; Summary Results'!$C$6:$C$35)*'Scenario Analysis'!$B$6*(1+'Scenario Analysis'!$E$6)*'Scenario Analysis'!$E$20+SUMPRODUCT(Table7[Year 2
Month 11],'BEP. &amp; Summary Results'!$C$6:$C$35)*'Scenario Analysis'!$B$6*(1+'Scenario Analysis'!$E$6)*'Scenario Analysis'!$E$21+SUMPRODUCT(Table7[Year 2
Month 10],'BEP. &amp; Summary Results'!$C$6:$C$35)*'Scenario Analysis'!$B$6*(1+'Scenario Analysis'!$E$6)*'Scenario Analysis'!$E$22+SUMPRODUCT(Table7[Year 2
Month 9],'BEP. &amp; Summary Results'!$C$6:$C$35)*'Scenario Analysis'!$B$6*(1+'Scenario Analysis'!$E$6)*'Scenario Analysis'!$E$23+SUMPRODUCT(Table7[Year 2
Month 8],'BEP. &amp; Summary Results'!$C$6:$C$35)*'Scenario Analysis'!$B$6*(1+'Scenario Analysis'!$E$6)*'Scenario Analysis'!$E$24+SUMPRODUCT(Table7[Year 2
Month 7],'BEP. &amp; Summary Results'!$C$6:$C$35)*'Scenario Analysis'!$B$6*(1+'Scenario Analysis'!$E$6)*'Scenario Analysis'!$E$25</f>
        <v>478868.58835199988</v>
      </c>
      <c r="AB71" s="545">
        <f>SUM(P71:AA71)</f>
        <v>5746423.0602240004</v>
      </c>
      <c r="AC71" s="518">
        <f>SUMPRODUCT(Table7[Year 3
Month 1],'BEP. &amp; Summary Results'!$C$6:$C$35)*'Scenario Analysis'!$B$6*(1+'Scenario Analysis'!$E$6)*'Scenario Analysis'!$E$20+SUMPRODUCT(Table7[Year 2
Month 12],'BEP. &amp; Summary Results'!$C$6:$C$35)*'Scenario Analysis'!$B$6*(1+'Scenario Analysis'!$E$6)*'Scenario Analysis'!$E$21+SUMPRODUCT(Table7[Year 2
Month 11],'BEP. &amp; Summary Results'!$C$6:$C$35)*'Scenario Analysis'!$B$6*(1+'Scenario Analysis'!$E$6)*'Scenario Analysis'!$E$22+SUMPRODUCT(Table7[Year 2
Month 10],'BEP. &amp; Summary Results'!$C$6:$C$35)*'Scenario Analysis'!$B$6*(1+'Scenario Analysis'!$E$6)*'Scenario Analysis'!$E$23+SUMPRODUCT(Table7[Year 2
Month 9],'BEP. &amp; Summary Results'!$C$6:$C$35)*'Scenario Analysis'!$B$6*(1+'Scenario Analysis'!$E$6)*'Scenario Analysis'!$E$24+SUMPRODUCT(Table7[Year 2
Month 8],'BEP. &amp; Summary Results'!$C$6:$C$35)*'Scenario Analysis'!$B$6*(1+'Scenario Analysis'!$E$6)*'Scenario Analysis'!$E$25</f>
        <v>553751.69807999989</v>
      </c>
      <c r="AD71" s="518">
        <f>SUMPRODUCT(Table7[Year 3
Month 2],'BEP. &amp; Summary Results'!$C$6:$C$35)*'Scenario Analysis'!$B$6*(1+'Scenario Analysis'!$E$6)*'Scenario Analysis'!$E$20+SUMPRODUCT(Table7[Year 3
Month 1],'BEP. &amp; Summary Results'!$C$6:$C$35)*'Scenario Analysis'!$B$6*(1+'Scenario Analysis'!$E$6)*'Scenario Analysis'!$E$21+SUMPRODUCT(Table7[Year 2
Month 12],'BEP. &amp; Summary Results'!$C$6:$C$35)*'Scenario Analysis'!$B$6*(1+'Scenario Analysis'!$E$6)*'Scenario Analysis'!$E$22+SUMPRODUCT(Table7[Year 2
Month 11],'BEP. &amp; Summary Results'!$C$6:$C$35)*'Scenario Analysis'!$B$6*(1+'Scenario Analysis'!$E$6)*'Scenario Analysis'!$E$23+SUMPRODUCT(Table7[Year 2
Month 10],'BEP. &amp; Summary Results'!$C$6:$C$35)*'Scenario Analysis'!$B$6*(1+'Scenario Analysis'!$E$6)*'Scenario Analysis'!$E$24+SUMPRODUCT(Table7[Year 2
Month 9],'BEP. &amp; Summary Results'!$C$6:$C$35)*'Scenario Analysis'!$B$6*(1+'Scenario Analysis'!$E$6)*'Scenario Analysis'!$E$25</f>
        <v>553751.69807999989</v>
      </c>
      <c r="AE71" s="518">
        <f>SUMPRODUCT(Table7[Year 3
Month 3],'BEP. &amp; Summary Results'!$C$6:$C$35)*'Scenario Analysis'!$B$6*(1+'Scenario Analysis'!$E$6)*'Scenario Analysis'!$E$20+SUMPRODUCT(Table7[Year 3
Month 2],'BEP. &amp; Summary Results'!$C$6:$C$35)*'Scenario Analysis'!$B$6*(1+'Scenario Analysis'!$E$6)*'Scenario Analysis'!$E$21+SUMPRODUCT(Table7[Year 3
Month 1],'BEP. &amp; Summary Results'!$C$6:$C$35)*'Scenario Analysis'!$B$6*(1+'Scenario Analysis'!$E$6)*'Scenario Analysis'!$E$22+SUMPRODUCT(Table7[Year 2
Month 12],'BEP. &amp; Summary Results'!$C$6:$C$35)*'Scenario Analysis'!$B$6*(1+'Scenario Analysis'!$E$6)*'Scenario Analysis'!$E$23+SUMPRODUCT(Table7[Year 2
Month 11],'BEP. &amp; Summary Results'!$C$6:$C$35)*'Scenario Analysis'!$B$6*(1+'Scenario Analysis'!$E$6)*'Scenario Analysis'!$E$24+SUMPRODUCT(Table7[Year 2
Month 10],'BEP. &amp; Summary Results'!$C$6:$C$35)*'Scenario Analysis'!$B$6*(1+'Scenario Analysis'!$E$6)*'Scenario Analysis'!$E$25</f>
        <v>553751.69807999989</v>
      </c>
      <c r="AF71" s="518">
        <f>SUMPRODUCT(Table7[Year 3
Month 4],'BEP. &amp; Summary Results'!$C$6:$C$35)*'Scenario Analysis'!$B$6*(1+'Scenario Analysis'!$E$6)*'Scenario Analysis'!$E$20+SUMPRODUCT(Table7[Year 3
Month 3],'BEP. &amp; Summary Results'!$C$6:$C$35)*'Scenario Analysis'!$B$6*(1+'Scenario Analysis'!$E$6)*'Scenario Analysis'!$E$21+SUMPRODUCT(Table7[Year 3
Month 2],'BEP. &amp; Summary Results'!$C$6:$C$35)*'Scenario Analysis'!$B$6*(1+'Scenario Analysis'!$E$6)*'Scenario Analysis'!$E$22+SUMPRODUCT(Table7[Year 3
Month 1],'BEP. &amp; Summary Results'!$C$6:$C$35)*'Scenario Analysis'!$B$6*(1+'Scenario Analysis'!$E$6)*'Scenario Analysis'!$E$23+SUMPRODUCT(Table7[Year 2
Month 12],'BEP. &amp; Summary Results'!$C$6:$C$35)*'Scenario Analysis'!$B$6*(1+'Scenario Analysis'!$E$6)*'Scenario Analysis'!$E$24+SUMPRODUCT(Table7[Year 2
Month 11],'BEP. &amp; Summary Results'!$C$6:$C$35)*'Scenario Analysis'!$B$6*(1+'Scenario Analysis'!$E$6)*'Scenario Analysis'!$E$25</f>
        <v>553751.69807999989</v>
      </c>
      <c r="AG71" s="518">
        <f>SUMPRODUCT(Table7[Year 3
Month 5],'BEP. &amp; Summary Results'!$C$6:$C$35)*'Scenario Analysis'!$B$6*(1+'Scenario Analysis'!$E$6)*'Scenario Analysis'!$E$20+SUMPRODUCT(Table7[Year 3
Month 4],'BEP. &amp; Summary Results'!$C$6:$C$35)*'Scenario Analysis'!$B$6*(1+'Scenario Analysis'!$E$6)*'Scenario Analysis'!$E$21+SUMPRODUCT(Table7[Year 3
Month 3],'BEP. &amp; Summary Results'!$C$6:$C$35)*'Scenario Analysis'!$B$6*(1+'Scenario Analysis'!$E$6)*'Scenario Analysis'!$E$22+SUMPRODUCT(Table7[Year 3
Month 2],'BEP. &amp; Summary Results'!$C$6:$C$35)*'Scenario Analysis'!$B$6*(1+'Scenario Analysis'!$E$6)*'Scenario Analysis'!$E$23+SUMPRODUCT(Table7[Year 3
Month 1],'BEP. &amp; Summary Results'!$C$6:$C$35)*'Scenario Analysis'!$B$6*(1+'Scenario Analysis'!$E$6)*'Scenario Analysis'!$E$24+SUMPRODUCT(Table7[Year 2
Month 12],'BEP. &amp; Summary Results'!$C$6:$C$35)*'Scenario Analysis'!$B$6*(1+'Scenario Analysis'!$E$6)*'Scenario Analysis'!$E$25</f>
        <v>553751.69807999989</v>
      </c>
      <c r="AH71" s="518">
        <f>SUMPRODUCT(Table7[Year 3
Month 5],'BEP. &amp; Summary Results'!$C$6:$C$35)*'Scenario Analysis'!$B$6*(1+'Scenario Analysis'!$E$6)*'Scenario Analysis'!$E$20+SUMPRODUCT(Table7[Year 3
Month 4],'BEP. &amp; Summary Results'!$C$6:$C$35)*'Scenario Analysis'!$B$6*(1+'Scenario Analysis'!$E$6)*'Scenario Analysis'!$E$21+SUMPRODUCT(Table7[Year 3
Month 3],'BEP. &amp; Summary Results'!$C$6:$C$35)*'Scenario Analysis'!$B$6*(1+'Scenario Analysis'!$E$6)*'Scenario Analysis'!$E$22+SUMPRODUCT(Table7[Year 3
Month 2],'BEP. &amp; Summary Results'!$C$6:$C$35)*'Scenario Analysis'!$B$6*(1+'Scenario Analysis'!$E$6)*'Scenario Analysis'!$E$23+SUMPRODUCT(Table7[Year 3
Month 1],'BEP. &amp; Summary Results'!$C$6:$C$35)*'Scenario Analysis'!$B$6*(1+'Scenario Analysis'!$E$6)*'Scenario Analysis'!$E$24+SUMPRODUCT(Table7[Year 3
Month 6],'BEP. &amp; Summary Results'!$C$6:$C$35)*'Scenario Analysis'!$B$6*(1+'Scenario Analysis'!$E$6)*'Scenario Analysis'!$E$25</f>
        <v>553751.69807999989</v>
      </c>
      <c r="AI71" s="518">
        <f>SUMPRODUCT(Table7[Year 3
Month 5],'BEP. &amp; Summary Results'!$C$6:$C$35)*'Scenario Analysis'!$B$6*(1+'Scenario Analysis'!$E$6)*'Scenario Analysis'!$E$20+SUMPRODUCT(Table7[Year 3
Month 4],'BEP. &amp; Summary Results'!$C$6:$C$35)*'Scenario Analysis'!$B$6*(1+'Scenario Analysis'!$E$6)*'Scenario Analysis'!$E$21+SUMPRODUCT(Table7[Year 3
Month 3],'BEP. &amp; Summary Results'!$C$6:$C$35)*'Scenario Analysis'!$B$6*(1+'Scenario Analysis'!$E$6)*'Scenario Analysis'!$E$22+SUMPRODUCT(Table7[Year 3
Month 2],'BEP. &amp; Summary Results'!$C$6:$C$35)*'Scenario Analysis'!$B$6*(1+'Scenario Analysis'!$E$6)*'Scenario Analysis'!$E$23+SUMPRODUCT(Table7[Year 3
Month 7],'BEP. &amp; Summary Results'!$C$6:$C$35)*'Scenario Analysis'!$B$6*(1+'Scenario Analysis'!$E$6)*'Scenario Analysis'!$E$24+SUMPRODUCT(Table7[Year 3
Month 6],'BEP. &amp; Summary Results'!$C$6:$C$35)*'Scenario Analysis'!$B$6*(1+'Scenario Analysis'!$E$6)*'Scenario Analysis'!$E$25</f>
        <v>553751.69807999989</v>
      </c>
      <c r="AJ71" s="518">
        <f>SUMPRODUCT(Table7[Year 3
Month 5],'BEP. &amp; Summary Results'!$C$6:$C$35)*'Scenario Analysis'!$B$6*(1+'Scenario Analysis'!$E$6)*'Scenario Analysis'!$E$20+SUMPRODUCT(Table7[Year 3
Month 4],'BEP. &amp; Summary Results'!$C$6:$C$35)*'Scenario Analysis'!$B$6*(1+'Scenario Analysis'!$E$6)*'Scenario Analysis'!$E$21+SUMPRODUCT(Table7[Year 3
Month 3],'BEP. &amp; Summary Results'!$C$6:$C$35)*'Scenario Analysis'!$B$6*(1+'Scenario Analysis'!$E$6)*'Scenario Analysis'!$E$22+SUMPRODUCT(Table7[Year 3
Month 8],'BEP. &amp; Summary Results'!$C$6:$C$35)*'Scenario Analysis'!$B$6*(1+'Scenario Analysis'!$E$6)*'Scenario Analysis'!$E$23+SUMPRODUCT(Table7[Year 3
Month 7],'BEP. &amp; Summary Results'!$C$6:$C$35)*'Scenario Analysis'!$B$6*(1+'Scenario Analysis'!$E$6)*'Scenario Analysis'!$E$24+SUMPRODUCT(Table7[Year 3
Month 6],'BEP. &amp; Summary Results'!$C$6:$C$35)*'Scenario Analysis'!$B$6*(1+'Scenario Analysis'!$E$6)*'Scenario Analysis'!$E$25</f>
        <v>553751.69807999989</v>
      </c>
      <c r="AK71" s="518">
        <f>SUMPRODUCT(Table7[Year 3
Month 5],'BEP. &amp; Summary Results'!$C$6:$C$35)*'Scenario Analysis'!$B$6*(1+'Scenario Analysis'!$E$6)*'Scenario Analysis'!$E$20+SUMPRODUCT(Table7[Year 3
Month 4],'BEP. &amp; Summary Results'!$C$6:$C$35)*'Scenario Analysis'!$B$6*(1+'Scenario Analysis'!$E$6)*'Scenario Analysis'!$E$21+SUMPRODUCT(Table7[Year 3
Month 9],'BEP. &amp; Summary Results'!$C$6:$C$35)*'Scenario Analysis'!$B$6*(1+'Scenario Analysis'!$E$6)*'Scenario Analysis'!$E$22+SUMPRODUCT(Table7[Year 3
Month 8],'BEP. &amp; Summary Results'!$C$6:$C$35)*'Scenario Analysis'!$B$6*(1+'Scenario Analysis'!$E$6)*'Scenario Analysis'!$E$23+SUMPRODUCT(Table7[Year 3
Month 7],'BEP. &amp; Summary Results'!$C$6:$C$35)*'Scenario Analysis'!$B$6*(1+'Scenario Analysis'!$E$6)*'Scenario Analysis'!$E$24+SUMPRODUCT(Table7[Year 3
Month 6],'BEP. &amp; Summary Results'!$C$6:$C$35)*'Scenario Analysis'!$B$6*(1+'Scenario Analysis'!$E$6)*'Scenario Analysis'!$E$25</f>
        <v>553751.69807999989</v>
      </c>
      <c r="AL71" s="518">
        <f>SUMPRODUCT(Table7[Year 3
Month 5],'BEP. &amp; Summary Results'!$C$6:$C$35)*'Scenario Analysis'!$B$6*(1+'Scenario Analysis'!$E$6)*'Scenario Analysis'!$E$20+SUMPRODUCT(Table7[Year 3
Month 10],'BEP. &amp; Summary Results'!$C$6:$C$35)*'Scenario Analysis'!$B$6*(1+'Scenario Analysis'!$E$6)*'Scenario Analysis'!$E$21+SUMPRODUCT(Table7[Year 3
Month 9],'BEP. &amp; Summary Results'!$C$6:$C$35)*'Scenario Analysis'!$B$6*(1+'Scenario Analysis'!$E$6)*'Scenario Analysis'!$E$22+SUMPRODUCT(Table7[Year 3
Month 8],'BEP. &amp; Summary Results'!$C$6:$C$35)*'Scenario Analysis'!$B$6*(1+'Scenario Analysis'!$E$6)*'Scenario Analysis'!$E$23+SUMPRODUCT(Table7[Year 3
Month 7],'BEP. &amp; Summary Results'!$C$6:$C$35)*'Scenario Analysis'!$B$6*(1+'Scenario Analysis'!$E$6)*'Scenario Analysis'!$E$24+SUMPRODUCT(Table7[Year 3
Month 6],'BEP. &amp; Summary Results'!$C$6:$C$35)*'Scenario Analysis'!$B$6*(1+'Scenario Analysis'!$E$6)*'Scenario Analysis'!$E$25</f>
        <v>553751.69807999989</v>
      </c>
      <c r="AM71" s="518">
        <f>SUMPRODUCT(Table7[Year 3
Month 11],'BEP. &amp; Summary Results'!$C$6:$C$35)*'Scenario Analysis'!$B$6*(1+'Scenario Analysis'!$E$6)*'Scenario Analysis'!$E$20+SUMPRODUCT(Table7[Year 3
Month 10],'BEP. &amp; Summary Results'!$C$6:$C$35)*'Scenario Analysis'!$B$6*(1+'Scenario Analysis'!$E$6)*'Scenario Analysis'!$E$21+SUMPRODUCT(Table7[Year 3
Month 9],'BEP. &amp; Summary Results'!$C$6:$C$35)*'Scenario Analysis'!$B$6*(1+'Scenario Analysis'!$E$6)*'Scenario Analysis'!$E$22+SUMPRODUCT(Table7[Year 3
Month 8],'BEP. &amp; Summary Results'!$C$6:$C$35)*'Scenario Analysis'!$B$6*(1+'Scenario Analysis'!$E$6)*'Scenario Analysis'!$E$23+SUMPRODUCT(Table7[Year 3
Month 7],'BEP. &amp; Summary Results'!$C$6:$C$35)*'Scenario Analysis'!$B$6*(1+'Scenario Analysis'!$E$6)*'Scenario Analysis'!$E$24+SUMPRODUCT(Table7[Year 3
Month 6],'BEP. &amp; Summary Results'!$C$6:$C$35)*'Scenario Analysis'!$B$6*(1+'Scenario Analysis'!$E$6)*'Scenario Analysis'!$E$25</f>
        <v>553751.69807999989</v>
      </c>
      <c r="AN71" s="518">
        <f>SUMPRODUCT(Table7[Year 3
Month 11],'BEP. &amp; Summary Results'!$C$6:$C$35)*'Scenario Analysis'!$B$6*(1+'Scenario Analysis'!$E$6)*'Scenario Analysis'!$E$20+SUMPRODUCT(Table7[Year 3
Month 10],'BEP. &amp; Summary Results'!$C$6:$C$35)*'Scenario Analysis'!$B$6*(1+'Scenario Analysis'!$E$6)*'Scenario Analysis'!$E$21+SUMPRODUCT(Table7[Year 3
Month 9],'BEP. &amp; Summary Results'!$C$6:$C$35)*'Scenario Analysis'!$B$6*(1+'Scenario Analysis'!$E$6)*'Scenario Analysis'!$E$22+SUMPRODUCT(Table7[Year 3
Month 8],'BEP. &amp; Summary Results'!$C$6:$C$35)*'Scenario Analysis'!$B$6*(1+'Scenario Analysis'!$E$6)*'Scenario Analysis'!$E$23+SUMPRODUCT(Table7[Year 3
Month 7],'BEP. &amp; Summary Results'!$C$6:$C$35)*'Scenario Analysis'!$B$6*(1+'Scenario Analysis'!$E$6)*'Scenario Analysis'!$E$24+SUMPRODUCT(Table7[Year 3
Month 12],'BEP. &amp; Summary Results'!$C$6:$C$35)*'Scenario Analysis'!$B$6*(1+'Scenario Analysis'!$E$6)*'Scenario Analysis'!$E$25</f>
        <v>553751.69807999989</v>
      </c>
      <c r="AO71" s="545">
        <f t="shared" ref="AO71:AO73" si="348">SUM(AC71:AN71)</f>
        <v>6645020.3769599972</v>
      </c>
      <c r="AP71" s="518">
        <f>SUMPRODUCT(Table154[Year 4
Month 1],'BEP. &amp; Summary Results'!$C$6:$C$35)*'Scenario Analysis'!$B$6*(1+'Scenario Analysis'!$E$6)*'Scenario Analysis'!$E$20+SUMPRODUCT(Table7[Year 3
Month 12],'BEP. &amp; Summary Results'!$C$6:$C$35)*'Scenario Analysis'!$B$6*(1+'Scenario Analysis'!$E$6)*'Scenario Analysis'!$E$21+SUMPRODUCT(Table7[Year 3
Month 11],'BEP. &amp; Summary Results'!$C$6:$C$35)*'Scenario Analysis'!$B$6*(1+'Scenario Analysis'!$E$6)*'Scenario Analysis'!$E$22+SUMPRODUCT(Table7[Year 3
Month 10],'BEP. &amp; Summary Results'!$C$6:$C$35)*'Scenario Analysis'!$B$6*(1+'Scenario Analysis'!$E$6)*'Scenario Analysis'!$E$23+SUMPRODUCT(Table7[Year 3
Month 9],'BEP. &amp; Summary Results'!$C$6:$C$35)*'Scenario Analysis'!$B$6*(1+'Scenario Analysis'!$E$6)*'Scenario Analysis'!$E$24+SUMPRODUCT(Table7[Year 3
Month 8],'BEP. &amp; Summary Results'!$C$6:$C$35)*'Scenario Analysis'!$B$6*(1+'Scenario Analysis'!$E$6)*'Scenario Analysis'!$E$25</f>
        <v>635890.39247999992</v>
      </c>
      <c r="AQ71" s="518">
        <f>SUMPRODUCT(Table154[Year 4
Month 2],'BEP. &amp; Summary Results'!$C$6:$C$35)*'Scenario Analysis'!$B$6*(1+'Scenario Analysis'!$E$6)*'Scenario Analysis'!$E$20+SUMPRODUCT(Table154[Year 4
Month 1],'BEP. &amp; Summary Results'!$C$6:$C$35)*'Scenario Analysis'!$B$6*(1+'Scenario Analysis'!$E$6)*'Scenario Analysis'!$E$21+SUMPRODUCT(Table7[Year 3
Month 12],'BEP. &amp; Summary Results'!$C$6:$C$35)*'Scenario Analysis'!$B$6*(1+'Scenario Analysis'!$E$6)*'Scenario Analysis'!$E$22+SUMPRODUCT(Table7[Year 3
Month 11],'BEP. &amp; Summary Results'!$C$6:$C$35)*'Scenario Analysis'!$B$6*(1+'Scenario Analysis'!$E$6)*'Scenario Analysis'!$E$23+SUMPRODUCT(Table7[Year 3
Month 10],'BEP. &amp; Summary Results'!$C$6:$C$35)*'Scenario Analysis'!$B$6*(1+'Scenario Analysis'!$E$6)*'Scenario Analysis'!$E$24+SUMPRODUCT(Table7[Year 3
Month 9],'BEP. &amp; Summary Results'!$C$6:$C$35)*'Scenario Analysis'!$B$6*(1+'Scenario Analysis'!$E$6)*'Scenario Analysis'!$E$25</f>
        <v>635890.39247999992</v>
      </c>
      <c r="AR71" s="518">
        <f>SUMPRODUCT(Table154[Year 4
Month 3],'BEP. &amp; Summary Results'!$C$6:$C$35)*'Scenario Analysis'!$B$6*(1+'Scenario Analysis'!$E$6)*'Scenario Analysis'!$E$20+SUMPRODUCT(Table154[Year 4
Month 2],'BEP. &amp; Summary Results'!$C$6:$C$35)*'Scenario Analysis'!$B$6*(1+'Scenario Analysis'!$E$6)*'Scenario Analysis'!$E$21+SUMPRODUCT(Table154[Year 4
Month 1],'BEP. &amp; Summary Results'!$C$6:$C$35)*'Scenario Analysis'!$B$6*(1+'Scenario Analysis'!$E$6)*'Scenario Analysis'!$E$22+SUMPRODUCT(Table7[Year 3
Month 12],'BEP. &amp; Summary Results'!$C$6:$C$35)*'Scenario Analysis'!$B$6*(1+'Scenario Analysis'!$E$6)*'Scenario Analysis'!$E$23+SUMPRODUCT(Table7[Year 3
Month 11],'BEP. &amp; Summary Results'!$C$6:$C$35)*'Scenario Analysis'!$B$6*(1+'Scenario Analysis'!$E$6)*'Scenario Analysis'!$E$24+SUMPRODUCT(Table7[Year 3
Month 10],'BEP. &amp; Summary Results'!$C$6:$C$35)*'Scenario Analysis'!$B$6*(1+'Scenario Analysis'!$E$6)*'Scenario Analysis'!$E$25</f>
        <v>635890.39247999992</v>
      </c>
      <c r="AS71" s="518">
        <f>SUMPRODUCT(Table154[Year 4
Month 4],'BEP. &amp; Summary Results'!$C$6:$C$35)*'Scenario Analysis'!$B$6*(1+'Scenario Analysis'!$E$6)*'Scenario Analysis'!$E$20+SUMPRODUCT(Table154[Year 4
Month 3],'BEP. &amp; Summary Results'!$C$6:$C$35)*'Scenario Analysis'!$B$6*(1+'Scenario Analysis'!$E$6)*'Scenario Analysis'!$E$21+SUMPRODUCT(Table154[Year 4
Month 2],'BEP. &amp; Summary Results'!$C$6:$C$35)*'Scenario Analysis'!$B$6*(1+'Scenario Analysis'!$E$6)*'Scenario Analysis'!$E$22+SUMPRODUCT(Table154[Year 4
Month 1],'BEP. &amp; Summary Results'!$C$6:$C$35)*'Scenario Analysis'!$B$6*(1+'Scenario Analysis'!$E$6)*'Scenario Analysis'!$E$23+SUMPRODUCT(Table7[Year 3
Month 12],'BEP. &amp; Summary Results'!$C$6:$C$35)*'Scenario Analysis'!$B$6*(1+'Scenario Analysis'!$E$6)*'Scenario Analysis'!$E$24+SUMPRODUCT(Table7[Year 3
Month 11],'BEP. &amp; Summary Results'!$C$6:$C$35)*'Scenario Analysis'!$B$6*(1+'Scenario Analysis'!$E$6)*'Scenario Analysis'!$E$25</f>
        <v>635890.39247999992</v>
      </c>
      <c r="AT71" s="518">
        <f>SUMPRODUCT(Table154[Year 4
Month 5],'BEP. &amp; Summary Results'!$C$6:$C$35)*'Scenario Analysis'!$B$6*(1+'Scenario Analysis'!$E$6)*'Scenario Analysis'!$E$20+SUMPRODUCT(Table154[Year 4
Month 4],'BEP. &amp; Summary Results'!$C$6:$C$35)*'Scenario Analysis'!$B$6*(1+'Scenario Analysis'!$E$6)*'Scenario Analysis'!$E$21+SUMPRODUCT(Table154[Year 4
Month 3],'BEP. &amp; Summary Results'!$C$6:$C$35)*'Scenario Analysis'!$B$6*(1+'Scenario Analysis'!$E$6)*'Scenario Analysis'!$E$22+SUMPRODUCT(Table154[Year 4
Month 2],'BEP. &amp; Summary Results'!$C$6:$C$35)*'Scenario Analysis'!$B$6*(1+'Scenario Analysis'!$E$6)*'Scenario Analysis'!$E$23+SUMPRODUCT(Table154[Year 4
Month 1],'BEP. &amp; Summary Results'!$C$6:$C$35)*'Scenario Analysis'!$B$6*(1+'Scenario Analysis'!$E$6)*'Scenario Analysis'!$E$24+SUMPRODUCT(Table7[Year 3
Month 12],'BEP. &amp; Summary Results'!$C$6:$C$35)*'Scenario Analysis'!$B$6*(1+'Scenario Analysis'!$E$6)*'Scenario Analysis'!$E$25</f>
        <v>635890.39247999992</v>
      </c>
      <c r="AU71" s="518">
        <f>SUMPRODUCT(Table154[Year 4
Month 6],'BEP. &amp; Summary Results'!$C$6:$C$35)*'Scenario Analysis'!$B$6*(1+'Scenario Analysis'!$E$6)*'Scenario Analysis'!$E$20+SUMPRODUCT(Table154[Year 4
Month 5],'BEP. &amp; Summary Results'!$C$6:$C$35)*'Scenario Analysis'!$B$6*(1+'Scenario Analysis'!$E$6)*'Scenario Analysis'!$E$21+SUMPRODUCT(Table154[Year 4
Month 4],'BEP. &amp; Summary Results'!$C$6:$C$35)*'Scenario Analysis'!$B$6*(1+'Scenario Analysis'!$E$6)*'Scenario Analysis'!$E$22+SUMPRODUCT(Table154[Year 4
Month 3],'BEP. &amp; Summary Results'!$C$6:$C$35)*'Scenario Analysis'!$B$6*(1+'Scenario Analysis'!$E$6)*'Scenario Analysis'!$E$23+SUMPRODUCT(Table154[Year 4
Month 2],'BEP. &amp; Summary Results'!$C$6:$C$35)*'Scenario Analysis'!$B$6*(1+'Scenario Analysis'!$E$6)*'Scenario Analysis'!$E$24+SUMPRODUCT(Table154[Year 4
Month 1],'BEP. &amp; Summary Results'!$C$6:$C$35)*'Scenario Analysis'!$B$6*(1+'Scenario Analysis'!$E$6)*'Scenario Analysis'!$E$25</f>
        <v>635890.39247999992</v>
      </c>
      <c r="AV71" s="518">
        <f>SUMPRODUCT(Table154[Year 4
Month 7],'BEP. &amp; Summary Results'!$C$6:$C$35)*'Scenario Analysis'!$B$6*(1+'Scenario Analysis'!$E$6)*'Scenario Analysis'!$E$20+SUMPRODUCT(Table154[Year 4
Month 6],'BEP. &amp; Summary Results'!$C$6:$C$35)*'Scenario Analysis'!$B$6*(1+'Scenario Analysis'!$E$6)*'Scenario Analysis'!$E$21+SUMPRODUCT(Table154[Year 4
Month 5],'BEP. &amp; Summary Results'!$C$6:$C$35)*'Scenario Analysis'!$B$6*(1+'Scenario Analysis'!$E$6)*'Scenario Analysis'!$E$22+SUMPRODUCT(Table154[Year 4
Month 4],'BEP. &amp; Summary Results'!$C$6:$C$35)*'Scenario Analysis'!$B$6*(1+'Scenario Analysis'!$E$6)*'Scenario Analysis'!$E$23+SUMPRODUCT(Table154[Year 4
Month 3],'BEP. &amp; Summary Results'!$C$6:$C$35)*'Scenario Analysis'!$B$6*(1+'Scenario Analysis'!$E$6)*'Scenario Analysis'!$E$24+SUMPRODUCT(Table154[Year 4
Month 2],'BEP. &amp; Summary Results'!$C$6:$C$35)*'Scenario Analysis'!$B$6*(1+'Scenario Analysis'!$E$6)*'Scenario Analysis'!$E$25</f>
        <v>635890.39247999992</v>
      </c>
      <c r="AW71" s="518">
        <f>SUMPRODUCT(Table154[Year 4
Month 8],'BEP. &amp; Summary Results'!$C$6:$C$35)*'Scenario Analysis'!$B$6*(1+'Scenario Analysis'!$E$6)*'Scenario Analysis'!$E$20+SUMPRODUCT(Table154[Year 4
Month 7],'BEP. &amp; Summary Results'!$C$6:$C$35)*'Scenario Analysis'!$B$6*(1+'Scenario Analysis'!$E$6)*'Scenario Analysis'!$E$21+SUMPRODUCT(Table154[Year 4
Month 6],'BEP. &amp; Summary Results'!$C$6:$C$35)*'Scenario Analysis'!$B$6*(1+'Scenario Analysis'!$E$6)*'Scenario Analysis'!$E$22+SUMPRODUCT(Table154[Year 4
Month 5],'BEP. &amp; Summary Results'!$C$6:$C$35)*'Scenario Analysis'!$B$6*(1+'Scenario Analysis'!$E$6)*'Scenario Analysis'!$E$23+SUMPRODUCT(Table154[Year 4
Month 4],'BEP. &amp; Summary Results'!$C$6:$C$35)*'Scenario Analysis'!$B$6*(1+'Scenario Analysis'!$E$6)*'Scenario Analysis'!$E$24+SUMPRODUCT(Table154[Year 4
Month 3],'BEP. &amp; Summary Results'!$C$6:$C$35)*'Scenario Analysis'!$B$6*(1+'Scenario Analysis'!$E$6)*'Scenario Analysis'!$E$25</f>
        <v>635890.39247999992</v>
      </c>
      <c r="AX71" s="518">
        <f>SUMPRODUCT(Table154[Year 4
Month 9],'BEP. &amp; Summary Results'!$C$6:$C$35)*'Scenario Analysis'!$B$6*(1+'Scenario Analysis'!$E$6)*'Scenario Analysis'!$E$20+SUMPRODUCT(Table154[Year 4
Month 8],'BEP. &amp; Summary Results'!$C$6:$C$35)*'Scenario Analysis'!$B$6*(1+'Scenario Analysis'!$E$6)*'Scenario Analysis'!$E$21+SUMPRODUCT(Table154[Year 4
Month 7],'BEP. &amp; Summary Results'!$C$6:$C$35)*'Scenario Analysis'!$B$6*(1+'Scenario Analysis'!$E$6)*'Scenario Analysis'!$E$22+SUMPRODUCT(Table154[Year 4
Month 6],'BEP. &amp; Summary Results'!$C$6:$C$35)*'Scenario Analysis'!$B$6*(1+'Scenario Analysis'!$E$6)*'Scenario Analysis'!$E$23+SUMPRODUCT(Table154[Year 4
Month 5],'BEP. &amp; Summary Results'!$C$6:$C$35)*'Scenario Analysis'!$B$6*(1+'Scenario Analysis'!$E$6)*'Scenario Analysis'!$E$24+SUMPRODUCT(Table154[Year 4
Month 4],'BEP. &amp; Summary Results'!$C$6:$C$35)*'Scenario Analysis'!$B$6*(1+'Scenario Analysis'!$E$6)*'Scenario Analysis'!$E$25</f>
        <v>635890.39247999992</v>
      </c>
      <c r="AY71" s="518">
        <f>SUMPRODUCT(Table154[Year 4
Month 10],'BEP. &amp; Summary Results'!$C$6:$C$35)*'Scenario Analysis'!$B$6*(1+'Scenario Analysis'!$E$6)*'Scenario Analysis'!$E$20+SUMPRODUCT(Table154[Year 4
Month 9],'BEP. &amp; Summary Results'!$C$6:$C$35)*'Scenario Analysis'!$B$6*(1+'Scenario Analysis'!$E$6)*'Scenario Analysis'!$E$21+SUMPRODUCT(Table154[Year 4
Month 8],'BEP. &amp; Summary Results'!$C$6:$C$35)*'Scenario Analysis'!$B$6*(1+'Scenario Analysis'!$E$6)*'Scenario Analysis'!$E$22+SUMPRODUCT(Table154[Year 4
Month 7],'BEP. &amp; Summary Results'!$C$6:$C$35)*'Scenario Analysis'!$B$6*(1+'Scenario Analysis'!$E$6)*'Scenario Analysis'!$E$23+SUMPRODUCT(Table154[Year 4
Month 6],'BEP. &amp; Summary Results'!$C$6:$C$35)*'Scenario Analysis'!$B$6*(1+'Scenario Analysis'!$E$6)*'Scenario Analysis'!$E$24+SUMPRODUCT(Table154[Year 4
Month 5],'BEP. &amp; Summary Results'!$C$6:$C$35)*'Scenario Analysis'!$B$6*(1+'Scenario Analysis'!$E$6)*'Scenario Analysis'!$E$25</f>
        <v>635890.39247999992</v>
      </c>
      <c r="AZ71" s="518">
        <f>SUMPRODUCT(Table154[Year 4
Month 11],'BEP. &amp; Summary Results'!$C$6:$C$35)*'Scenario Analysis'!$B$6*(1+'Scenario Analysis'!$E$6)*'Scenario Analysis'!$E$20+SUMPRODUCT(Table154[Year 4
Month 10],'BEP. &amp; Summary Results'!$C$6:$C$35)*'Scenario Analysis'!$B$6*(1+'Scenario Analysis'!$E$6)*'Scenario Analysis'!$E$21+SUMPRODUCT(Table154[Year 4
Month 9],'BEP. &amp; Summary Results'!$C$6:$C$35)*'Scenario Analysis'!$B$6*(1+'Scenario Analysis'!$E$6)*'Scenario Analysis'!$E$22+SUMPRODUCT(Table154[Year 4
Month 8],'BEP. &amp; Summary Results'!$C$6:$C$35)*'Scenario Analysis'!$B$6*(1+'Scenario Analysis'!$E$6)*'Scenario Analysis'!$E$23+SUMPRODUCT(Table154[Year 4
Month 7],'BEP. &amp; Summary Results'!$C$6:$C$35)*'Scenario Analysis'!$B$6*(1+'Scenario Analysis'!$E$6)*'Scenario Analysis'!$E$24+SUMPRODUCT(Table154[Year 4
Month 6],'BEP. &amp; Summary Results'!$C$6:$C$35)*'Scenario Analysis'!$B$6*(1+'Scenario Analysis'!$E$6)*'Scenario Analysis'!$E$25</f>
        <v>635890.39247999992</v>
      </c>
      <c r="BA71" s="518">
        <f>SUMPRODUCT(Table154[Year 4
Month 12],'BEP. &amp; Summary Results'!$C$6:$C$35)*'Scenario Analysis'!$B$6*(1+'Scenario Analysis'!$E$6)*'Scenario Analysis'!$E$20+SUMPRODUCT(Table154[Year 4
Month 11],'BEP. &amp; Summary Results'!$C$6:$C$35)*'Scenario Analysis'!$B$6*(1+'Scenario Analysis'!$E$6)*'Scenario Analysis'!$E$21+SUMPRODUCT(Table154[Year 4
Month 10],'BEP. &amp; Summary Results'!$C$6:$C$35)*'Scenario Analysis'!$B$6*(1+'Scenario Analysis'!$E$6)*'Scenario Analysis'!$E$22+SUMPRODUCT(Table154[Year 4
Month 9],'BEP. &amp; Summary Results'!$C$6:$C$35)*'Scenario Analysis'!$B$6*(1+'Scenario Analysis'!$E$6)*'Scenario Analysis'!$E$23+SUMPRODUCT(Table154[Year 4
Month 8],'BEP. &amp; Summary Results'!$C$6:$C$35)*'Scenario Analysis'!$B$6*(1+'Scenario Analysis'!$E$6)*'Scenario Analysis'!$E$24+SUMPRODUCT(Table154[Year 4
Month 7],'BEP. &amp; Summary Results'!$C$6:$C$35)*'Scenario Analysis'!$B$6*(1+'Scenario Analysis'!$E$6)*'Scenario Analysis'!$E$25</f>
        <v>635890.39247999992</v>
      </c>
      <c r="BB71" s="545">
        <f>SUM(AP71:BA71)</f>
        <v>7630684.7097599991</v>
      </c>
      <c r="BC71" s="518">
        <f>SUMPRODUCT(Table154[Year 5
Month 1],'BEP. &amp; Summary Results'!$C$6:$C$35)*'Scenario Analysis'!$B$6*(1+'Scenario Analysis'!$E$6)*'Scenario Analysis'!$E$20+SUMPRODUCT(Table154[Year 4
Month 12],'BEP. &amp; Summary Results'!$C$6:$C$35)*'Scenario Analysis'!$B$6*(1+'Scenario Analysis'!$E$6)*'Scenario Analysis'!$E$21+SUMPRODUCT(Table154[Year 4
Month 11],'BEP. &amp; Summary Results'!$C$6:$C$35)*'Scenario Analysis'!$B$6*(1+'Scenario Analysis'!$E$6)*'Scenario Analysis'!$E$22+SUMPRODUCT(Table154[Year 4
Month 10],'BEP. &amp; Summary Results'!$C$6:$C$35)*'Scenario Analysis'!$B$6*(1+'Scenario Analysis'!$E$6)*'Scenario Analysis'!$E$23+SUMPRODUCT(Table154[Year 4
Month 9],'BEP. &amp; Summary Results'!$C$6:$C$35)*'Scenario Analysis'!$B$6*(1+'Scenario Analysis'!$E$6)*'Scenario Analysis'!$E$24+SUMPRODUCT(Table154[Year 4
Month 8],'BEP. &amp; Summary Results'!$C$6:$C$35)*'Scenario Analysis'!$B$6*(1+'Scenario Analysis'!$E$6)*'Scenario Analysis'!$E$25</f>
        <v>725887.02197759983</v>
      </c>
      <c r="BD71" s="518">
        <f>SUMPRODUCT(Table154[Year 5
Month 2],'BEP. &amp; Summary Results'!$C$6:$C$35)*'Scenario Analysis'!$B$6*(1+'Scenario Analysis'!$E$6)*'Scenario Analysis'!$E$20+SUMPRODUCT(Table154[Year 5
Month 1],'BEP. &amp; Summary Results'!$C$6:$C$35)*'Scenario Analysis'!$B$6*(1+'Scenario Analysis'!$E$6)*'Scenario Analysis'!$E$21+SUMPRODUCT(Table154[Year 4
Month 12],'BEP. &amp; Summary Results'!$C$6:$C$35)*'Scenario Analysis'!$B$6*(1+'Scenario Analysis'!$E$6)*'Scenario Analysis'!$E$22+SUMPRODUCT(Table154[Year 4
Month 11],'BEP. &amp; Summary Results'!$C$6:$C$35)*'Scenario Analysis'!$B$6*(1+'Scenario Analysis'!$E$6)*'Scenario Analysis'!$E$23+SUMPRODUCT(Table154[Year 4
Month 10],'BEP. &amp; Summary Results'!$C$6:$C$35)*'Scenario Analysis'!$B$6*(1+'Scenario Analysis'!$E$6)*'Scenario Analysis'!$E$24+SUMPRODUCT(Table154[Year 4
Month 9],'BEP. &amp; Summary Results'!$C$6:$C$35)*'Scenario Analysis'!$B$6*(1+'Scenario Analysis'!$E$6)*'Scenario Analysis'!$E$25</f>
        <v>725887.02197759983</v>
      </c>
      <c r="BE71" s="518">
        <f>SUMPRODUCT(Table154[Year 5
Month 3],'BEP. &amp; Summary Results'!$C$6:$C$35)*'Scenario Analysis'!$B$6*(1+'Scenario Analysis'!$E$6)*'Scenario Analysis'!$E$20+SUMPRODUCT(Table154[Year 5
Month 2],'BEP. &amp; Summary Results'!$C$6:$C$35)*'Scenario Analysis'!$B$6*(1+'Scenario Analysis'!$E$6)*'Scenario Analysis'!$E$21+SUMPRODUCT(Table154[Year 5
Month 1],'BEP. &amp; Summary Results'!$C$6:$C$35)*'Scenario Analysis'!$B$6*(1+'Scenario Analysis'!$E$6)*'Scenario Analysis'!$E$22+SUMPRODUCT(Table154[Year 4
Month 12],'BEP. &amp; Summary Results'!$C$6:$C$35)*'Scenario Analysis'!$B$6*(1+'Scenario Analysis'!$E$6)*'Scenario Analysis'!$E$23+SUMPRODUCT(Table154[Year 4
Month 11],'BEP. &amp; Summary Results'!$C$6:$C$35)*'Scenario Analysis'!$B$6*(1+'Scenario Analysis'!$E$6)*'Scenario Analysis'!$E$24+SUMPRODUCT(Table154[Year 4
Month 10],'BEP. &amp; Summary Results'!$C$6:$C$35)*'Scenario Analysis'!$B$6*(1+'Scenario Analysis'!$E$6)*'Scenario Analysis'!$E$25</f>
        <v>725887.02197759983</v>
      </c>
      <c r="BF71" s="518">
        <f>SUMPRODUCT(Table154[Year 5
Month 4],'BEP. &amp; Summary Results'!$C$6:$C$35)*'Scenario Analysis'!$B$6*(1+'Scenario Analysis'!$E$6)*'Scenario Analysis'!$E$20+SUMPRODUCT(Table154[Year 5
Month 3],'BEP. &amp; Summary Results'!$C$6:$C$35)*'Scenario Analysis'!$B$6*(1+'Scenario Analysis'!$E$6)*'Scenario Analysis'!$E$21+SUMPRODUCT(Table154[Year 5
Month 2],'BEP. &amp; Summary Results'!$C$6:$C$35)*'Scenario Analysis'!$B$6*(1+'Scenario Analysis'!$E$6)*'Scenario Analysis'!$E$22+SUMPRODUCT(Table154[Year 5
Month 1],'BEP. &amp; Summary Results'!$C$6:$C$35)*'Scenario Analysis'!$B$6*(1+'Scenario Analysis'!$E$6)*'Scenario Analysis'!$E$23+SUMPRODUCT(Table154[Year 4
Month 12],'BEP. &amp; Summary Results'!$C$6:$C$35)*'Scenario Analysis'!$B$6*(1+'Scenario Analysis'!$E$6)*'Scenario Analysis'!$E$24+SUMPRODUCT(Table154[Year 4
Month 11],'BEP. &amp; Summary Results'!$C$6:$C$35)*'Scenario Analysis'!$B$6*(1+'Scenario Analysis'!$E$6)*'Scenario Analysis'!$E$25</f>
        <v>725887.02197759983</v>
      </c>
      <c r="BG71" s="518">
        <f>SUMPRODUCT(Table154[Year 5
Month 5],'BEP. &amp; Summary Results'!$C$6:$C$35)*'Scenario Analysis'!$B$6*(1+'Scenario Analysis'!$E$6)*'Scenario Analysis'!$E$20+SUMPRODUCT(Table154[Year 5
Month 4],'BEP. &amp; Summary Results'!$C$6:$C$35)*'Scenario Analysis'!$B$6*(1+'Scenario Analysis'!$E$6)*'Scenario Analysis'!$E$21+SUMPRODUCT(Table154[Year 5
Month 3],'BEP. &amp; Summary Results'!$C$6:$C$35)*'Scenario Analysis'!$B$6*(1+'Scenario Analysis'!$E$6)*'Scenario Analysis'!$E$22+SUMPRODUCT(Table154[Year 5
Month 2],'BEP. &amp; Summary Results'!$C$6:$C$35)*'Scenario Analysis'!$B$6*(1+'Scenario Analysis'!$E$6)*'Scenario Analysis'!$E$23+SUMPRODUCT(Table154[Year 5
Month 1],'BEP. &amp; Summary Results'!$C$6:$C$35)*'Scenario Analysis'!$B$6*(1+'Scenario Analysis'!$E$6)*'Scenario Analysis'!$E$24+SUMPRODUCT(Table154[Year 4
Month 12],'BEP. &amp; Summary Results'!$C$6:$C$35)*'Scenario Analysis'!$B$6*(1+'Scenario Analysis'!$E$6)*'Scenario Analysis'!$E$25</f>
        <v>725887.02197759983</v>
      </c>
      <c r="BH71" s="518">
        <f>SUMPRODUCT(Table154[Year 5
Month 6],'BEP. &amp; Summary Results'!$C$6:$C$35)*'Scenario Analysis'!$B$6*(1+'Scenario Analysis'!$E$6)*'Scenario Analysis'!$E$20+SUMPRODUCT(Table154[Year 5
Month 5],'BEP. &amp; Summary Results'!$C$6:$C$35)*'Scenario Analysis'!$B$6*(1+'Scenario Analysis'!$E$6)*'Scenario Analysis'!$E$21+SUMPRODUCT(Table154[Year 5
Month 4],'BEP. &amp; Summary Results'!$C$6:$C$35)*'Scenario Analysis'!$B$6*(1+'Scenario Analysis'!$E$6)*'Scenario Analysis'!$E$22+SUMPRODUCT(Table154[Year 5
Month 3],'BEP. &amp; Summary Results'!$C$6:$C$35)*'Scenario Analysis'!$B$6*(1+'Scenario Analysis'!$E$6)*'Scenario Analysis'!$E$23+SUMPRODUCT(Table154[Year 5
Month 2],'BEP. &amp; Summary Results'!$C$6:$C$35)*'Scenario Analysis'!$B$6*(1+'Scenario Analysis'!$E$6)*'Scenario Analysis'!$E$24+SUMPRODUCT(Table154[Year 5
Month 1],'BEP. &amp; Summary Results'!$C$6:$C$35)*'Scenario Analysis'!$B$6*(1+'Scenario Analysis'!$E$6)*'Scenario Analysis'!$E$25</f>
        <v>725887.02197759983</v>
      </c>
      <c r="BI71" s="518">
        <f>SUMPRODUCT(Table154[Year 5
Month 7],'BEP. &amp; Summary Results'!$C$6:$C$35)*'Scenario Analysis'!$B$6*(1+'Scenario Analysis'!$E$6)*'Scenario Analysis'!$E$20+SUMPRODUCT(Table154[Year 5
Month 6],'BEP. &amp; Summary Results'!$C$6:$C$35)*'Scenario Analysis'!$B$6*(1+'Scenario Analysis'!$E$6)*'Scenario Analysis'!$E$21+SUMPRODUCT(Table154[Year 5
Month 5],'BEP. &amp; Summary Results'!$C$6:$C$35)*'Scenario Analysis'!$B$6*(1+'Scenario Analysis'!$E$6)*'Scenario Analysis'!$E$22+SUMPRODUCT(Table154[Year 5
Month 4],'BEP. &amp; Summary Results'!$C$6:$C$35)*'Scenario Analysis'!$B$6*(1+'Scenario Analysis'!$E$6)*'Scenario Analysis'!$E$23+SUMPRODUCT(Table154[Year 5
Month 3],'BEP. &amp; Summary Results'!$C$6:$C$35)*'Scenario Analysis'!$B$6*(1+'Scenario Analysis'!$E$6)*'Scenario Analysis'!$E$24+SUMPRODUCT(Table154[Year 5
Month 2],'BEP. &amp; Summary Results'!$C$6:$C$35)*'Scenario Analysis'!$B$6*(1+'Scenario Analysis'!$E$6)*'Scenario Analysis'!$E$25</f>
        <v>725887.02197759983</v>
      </c>
      <c r="BJ71" s="518">
        <f>SUMPRODUCT(Table154[Year 5
Month 8],'BEP. &amp; Summary Results'!$C$6:$C$35)*'Scenario Analysis'!$B$6*(1+'Scenario Analysis'!$E$6)*'Scenario Analysis'!$E$20+SUMPRODUCT(Table154[Year 5
Month 7],'BEP. &amp; Summary Results'!$C$6:$C$35)*'Scenario Analysis'!$B$6*(1+'Scenario Analysis'!$E$6)*'Scenario Analysis'!$E$21+SUMPRODUCT(Table154[Year 5
Month 6],'BEP. &amp; Summary Results'!$C$6:$C$35)*'Scenario Analysis'!$B$6*(1+'Scenario Analysis'!$E$6)*'Scenario Analysis'!$E$22+SUMPRODUCT(Table154[Year 5
Month 5],'BEP. &amp; Summary Results'!$C$6:$C$35)*'Scenario Analysis'!$B$6*(1+'Scenario Analysis'!$E$6)*'Scenario Analysis'!$E$23+SUMPRODUCT(Table154[Year 5
Month 4],'BEP. &amp; Summary Results'!$C$6:$C$35)*'Scenario Analysis'!$B$6*(1+'Scenario Analysis'!$E$6)*'Scenario Analysis'!$E$24+SUMPRODUCT(Table154[Year 5
Month 3],'BEP. &amp; Summary Results'!$C$6:$C$35)*'Scenario Analysis'!$B$6*(1+'Scenario Analysis'!$E$6)*'Scenario Analysis'!$E$25</f>
        <v>725887.02197759983</v>
      </c>
      <c r="BK71" s="518">
        <f>SUMPRODUCT(Table154[Year 5
Month 9],'BEP. &amp; Summary Results'!$C$6:$C$35)*'Scenario Analysis'!$B$6*(1+'Scenario Analysis'!$E$6)*'Scenario Analysis'!$E$20+SUMPRODUCT(Table154[Year 5
Month 8],'BEP. &amp; Summary Results'!$C$6:$C$35)*'Scenario Analysis'!$B$6*(1+'Scenario Analysis'!$E$6)*'Scenario Analysis'!$E$21+SUMPRODUCT(Table154[Year 5
Month 7],'BEP. &amp; Summary Results'!$C$6:$C$35)*'Scenario Analysis'!$B$6*(1+'Scenario Analysis'!$E$6)*'Scenario Analysis'!$E$22+SUMPRODUCT(Table154[Year 5
Month 6],'BEP. &amp; Summary Results'!$C$6:$C$35)*'Scenario Analysis'!$B$6*(1+'Scenario Analysis'!$E$6)*'Scenario Analysis'!$E$23+SUMPRODUCT(Table154[Year 5
Month 5],'BEP. &amp; Summary Results'!$C$6:$C$35)*'Scenario Analysis'!$B$6*(1+'Scenario Analysis'!$E$6)*'Scenario Analysis'!$E$24+SUMPRODUCT(Table154[Year 5
Month 4],'BEP. &amp; Summary Results'!$C$6:$C$35)*'Scenario Analysis'!$B$6*(1+'Scenario Analysis'!$E$6)*'Scenario Analysis'!$E$25</f>
        <v>725887.02197759983</v>
      </c>
      <c r="BL71" s="518">
        <f>SUMPRODUCT(Table154[Year 5
Month 10],'BEP. &amp; Summary Results'!$C$6:$C$35)*'Scenario Analysis'!$B$6*(1+'Scenario Analysis'!$E$6)*'Scenario Analysis'!$E$20+SUMPRODUCT(Table154[Year 5
Month 9],'BEP. &amp; Summary Results'!$C$6:$C$35)*'Scenario Analysis'!$B$6*(1+'Scenario Analysis'!$E$6)*'Scenario Analysis'!$E$21+SUMPRODUCT(Table154[Year 5
Month 8],'BEP. &amp; Summary Results'!$C$6:$C$35)*'Scenario Analysis'!$B$6*(1+'Scenario Analysis'!$E$6)*'Scenario Analysis'!$E$22+SUMPRODUCT(Table154[Year 5
Month 7],'BEP. &amp; Summary Results'!$C$6:$C$35)*'Scenario Analysis'!$B$6*(1+'Scenario Analysis'!$E$6)*'Scenario Analysis'!$E$23+SUMPRODUCT(Table154[Year 5
Month 6],'BEP. &amp; Summary Results'!$C$6:$C$35)*'Scenario Analysis'!$B$6*(1+'Scenario Analysis'!$E$6)*'Scenario Analysis'!$E$24+SUMPRODUCT(Table154[Year 5
Month 5],'BEP. &amp; Summary Results'!$C$6:$C$35)*'Scenario Analysis'!$B$6*(1+'Scenario Analysis'!$E$6)*'Scenario Analysis'!$E$25</f>
        <v>725887.02197759983</v>
      </c>
      <c r="BM71" s="518">
        <f>SUMPRODUCT(Table154[Year 5
Month 11],'BEP. &amp; Summary Results'!$C$6:$C$35)*'Scenario Analysis'!$B$6*(1+'Scenario Analysis'!$E$6)*'Scenario Analysis'!$E$20+SUMPRODUCT(Table154[Year 5
Month 10],'BEP. &amp; Summary Results'!$C$6:$C$35)*'Scenario Analysis'!$B$6*(1+'Scenario Analysis'!$E$6)*'Scenario Analysis'!$E$21+SUMPRODUCT(Table154[Year 5
Month 9],'BEP. &amp; Summary Results'!$C$6:$C$35)*'Scenario Analysis'!$B$6*(1+'Scenario Analysis'!$E$6)*'Scenario Analysis'!$E$22+SUMPRODUCT(Table154[Year 5
Month 8],'BEP. &amp; Summary Results'!$C$6:$C$35)*'Scenario Analysis'!$B$6*(1+'Scenario Analysis'!$E$6)*'Scenario Analysis'!$E$23+SUMPRODUCT(Table154[Year 5
Month 7],'BEP. &amp; Summary Results'!$C$6:$C$35)*'Scenario Analysis'!$B$6*(1+'Scenario Analysis'!$E$6)*'Scenario Analysis'!$E$24+SUMPRODUCT(Table154[Year 5
Month 6],'BEP. &amp; Summary Results'!$C$6:$C$35)*'Scenario Analysis'!$B$6*(1+'Scenario Analysis'!$E$6)*'Scenario Analysis'!$E$25</f>
        <v>725887.02197759983</v>
      </c>
      <c r="BN71" s="518">
        <f>SUMPRODUCT(Table154[Year 5
Month 12],'BEP. &amp; Summary Results'!$C$6:$C$35)*'Scenario Analysis'!$B$6*(1+'Scenario Analysis'!$E$6)*'Scenario Analysis'!$E$20+SUMPRODUCT(Table154[Year 5
Month 11],'BEP. &amp; Summary Results'!$C$6:$C$35)*'Scenario Analysis'!$B$6*(1+'Scenario Analysis'!$E$6)*'Scenario Analysis'!$E$21+SUMPRODUCT(Table154[Year 5
Month 10],'BEP. &amp; Summary Results'!$C$6:$C$35)*'Scenario Analysis'!$B$6*(1+'Scenario Analysis'!$E$6)*'Scenario Analysis'!$E$22+SUMPRODUCT(Table154[Year 5
Month 9],'BEP. &amp; Summary Results'!$C$6:$C$35)*'Scenario Analysis'!$B$6*(1+'Scenario Analysis'!$E$6)*'Scenario Analysis'!$E$23+SUMPRODUCT(Table154[Year 5
Month 8],'BEP. &amp; Summary Results'!$C$6:$C$35)*'Scenario Analysis'!$B$6*(1+'Scenario Analysis'!$E$6)*'Scenario Analysis'!$E$24+SUMPRODUCT(Table154[Year 5
Month 7],'BEP. &amp; Summary Results'!$C$6:$C$35)*'Scenario Analysis'!$B$6*(1+'Scenario Analysis'!$E$6)*'Scenario Analysis'!$E$25</f>
        <v>725887.02197759983</v>
      </c>
      <c r="BO71" s="545">
        <f>SUM(BC71:BN71)</f>
        <v>8710644.2637311984</v>
      </c>
      <c r="BP71" s="518">
        <f>SUMPRODUCT(Table166[Year 6
Month 1],'BEP. &amp; Summary Results'!$C$6:$C$35)*'Scenario Analysis'!$B$6*(1+'Scenario Analysis'!$E$6)*'Scenario Analysis'!$E$20+SUMPRODUCT(Table154[Year 5
Month 12],'BEP. &amp; Summary Results'!$C$6:$C$35)*'Scenario Analysis'!$B$6*(1+'Scenario Analysis'!$E$6)*'Scenario Analysis'!$E$21+SUMPRODUCT(Table154[Year 5
Month 11],'BEP. &amp; Summary Results'!$C$6:$C$35)*'Scenario Analysis'!$B$6*(1+'Scenario Analysis'!$E$6)*'Scenario Analysis'!$E$22+SUMPRODUCT(Table154[Year 5
Month 10],'BEP. &amp; Summary Results'!$C$6:$C$35)*'Scenario Analysis'!$B$6*(1+'Scenario Analysis'!$E$6)*'Scenario Analysis'!$E$23+SUMPRODUCT(Table154[Year 5
Month 9],'BEP. &amp; Summary Results'!$C$6:$C$35)*'Scenario Analysis'!$B$6*(1+'Scenario Analysis'!$E$6)*'Scenario Analysis'!$E$24+SUMPRODUCT(Table154[Year 5
Month 8],'BEP. &amp; Summary Results'!$C$6:$C$35)*'Scenario Analysis'!$B$6*(1+'Scenario Analysis'!$E$6)*'Scenario Analysis'!$E$25</f>
        <v>824398.69612799992</v>
      </c>
      <c r="BQ71" s="518">
        <f>SUMPRODUCT(Table166[Year 6
Month 2],'BEP. &amp; Summary Results'!$C$6:$C$35)*'Scenario Analysis'!$B$6*(1+'Scenario Analysis'!$E$6)*'Scenario Analysis'!$E$20+SUMPRODUCT(Table166[Year 6
Month 1],'BEP. &amp; Summary Results'!$C$6:$C$35)*'Scenario Analysis'!$B$6*(1+'Scenario Analysis'!$E$6)*'Scenario Analysis'!$E$21+SUMPRODUCT(Table154[Year 5
Month 12],'BEP. &amp; Summary Results'!$C$6:$C$35)*'Scenario Analysis'!$B$6*(1+'Scenario Analysis'!$E$6)*'Scenario Analysis'!$E$22+SUMPRODUCT(Table154[Year 5
Month 11],'BEP. &amp; Summary Results'!$C$6:$C$35)*'Scenario Analysis'!$B$6*(1+'Scenario Analysis'!$E$6)*'Scenario Analysis'!$E$23+SUMPRODUCT(Table154[Year 5
Month 10],'BEP. &amp; Summary Results'!$C$6:$C$35)*'Scenario Analysis'!$B$6*(1+'Scenario Analysis'!$E$6)*'Scenario Analysis'!$E$24+SUMPRODUCT(Table154[Year 5
Month 9],'BEP. &amp; Summary Results'!$C$6:$C$35)*'Scenario Analysis'!$B$6*(1+'Scenario Analysis'!$E$6)*'Scenario Analysis'!$E$25</f>
        <v>824398.69612799992</v>
      </c>
      <c r="BR71" s="518">
        <f>SUMPRODUCT(Table166[Year 6
Month 3],'BEP. &amp; Summary Results'!$C$6:$C$35)*'Scenario Analysis'!$B$6*(1+'Scenario Analysis'!$E$6)*'Scenario Analysis'!$E$20+SUMPRODUCT(Table166[Year 6
Month 2],'BEP. &amp; Summary Results'!$C$6:$C$35)*'Scenario Analysis'!$B$6*(1+'Scenario Analysis'!$E$6)*'Scenario Analysis'!$E$21+SUMPRODUCT(Table166[Year 6
Month 1],'BEP. &amp; Summary Results'!$C$6:$C$35)*'Scenario Analysis'!$B$6*(1+'Scenario Analysis'!$E$6)*'Scenario Analysis'!$E$22+SUMPRODUCT(Table154[Year 5
Month 12],'BEP. &amp; Summary Results'!$C$6:$C$35)*'Scenario Analysis'!$B$6*(1+'Scenario Analysis'!$E$6)*'Scenario Analysis'!$E$23+SUMPRODUCT(Table154[Year 5
Month 11],'BEP. &amp; Summary Results'!$C$6:$C$35)*'Scenario Analysis'!$B$6*(1+'Scenario Analysis'!$E$6)*'Scenario Analysis'!$E$24+SUMPRODUCT(Table154[Year 5
Month 10],'BEP. &amp; Summary Results'!$C$6:$C$35)*'Scenario Analysis'!$B$6*(1+'Scenario Analysis'!$E$6)*'Scenario Analysis'!$E$25</f>
        <v>824398.69612799992</v>
      </c>
      <c r="BS71" s="518">
        <f>SUMPRODUCT(Table166[Year 6
Month 4],'BEP. &amp; Summary Results'!$C$6:$C$35)*'Scenario Analysis'!$B$6*(1+'Scenario Analysis'!$E$6)*'Scenario Analysis'!$E$20+SUMPRODUCT(Table166[Year 6
Month 3],'BEP. &amp; Summary Results'!$C$6:$C$35)*'Scenario Analysis'!$B$6*(1+'Scenario Analysis'!$E$6)*'Scenario Analysis'!$E$21+SUMPRODUCT(Table166[Year 6
Month 2],'BEP. &amp; Summary Results'!$C$6:$C$35)*'Scenario Analysis'!$B$6*(1+'Scenario Analysis'!$E$6)*'Scenario Analysis'!$E$22+SUMPRODUCT(Table166[Year 6
Month 1],'BEP. &amp; Summary Results'!$C$6:$C$35)*'Scenario Analysis'!$B$6*(1+'Scenario Analysis'!$E$6)*'Scenario Analysis'!$E$23+SUMPRODUCT(Table154[Year 5
Month 12],'BEP. &amp; Summary Results'!$C$6:$C$35)*'Scenario Analysis'!$B$6*(1+'Scenario Analysis'!$E$6)*'Scenario Analysis'!$E$24+SUMPRODUCT(Table154[Year 5
Month 11],'BEP. &amp; Summary Results'!$C$6:$C$35)*'Scenario Analysis'!$B$6*(1+'Scenario Analysis'!$E$6)*'Scenario Analysis'!$E$25</f>
        <v>824398.69612799992</v>
      </c>
      <c r="BT71" s="518">
        <f>SUMPRODUCT(Table166[Year 6
Month 5],'BEP. &amp; Summary Results'!$C$6:$C$35)*'Scenario Analysis'!$B$6*(1+'Scenario Analysis'!$E$6)*'Scenario Analysis'!$E$20+SUMPRODUCT(Table166[Year 6
Month 4],'BEP. &amp; Summary Results'!$C$6:$C$35)*'Scenario Analysis'!$B$6*(1+'Scenario Analysis'!$E$6)*'Scenario Analysis'!$E$21+SUMPRODUCT(Table166[Year 6
Month 3],'BEP. &amp; Summary Results'!$C$6:$C$35)*'Scenario Analysis'!$B$6*(1+'Scenario Analysis'!$E$6)*'Scenario Analysis'!$E$22+SUMPRODUCT(Table166[Year 6
Month 2],'BEP. &amp; Summary Results'!$C$6:$C$35)*'Scenario Analysis'!$B$6*(1+'Scenario Analysis'!$E$6)*'Scenario Analysis'!$E$23+SUMPRODUCT(Table166[Year 6
Month 1],'BEP. &amp; Summary Results'!$C$6:$C$35)*'Scenario Analysis'!$B$6*(1+'Scenario Analysis'!$E$6)*'Scenario Analysis'!$E$24+SUMPRODUCT(Table154[Year 5
Month 12],'BEP. &amp; Summary Results'!$C$6:$C$35)*'Scenario Analysis'!$B$6*(1+'Scenario Analysis'!$E$6)*'Scenario Analysis'!$E$25</f>
        <v>824398.69612799992</v>
      </c>
      <c r="BU71" s="518">
        <f>SUMPRODUCT(Table166[Year 6
Month 6],'BEP. &amp; Summary Results'!$C$6:$C$35)*'Scenario Analysis'!$B$6*(1+'Scenario Analysis'!$E$6)*'Scenario Analysis'!$E$20+SUMPRODUCT(Table166[Year 6
Month 5],'BEP. &amp; Summary Results'!$C$6:$C$35)*'Scenario Analysis'!$B$6*(1+'Scenario Analysis'!$E$6)*'Scenario Analysis'!$E$21+SUMPRODUCT(Table166[Year 6
Month 4],'BEP. &amp; Summary Results'!$C$6:$C$35)*'Scenario Analysis'!$B$6*(1+'Scenario Analysis'!$E$6)*'Scenario Analysis'!$E$22+SUMPRODUCT(Table166[Year 6
Month 3],'BEP. &amp; Summary Results'!$C$6:$C$35)*'Scenario Analysis'!$B$6*(1+'Scenario Analysis'!$E$6)*'Scenario Analysis'!$E$23+SUMPRODUCT(Table166[Year 6
Month 2],'BEP. &amp; Summary Results'!$C$6:$C$35)*'Scenario Analysis'!$B$6*(1+'Scenario Analysis'!$E$6)*'Scenario Analysis'!$E$24+SUMPRODUCT(Table166[Year 6
Month 1],'BEP. &amp; Summary Results'!$C$6:$C$35)*'Scenario Analysis'!$B$6*(1+'Scenario Analysis'!$E$6)*'Scenario Analysis'!$E$25</f>
        <v>824398.69612799992</v>
      </c>
      <c r="BV71" s="518">
        <f>SUMPRODUCT(Table166[Year 6
Month 7],'BEP. &amp; Summary Results'!$C$6:$C$35)*'Scenario Analysis'!$B$6*(1+'Scenario Analysis'!$E$6)*'Scenario Analysis'!$E$20+SUMPRODUCT(Table166[Year 6
Month 6],'BEP. &amp; Summary Results'!$C$6:$C$35)*'Scenario Analysis'!$B$6*(1+'Scenario Analysis'!$E$6)*'Scenario Analysis'!$E$21+SUMPRODUCT(Table166[Year 6
Month 5],'BEP. &amp; Summary Results'!$C$6:$C$35)*'Scenario Analysis'!$B$6*(1+'Scenario Analysis'!$E$6)*'Scenario Analysis'!$E$22+SUMPRODUCT(Table166[Year 6
Month 4],'BEP. &amp; Summary Results'!$C$6:$C$35)*'Scenario Analysis'!$B$6*(1+'Scenario Analysis'!$E$6)*'Scenario Analysis'!$E$23+SUMPRODUCT(Table166[Year 6
Month 3],'BEP. &amp; Summary Results'!$C$6:$C$35)*'Scenario Analysis'!$B$6*(1+'Scenario Analysis'!$E$6)*'Scenario Analysis'!$E$24+SUMPRODUCT(Table166[Year 6
Month 2],'BEP. &amp; Summary Results'!$C$6:$C$35)*'Scenario Analysis'!$B$6*(1+'Scenario Analysis'!$E$6)*'Scenario Analysis'!$E$25</f>
        <v>824398.69612799992</v>
      </c>
      <c r="BW71" s="518">
        <f>SUMPRODUCT(Table166[Year 6
Month 8],'BEP. &amp; Summary Results'!$C$6:$C$35)*'Scenario Analysis'!$B$6*(1+'Scenario Analysis'!$E$6)*'Scenario Analysis'!$E$20+SUMPRODUCT(Table166[Year 6
Month 7],'BEP. &amp; Summary Results'!$C$6:$C$35)*'Scenario Analysis'!$B$6*(1+'Scenario Analysis'!$E$6)*'Scenario Analysis'!$E$21+SUMPRODUCT(Table166[Year 6
Month 6],'BEP. &amp; Summary Results'!$C$6:$C$35)*'Scenario Analysis'!$B$6*(1+'Scenario Analysis'!$E$6)*'Scenario Analysis'!$E$22+SUMPRODUCT(Table166[Year 6
Month 5],'BEP. &amp; Summary Results'!$C$6:$C$35)*'Scenario Analysis'!$B$6*(1+'Scenario Analysis'!$E$6)*'Scenario Analysis'!$E$23+SUMPRODUCT(Table166[Year 6
Month 4],'BEP. &amp; Summary Results'!$C$6:$C$35)*'Scenario Analysis'!$B$6*(1+'Scenario Analysis'!$E$6)*'Scenario Analysis'!$E$24+SUMPRODUCT(Table166[Year 6
Month 3],'BEP. &amp; Summary Results'!$C$6:$C$35)*'Scenario Analysis'!$B$6*(1+'Scenario Analysis'!$E$6)*'Scenario Analysis'!$E$25</f>
        <v>824398.69612799992</v>
      </c>
      <c r="BX71" s="518">
        <f>SUMPRODUCT(Table166[Year 6
Month 9],'BEP. &amp; Summary Results'!$C$6:$C$35)*'Scenario Analysis'!$B$6*(1+'Scenario Analysis'!$E$6)*'Scenario Analysis'!$E$20+SUMPRODUCT(Table166[Year 6
Month 8],'BEP. &amp; Summary Results'!$C$6:$C$35)*'Scenario Analysis'!$B$6*(1+'Scenario Analysis'!$E$6)*'Scenario Analysis'!$E$21+SUMPRODUCT(Table166[Year 6
Month 7],'BEP. &amp; Summary Results'!$C$6:$C$35)*'Scenario Analysis'!$B$6*(1+'Scenario Analysis'!$E$6)*'Scenario Analysis'!$E$22+SUMPRODUCT(Table166[Year 6
Month 6],'BEP. &amp; Summary Results'!$C$6:$C$35)*'Scenario Analysis'!$B$6*(1+'Scenario Analysis'!$E$6)*'Scenario Analysis'!$E$23+SUMPRODUCT(Table166[Year 6
Month 5],'BEP. &amp; Summary Results'!$C$6:$C$35)*'Scenario Analysis'!$B$6*(1+'Scenario Analysis'!$E$6)*'Scenario Analysis'!$E$24+SUMPRODUCT(Table166[Year 6
Month 4],'BEP. &amp; Summary Results'!$C$6:$C$35)*'Scenario Analysis'!$B$6*(1+'Scenario Analysis'!$E$6)*'Scenario Analysis'!$E$25</f>
        <v>824398.69612799992</v>
      </c>
      <c r="BY71" s="518">
        <f>SUMPRODUCT(Table166[Year 6
Month 10],'BEP. &amp; Summary Results'!$C$6:$C$35)*'Scenario Analysis'!$B$6*(1+'Scenario Analysis'!$E$6)*'Scenario Analysis'!$E$20+SUMPRODUCT(Table166[Year 6
Month 9],'BEP. &amp; Summary Results'!$C$6:$C$35)*'Scenario Analysis'!$B$6*(1+'Scenario Analysis'!$E$6)*'Scenario Analysis'!$E$21+SUMPRODUCT(Table166[Year 6
Month 8],'BEP. &amp; Summary Results'!$C$6:$C$35)*'Scenario Analysis'!$B$6*(1+'Scenario Analysis'!$E$6)*'Scenario Analysis'!$E$22+SUMPRODUCT(Table166[Year 6
Month 7],'BEP. &amp; Summary Results'!$C$6:$C$35)*'Scenario Analysis'!$B$6*(1+'Scenario Analysis'!$E$6)*'Scenario Analysis'!$E$23+SUMPRODUCT(Table166[Year 6
Month 6],'BEP. &amp; Summary Results'!$C$6:$C$35)*'Scenario Analysis'!$B$6*(1+'Scenario Analysis'!$E$6)*'Scenario Analysis'!$E$24+SUMPRODUCT(Table166[Year 6
Month 5],'BEP. &amp; Summary Results'!$C$6:$C$35)*'Scenario Analysis'!$B$6*(1+'Scenario Analysis'!$E$6)*'Scenario Analysis'!$E$25</f>
        <v>824398.69612799992</v>
      </c>
      <c r="BZ71" s="518">
        <f>SUMPRODUCT(Table166[Year 6
Month 11],'BEP. &amp; Summary Results'!$C$6:$C$35)*'Scenario Analysis'!$B$6*(1+'Scenario Analysis'!$E$6)*'Scenario Analysis'!$E$20+SUMPRODUCT(Table166[Year 6
Month 10],'BEP. &amp; Summary Results'!$C$6:$C$35)*'Scenario Analysis'!$B$6*(1+'Scenario Analysis'!$E$6)*'Scenario Analysis'!$E$21+SUMPRODUCT(Table166[Year 6
Month 9],'BEP. &amp; Summary Results'!$C$6:$C$35)*'Scenario Analysis'!$B$6*(1+'Scenario Analysis'!$E$6)*'Scenario Analysis'!$E$22+SUMPRODUCT(Table166[Year 6
Month 8],'BEP. &amp; Summary Results'!$C$6:$C$35)*'Scenario Analysis'!$B$6*(1+'Scenario Analysis'!$E$6)*'Scenario Analysis'!$E$23+SUMPRODUCT(Table166[Year 6
Month 7],'BEP. &amp; Summary Results'!$C$6:$C$35)*'Scenario Analysis'!$B$6*(1+'Scenario Analysis'!$E$6)*'Scenario Analysis'!$E$24+SUMPRODUCT(Table166[Year 6
Month 6],'BEP. &amp; Summary Results'!$C$6:$C$35)*'Scenario Analysis'!$B$6*(1+'Scenario Analysis'!$E$6)*'Scenario Analysis'!$E$25</f>
        <v>824398.69612799992</v>
      </c>
      <c r="CA71" s="518">
        <f>SUMPRODUCT(Table166[Year 6
Month 12],'BEP. &amp; Summary Results'!$C$6:$C$35)*'Scenario Analysis'!$B$6*(1+'Scenario Analysis'!$E$6)*'Scenario Analysis'!$E$20+SUMPRODUCT(Table166[Year 6
Month 11],'BEP. &amp; Summary Results'!$C$6:$C$35)*'Scenario Analysis'!$B$6*(1+'Scenario Analysis'!$E$6)*'Scenario Analysis'!$E$21+SUMPRODUCT(Table166[Year 6
Month 10],'BEP. &amp; Summary Results'!$C$6:$C$35)*'Scenario Analysis'!$B$6*(1+'Scenario Analysis'!$E$6)*'Scenario Analysis'!$E$22+SUMPRODUCT(Table166[Year 6
Month 9],'BEP. &amp; Summary Results'!$C$6:$C$35)*'Scenario Analysis'!$B$6*(1+'Scenario Analysis'!$E$6)*'Scenario Analysis'!$E$23+SUMPRODUCT(Table166[Year 6
Month 8],'BEP. &amp; Summary Results'!$C$6:$C$35)*'Scenario Analysis'!$B$6*(1+'Scenario Analysis'!$E$6)*'Scenario Analysis'!$E$24+SUMPRODUCT(Table166[Year 6
Month 7],'BEP. &amp; Summary Results'!$C$6:$C$35)*'Scenario Analysis'!$B$6*(1+'Scenario Analysis'!$E$6)*'Scenario Analysis'!$E$25</f>
        <v>824398.69612799992</v>
      </c>
      <c r="CB71" s="545">
        <f>SUM(BP71:CA71)</f>
        <v>9892784.3535359967</v>
      </c>
      <c r="CC71" s="518">
        <f>SUMPRODUCT(Table166[Year 7
Month 1],'BEP. &amp; Summary Results'!$C$6:$C$35)*'Scenario Analysis'!$B$6*(1+'Scenario Analysis'!$E$6)*'Scenario Analysis'!$E$20+SUMPRODUCT(Table166[Year 6
Month 12],'BEP. &amp; Summary Results'!$C$6:$C$35)*'Scenario Analysis'!$B$6*(1+'Scenario Analysis'!$E$6)*'Scenario Analysis'!$E$21+SUMPRODUCT(Table166[Year 6
Month 11],'BEP. &amp; Summary Results'!$C$6:$C$35)*'Scenario Analysis'!$B$6*(1+'Scenario Analysis'!$E$6)*'Scenario Analysis'!$E$22+SUMPRODUCT(Table166[Year 6
Month 10],'BEP. &amp; Summary Results'!$C$6:$C$35)*'Scenario Analysis'!$B$6*(1+'Scenario Analysis'!$E$6)*'Scenario Analysis'!$E$23+SUMPRODUCT(Table166[Year 6
Month 9],'BEP. &amp; Summary Results'!$C$6:$C$35)*'Scenario Analysis'!$B$6*(1+'Scenario Analysis'!$E$6)*'Scenario Analysis'!$E$24+SUMPRODUCT(Table166[Year 6
Month 8],'BEP. &amp; Summary Results'!$C$6:$C$35)*'Scenario Analysis'!$B$6*(1+'Scenario Analysis'!$E$6)*'Scenario Analysis'!$E$25</f>
        <v>873873.56972159992</v>
      </c>
      <c r="CD71" s="518">
        <f>SUMPRODUCT(Table166[Year 7
Month 2],'BEP. &amp; Summary Results'!$C$6:$C$35)*'Scenario Analysis'!$B$6*(1+'Scenario Analysis'!$E$6)*'Scenario Analysis'!$E$20+SUMPRODUCT(Table166[Year 7
Month 1],'BEP. &amp; Summary Results'!$C$6:$C$35)*'Scenario Analysis'!$B$6*(1+'Scenario Analysis'!$E$6)*'Scenario Analysis'!$E$21+SUMPRODUCT(Table166[Year 6
Month 12],'BEP. &amp; Summary Results'!$C$6:$C$35)*'Scenario Analysis'!$B$6*(1+'Scenario Analysis'!$E$6)*'Scenario Analysis'!$E$22+SUMPRODUCT(Table166[Year 6
Month 11],'BEP. &amp; Summary Results'!$C$6:$C$35)*'Scenario Analysis'!$B$6*(1+'Scenario Analysis'!$E$6)*'Scenario Analysis'!$E$23+SUMPRODUCT(Table166[Year 6
Month 10],'BEP. &amp; Summary Results'!$C$6:$C$35)*'Scenario Analysis'!$B$6*(1+'Scenario Analysis'!$E$6)*'Scenario Analysis'!$E$24+SUMPRODUCT(Table166[Year 6
Month 9],'BEP. &amp; Summary Results'!$C$6:$C$35)*'Scenario Analysis'!$B$6*(1+'Scenario Analysis'!$E$6)*'Scenario Analysis'!$E$25</f>
        <v>873873.56972159992</v>
      </c>
      <c r="CE71" s="518">
        <f>SUMPRODUCT(Table166[Year 7
Month 3],'BEP. &amp; Summary Results'!$C$6:$C$35)*'Scenario Analysis'!$B$6*(1+'Scenario Analysis'!$E$6)*'Scenario Analysis'!$E$20+SUMPRODUCT(Table166[Year 7
Month 2],'BEP. &amp; Summary Results'!$C$6:$C$35)*'Scenario Analysis'!$B$6*(1+'Scenario Analysis'!$E$6)*'Scenario Analysis'!$E$21+SUMPRODUCT(Table166[Year 7
Month 1],'BEP. &amp; Summary Results'!$C$6:$C$35)*'Scenario Analysis'!$B$6*(1+'Scenario Analysis'!$E$6)*'Scenario Analysis'!$E$22+SUMPRODUCT(Table166[Year 6
Month 12],'BEP. &amp; Summary Results'!$C$6:$C$35)*'Scenario Analysis'!$B$6*(1+'Scenario Analysis'!$E$6)*'Scenario Analysis'!$E$23+SUMPRODUCT(Table166[Year 6
Month 11],'BEP. &amp; Summary Results'!$C$6:$C$35)*'Scenario Analysis'!$B$6*(1+'Scenario Analysis'!$E$6)*'Scenario Analysis'!$E$24+SUMPRODUCT(Table166[Year 6
Month 10],'BEP. &amp; Summary Results'!$C$6:$C$35)*'Scenario Analysis'!$B$6*(1+'Scenario Analysis'!$E$6)*'Scenario Analysis'!$E$25</f>
        <v>873873.56972159992</v>
      </c>
      <c r="CF71" s="518">
        <f>SUMPRODUCT(Table166[Year 7
Month 4],'BEP. &amp; Summary Results'!$C$6:$C$35)*'Scenario Analysis'!$B$6*(1+'Scenario Analysis'!$E$6)*'Scenario Analysis'!$E$20+SUMPRODUCT(Table166[Year 7
Month 3],'BEP. &amp; Summary Results'!$C$6:$C$35)*'Scenario Analysis'!$B$6*(1+'Scenario Analysis'!$E$6)*'Scenario Analysis'!$E$21+SUMPRODUCT(Table166[Year 7
Month 2],'BEP. &amp; Summary Results'!$C$6:$C$35)*'Scenario Analysis'!$B$6*(1+'Scenario Analysis'!$E$6)*'Scenario Analysis'!$E$22+SUMPRODUCT(Table166[Year 7
Month 1],'BEP. &amp; Summary Results'!$C$6:$C$35)*'Scenario Analysis'!$B$6*(1+'Scenario Analysis'!$E$6)*'Scenario Analysis'!$E$23+SUMPRODUCT(Table166[Year 6
Month 12],'BEP. &amp; Summary Results'!$C$6:$C$35)*'Scenario Analysis'!$B$6*(1+'Scenario Analysis'!$E$6)*'Scenario Analysis'!$E$24+SUMPRODUCT(Table166[Year 6
Month 11],'BEP. &amp; Summary Results'!$C$6:$C$35)*'Scenario Analysis'!$B$6*(1+'Scenario Analysis'!$E$6)*'Scenario Analysis'!$E$25</f>
        <v>873873.56972159992</v>
      </c>
      <c r="CG71" s="518">
        <f>SUMPRODUCT(Table166[Year 7
Month 5],'BEP. &amp; Summary Results'!$C$6:$C$35)*'Scenario Analysis'!$B$6*(1+'Scenario Analysis'!$E$6)*'Scenario Analysis'!$E$20+SUMPRODUCT(Table166[Year 7
Month 4],'BEP. &amp; Summary Results'!$C$6:$C$35)*'Scenario Analysis'!$B$6*(1+'Scenario Analysis'!$E$6)*'Scenario Analysis'!$E$21+SUMPRODUCT(Table166[Year 7
Month 3],'BEP. &amp; Summary Results'!$C$6:$C$35)*'Scenario Analysis'!$B$6*(1+'Scenario Analysis'!$E$6)*'Scenario Analysis'!$E$22+SUMPRODUCT(Table166[Year 7
Month 2],'BEP. &amp; Summary Results'!$C$6:$C$35)*'Scenario Analysis'!$B$6*(1+'Scenario Analysis'!$E$6)*'Scenario Analysis'!$E$23+SUMPRODUCT(Table166[Year 7
Month 1],'BEP. &amp; Summary Results'!$C$6:$C$35)*'Scenario Analysis'!$B$6*(1+'Scenario Analysis'!$E$6)*'Scenario Analysis'!$E$24+SUMPRODUCT(Table166[Year 6
Month 12],'BEP. &amp; Summary Results'!$C$6:$C$35)*'Scenario Analysis'!$B$6*(1+'Scenario Analysis'!$E$6)*'Scenario Analysis'!$E$25</f>
        <v>873873.56972159992</v>
      </c>
      <c r="CH71" s="518">
        <f>SUMPRODUCT(Table166[Year 7
Month 6],'BEP. &amp; Summary Results'!$C$6:$C$35)*'Scenario Analysis'!$B$6*(1+'Scenario Analysis'!$E$6)*'Scenario Analysis'!$E$20+SUMPRODUCT(Table166[Year 7
Month 5],'BEP. &amp; Summary Results'!$C$6:$C$35)*'Scenario Analysis'!$B$6*(1+'Scenario Analysis'!$E$6)*'Scenario Analysis'!$E$21+SUMPRODUCT(Table166[Year 7
Month 4],'BEP. &amp; Summary Results'!$C$6:$C$35)*'Scenario Analysis'!$B$6*(1+'Scenario Analysis'!$E$6)*'Scenario Analysis'!$E$22+SUMPRODUCT(Table166[Year 7
Month 3],'BEP. &amp; Summary Results'!$C$6:$C$35)*'Scenario Analysis'!$B$6*(1+'Scenario Analysis'!$E$6)*'Scenario Analysis'!$E$23+SUMPRODUCT(Table166[Year 7
Month 2],'BEP. &amp; Summary Results'!$C$6:$C$35)*'Scenario Analysis'!$B$6*(1+'Scenario Analysis'!$E$6)*'Scenario Analysis'!$E$24+SUMPRODUCT(Table166[Year 7
Month 1],'BEP. &amp; Summary Results'!$C$6:$C$35)*'Scenario Analysis'!$B$6*(1+'Scenario Analysis'!$E$6)*'Scenario Analysis'!$E$25</f>
        <v>873873.56972159992</v>
      </c>
      <c r="CI71" s="518">
        <f>SUMPRODUCT(Table166[Year 7
Month 7],'BEP. &amp; Summary Results'!$C$6:$C$35)*'Scenario Analysis'!$B$6*(1+'Scenario Analysis'!$E$6)*'Scenario Analysis'!$E$20+SUMPRODUCT(Table166[Year 7
Month 6],'BEP. &amp; Summary Results'!$C$6:$C$35)*'Scenario Analysis'!$B$6*(1+'Scenario Analysis'!$E$6)*'Scenario Analysis'!$E$21+SUMPRODUCT(Table166[Year 7
Month 5],'BEP. &amp; Summary Results'!$C$6:$C$35)*'Scenario Analysis'!$B$6*(1+'Scenario Analysis'!$E$6)*'Scenario Analysis'!$E$22+SUMPRODUCT(Table166[Year 7
Month 4],'BEP. &amp; Summary Results'!$C$6:$C$35)*'Scenario Analysis'!$B$6*(1+'Scenario Analysis'!$E$6)*'Scenario Analysis'!$E$23+SUMPRODUCT(Table166[Year 7
Month 3],'BEP. &amp; Summary Results'!$C$6:$C$35)*'Scenario Analysis'!$B$6*(1+'Scenario Analysis'!$E$6)*'Scenario Analysis'!$E$24+SUMPRODUCT(Table166[Year 7
Month 2],'BEP. &amp; Summary Results'!$C$6:$C$35)*'Scenario Analysis'!$B$6*(1+'Scenario Analysis'!$E$6)*'Scenario Analysis'!$E$25</f>
        <v>873873.56972159992</v>
      </c>
      <c r="CJ71" s="518">
        <f>SUMPRODUCT(Table166[Year 7
Month 8],'BEP. &amp; Summary Results'!$C$6:$C$35)*'Scenario Analysis'!$B$6*(1+'Scenario Analysis'!$E$6)*'Scenario Analysis'!$E$20+SUMPRODUCT(Table166[Year 7
Month 7],'BEP. &amp; Summary Results'!$C$6:$C$35)*'Scenario Analysis'!$B$6*(1+'Scenario Analysis'!$E$6)*'Scenario Analysis'!$E$21+SUMPRODUCT(Table166[Year 7
Month 6],'BEP. &amp; Summary Results'!$C$6:$C$35)*'Scenario Analysis'!$B$6*(1+'Scenario Analysis'!$E$6)*'Scenario Analysis'!$E$22+SUMPRODUCT(Table166[Year 7
Month 5],'BEP. &amp; Summary Results'!$C$6:$C$35)*'Scenario Analysis'!$B$6*(1+'Scenario Analysis'!$E$6)*'Scenario Analysis'!$E$23+SUMPRODUCT(Table166[Year 7
Month 4],'BEP. &amp; Summary Results'!$C$6:$C$35)*'Scenario Analysis'!$B$6*(1+'Scenario Analysis'!$E$6)*'Scenario Analysis'!$E$24+SUMPRODUCT(Table166[Year 7
Month 3],'BEP. &amp; Summary Results'!$C$6:$C$35)*'Scenario Analysis'!$B$6*(1+'Scenario Analysis'!$E$6)*'Scenario Analysis'!$E$25</f>
        <v>873873.56972159992</v>
      </c>
      <c r="CK71" s="518">
        <f>SUMPRODUCT(Table166[Year 7
Month 9],'BEP. &amp; Summary Results'!$C$6:$C$35)*'Scenario Analysis'!$B$6*(1+'Scenario Analysis'!$E$6)*'Scenario Analysis'!$E$20+SUMPRODUCT(Table166[Year 7
Month 8],'BEP. &amp; Summary Results'!$C$6:$C$35)*'Scenario Analysis'!$B$6*(1+'Scenario Analysis'!$E$6)*'Scenario Analysis'!$E$21+SUMPRODUCT(Table166[Year 7
Month 7],'BEP. &amp; Summary Results'!$C$6:$C$35)*'Scenario Analysis'!$B$6*(1+'Scenario Analysis'!$E$6)*'Scenario Analysis'!$E$22+SUMPRODUCT(Table166[Year 7
Month 6],'BEP. &amp; Summary Results'!$C$6:$C$35)*'Scenario Analysis'!$B$6*(1+'Scenario Analysis'!$E$6)*'Scenario Analysis'!$E$23+SUMPRODUCT(Table166[Year 7
Month 5],'BEP. &amp; Summary Results'!$C$6:$C$35)*'Scenario Analysis'!$B$6*(1+'Scenario Analysis'!$E$6)*'Scenario Analysis'!$E$24+SUMPRODUCT(Table166[Year 7
Month 4],'BEP. &amp; Summary Results'!$C$6:$C$35)*'Scenario Analysis'!$B$6*(1+'Scenario Analysis'!$E$6)*'Scenario Analysis'!$E$25</f>
        <v>873873.56972159992</v>
      </c>
      <c r="CL71" s="518">
        <f>SUMPRODUCT(Table166[Year 7
Month 10],'BEP. &amp; Summary Results'!$C$6:$C$35)*'Scenario Analysis'!$B$6*(1+'Scenario Analysis'!$E$6)*'Scenario Analysis'!$E$20+SUMPRODUCT(Table166[Year 7
Month 9],'BEP. &amp; Summary Results'!$C$6:$C$35)*'Scenario Analysis'!$B$6*(1+'Scenario Analysis'!$E$6)*'Scenario Analysis'!$E$21+SUMPRODUCT(Table166[Year 7
Month 8],'BEP. &amp; Summary Results'!$C$6:$C$35)*'Scenario Analysis'!$B$6*(1+'Scenario Analysis'!$E$6)*'Scenario Analysis'!$E$22+SUMPRODUCT(Table166[Year 7
Month 7],'BEP. &amp; Summary Results'!$C$6:$C$35)*'Scenario Analysis'!$B$6*(1+'Scenario Analysis'!$E$6)*'Scenario Analysis'!$E$23+SUMPRODUCT(Table166[Year 7
Month 6],'BEP. &amp; Summary Results'!$C$6:$C$35)*'Scenario Analysis'!$B$6*(1+'Scenario Analysis'!$E$6)*'Scenario Analysis'!$E$24+SUMPRODUCT(Table166[Year 7
Month 5],'BEP. &amp; Summary Results'!$C$6:$C$35)*'Scenario Analysis'!$B$6*(1+'Scenario Analysis'!$E$6)*'Scenario Analysis'!$E$25</f>
        <v>873873.56972159992</v>
      </c>
      <c r="CM71" s="518">
        <f>SUMPRODUCT(Table166[Year 7
Month 11],'BEP. &amp; Summary Results'!$C$6:$C$35)*'Scenario Analysis'!$B$6*(1+'Scenario Analysis'!$E$6)*'Scenario Analysis'!$E$20+SUMPRODUCT(Table166[Year 7
Month 10],'BEP. &amp; Summary Results'!$C$6:$C$35)*'Scenario Analysis'!$B$6*(1+'Scenario Analysis'!$E$6)*'Scenario Analysis'!$E$21+SUMPRODUCT(Table166[Year 7
Month 9],'BEP. &amp; Summary Results'!$C$6:$C$35)*'Scenario Analysis'!$B$6*(1+'Scenario Analysis'!$E$6)*'Scenario Analysis'!$E$22+SUMPRODUCT(Table166[Year 7
Month 8],'BEP. &amp; Summary Results'!$C$6:$C$35)*'Scenario Analysis'!$B$6*(1+'Scenario Analysis'!$E$6)*'Scenario Analysis'!$E$23+SUMPRODUCT(Table166[Year 7
Month 7],'BEP. &amp; Summary Results'!$C$6:$C$35)*'Scenario Analysis'!$B$6*(1+'Scenario Analysis'!$E$6)*'Scenario Analysis'!$E$24+SUMPRODUCT(Table166[Year 7
Month 6],'BEP. &amp; Summary Results'!$C$6:$C$35)*'Scenario Analysis'!$B$6*(1+'Scenario Analysis'!$E$6)*'Scenario Analysis'!$E$25</f>
        <v>873873.56972159992</v>
      </c>
      <c r="CN71" s="518">
        <f>SUMPRODUCT(Table166[Year 7
Month 12],'BEP. &amp; Summary Results'!$C$6:$C$35)*'Scenario Analysis'!$B$6*(1+'Scenario Analysis'!$E$6)*'Scenario Analysis'!$E$20+SUMPRODUCT(Table166[Year 7
Month 11],'BEP. &amp; Summary Results'!$C$6:$C$35)*'Scenario Analysis'!$B$6*(1+'Scenario Analysis'!$E$6)*'Scenario Analysis'!$E$21+SUMPRODUCT(Table166[Year 7
Month 10],'BEP. &amp; Summary Results'!$C$6:$C$35)*'Scenario Analysis'!$B$6*(1+'Scenario Analysis'!$E$6)*'Scenario Analysis'!$E$22+SUMPRODUCT(Table166[Year 7
Month 9],'BEP. &amp; Summary Results'!$C$6:$C$35)*'Scenario Analysis'!$B$6*(1+'Scenario Analysis'!$E$6)*'Scenario Analysis'!$E$23+SUMPRODUCT(Table166[Year 7
Month 8],'BEP. &amp; Summary Results'!$C$6:$C$35)*'Scenario Analysis'!$B$6*(1+'Scenario Analysis'!$E$6)*'Scenario Analysis'!$E$24+SUMPRODUCT(Table166[Year 7
Month 7],'BEP. &amp; Summary Results'!$C$6:$C$35)*'Scenario Analysis'!$B$6*(1+'Scenario Analysis'!$E$6)*'Scenario Analysis'!$E$25</f>
        <v>873873.56972159992</v>
      </c>
      <c r="CO71" s="545">
        <f>SUM(CC71:CN71)</f>
        <v>10486482.836659199</v>
      </c>
    </row>
    <row r="72" spans="1:93" s="112" customFormat="1" ht="24.95" hidden="1" customHeight="1" outlineLevel="1">
      <c r="A72" s="124" t="s">
        <v>336</v>
      </c>
      <c r="B72" s="518">
        <f>'OPEREX, PAYROL'!E29</f>
        <v>0</v>
      </c>
      <c r="C72" s="518">
        <f>'OPEREX, PAYROL'!F29</f>
        <v>66700</v>
      </c>
      <c r="D72" s="518">
        <f>'OPEREX, PAYROL'!G29</f>
        <v>66700</v>
      </c>
      <c r="E72" s="518">
        <f>'OPEREX, PAYROL'!H29</f>
        <v>66700</v>
      </c>
      <c r="F72" s="518">
        <f>'OPEREX, PAYROL'!I29</f>
        <v>65400</v>
      </c>
      <c r="G72" s="518">
        <f>'OPEREX, PAYROL'!J29</f>
        <v>66700</v>
      </c>
      <c r="H72" s="518">
        <f>'OPEREX, PAYROL'!K29</f>
        <v>66700</v>
      </c>
      <c r="I72" s="518">
        <f>'OPEREX, PAYROL'!L29</f>
        <v>66700</v>
      </c>
      <c r="J72" s="518">
        <f>'OPEREX, PAYROL'!M29</f>
        <v>66700</v>
      </c>
      <c r="K72" s="518">
        <f>'OPEREX, PAYROL'!N29</f>
        <v>66700</v>
      </c>
      <c r="L72" s="518">
        <f>'OPEREX, PAYROL'!O29</f>
        <v>66700</v>
      </c>
      <c r="M72" s="518">
        <f>'OPEREX, PAYROL'!P29</f>
        <v>66700</v>
      </c>
      <c r="N72" s="518">
        <f>'OPEREX, PAYROL'!Q29</f>
        <v>66700</v>
      </c>
      <c r="O72" s="519">
        <f>SUM(B72:N72)</f>
        <v>799100</v>
      </c>
      <c r="P72" s="518">
        <f>N72*(1+'Scenario Analysis'!$D$12)</f>
        <v>70035</v>
      </c>
      <c r="Q72" s="518">
        <f>Table425354137[[#This Row],[Year 2
Month 1]]</f>
        <v>70035</v>
      </c>
      <c r="R72" s="518">
        <f>Table425354137[[#This Row],[Year 2
Month 1]]</f>
        <v>70035</v>
      </c>
      <c r="S72" s="518">
        <f>Table425354137[[#This Row],[Year 2
Month 1]]</f>
        <v>70035</v>
      </c>
      <c r="T72" s="518">
        <f>Table425354137[[#This Row],[Year 2
Month 1]]</f>
        <v>70035</v>
      </c>
      <c r="U72" s="518">
        <f>Table425354137[[#This Row],[Year 2
Month 1]]</f>
        <v>70035</v>
      </c>
      <c r="V72" s="518">
        <f>Table425354137[[#This Row],[Year 2
Month 1]]</f>
        <v>70035</v>
      </c>
      <c r="W72" s="518">
        <f>Table425354137[[#This Row],[Year 2
Month 1]]</f>
        <v>70035</v>
      </c>
      <c r="X72" s="518">
        <f>Table425354137[[#This Row],[Year 2
Month 1]]</f>
        <v>70035</v>
      </c>
      <c r="Y72" s="518">
        <f>Table425354137[[#This Row],[Year 2
Month 1]]</f>
        <v>70035</v>
      </c>
      <c r="Z72" s="518">
        <f>Table425354137[[#This Row],[Year 2
Month 1]]</f>
        <v>70035</v>
      </c>
      <c r="AA72" s="518">
        <f>Table425354137[[#This Row],[Year 2
Month 1]]</f>
        <v>70035</v>
      </c>
      <c r="AB72" s="545">
        <f t="shared" ref="AB72:AB73" si="349">SUM(P72:AA72)</f>
        <v>840420</v>
      </c>
      <c r="AC72" s="518">
        <f>AA72*(1+'Scenario Analysis'!$D$12)</f>
        <v>73536.75</v>
      </c>
      <c r="AD72" s="518">
        <f>Table425354137152[[#This Row],[Year 3
Month 1]]</f>
        <v>73536.75</v>
      </c>
      <c r="AE72" s="518">
        <f>Table425354137152[[#This Row],[Year 3
Month 1]]</f>
        <v>73536.75</v>
      </c>
      <c r="AF72" s="518">
        <f>Table425354137152[[#This Row],[Year 3
Month 1]]</f>
        <v>73536.75</v>
      </c>
      <c r="AG72" s="518">
        <f>Table425354137152[[#This Row],[Year 3
Month 1]]</f>
        <v>73536.75</v>
      </c>
      <c r="AH72" s="518">
        <f>Table425354137152[[#This Row],[Year 3
Month 1]]</f>
        <v>73536.75</v>
      </c>
      <c r="AI72" s="518">
        <f>Table425354137152[[#This Row],[Year 3
Month 1]]</f>
        <v>73536.75</v>
      </c>
      <c r="AJ72" s="518">
        <f>Table425354137152[[#This Row],[Year 3
Month 1]]</f>
        <v>73536.75</v>
      </c>
      <c r="AK72" s="518">
        <f>Table425354137152[[#This Row],[Year 3
Month 1]]</f>
        <v>73536.75</v>
      </c>
      <c r="AL72" s="518">
        <f>Table425354137152[[#This Row],[Year 3
Month 1]]</f>
        <v>73536.75</v>
      </c>
      <c r="AM72" s="518">
        <f>Table425354137152[[#This Row],[Year 3
Month 1]]</f>
        <v>73536.75</v>
      </c>
      <c r="AN72" s="518">
        <f>Table425354137152[[#This Row],[Year 3
Month 1]]</f>
        <v>73536.75</v>
      </c>
      <c r="AO72" s="545">
        <f t="shared" si="348"/>
        <v>882441</v>
      </c>
      <c r="AP72" s="518">
        <f>AN72*(1+'Scenario Analysis'!$D$12)</f>
        <v>77213.587500000009</v>
      </c>
      <c r="AQ72" s="518">
        <f>Table425354137154[[#This Row],[Year 4
Month 1]]</f>
        <v>77213.587500000009</v>
      </c>
      <c r="AR72" s="518">
        <f>Table425354137154[[#This Row],[Year 4
Month 1]]</f>
        <v>77213.587500000009</v>
      </c>
      <c r="AS72" s="518">
        <f>Table425354137154[[#This Row],[Year 4
Month 1]]</f>
        <v>77213.587500000009</v>
      </c>
      <c r="AT72" s="518">
        <f>Table425354137154[[#This Row],[Year 4
Month 1]]</f>
        <v>77213.587500000009</v>
      </c>
      <c r="AU72" s="518">
        <f>Table425354137154[[#This Row],[Year 4
Month 1]]</f>
        <v>77213.587500000009</v>
      </c>
      <c r="AV72" s="518">
        <f>Table425354137154[[#This Row],[Year 4
Month 1]]</f>
        <v>77213.587500000009</v>
      </c>
      <c r="AW72" s="518">
        <f>Table425354137154[[#This Row],[Year 4
Month 1]]</f>
        <v>77213.587500000009</v>
      </c>
      <c r="AX72" s="518">
        <f>Table425354137154[[#This Row],[Year 4
Month 1]]</f>
        <v>77213.587500000009</v>
      </c>
      <c r="AY72" s="518">
        <f>Table425354137154[[#This Row],[Year 4
Month 1]]</f>
        <v>77213.587500000009</v>
      </c>
      <c r="AZ72" s="518">
        <f>Table425354137154[[#This Row],[Year 4
Month 1]]</f>
        <v>77213.587500000009</v>
      </c>
      <c r="BA72" s="518">
        <f>Table425354137154[[#This Row],[Year 4
Month 1]]</f>
        <v>77213.587500000009</v>
      </c>
      <c r="BB72" s="545">
        <f>SUM(AP72:BA72)</f>
        <v>926563.05000000016</v>
      </c>
      <c r="BC72" s="518">
        <f>BA72*(1+'Scenario Analysis'!$D$12)</f>
        <v>81074.266875000016</v>
      </c>
      <c r="BD72" s="518">
        <f>Table425354137154148[[#This Row],[Year 5
Month 1]]</f>
        <v>81074.266875000016</v>
      </c>
      <c r="BE72" s="518">
        <f>Table425354137154148[[#This Row],[Year 5
Month 1]]</f>
        <v>81074.266875000016</v>
      </c>
      <c r="BF72" s="518">
        <f>Table425354137154148[[#This Row],[Year 5
Month 1]]</f>
        <v>81074.266875000016</v>
      </c>
      <c r="BG72" s="518">
        <f>Table425354137154148[[#This Row],[Year 5
Month 1]]</f>
        <v>81074.266875000016</v>
      </c>
      <c r="BH72" s="518">
        <f>Table425354137154148[[#This Row],[Year 5
Month 1]]</f>
        <v>81074.266875000016</v>
      </c>
      <c r="BI72" s="518">
        <f>Table425354137154148[[#This Row],[Year 5
Month 1]]</f>
        <v>81074.266875000016</v>
      </c>
      <c r="BJ72" s="518">
        <f>Table425354137154148[[#This Row],[Year 5
Month 1]]</f>
        <v>81074.266875000016</v>
      </c>
      <c r="BK72" s="518">
        <f>Table425354137154148[[#This Row],[Year 5
Month 1]]</f>
        <v>81074.266875000016</v>
      </c>
      <c r="BL72" s="518">
        <f>Table425354137154148[[#This Row],[Year 5
Month 1]]</f>
        <v>81074.266875000016</v>
      </c>
      <c r="BM72" s="518">
        <f>Table425354137154148[[#This Row],[Year 5
Month 1]]</f>
        <v>81074.266875000016</v>
      </c>
      <c r="BN72" s="518">
        <f>Table425354137154148[[#This Row],[Year 5
Month 1]]</f>
        <v>81074.266875000016</v>
      </c>
      <c r="BO72" s="545">
        <f>SUM(BC72:BN72)</f>
        <v>972891.20250000001</v>
      </c>
      <c r="BP72" s="518">
        <f>BN72*(1+'Scenario Analysis'!$D$12)</f>
        <v>85127.980218750017</v>
      </c>
      <c r="BQ72" s="518">
        <f>Table425354137154148163[[#This Row],[Year 6
Month 1]]</f>
        <v>85127.980218750017</v>
      </c>
      <c r="BR72" s="518">
        <f>Table425354137154148163[[#This Row],[Year 6
Month 1]]</f>
        <v>85127.980218750017</v>
      </c>
      <c r="BS72" s="518">
        <f>Table425354137154148163[[#This Row],[Year 6
Month 1]]</f>
        <v>85127.980218750017</v>
      </c>
      <c r="BT72" s="518">
        <f>Table425354137154148163[[#This Row],[Year 6
Month 1]]</f>
        <v>85127.980218750017</v>
      </c>
      <c r="BU72" s="518">
        <f>Table425354137154148163[[#This Row],[Year 6
Month 1]]</f>
        <v>85127.980218750017</v>
      </c>
      <c r="BV72" s="518">
        <f>Table425354137154148163[[#This Row],[Year 6
Month 1]]</f>
        <v>85127.980218750017</v>
      </c>
      <c r="BW72" s="518">
        <f>Table425354137154148163[[#This Row],[Year 6
Month 1]]</f>
        <v>85127.980218750017</v>
      </c>
      <c r="BX72" s="518">
        <f>Table425354137154148163[[#This Row],[Year 6
Month 1]]</f>
        <v>85127.980218750017</v>
      </c>
      <c r="BY72" s="518">
        <f>Table425354137154148163[[#This Row],[Year 6
Month 1]]</f>
        <v>85127.980218750017</v>
      </c>
      <c r="BZ72" s="518">
        <f>Table425354137154148163[[#This Row],[Year 6
Month 1]]</f>
        <v>85127.980218750017</v>
      </c>
      <c r="CA72" s="518">
        <f>Table425354137154148163[[#This Row],[Year 6
Month 1]]</f>
        <v>85127.980218750017</v>
      </c>
      <c r="CB72" s="545">
        <f>SUM(BP72:CA72)</f>
        <v>1021535.762625</v>
      </c>
      <c r="CC72" s="518">
        <f>CA72*(1+'Scenario Analysis'!$D$12)</f>
        <v>89384.379229687518</v>
      </c>
      <c r="CD72" s="518">
        <f>Table425354137154148166[[#This Row],[Year 7
Month 1]]</f>
        <v>89384.379229687518</v>
      </c>
      <c r="CE72" s="518">
        <f>Table425354137154148166[[#This Row],[Year 7
Month 1]]</f>
        <v>89384.379229687518</v>
      </c>
      <c r="CF72" s="518">
        <f>Table425354137154148166[[#This Row],[Year 7
Month 1]]</f>
        <v>89384.379229687518</v>
      </c>
      <c r="CG72" s="518">
        <f>Table425354137154148166[[#This Row],[Year 7
Month 1]]</f>
        <v>89384.379229687518</v>
      </c>
      <c r="CH72" s="518">
        <f>Table425354137154148166[[#This Row],[Year 7
Month 1]]</f>
        <v>89384.379229687518</v>
      </c>
      <c r="CI72" s="518">
        <f>Table425354137154148166[[#This Row],[Year 7
Month 1]]</f>
        <v>89384.379229687518</v>
      </c>
      <c r="CJ72" s="518">
        <f>Table425354137154148166[[#This Row],[Year 7
Month 1]]</f>
        <v>89384.379229687518</v>
      </c>
      <c r="CK72" s="518">
        <f>Table425354137154148166[[#This Row],[Year 7
Month 1]]</f>
        <v>89384.379229687518</v>
      </c>
      <c r="CL72" s="518">
        <f>Table425354137154148166[[#This Row],[Year 7
Month 1]]</f>
        <v>89384.379229687518</v>
      </c>
      <c r="CM72" s="518">
        <f>Table425354137154148166[[#This Row],[Year 7
Month 1]]</f>
        <v>89384.379229687518</v>
      </c>
      <c r="CN72" s="518">
        <f>Table425354137154148166[[#This Row],[Year 7
Month 1]]</f>
        <v>89384.379229687518</v>
      </c>
      <c r="CO72" s="545">
        <f>SUM(CC72:CN72)</f>
        <v>1072612.5507562503</v>
      </c>
    </row>
    <row r="73" spans="1:93" s="112" customFormat="1" ht="24.95" hidden="1" customHeight="1" outlineLevel="1">
      <c r="A73" s="124" t="s">
        <v>200</v>
      </c>
      <c r="B73" s="518">
        <f>'OPEREX, PAYROL'!E52</f>
        <v>110000</v>
      </c>
      <c r="C73" s="518">
        <f>'OPEREX, PAYROL'!F52</f>
        <v>41996.05</v>
      </c>
      <c r="D73" s="518">
        <f>'OPEREX, PAYROL'!G52</f>
        <v>41996.05</v>
      </c>
      <c r="E73" s="518">
        <f>'OPEREX, PAYROL'!H52</f>
        <v>41996.05</v>
      </c>
      <c r="F73" s="518">
        <f>'OPEREX, PAYROL'!I52</f>
        <v>41996.05</v>
      </c>
      <c r="G73" s="518">
        <f>'OPEREX, PAYROL'!J52</f>
        <v>41996.05</v>
      </c>
      <c r="H73" s="518">
        <f>'OPEREX, PAYROL'!K52</f>
        <v>41996.05</v>
      </c>
      <c r="I73" s="518">
        <f>'OPEREX, PAYROL'!L52</f>
        <v>41996.05</v>
      </c>
      <c r="J73" s="518">
        <f>'OPEREX, PAYROL'!M52</f>
        <v>41996.05</v>
      </c>
      <c r="K73" s="518">
        <f>'OPEREX, PAYROL'!N52</f>
        <v>41996.05</v>
      </c>
      <c r="L73" s="518">
        <f>'OPEREX, PAYROL'!O52</f>
        <v>41996.05</v>
      </c>
      <c r="M73" s="518">
        <f>'OPEREX, PAYROL'!P52</f>
        <v>41996.05</v>
      </c>
      <c r="N73" s="518">
        <f>'OPEREX, PAYROL'!Q52</f>
        <v>41996.05</v>
      </c>
      <c r="O73" s="519">
        <f>SUM(B73:N73)</f>
        <v>613952.6</v>
      </c>
      <c r="P73" s="518">
        <f>N73*(1+'Scenario Analysis'!$D$11)</f>
        <v>46195.655000000006</v>
      </c>
      <c r="Q73" s="518">
        <f>Table425354137[[#This Row],[Year 2
Month 1]]</f>
        <v>46195.655000000006</v>
      </c>
      <c r="R73" s="518">
        <f>Table425354137[[#This Row],[Year 2
Month 1]]</f>
        <v>46195.655000000006</v>
      </c>
      <c r="S73" s="518">
        <f>Table425354137[[#This Row],[Year 2
Month 1]]</f>
        <v>46195.655000000006</v>
      </c>
      <c r="T73" s="518">
        <f>Table425354137[[#This Row],[Year 2
Month 1]]</f>
        <v>46195.655000000006</v>
      </c>
      <c r="U73" s="518">
        <f>Table425354137[[#This Row],[Year 2
Month 1]]</f>
        <v>46195.655000000006</v>
      </c>
      <c r="V73" s="518">
        <f>Table425354137[[#This Row],[Year 2
Month 1]]</f>
        <v>46195.655000000006</v>
      </c>
      <c r="W73" s="518">
        <f>Table425354137[[#This Row],[Year 2
Month 1]]</f>
        <v>46195.655000000006</v>
      </c>
      <c r="X73" s="518">
        <f>Table425354137[[#This Row],[Year 2
Month 1]]</f>
        <v>46195.655000000006</v>
      </c>
      <c r="Y73" s="518">
        <f>Table425354137[[#This Row],[Year 2
Month 1]]</f>
        <v>46195.655000000006</v>
      </c>
      <c r="Z73" s="518">
        <f>Table425354137[[#This Row],[Year 2
Month 1]]</f>
        <v>46195.655000000006</v>
      </c>
      <c r="AA73" s="518">
        <f>Table425354137[[#This Row],[Year 2
Month 1]]</f>
        <v>46195.655000000006</v>
      </c>
      <c r="AB73" s="545">
        <f t="shared" si="349"/>
        <v>554347.86000000022</v>
      </c>
      <c r="AC73" s="518">
        <f>AA73*(1+'Scenario Analysis'!$D$11)</f>
        <v>50815.22050000001</v>
      </c>
      <c r="AD73" s="518">
        <f>Table425354137152[[#This Row],[Year 3
Month 1]]</f>
        <v>50815.22050000001</v>
      </c>
      <c r="AE73" s="518">
        <f>Table425354137152[[#This Row],[Year 3
Month 1]]</f>
        <v>50815.22050000001</v>
      </c>
      <c r="AF73" s="518">
        <f>Table425354137152[[#This Row],[Year 3
Month 1]]</f>
        <v>50815.22050000001</v>
      </c>
      <c r="AG73" s="518">
        <f>Table425354137152[[#This Row],[Year 3
Month 1]]</f>
        <v>50815.22050000001</v>
      </c>
      <c r="AH73" s="518">
        <f>Table425354137152[[#This Row],[Year 3
Month 1]]</f>
        <v>50815.22050000001</v>
      </c>
      <c r="AI73" s="518">
        <f>Table425354137152[[#This Row],[Year 3
Month 1]]</f>
        <v>50815.22050000001</v>
      </c>
      <c r="AJ73" s="518">
        <f>Table425354137152[[#This Row],[Year 3
Month 1]]</f>
        <v>50815.22050000001</v>
      </c>
      <c r="AK73" s="518">
        <f>Table425354137152[[#This Row],[Year 3
Month 1]]</f>
        <v>50815.22050000001</v>
      </c>
      <c r="AL73" s="518">
        <f>Table425354137152[[#This Row],[Year 3
Month 1]]</f>
        <v>50815.22050000001</v>
      </c>
      <c r="AM73" s="518">
        <f>Table425354137152[[#This Row],[Year 3
Month 1]]</f>
        <v>50815.22050000001</v>
      </c>
      <c r="AN73" s="518">
        <f>Table425354137152[[#This Row],[Year 3
Month 1]]</f>
        <v>50815.22050000001</v>
      </c>
      <c r="AO73" s="545">
        <f t="shared" si="348"/>
        <v>609782.64600000007</v>
      </c>
      <c r="AP73" s="518">
        <f>AN73*(1+'Scenario Analysis'!$D$11)</f>
        <v>55896.742550000017</v>
      </c>
      <c r="AQ73" s="518">
        <f>Table425354137154[[#This Row],[Year 4
Month 1]]</f>
        <v>55896.742550000017</v>
      </c>
      <c r="AR73" s="518">
        <f>Table425354137154[[#This Row],[Year 4
Month 1]]</f>
        <v>55896.742550000017</v>
      </c>
      <c r="AS73" s="518">
        <f>Table425354137154[[#This Row],[Year 4
Month 1]]</f>
        <v>55896.742550000017</v>
      </c>
      <c r="AT73" s="518">
        <f>Table425354137154[[#This Row],[Year 4
Month 1]]</f>
        <v>55896.742550000017</v>
      </c>
      <c r="AU73" s="518">
        <f>Table425354137154[[#This Row],[Year 4
Month 1]]</f>
        <v>55896.742550000017</v>
      </c>
      <c r="AV73" s="518">
        <f>Table425354137154[[#This Row],[Year 4
Month 1]]</f>
        <v>55896.742550000017</v>
      </c>
      <c r="AW73" s="518">
        <f>Table425354137154[[#This Row],[Year 4
Month 1]]</f>
        <v>55896.742550000017</v>
      </c>
      <c r="AX73" s="518">
        <f>Table425354137154[[#This Row],[Year 4
Month 1]]</f>
        <v>55896.742550000017</v>
      </c>
      <c r="AY73" s="518">
        <f>Table425354137154[[#This Row],[Year 4
Month 1]]</f>
        <v>55896.742550000017</v>
      </c>
      <c r="AZ73" s="518">
        <f>Table425354137154[[#This Row],[Year 4
Month 1]]</f>
        <v>55896.742550000017</v>
      </c>
      <c r="BA73" s="518">
        <f>Table425354137154[[#This Row],[Year 4
Month 1]]</f>
        <v>55896.742550000017</v>
      </c>
      <c r="BB73" s="545">
        <f>SUM(AP73:BA73)</f>
        <v>670760.91060000006</v>
      </c>
      <c r="BC73" s="518">
        <f>BA73*(1+'Scenario Analysis'!$D$11)</f>
        <v>61486.416805000023</v>
      </c>
      <c r="BD73" s="518">
        <f>Table425354137154148[[#This Row],[Year 5
Month 1]]</f>
        <v>61486.416805000023</v>
      </c>
      <c r="BE73" s="518">
        <f>Table425354137154148[[#This Row],[Year 5
Month 1]]</f>
        <v>61486.416805000023</v>
      </c>
      <c r="BF73" s="518">
        <f>Table425354137154148[[#This Row],[Year 5
Month 1]]</f>
        <v>61486.416805000023</v>
      </c>
      <c r="BG73" s="518">
        <f>Table425354137154148[[#This Row],[Year 5
Month 1]]</f>
        <v>61486.416805000023</v>
      </c>
      <c r="BH73" s="518">
        <f>Table425354137154148[[#This Row],[Year 5
Month 1]]</f>
        <v>61486.416805000023</v>
      </c>
      <c r="BI73" s="518">
        <f>Table425354137154148[[#This Row],[Year 5
Month 1]]</f>
        <v>61486.416805000023</v>
      </c>
      <c r="BJ73" s="518">
        <f>Table425354137154148[[#This Row],[Year 5
Month 1]]</f>
        <v>61486.416805000023</v>
      </c>
      <c r="BK73" s="518">
        <f>Table425354137154148[[#This Row],[Year 5
Month 1]]</f>
        <v>61486.416805000023</v>
      </c>
      <c r="BL73" s="518">
        <f>Table425354137154148[[#This Row],[Year 5
Month 1]]</f>
        <v>61486.416805000023</v>
      </c>
      <c r="BM73" s="518">
        <f>Table425354137154148[[#This Row],[Year 5
Month 1]]</f>
        <v>61486.416805000023</v>
      </c>
      <c r="BN73" s="518">
        <f>Table425354137154148[[#This Row],[Year 5
Month 1]]</f>
        <v>61486.416805000023</v>
      </c>
      <c r="BO73" s="545">
        <f>SUM(BC73:BN73)</f>
        <v>737837.00166000042</v>
      </c>
      <c r="BP73" s="518">
        <f>BN73*(1+'Scenario Analysis'!$D$11)</f>
        <v>67635.058485500034</v>
      </c>
      <c r="BQ73" s="518">
        <f>Table425354137154148163[[#This Row],[Year 6
Month 1]]</f>
        <v>67635.058485500034</v>
      </c>
      <c r="BR73" s="518">
        <f>Table425354137154148163[[#This Row],[Year 6
Month 1]]</f>
        <v>67635.058485500034</v>
      </c>
      <c r="BS73" s="518">
        <f>Table425354137154148163[[#This Row],[Year 6
Month 1]]</f>
        <v>67635.058485500034</v>
      </c>
      <c r="BT73" s="518">
        <f>Table425354137154148163[[#This Row],[Year 6
Month 1]]</f>
        <v>67635.058485500034</v>
      </c>
      <c r="BU73" s="518">
        <f>Table425354137154148163[[#This Row],[Year 6
Month 1]]</f>
        <v>67635.058485500034</v>
      </c>
      <c r="BV73" s="518">
        <f>Table425354137154148163[[#This Row],[Year 6
Month 1]]</f>
        <v>67635.058485500034</v>
      </c>
      <c r="BW73" s="518">
        <f>Table425354137154148163[[#This Row],[Year 6
Month 1]]</f>
        <v>67635.058485500034</v>
      </c>
      <c r="BX73" s="518">
        <f>Table425354137154148163[[#This Row],[Year 6
Month 1]]</f>
        <v>67635.058485500034</v>
      </c>
      <c r="BY73" s="518">
        <f>Table425354137154148163[[#This Row],[Year 6
Month 1]]</f>
        <v>67635.058485500034</v>
      </c>
      <c r="BZ73" s="518">
        <f>Table425354137154148163[[#This Row],[Year 6
Month 1]]</f>
        <v>67635.058485500034</v>
      </c>
      <c r="CA73" s="518">
        <f>Table425354137154148163[[#This Row],[Year 6
Month 1]]</f>
        <v>67635.058485500034</v>
      </c>
      <c r="CB73" s="545">
        <f>SUM(BP73:CA73)</f>
        <v>811620.70182600047</v>
      </c>
      <c r="CC73" s="518">
        <f>CA73*(1+'Scenario Analysis'!$D$11)</f>
        <v>74398.564334050039</v>
      </c>
      <c r="CD73" s="518">
        <f>Table425354137154148166[[#This Row],[Year 7
Month 1]]</f>
        <v>74398.564334050039</v>
      </c>
      <c r="CE73" s="518">
        <f>Table425354137154148166[[#This Row],[Year 7
Month 1]]</f>
        <v>74398.564334050039</v>
      </c>
      <c r="CF73" s="518">
        <f>Table425354137154148166[[#This Row],[Year 7
Month 1]]</f>
        <v>74398.564334050039</v>
      </c>
      <c r="CG73" s="518">
        <f>Table425354137154148166[[#This Row],[Year 7
Month 1]]</f>
        <v>74398.564334050039</v>
      </c>
      <c r="CH73" s="518">
        <f>Table425354137154148166[[#This Row],[Year 7
Month 1]]</f>
        <v>74398.564334050039</v>
      </c>
      <c r="CI73" s="518">
        <f>Table425354137154148166[[#This Row],[Year 7
Month 1]]</f>
        <v>74398.564334050039</v>
      </c>
      <c r="CJ73" s="518">
        <f>Table425354137154148166[[#This Row],[Year 7
Month 1]]</f>
        <v>74398.564334050039</v>
      </c>
      <c r="CK73" s="518">
        <f>Table425354137154148166[[#This Row],[Year 7
Month 1]]</f>
        <v>74398.564334050039</v>
      </c>
      <c r="CL73" s="518">
        <f>Table425354137154148166[[#This Row],[Year 7
Month 1]]</f>
        <v>74398.564334050039</v>
      </c>
      <c r="CM73" s="518">
        <f>Table425354137154148166[[#This Row],[Year 7
Month 1]]</f>
        <v>74398.564334050039</v>
      </c>
      <c r="CN73" s="518">
        <f>Table425354137154148166[[#This Row],[Year 7
Month 1]]</f>
        <v>74398.564334050039</v>
      </c>
      <c r="CO73" s="545">
        <f>SUM(CC73:CN73)</f>
        <v>892782.77200860053</v>
      </c>
    </row>
    <row r="74" spans="1:93" s="112" customFormat="1" ht="24.95" hidden="1" customHeight="1" outlineLevel="1">
      <c r="A74" s="124" t="s">
        <v>337</v>
      </c>
      <c r="B74" s="518">
        <f>'OPEREX, PAYROL'!E142</f>
        <v>0</v>
      </c>
      <c r="C74" s="518">
        <f>'OPEREX, PAYROL'!F142</f>
        <v>0</v>
      </c>
      <c r="D74" s="518">
        <f>'OPEREX, PAYROL'!G142</f>
        <v>0</v>
      </c>
      <c r="E74" s="518">
        <f>'OPEREX, PAYROL'!H142</f>
        <v>0</v>
      </c>
      <c r="F74" s="518">
        <f>'OPEREX, PAYROL'!I142</f>
        <v>0</v>
      </c>
      <c r="G74" s="518">
        <f>'OPEREX, PAYROL'!J142</f>
        <v>0</v>
      </c>
      <c r="H74" s="518">
        <f>'OPEREX, PAYROL'!K142</f>
        <v>0</v>
      </c>
      <c r="I74" s="518">
        <f>'OPEREX, PAYROL'!L142</f>
        <v>0</v>
      </c>
      <c r="J74" s="518">
        <f>'OPEREX, PAYROL'!M142</f>
        <v>0</v>
      </c>
      <c r="K74" s="518">
        <f>'OPEREX, PAYROL'!N142</f>
        <v>0</v>
      </c>
      <c r="L74" s="518">
        <f>'OPEREX, PAYROL'!O142</f>
        <v>0</v>
      </c>
      <c r="M74" s="518">
        <f>'OPEREX, PAYROL'!P142</f>
        <v>0</v>
      </c>
      <c r="N74" s="518">
        <f>'OPEREX, PAYROL'!Q142</f>
        <v>0</v>
      </c>
      <c r="O74" s="519">
        <f>SUM(B74:N74)</f>
        <v>0</v>
      </c>
      <c r="P74" s="518">
        <f>'OPEREX, PAYROL'!T142</f>
        <v>0</v>
      </c>
      <c r="Q74" s="518">
        <f>'OPEREX, PAYROL'!U142</f>
        <v>0</v>
      </c>
      <c r="R74" s="518">
        <f>'OPEREX, PAYROL'!V142</f>
        <v>0</v>
      </c>
      <c r="S74" s="518">
        <f>'OPEREX, PAYROL'!W142</f>
        <v>0</v>
      </c>
      <c r="T74" s="518">
        <f>'OPEREX, PAYROL'!X142</f>
        <v>0</v>
      </c>
      <c r="U74" s="518">
        <f>'OPEREX, PAYROL'!Y142</f>
        <v>0</v>
      </c>
      <c r="V74" s="518">
        <f>'OPEREX, PAYROL'!Z142</f>
        <v>0</v>
      </c>
      <c r="W74" s="518">
        <f>'OPEREX, PAYROL'!AA142</f>
        <v>0</v>
      </c>
      <c r="X74" s="518">
        <f>'OPEREX, PAYROL'!AB142</f>
        <v>0</v>
      </c>
      <c r="Y74" s="518">
        <f>'OPEREX, PAYROL'!AC142</f>
        <v>0</v>
      </c>
      <c r="Z74" s="518">
        <f>'OPEREX, PAYROL'!AD142</f>
        <v>0</v>
      </c>
      <c r="AA74" s="518">
        <f>'OPEREX, PAYROL'!AE142</f>
        <v>0</v>
      </c>
      <c r="AB74" s="545">
        <f>SUM(P74:AA74)</f>
        <v>0</v>
      </c>
      <c r="AC74" s="518">
        <f>'OPEREX, PAYROL'!AG142</f>
        <v>0</v>
      </c>
      <c r="AD74" s="518">
        <f>'OPEREX, PAYROL'!AH142</f>
        <v>0</v>
      </c>
      <c r="AE74" s="518">
        <f>'OPEREX, PAYROL'!AI142</f>
        <v>0</v>
      </c>
      <c r="AF74" s="518">
        <f>'OPEREX, PAYROL'!AJ142</f>
        <v>0</v>
      </c>
      <c r="AG74" s="518">
        <f>'OPEREX, PAYROL'!AK142</f>
        <v>0</v>
      </c>
      <c r="AH74" s="518">
        <f>'OPEREX, PAYROL'!AL142</f>
        <v>0</v>
      </c>
      <c r="AI74" s="518">
        <f>'OPEREX, PAYROL'!AM142</f>
        <v>0</v>
      </c>
      <c r="AJ74" s="518">
        <f>'OPEREX, PAYROL'!AN142</f>
        <v>0</v>
      </c>
      <c r="AK74" s="518">
        <f>'OPEREX, PAYROL'!AO142</f>
        <v>0</v>
      </c>
      <c r="AL74" s="518">
        <f>'OPEREX, PAYROL'!AP142</f>
        <v>0</v>
      </c>
      <c r="AM74" s="518">
        <f>'OPEREX, PAYROL'!AQ142</f>
        <v>0</v>
      </c>
      <c r="AN74" s="518">
        <f>'OPEREX, PAYROL'!AR142</f>
        <v>0</v>
      </c>
      <c r="AO74" s="545">
        <f>SUM(AC74:AN74)</f>
        <v>0</v>
      </c>
      <c r="AP74" s="518">
        <f>'OPEREX, PAYROL'!AT142</f>
        <v>0</v>
      </c>
      <c r="AQ74" s="518">
        <f>'OPEREX, PAYROL'!AU142</f>
        <v>0</v>
      </c>
      <c r="AR74" s="518">
        <f>'OPEREX, PAYROL'!AV142</f>
        <v>0</v>
      </c>
      <c r="AS74" s="518">
        <f>'OPEREX, PAYROL'!AW142</f>
        <v>0</v>
      </c>
      <c r="AT74" s="518">
        <f>'OPEREX, PAYROL'!AX142</f>
        <v>0</v>
      </c>
      <c r="AU74" s="518">
        <f>'OPEREX, PAYROL'!AY142</f>
        <v>0</v>
      </c>
      <c r="AV74" s="518">
        <f>'OPEREX, PAYROL'!AZ142</f>
        <v>0</v>
      </c>
      <c r="AW74" s="518">
        <f>'OPEREX, PAYROL'!BA142</f>
        <v>0</v>
      </c>
      <c r="AX74" s="518">
        <f>'OPEREX, PAYROL'!BB142</f>
        <v>0</v>
      </c>
      <c r="AY74" s="518">
        <f>'OPEREX, PAYROL'!BC142</f>
        <v>0</v>
      </c>
      <c r="AZ74" s="518">
        <f>'OPEREX, PAYROL'!BD142</f>
        <v>0</v>
      </c>
      <c r="BA74" s="518">
        <f>'OPEREX, PAYROL'!BE142</f>
        <v>0</v>
      </c>
      <c r="BB74" s="545">
        <f>SUM(AP74:BA74)</f>
        <v>0</v>
      </c>
      <c r="BC74" s="518">
        <f>'OPEREX, PAYROL'!BG142</f>
        <v>0</v>
      </c>
      <c r="BD74" s="518">
        <f>'OPEREX, PAYROL'!BH142</f>
        <v>0</v>
      </c>
      <c r="BE74" s="518">
        <f>'OPEREX, PAYROL'!BI142</f>
        <v>0</v>
      </c>
      <c r="BF74" s="518">
        <f>'OPEREX, PAYROL'!BJ142</f>
        <v>0</v>
      </c>
      <c r="BG74" s="518">
        <f>'OPEREX, PAYROL'!BK142</f>
        <v>0</v>
      </c>
      <c r="BH74" s="518">
        <f>'OPEREX, PAYROL'!BL142</f>
        <v>0</v>
      </c>
      <c r="BI74" s="518">
        <f>'OPEREX, PAYROL'!BM142</f>
        <v>0</v>
      </c>
      <c r="BJ74" s="518">
        <f>'OPEREX, PAYROL'!BN142</f>
        <v>0</v>
      </c>
      <c r="BK74" s="518">
        <f>'OPEREX, PAYROL'!BO142</f>
        <v>0</v>
      </c>
      <c r="BL74" s="518">
        <f>'OPEREX, PAYROL'!BP142</f>
        <v>0</v>
      </c>
      <c r="BM74" s="518">
        <f>'OPEREX, PAYROL'!BQ142</f>
        <v>0</v>
      </c>
      <c r="BN74" s="518">
        <f>'OPEREX, PAYROL'!BR142</f>
        <v>0</v>
      </c>
      <c r="BO74" s="545">
        <f>SUM(BC74:BN74)</f>
        <v>0</v>
      </c>
      <c r="BP74" s="518">
        <f>'OPEREX, PAYROL'!BT142</f>
        <v>0</v>
      </c>
      <c r="BQ74" s="518">
        <f>'OPEREX, PAYROL'!BU142</f>
        <v>0</v>
      </c>
      <c r="BR74" s="518">
        <f>'OPEREX, PAYROL'!BV142</f>
        <v>0</v>
      </c>
      <c r="BS74" s="518">
        <f>'OPEREX, PAYROL'!BW142</f>
        <v>0</v>
      </c>
      <c r="BT74" s="518">
        <f>'OPEREX, PAYROL'!BX142</f>
        <v>0</v>
      </c>
      <c r="BU74" s="518">
        <f>'OPEREX, PAYROL'!BY142</f>
        <v>0</v>
      </c>
      <c r="BV74" s="518">
        <f>'OPEREX, PAYROL'!BZ142</f>
        <v>0</v>
      </c>
      <c r="BW74" s="518">
        <f>'OPEREX, PAYROL'!CA142</f>
        <v>0</v>
      </c>
      <c r="BX74" s="518">
        <f>'OPEREX, PAYROL'!CB142</f>
        <v>0</v>
      </c>
      <c r="BY74" s="518">
        <f>'OPEREX, PAYROL'!CC142</f>
        <v>0</v>
      </c>
      <c r="BZ74" s="518">
        <f>'OPEREX, PAYROL'!CD142</f>
        <v>0</v>
      </c>
      <c r="CA74" s="518">
        <f>'OPEREX, PAYROL'!CE142</f>
        <v>0</v>
      </c>
      <c r="CB74" s="545">
        <f>SUM(BP74:CA74)</f>
        <v>0</v>
      </c>
      <c r="CC74" s="518">
        <f>'OPEREX, PAYROL'!CG142</f>
        <v>0</v>
      </c>
      <c r="CD74" s="518">
        <f>'OPEREX, PAYROL'!CH142</f>
        <v>0</v>
      </c>
      <c r="CE74" s="518">
        <f>'OPEREX, PAYROL'!CI142</f>
        <v>0</v>
      </c>
      <c r="CF74" s="518">
        <f>'OPEREX, PAYROL'!CJ142</f>
        <v>0</v>
      </c>
      <c r="CG74" s="518">
        <f>'OPEREX, PAYROL'!CK142</f>
        <v>0</v>
      </c>
      <c r="CH74" s="518">
        <f>'OPEREX, PAYROL'!CL142</f>
        <v>0</v>
      </c>
      <c r="CI74" s="518">
        <f>'OPEREX, PAYROL'!CM142</f>
        <v>0</v>
      </c>
      <c r="CJ74" s="518">
        <f>'OPEREX, PAYROL'!CN142</f>
        <v>0</v>
      </c>
      <c r="CK74" s="518">
        <f>'OPEREX, PAYROL'!CO142</f>
        <v>0</v>
      </c>
      <c r="CL74" s="518">
        <f>'OPEREX, PAYROL'!CP142</f>
        <v>0</v>
      </c>
      <c r="CM74" s="518">
        <f>'OPEREX, PAYROL'!CQ142</f>
        <v>0</v>
      </c>
      <c r="CN74" s="518">
        <f>'OPEREX, PAYROL'!CR142</f>
        <v>0</v>
      </c>
      <c r="CO74" s="545">
        <f>SUM(CC74:CN74)</f>
        <v>0</v>
      </c>
    </row>
    <row r="75" spans="1:93" s="112" customFormat="1" ht="24.95" hidden="1" customHeight="1" outlineLevel="1" thickBot="1">
      <c r="A75" s="124" t="s">
        <v>338</v>
      </c>
      <c r="B75" s="514"/>
      <c r="C75" s="514">
        <f>IFERROR(VLOOKUP('Amortization Table 3'!$A$17,'Amortization Table 3'!$A:$K,7),0)</f>
        <v>0</v>
      </c>
      <c r="D75" s="514">
        <f>IFERROR(VLOOKUP('Amortization Table 3'!$A$17,'Amortization Table 3'!$A:$K,7),0)</f>
        <v>0</v>
      </c>
      <c r="E75" s="514">
        <f>IFERROR(VLOOKUP('Amortization Table 3'!$A$17,'Amortization Table 3'!$A:$K,7),0)</f>
        <v>0</v>
      </c>
      <c r="F75" s="514">
        <f>IFERROR(VLOOKUP('Amortization Table 3'!$A$17,'Amortization Table 3'!$A:$K,7),0)</f>
        <v>0</v>
      </c>
      <c r="G75" s="514">
        <f>IFERROR(VLOOKUP('Amortization Table 3'!$A$17,'Amortization Table 3'!$A:$K,7),0)</f>
        <v>0</v>
      </c>
      <c r="H75" s="514">
        <f>IFERROR(VLOOKUP('Amortization Table 3'!$A$17,'Amortization Table 3'!$A:$K,7),0)</f>
        <v>0</v>
      </c>
      <c r="I75" s="514">
        <f>IFERROR(VLOOKUP('Amortization Table 3'!$A$17,'Amortization Table 3'!$A:$K,7),0)</f>
        <v>0</v>
      </c>
      <c r="J75" s="514">
        <f>IFERROR(VLOOKUP('Amortization Table 3'!$A$17,'Amortization Table 3'!$A:$K,7),0)</f>
        <v>0</v>
      </c>
      <c r="K75" s="514">
        <f>IFERROR(VLOOKUP('Amortization Table 3'!$A$17,'Amortization Table 3'!$A:$K,7),0)</f>
        <v>0</v>
      </c>
      <c r="L75" s="514">
        <f>IFERROR(VLOOKUP('Amortization Table 3'!$A$17,'Amortization Table 3'!$A:$K,7),0)</f>
        <v>0</v>
      </c>
      <c r="M75" s="514">
        <f>IFERROR(VLOOKUP('Amortization Table 3'!$A$17,'Amortization Table 3'!$A:$K,7),0)</f>
        <v>0</v>
      </c>
      <c r="N75" s="514">
        <f>IFERROR(VLOOKUP('Amortization Table 3'!$A$17,'Amortization Table 3'!$A:$K,7),0)</f>
        <v>0</v>
      </c>
      <c r="O75" s="552">
        <f>SUM(B75:N75)</f>
        <v>0</v>
      </c>
      <c r="P75" s="514">
        <f>IFERROR(VLOOKUP('Amortization Table 3'!$A$17,'Amortization Table 3'!$A:$K,7),0)</f>
        <v>0</v>
      </c>
      <c r="Q75" s="514">
        <f>IFERROR(VLOOKUP('Amortization Table 3'!$A$17,'Amortization Table 3'!$A:$K,7),0)</f>
        <v>0</v>
      </c>
      <c r="R75" s="514">
        <f>IFERROR(VLOOKUP('Amortization Table 3'!$A$17,'Amortization Table 3'!$A:$K,7),0)</f>
        <v>0</v>
      </c>
      <c r="S75" s="514">
        <f>IFERROR(VLOOKUP('Amortization Table 3'!$A$17,'Amortization Table 3'!$A:$K,7),0)</f>
        <v>0</v>
      </c>
      <c r="T75" s="514">
        <f>IFERROR(VLOOKUP('Amortization Table 3'!$A$17,'Amortization Table 3'!$A:$K,7),0)</f>
        <v>0</v>
      </c>
      <c r="U75" s="514">
        <f>IFERROR(VLOOKUP('Amortization Table 3'!$A$17,'Amortization Table 3'!$A:$K,7),0)</f>
        <v>0</v>
      </c>
      <c r="V75" s="514">
        <f>IFERROR(VLOOKUP('Amortization Table 3'!$A$17,'Amortization Table 3'!$A:$K,7),0)</f>
        <v>0</v>
      </c>
      <c r="W75" s="514">
        <f>IFERROR(VLOOKUP('Amortization Table 3'!$A$17,'Amortization Table 3'!$A:$K,7),0)</f>
        <v>0</v>
      </c>
      <c r="X75" s="514">
        <f>IFERROR(VLOOKUP('Amortization Table 3'!$A$17,'Amortization Table 3'!$A:$K,7),0)</f>
        <v>0</v>
      </c>
      <c r="Y75" s="514">
        <f>IFERROR(VLOOKUP('Amortization Table 3'!$A$17,'Amortization Table 3'!$A:$K,7),0)</f>
        <v>0</v>
      </c>
      <c r="Z75" s="514">
        <f>IFERROR(VLOOKUP('Amortization Table 3'!$A$17,'Amortization Table 3'!$A:$K,7),0)</f>
        <v>0</v>
      </c>
      <c r="AA75" s="514">
        <f>IFERROR(VLOOKUP('Amortization Table 3'!$A$17,'Amortization Table 3'!$A:$K,7),0)</f>
        <v>0</v>
      </c>
      <c r="AB75" s="547">
        <f>SUM(P75:AA75)</f>
        <v>0</v>
      </c>
      <c r="AC75" s="514">
        <f>IFERROR(VLOOKUP('Amortization Table 3'!$A$17,'Amortization Table 3'!$A:$K,7),0)</f>
        <v>0</v>
      </c>
      <c r="AD75" s="514">
        <f>IFERROR(VLOOKUP('Amortization Table 3'!$A$17,'Amortization Table 3'!$A:$K,7),0)</f>
        <v>0</v>
      </c>
      <c r="AE75" s="514">
        <f>IFERROR(VLOOKUP('Amortization Table 3'!$A$17,'Amortization Table 3'!$A:$K,7),0)</f>
        <v>0</v>
      </c>
      <c r="AF75" s="514">
        <f>IFERROR(VLOOKUP('Amortization Table 3'!$A$17,'Amortization Table 3'!$A:$K,7),0)</f>
        <v>0</v>
      </c>
      <c r="AG75" s="514">
        <f>IFERROR(VLOOKUP('Amortization Table 3'!$A$17,'Amortization Table 3'!$A:$K,7),0)</f>
        <v>0</v>
      </c>
      <c r="AH75" s="514">
        <f>IFERROR(VLOOKUP('Amortization Table 3'!$A$17,'Amortization Table 3'!$A:$K,7),0)</f>
        <v>0</v>
      </c>
      <c r="AI75" s="514">
        <f>IFERROR(VLOOKUP('Amortization Table 3'!$A$17,'Amortization Table 3'!$A:$K,7),0)</f>
        <v>0</v>
      </c>
      <c r="AJ75" s="514">
        <f>IFERROR(VLOOKUP('Amortization Table 3'!$A$17,'Amortization Table 3'!$A:$K,7),0)</f>
        <v>0</v>
      </c>
      <c r="AK75" s="514">
        <f>IFERROR(VLOOKUP('Amortization Table 3'!$A$17,'Amortization Table 3'!$A:$K,7),0)</f>
        <v>0</v>
      </c>
      <c r="AL75" s="514">
        <f>IFERROR(VLOOKUP('Amortization Table 3'!$A$17,'Amortization Table 3'!$A:$K,7),0)</f>
        <v>0</v>
      </c>
      <c r="AM75" s="514">
        <f>IFERROR(VLOOKUP('Amortization Table 3'!$A$17,'Amortization Table 3'!$A:$K,7),0)</f>
        <v>0</v>
      </c>
      <c r="AN75" s="514">
        <f>IFERROR(VLOOKUP('Amortization Table 3'!$A$17,'Amortization Table 3'!$A:$K,7),0)</f>
        <v>0</v>
      </c>
      <c r="AO75" s="547">
        <f>SUM(AC75:AN75)</f>
        <v>0</v>
      </c>
      <c r="AP75" s="514">
        <f>IFERROR(VLOOKUP('Amortization Table 3'!$A$17,'Amortization Table 3'!$A:$K,7),0)</f>
        <v>0</v>
      </c>
      <c r="AQ75" s="514">
        <f>IFERROR(VLOOKUP('Amortization Table 3'!$A$17,'Amortization Table 3'!$A:$K,7),0)</f>
        <v>0</v>
      </c>
      <c r="AR75" s="514">
        <f>IFERROR(VLOOKUP('Amortization Table 3'!$A$17,'Amortization Table 3'!$A:$K,7),0)</f>
        <v>0</v>
      </c>
      <c r="AS75" s="514">
        <f>IFERROR(VLOOKUP('Amortization Table 3'!$A$17,'Amortization Table 3'!$A:$K,7),0)</f>
        <v>0</v>
      </c>
      <c r="AT75" s="514">
        <f>IFERROR(VLOOKUP('Amortization Table 3'!$A$17,'Amortization Table 3'!$A:$K,7),0)</f>
        <v>0</v>
      </c>
      <c r="AU75" s="514">
        <f>IFERROR(VLOOKUP('Amortization Table 3'!$A$17,'Amortization Table 3'!$A:$K,7),0)</f>
        <v>0</v>
      </c>
      <c r="AV75" s="514">
        <f>IFERROR(VLOOKUP('Amortization Table 3'!$A$17,'Amortization Table 3'!$A:$K,7),0)</f>
        <v>0</v>
      </c>
      <c r="AW75" s="514">
        <f>IFERROR(VLOOKUP('Amortization Table 3'!$A$17,'Amortization Table 3'!$A:$K,7),0)</f>
        <v>0</v>
      </c>
      <c r="AX75" s="514">
        <f>IFERROR(VLOOKUP('Amortization Table 3'!$A$17,'Amortization Table 3'!$A:$K,7),0)</f>
        <v>0</v>
      </c>
      <c r="AY75" s="514">
        <f>IFERROR(VLOOKUP('Amortization Table 3'!$A$17,'Amortization Table 3'!$A:$K,7),0)</f>
        <v>0</v>
      </c>
      <c r="AZ75" s="514">
        <f>IFERROR(VLOOKUP('Amortization Table 3'!$A$17,'Amortization Table 3'!$A:$K,7),0)</f>
        <v>0</v>
      </c>
      <c r="BA75" s="514">
        <f>IFERROR(VLOOKUP('Amortization Table 3'!$A$17,'Amortization Table 3'!$A:$K,7),0)</f>
        <v>0</v>
      </c>
      <c r="BB75" s="547">
        <f>SUM(AP75:BA75)</f>
        <v>0</v>
      </c>
      <c r="BC75" s="514">
        <f>IFERROR(VLOOKUP('Amortization Table 3'!$A$17,'Amortization Table 3'!$A:$K,7),0)</f>
        <v>0</v>
      </c>
      <c r="BD75" s="514">
        <f>IFERROR(VLOOKUP('Amortization Table 3'!$A$17,'Amortization Table 3'!$A:$K,7),0)</f>
        <v>0</v>
      </c>
      <c r="BE75" s="514">
        <f>IFERROR(VLOOKUP('Amortization Table 3'!$A$17,'Amortization Table 3'!$A:$K,7),0)</f>
        <v>0</v>
      </c>
      <c r="BF75" s="514">
        <f>IFERROR(VLOOKUP('Amortization Table 3'!$A$17,'Amortization Table 3'!$A:$K,7),0)</f>
        <v>0</v>
      </c>
      <c r="BG75" s="514">
        <f>IFERROR(VLOOKUP('Amortization Table 3'!$A$17,'Amortization Table 3'!$A:$K,7),0)</f>
        <v>0</v>
      </c>
      <c r="BH75" s="514">
        <f>IFERROR(VLOOKUP('Amortization Table 3'!$A$17,'Amortization Table 3'!$A:$K,7),0)</f>
        <v>0</v>
      </c>
      <c r="BI75" s="514">
        <f>IFERROR(VLOOKUP('Amortization Table 3'!$A$17,'Amortization Table 3'!$A:$K,7),0)</f>
        <v>0</v>
      </c>
      <c r="BJ75" s="514">
        <f>IFERROR(VLOOKUP('Amortization Table 3'!$A$17,'Amortization Table 3'!$A:$K,7),0)</f>
        <v>0</v>
      </c>
      <c r="BK75" s="514">
        <f>IFERROR(VLOOKUP('Amortization Table 3'!$A$17,'Amortization Table 3'!$A:$K,7),0)</f>
        <v>0</v>
      </c>
      <c r="BL75" s="514">
        <f>IFERROR(VLOOKUP('Amortization Table 3'!$A$17,'Amortization Table 3'!$A:$K,7),0)</f>
        <v>0</v>
      </c>
      <c r="BM75" s="514">
        <f>IFERROR(VLOOKUP('Amortization Table 3'!$A$17,'Amortization Table 3'!$A:$K,7),0)</f>
        <v>0</v>
      </c>
      <c r="BN75" s="514">
        <f>IFERROR(VLOOKUP('Amortization Table 3'!$A$17,'Amortization Table 3'!$A:$K,7),0)</f>
        <v>0</v>
      </c>
      <c r="BO75" s="547">
        <f>SUM(BC75:BN75)</f>
        <v>0</v>
      </c>
      <c r="BP75" s="514">
        <f>IFERROR(VLOOKUP('Amortization Table 3'!$A$17,'Amortization Table 3'!$A:$K,7),0)</f>
        <v>0</v>
      </c>
      <c r="BQ75" s="514">
        <f>IFERROR(VLOOKUP('Amortization Table 3'!$A$17,'Amortization Table 3'!$A:$K,7),0)</f>
        <v>0</v>
      </c>
      <c r="BR75" s="514">
        <f>IFERROR(VLOOKUP('Amortization Table 3'!$A$17,'Amortization Table 3'!$A:$K,7),0)</f>
        <v>0</v>
      </c>
      <c r="BS75" s="514">
        <f>IFERROR(VLOOKUP('Amortization Table 3'!$A$17,'Amortization Table 3'!$A:$K,7),0)</f>
        <v>0</v>
      </c>
      <c r="BT75" s="514">
        <f>IFERROR(VLOOKUP('Amortization Table 3'!$A$17,'Amortization Table 3'!$A:$K,7),0)</f>
        <v>0</v>
      </c>
      <c r="BU75" s="514">
        <f>IFERROR(VLOOKUP('Amortization Table 3'!$A$17,'Amortization Table 3'!$A:$K,7),0)</f>
        <v>0</v>
      </c>
      <c r="BV75" s="514">
        <f>IFERROR(VLOOKUP('Amortization Table 3'!$A$17,'Amortization Table 3'!$A:$K,7),0)</f>
        <v>0</v>
      </c>
      <c r="BW75" s="514">
        <f>IFERROR(VLOOKUP('Amortization Table 3'!$A$17,'Amortization Table 3'!$A:$K,7),0)</f>
        <v>0</v>
      </c>
      <c r="BX75" s="514">
        <f>IFERROR(VLOOKUP('Amortization Table 3'!$A$17,'Amortization Table 3'!$A:$K,7),0)</f>
        <v>0</v>
      </c>
      <c r="BY75" s="514">
        <f>IFERROR(VLOOKUP('Amortization Table 3'!$A$17,'Amortization Table 3'!$A:$K,7),0)</f>
        <v>0</v>
      </c>
      <c r="BZ75" s="514">
        <f>IFERROR(VLOOKUP('Amortization Table 3'!$A$17,'Amortization Table 3'!$A:$K,7),0)</f>
        <v>0</v>
      </c>
      <c r="CA75" s="514">
        <f>IFERROR(VLOOKUP('Amortization Table 3'!$A$17,'Amortization Table 3'!$A:$K,7),0)</f>
        <v>0</v>
      </c>
      <c r="CB75" s="547">
        <f>SUM(BP75:CA75)</f>
        <v>0</v>
      </c>
      <c r="CC75" s="514">
        <f>IFERROR(VLOOKUP('Amortization Table 3'!$A$17,'Amortization Table 3'!$A:$K,7),0)</f>
        <v>0</v>
      </c>
      <c r="CD75" s="514">
        <f>IFERROR(VLOOKUP('Amortization Table 3'!$A$17,'Amortization Table 3'!$A:$K,7),0)</f>
        <v>0</v>
      </c>
      <c r="CE75" s="514">
        <f>IFERROR(VLOOKUP('Amortization Table 3'!$A$17,'Amortization Table 3'!$A:$K,7),0)</f>
        <v>0</v>
      </c>
      <c r="CF75" s="514">
        <f>IFERROR(VLOOKUP('Amortization Table 3'!$A$17,'Amortization Table 3'!$A:$K,7),0)</f>
        <v>0</v>
      </c>
      <c r="CG75" s="514">
        <f>IFERROR(VLOOKUP('Amortization Table 3'!$A$17,'Amortization Table 3'!$A:$K,7),0)</f>
        <v>0</v>
      </c>
      <c r="CH75" s="514">
        <f>IFERROR(VLOOKUP('Amortization Table 3'!$A$17,'Amortization Table 3'!$A:$K,7),0)</f>
        <v>0</v>
      </c>
      <c r="CI75" s="514">
        <f>IFERROR(VLOOKUP('Amortization Table 3'!$A$17,'Amortization Table 3'!$A:$K,7),0)</f>
        <v>0</v>
      </c>
      <c r="CJ75" s="514">
        <f>IFERROR(VLOOKUP('Amortization Table 3'!$A$17,'Amortization Table 3'!$A:$K,7),0)</f>
        <v>0</v>
      </c>
      <c r="CK75" s="514">
        <f>IFERROR(VLOOKUP('Amortization Table 3'!$A$17,'Amortization Table 3'!$A:$K,7),0)</f>
        <v>0</v>
      </c>
      <c r="CL75" s="514">
        <f>IFERROR(VLOOKUP('Amortization Table 3'!$A$17,'Amortization Table 3'!$A:$K,7),0)</f>
        <v>0</v>
      </c>
      <c r="CM75" s="514">
        <f>IFERROR(VLOOKUP('Amortization Table 3'!$A$17,'Amortization Table 3'!$A:$K,7),0)</f>
        <v>0</v>
      </c>
      <c r="CN75" s="514">
        <f>IFERROR(VLOOKUP('Amortization Table 3'!$A$17,'Amortization Table 3'!$A:$K,7),0)</f>
        <v>0</v>
      </c>
      <c r="CO75" s="547">
        <f>SUM(CC75:CN75)</f>
        <v>0</v>
      </c>
    </row>
    <row r="76" spans="1:93" s="107" customFormat="1" ht="24.95" hidden="1" customHeight="1" outlineLevel="1" thickBot="1">
      <c r="A76" s="123" t="s">
        <v>339</v>
      </c>
      <c r="B76" s="523">
        <f>SUBTOTAL(109,B71:B75)</f>
        <v>0</v>
      </c>
      <c r="C76" s="523">
        <f t="shared" ref="C76:O76" si="350">SUBTOTAL(109,C71:C75)</f>
        <v>0</v>
      </c>
      <c r="D76" s="523">
        <f t="shared" si="350"/>
        <v>0</v>
      </c>
      <c r="E76" s="523">
        <f t="shared" si="350"/>
        <v>0</v>
      </c>
      <c r="F76" s="523">
        <f t="shared" si="350"/>
        <v>0</v>
      </c>
      <c r="G76" s="523">
        <f t="shared" si="350"/>
        <v>0</v>
      </c>
      <c r="H76" s="523">
        <f t="shared" si="350"/>
        <v>0</v>
      </c>
      <c r="I76" s="523">
        <f t="shared" si="350"/>
        <v>0</v>
      </c>
      <c r="J76" s="523">
        <f t="shared" si="350"/>
        <v>0</v>
      </c>
      <c r="K76" s="523">
        <f t="shared" si="350"/>
        <v>0</v>
      </c>
      <c r="L76" s="523">
        <f t="shared" si="350"/>
        <v>0</v>
      </c>
      <c r="M76" s="523">
        <f t="shared" si="350"/>
        <v>0</v>
      </c>
      <c r="N76" s="523">
        <f t="shared" si="350"/>
        <v>0</v>
      </c>
      <c r="O76" s="523">
        <f t="shared" si="350"/>
        <v>0</v>
      </c>
      <c r="P76" s="523">
        <f t="shared" ref="P76:AB76" si="351">SUBTOTAL(109,P71:P75)</f>
        <v>0</v>
      </c>
      <c r="Q76" s="523">
        <f t="shared" si="351"/>
        <v>0</v>
      </c>
      <c r="R76" s="523">
        <f t="shared" si="351"/>
        <v>0</v>
      </c>
      <c r="S76" s="523">
        <f t="shared" si="351"/>
        <v>0</v>
      </c>
      <c r="T76" s="523">
        <f t="shared" si="351"/>
        <v>0</v>
      </c>
      <c r="U76" s="523">
        <f t="shared" si="351"/>
        <v>0</v>
      </c>
      <c r="V76" s="523">
        <f t="shared" si="351"/>
        <v>0</v>
      </c>
      <c r="W76" s="523">
        <f t="shared" si="351"/>
        <v>0</v>
      </c>
      <c r="X76" s="523">
        <f t="shared" si="351"/>
        <v>0</v>
      </c>
      <c r="Y76" s="523">
        <f t="shared" si="351"/>
        <v>0</v>
      </c>
      <c r="Z76" s="523">
        <f t="shared" si="351"/>
        <v>0</v>
      </c>
      <c r="AA76" s="523">
        <f t="shared" si="351"/>
        <v>0</v>
      </c>
      <c r="AB76" s="548">
        <f t="shared" si="351"/>
        <v>0</v>
      </c>
      <c r="AC76" s="523">
        <f t="shared" ref="AC76:BB76" si="352">SUBTOTAL(109,AC71:AC75)</f>
        <v>0</v>
      </c>
      <c r="AD76" s="523">
        <f t="shared" si="352"/>
        <v>0</v>
      </c>
      <c r="AE76" s="523">
        <f t="shared" si="352"/>
        <v>0</v>
      </c>
      <c r="AF76" s="523">
        <f t="shared" si="352"/>
        <v>0</v>
      </c>
      <c r="AG76" s="523">
        <f t="shared" si="352"/>
        <v>0</v>
      </c>
      <c r="AH76" s="523">
        <f t="shared" si="352"/>
        <v>0</v>
      </c>
      <c r="AI76" s="523">
        <f t="shared" si="352"/>
        <v>0</v>
      </c>
      <c r="AJ76" s="523">
        <f t="shared" si="352"/>
        <v>0</v>
      </c>
      <c r="AK76" s="523">
        <f t="shared" si="352"/>
        <v>0</v>
      </c>
      <c r="AL76" s="523">
        <f t="shared" si="352"/>
        <v>0</v>
      </c>
      <c r="AM76" s="523">
        <f t="shared" si="352"/>
        <v>0</v>
      </c>
      <c r="AN76" s="523">
        <f t="shared" si="352"/>
        <v>0</v>
      </c>
      <c r="AO76" s="548">
        <f t="shared" si="352"/>
        <v>0</v>
      </c>
      <c r="AP76" s="523">
        <f t="shared" si="352"/>
        <v>0</v>
      </c>
      <c r="AQ76" s="523">
        <f t="shared" si="352"/>
        <v>0</v>
      </c>
      <c r="AR76" s="523">
        <f t="shared" si="352"/>
        <v>0</v>
      </c>
      <c r="AS76" s="523">
        <f t="shared" si="352"/>
        <v>0</v>
      </c>
      <c r="AT76" s="523">
        <f t="shared" si="352"/>
        <v>0</v>
      </c>
      <c r="AU76" s="523">
        <f t="shared" si="352"/>
        <v>0</v>
      </c>
      <c r="AV76" s="523">
        <f t="shared" si="352"/>
        <v>0</v>
      </c>
      <c r="AW76" s="523">
        <f t="shared" si="352"/>
        <v>0</v>
      </c>
      <c r="AX76" s="523">
        <f t="shared" si="352"/>
        <v>0</v>
      </c>
      <c r="AY76" s="523">
        <f t="shared" si="352"/>
        <v>0</v>
      </c>
      <c r="AZ76" s="523">
        <f t="shared" si="352"/>
        <v>0</v>
      </c>
      <c r="BA76" s="523">
        <f t="shared" si="352"/>
        <v>0</v>
      </c>
      <c r="BB76" s="548">
        <f t="shared" si="352"/>
        <v>0</v>
      </c>
      <c r="BC76" s="523">
        <f t="shared" ref="BC76:BO76" si="353">SUBTOTAL(109,BC71:BC75)</f>
        <v>0</v>
      </c>
      <c r="BD76" s="523">
        <f t="shared" si="353"/>
        <v>0</v>
      </c>
      <c r="BE76" s="523">
        <f t="shared" si="353"/>
        <v>0</v>
      </c>
      <c r="BF76" s="523">
        <f t="shared" si="353"/>
        <v>0</v>
      </c>
      <c r="BG76" s="523">
        <f t="shared" si="353"/>
        <v>0</v>
      </c>
      <c r="BH76" s="523">
        <f t="shared" si="353"/>
        <v>0</v>
      </c>
      <c r="BI76" s="523">
        <f t="shared" si="353"/>
        <v>0</v>
      </c>
      <c r="BJ76" s="523">
        <f t="shared" si="353"/>
        <v>0</v>
      </c>
      <c r="BK76" s="523">
        <f t="shared" si="353"/>
        <v>0</v>
      </c>
      <c r="BL76" s="523">
        <f t="shared" si="353"/>
        <v>0</v>
      </c>
      <c r="BM76" s="523">
        <f t="shared" si="353"/>
        <v>0</v>
      </c>
      <c r="BN76" s="523">
        <f t="shared" si="353"/>
        <v>0</v>
      </c>
      <c r="BO76" s="548">
        <f t="shared" si="353"/>
        <v>0</v>
      </c>
      <c r="BP76" s="523">
        <f t="shared" ref="BP76:CO76" si="354">SUBTOTAL(109,BP71:BP75)</f>
        <v>0</v>
      </c>
      <c r="BQ76" s="523">
        <f t="shared" si="354"/>
        <v>0</v>
      </c>
      <c r="BR76" s="523">
        <f t="shared" si="354"/>
        <v>0</v>
      </c>
      <c r="BS76" s="523">
        <f t="shared" si="354"/>
        <v>0</v>
      </c>
      <c r="BT76" s="523">
        <f t="shared" si="354"/>
        <v>0</v>
      </c>
      <c r="BU76" s="523">
        <f t="shared" si="354"/>
        <v>0</v>
      </c>
      <c r="BV76" s="523">
        <f t="shared" si="354"/>
        <v>0</v>
      </c>
      <c r="BW76" s="523">
        <f t="shared" si="354"/>
        <v>0</v>
      </c>
      <c r="BX76" s="523">
        <f t="shared" si="354"/>
        <v>0</v>
      </c>
      <c r="BY76" s="523">
        <f t="shared" si="354"/>
        <v>0</v>
      </c>
      <c r="BZ76" s="523">
        <f t="shared" si="354"/>
        <v>0</v>
      </c>
      <c r="CA76" s="523">
        <f t="shared" si="354"/>
        <v>0</v>
      </c>
      <c r="CB76" s="548">
        <f t="shared" si="354"/>
        <v>0</v>
      </c>
      <c r="CC76" s="523">
        <f t="shared" si="354"/>
        <v>0</v>
      </c>
      <c r="CD76" s="523">
        <f t="shared" si="354"/>
        <v>0</v>
      </c>
      <c r="CE76" s="523">
        <f t="shared" si="354"/>
        <v>0</v>
      </c>
      <c r="CF76" s="523">
        <f t="shared" si="354"/>
        <v>0</v>
      </c>
      <c r="CG76" s="523">
        <f t="shared" si="354"/>
        <v>0</v>
      </c>
      <c r="CH76" s="523">
        <f t="shared" si="354"/>
        <v>0</v>
      </c>
      <c r="CI76" s="523">
        <f t="shared" si="354"/>
        <v>0</v>
      </c>
      <c r="CJ76" s="523">
        <f t="shared" si="354"/>
        <v>0</v>
      </c>
      <c r="CK76" s="523">
        <f t="shared" si="354"/>
        <v>0</v>
      </c>
      <c r="CL76" s="523">
        <f t="shared" si="354"/>
        <v>0</v>
      </c>
      <c r="CM76" s="523">
        <f t="shared" si="354"/>
        <v>0</v>
      </c>
      <c r="CN76" s="523">
        <f t="shared" si="354"/>
        <v>0</v>
      </c>
      <c r="CO76" s="548">
        <f t="shared" si="354"/>
        <v>0</v>
      </c>
    </row>
    <row r="77" spans="1:93" s="112" customFormat="1" ht="24.95" hidden="1" customHeight="1" outlineLevel="1" thickBot="1">
      <c r="A77" s="123" t="s">
        <v>340</v>
      </c>
      <c r="B77" s="525">
        <f>'Projected FS'!$B$35</f>
        <v>8416320</v>
      </c>
      <c r="C77" s="118"/>
      <c r="D77" s="118"/>
      <c r="E77" s="118"/>
      <c r="F77" s="118"/>
      <c r="G77" s="118"/>
      <c r="H77" s="118"/>
      <c r="I77" s="118"/>
      <c r="J77" s="118"/>
      <c r="K77" s="118"/>
      <c r="L77" s="118"/>
      <c r="M77" s="118"/>
      <c r="N77" s="118"/>
      <c r="O77" s="119">
        <f>SUM(B77:N77)</f>
        <v>8416320</v>
      </c>
      <c r="P77" s="118"/>
      <c r="Q77" s="118"/>
      <c r="R77" s="118"/>
      <c r="S77" s="118"/>
      <c r="T77" s="118"/>
      <c r="U77" s="118"/>
      <c r="V77" s="118"/>
      <c r="W77" s="118"/>
      <c r="X77" s="118"/>
      <c r="Y77" s="118"/>
      <c r="Z77" s="118"/>
      <c r="AA77" s="118"/>
      <c r="AB77" s="446">
        <f>SUM(P77:AA77)</f>
        <v>0</v>
      </c>
      <c r="AC77" s="118"/>
      <c r="AD77" s="118"/>
      <c r="AE77" s="118"/>
      <c r="AF77" s="118"/>
      <c r="AG77" s="118"/>
      <c r="AH77" s="118"/>
      <c r="AI77" s="118"/>
      <c r="AJ77" s="118"/>
      <c r="AK77" s="118"/>
      <c r="AL77" s="118"/>
      <c r="AM77" s="118"/>
      <c r="AN77" s="118"/>
      <c r="AO77" s="446">
        <f>SUM(AC77:AN77)</f>
        <v>0</v>
      </c>
      <c r="AP77" s="118"/>
      <c r="AQ77" s="118"/>
      <c r="AR77" s="118"/>
      <c r="AS77" s="118"/>
      <c r="AT77" s="118"/>
      <c r="AU77" s="118"/>
      <c r="AV77" s="118"/>
      <c r="AW77" s="118"/>
      <c r="AX77" s="118"/>
      <c r="AY77" s="118"/>
      <c r="AZ77" s="118"/>
      <c r="BA77" s="118"/>
      <c r="BB77" s="446">
        <f>SUM(AP77:BA77)</f>
        <v>0</v>
      </c>
      <c r="BC77" s="118"/>
      <c r="BD77" s="118"/>
      <c r="BE77" s="118"/>
      <c r="BF77" s="118"/>
      <c r="BG77" s="118"/>
      <c r="BH77" s="118"/>
      <c r="BI77" s="118"/>
      <c r="BJ77" s="118"/>
      <c r="BK77" s="118"/>
      <c r="BL77" s="118"/>
      <c r="BM77" s="118"/>
      <c r="BN77" s="118"/>
      <c r="BO77" s="446">
        <f>SUM(BC77:BN77)</f>
        <v>0</v>
      </c>
      <c r="BP77" s="118"/>
      <c r="BQ77" s="118"/>
      <c r="BR77" s="118"/>
      <c r="BS77" s="118"/>
      <c r="BT77" s="118"/>
      <c r="BU77" s="118"/>
      <c r="BV77" s="118"/>
      <c r="BW77" s="118"/>
      <c r="BX77" s="118"/>
      <c r="BY77" s="118"/>
      <c r="BZ77" s="118"/>
      <c r="CA77" s="118"/>
      <c r="CB77" s="446">
        <f>SUM(BP77:CA77)</f>
        <v>0</v>
      </c>
      <c r="CC77" s="118"/>
      <c r="CD77" s="118"/>
      <c r="CE77" s="118"/>
      <c r="CF77" s="118"/>
      <c r="CG77" s="118"/>
      <c r="CH77" s="118"/>
      <c r="CI77" s="118"/>
      <c r="CJ77" s="118"/>
      <c r="CK77" s="118"/>
      <c r="CL77" s="118"/>
      <c r="CM77" s="118"/>
      <c r="CN77" s="118"/>
      <c r="CO77" s="446">
        <f>SUM(CC77:CN77)</f>
        <v>0</v>
      </c>
    </row>
    <row r="78" spans="1:93" s="104" customFormat="1" ht="24.95" hidden="1" customHeight="1" outlineLevel="1" thickBot="1">
      <c r="A78" s="123" t="s">
        <v>341</v>
      </c>
      <c r="B78" s="120"/>
      <c r="C78" s="120"/>
      <c r="D78" s="120"/>
      <c r="E78" s="120"/>
      <c r="F78" s="120"/>
      <c r="G78" s="120"/>
      <c r="H78" s="120"/>
      <c r="I78" s="120"/>
      <c r="J78" s="120"/>
      <c r="K78" s="120"/>
      <c r="L78" s="120"/>
      <c r="M78" s="120"/>
      <c r="N78" s="120"/>
      <c r="O78" s="121">
        <f>SUM(B78:N78)</f>
        <v>0</v>
      </c>
      <c r="P78" s="120"/>
      <c r="Q78" s="120"/>
      <c r="R78" s="120"/>
      <c r="S78" s="120"/>
      <c r="T78" s="120"/>
      <c r="U78" s="120"/>
      <c r="V78" s="120"/>
      <c r="W78" s="120"/>
      <c r="X78" s="120"/>
      <c r="Y78" s="120"/>
      <c r="Z78" s="120"/>
      <c r="AA78" s="120"/>
      <c r="AB78" s="447">
        <f>SUM(P78:AA78)</f>
        <v>0</v>
      </c>
      <c r="AC78" s="120"/>
      <c r="AD78" s="120"/>
      <c r="AE78" s="120"/>
      <c r="AF78" s="120"/>
      <c r="AG78" s="120"/>
      <c r="AH78" s="120"/>
      <c r="AI78" s="120"/>
      <c r="AJ78" s="120"/>
      <c r="AK78" s="120"/>
      <c r="AL78" s="120"/>
      <c r="AM78" s="120"/>
      <c r="AN78" s="120"/>
      <c r="AO78" s="447">
        <f>SUM(AC78:AN78)</f>
        <v>0</v>
      </c>
      <c r="AP78" s="120"/>
      <c r="AQ78" s="120"/>
      <c r="AR78" s="120"/>
      <c r="AS78" s="120"/>
      <c r="AT78" s="120"/>
      <c r="AU78" s="120"/>
      <c r="AV78" s="120"/>
      <c r="AW78" s="120"/>
      <c r="AX78" s="120"/>
      <c r="AY78" s="120"/>
      <c r="AZ78" s="120"/>
      <c r="BA78" s="120"/>
      <c r="BB78" s="447">
        <f>SUM(AP78:BA78)</f>
        <v>0</v>
      </c>
      <c r="BC78" s="120"/>
      <c r="BD78" s="120"/>
      <c r="BE78" s="120"/>
      <c r="BF78" s="120"/>
      <c r="BG78" s="120"/>
      <c r="BH78" s="120"/>
      <c r="BI78" s="120"/>
      <c r="BJ78" s="120"/>
      <c r="BK78" s="120"/>
      <c r="BL78" s="120"/>
      <c r="BM78" s="120"/>
      <c r="BN78" s="120"/>
      <c r="BO78" s="447">
        <f>SUM(BC78:BN78)</f>
        <v>0</v>
      </c>
      <c r="BP78" s="120"/>
      <c r="BQ78" s="120"/>
      <c r="BR78" s="120"/>
      <c r="BS78" s="120"/>
      <c r="BT78" s="120"/>
      <c r="BU78" s="120"/>
      <c r="BV78" s="120"/>
      <c r="BW78" s="120"/>
      <c r="BX78" s="120"/>
      <c r="BY78" s="120"/>
      <c r="BZ78" s="120"/>
      <c r="CA78" s="120"/>
      <c r="CB78" s="447">
        <f>SUM(BP78:CA78)</f>
        <v>0</v>
      </c>
      <c r="CC78" s="120"/>
      <c r="CD78" s="120"/>
      <c r="CE78" s="120"/>
      <c r="CF78" s="120"/>
      <c r="CG78" s="120"/>
      <c r="CH78" s="120"/>
      <c r="CI78" s="120"/>
      <c r="CJ78" s="120"/>
      <c r="CK78" s="120"/>
      <c r="CL78" s="120"/>
      <c r="CM78" s="120"/>
      <c r="CN78" s="120"/>
      <c r="CO78" s="447">
        <f>SUM(CC78:CN78)</f>
        <v>0</v>
      </c>
    </row>
    <row r="79" spans="1:93" ht="24.95" hidden="1" customHeight="1" outlineLevel="1" thickBot="1">
      <c r="A79" s="122" t="s">
        <v>339</v>
      </c>
      <c r="B79" s="516">
        <f t="shared" ref="B79:N79" si="355">SUM(B76:B78)</f>
        <v>8416320</v>
      </c>
      <c r="C79" s="516">
        <f t="shared" si="355"/>
        <v>0</v>
      </c>
      <c r="D79" s="516">
        <f t="shared" si="355"/>
        <v>0</v>
      </c>
      <c r="E79" s="516">
        <f t="shared" si="355"/>
        <v>0</v>
      </c>
      <c r="F79" s="516">
        <f t="shared" si="355"/>
        <v>0</v>
      </c>
      <c r="G79" s="516">
        <f t="shared" si="355"/>
        <v>0</v>
      </c>
      <c r="H79" s="516">
        <f t="shared" si="355"/>
        <v>0</v>
      </c>
      <c r="I79" s="516">
        <f t="shared" si="355"/>
        <v>0</v>
      </c>
      <c r="J79" s="516">
        <f t="shared" si="355"/>
        <v>0</v>
      </c>
      <c r="K79" s="516">
        <f t="shared" si="355"/>
        <v>0</v>
      </c>
      <c r="L79" s="516">
        <f t="shared" si="355"/>
        <v>0</v>
      </c>
      <c r="M79" s="516">
        <f t="shared" si="355"/>
        <v>0</v>
      </c>
      <c r="N79" s="516">
        <f t="shared" si="355"/>
        <v>0</v>
      </c>
      <c r="O79" s="551">
        <f>SUM(B79:N79)</f>
        <v>8416320</v>
      </c>
      <c r="P79" s="516">
        <f t="shared" ref="P79:AA79" si="356">SUM(P76:P78)</f>
        <v>0</v>
      </c>
      <c r="Q79" s="516">
        <f t="shared" si="356"/>
        <v>0</v>
      </c>
      <c r="R79" s="516">
        <f t="shared" si="356"/>
        <v>0</v>
      </c>
      <c r="S79" s="516">
        <f t="shared" si="356"/>
        <v>0</v>
      </c>
      <c r="T79" s="516">
        <f t="shared" si="356"/>
        <v>0</v>
      </c>
      <c r="U79" s="516">
        <f t="shared" si="356"/>
        <v>0</v>
      </c>
      <c r="V79" s="516">
        <f t="shared" si="356"/>
        <v>0</v>
      </c>
      <c r="W79" s="516">
        <f t="shared" si="356"/>
        <v>0</v>
      </c>
      <c r="X79" s="516">
        <f t="shared" si="356"/>
        <v>0</v>
      </c>
      <c r="Y79" s="516">
        <f t="shared" si="356"/>
        <v>0</v>
      </c>
      <c r="Z79" s="516">
        <f t="shared" si="356"/>
        <v>0</v>
      </c>
      <c r="AA79" s="516">
        <f t="shared" si="356"/>
        <v>0</v>
      </c>
      <c r="AB79" s="544">
        <f>SUM(P79:AA79)</f>
        <v>0</v>
      </c>
      <c r="AC79" s="516">
        <f t="shared" ref="AC79:AN79" si="357">SUM(AC76:AC78)</f>
        <v>0</v>
      </c>
      <c r="AD79" s="516">
        <f t="shared" si="357"/>
        <v>0</v>
      </c>
      <c r="AE79" s="516">
        <f t="shared" si="357"/>
        <v>0</v>
      </c>
      <c r="AF79" s="516">
        <f t="shared" si="357"/>
        <v>0</v>
      </c>
      <c r="AG79" s="516">
        <f t="shared" si="357"/>
        <v>0</v>
      </c>
      <c r="AH79" s="516">
        <f t="shared" si="357"/>
        <v>0</v>
      </c>
      <c r="AI79" s="516">
        <f t="shared" si="357"/>
        <v>0</v>
      </c>
      <c r="AJ79" s="516">
        <f t="shared" si="357"/>
        <v>0</v>
      </c>
      <c r="AK79" s="516">
        <f t="shared" si="357"/>
        <v>0</v>
      </c>
      <c r="AL79" s="516">
        <f t="shared" si="357"/>
        <v>0</v>
      </c>
      <c r="AM79" s="516">
        <f t="shared" si="357"/>
        <v>0</v>
      </c>
      <c r="AN79" s="516">
        <f t="shared" si="357"/>
        <v>0</v>
      </c>
      <c r="AO79" s="544">
        <f>SUM(AC79:AN79)</f>
        <v>0</v>
      </c>
      <c r="AP79" s="516">
        <f t="shared" ref="AP79:BA79" si="358">SUM(AP76:AP78)</f>
        <v>0</v>
      </c>
      <c r="AQ79" s="516">
        <f t="shared" si="358"/>
        <v>0</v>
      </c>
      <c r="AR79" s="516">
        <f t="shared" si="358"/>
        <v>0</v>
      </c>
      <c r="AS79" s="516">
        <f t="shared" si="358"/>
        <v>0</v>
      </c>
      <c r="AT79" s="516">
        <f t="shared" si="358"/>
        <v>0</v>
      </c>
      <c r="AU79" s="516">
        <f t="shared" si="358"/>
        <v>0</v>
      </c>
      <c r="AV79" s="516">
        <f t="shared" si="358"/>
        <v>0</v>
      </c>
      <c r="AW79" s="516">
        <f t="shared" si="358"/>
        <v>0</v>
      </c>
      <c r="AX79" s="516">
        <f t="shared" si="358"/>
        <v>0</v>
      </c>
      <c r="AY79" s="516">
        <f t="shared" si="358"/>
        <v>0</v>
      </c>
      <c r="AZ79" s="516">
        <f t="shared" si="358"/>
        <v>0</v>
      </c>
      <c r="BA79" s="516">
        <f t="shared" si="358"/>
        <v>0</v>
      </c>
      <c r="BB79" s="544">
        <f>SUM(AP79:BA79)</f>
        <v>0</v>
      </c>
      <c r="BC79" s="516">
        <f t="shared" ref="BC79:BN79" si="359">SUM(BC76:BC78)</f>
        <v>0</v>
      </c>
      <c r="BD79" s="516">
        <f t="shared" si="359"/>
        <v>0</v>
      </c>
      <c r="BE79" s="516">
        <f t="shared" si="359"/>
        <v>0</v>
      </c>
      <c r="BF79" s="516">
        <f t="shared" si="359"/>
        <v>0</v>
      </c>
      <c r="BG79" s="516">
        <f t="shared" si="359"/>
        <v>0</v>
      </c>
      <c r="BH79" s="516">
        <f t="shared" si="359"/>
        <v>0</v>
      </c>
      <c r="BI79" s="516">
        <f t="shared" si="359"/>
        <v>0</v>
      </c>
      <c r="BJ79" s="516">
        <f t="shared" si="359"/>
        <v>0</v>
      </c>
      <c r="BK79" s="516">
        <f t="shared" si="359"/>
        <v>0</v>
      </c>
      <c r="BL79" s="516">
        <f t="shared" si="359"/>
        <v>0</v>
      </c>
      <c r="BM79" s="516">
        <f t="shared" si="359"/>
        <v>0</v>
      </c>
      <c r="BN79" s="516">
        <f t="shared" si="359"/>
        <v>0</v>
      </c>
      <c r="BO79" s="544">
        <f>SUM(BC79:BN79)</f>
        <v>0</v>
      </c>
      <c r="BP79" s="516">
        <f t="shared" ref="BP79:CA79" si="360">SUM(BP76:BP78)</f>
        <v>0</v>
      </c>
      <c r="BQ79" s="516">
        <f t="shared" si="360"/>
        <v>0</v>
      </c>
      <c r="BR79" s="516">
        <f t="shared" si="360"/>
        <v>0</v>
      </c>
      <c r="BS79" s="516">
        <f t="shared" si="360"/>
        <v>0</v>
      </c>
      <c r="BT79" s="516">
        <f t="shared" si="360"/>
        <v>0</v>
      </c>
      <c r="BU79" s="516">
        <f t="shared" si="360"/>
        <v>0</v>
      </c>
      <c r="BV79" s="516">
        <f t="shared" si="360"/>
        <v>0</v>
      </c>
      <c r="BW79" s="516">
        <f t="shared" si="360"/>
        <v>0</v>
      </c>
      <c r="BX79" s="516">
        <f t="shared" si="360"/>
        <v>0</v>
      </c>
      <c r="BY79" s="516">
        <f t="shared" si="360"/>
        <v>0</v>
      </c>
      <c r="BZ79" s="516">
        <f t="shared" si="360"/>
        <v>0</v>
      </c>
      <c r="CA79" s="516">
        <f t="shared" si="360"/>
        <v>0</v>
      </c>
      <c r="CB79" s="544">
        <f>SUM(BP79:CA79)</f>
        <v>0</v>
      </c>
      <c r="CC79" s="516">
        <f t="shared" ref="CC79:CN79" si="361">SUM(CC76:CC78)</f>
        <v>0</v>
      </c>
      <c r="CD79" s="516">
        <f t="shared" si="361"/>
        <v>0</v>
      </c>
      <c r="CE79" s="516">
        <f t="shared" si="361"/>
        <v>0</v>
      </c>
      <c r="CF79" s="516">
        <f t="shared" si="361"/>
        <v>0</v>
      </c>
      <c r="CG79" s="516">
        <f t="shared" si="361"/>
        <v>0</v>
      </c>
      <c r="CH79" s="516">
        <f t="shared" si="361"/>
        <v>0</v>
      </c>
      <c r="CI79" s="516">
        <f t="shared" si="361"/>
        <v>0</v>
      </c>
      <c r="CJ79" s="516">
        <f t="shared" si="361"/>
        <v>0</v>
      </c>
      <c r="CK79" s="516">
        <f t="shared" si="361"/>
        <v>0</v>
      </c>
      <c r="CL79" s="516">
        <f t="shared" si="361"/>
        <v>0</v>
      </c>
      <c r="CM79" s="516">
        <f t="shared" si="361"/>
        <v>0</v>
      </c>
      <c r="CN79" s="516">
        <f t="shared" si="361"/>
        <v>0</v>
      </c>
      <c r="CO79" s="544">
        <f>SUM(CC79:CN79)</f>
        <v>0</v>
      </c>
    </row>
    <row r="80" spans="1:93" ht="24.95" hidden="1" customHeight="1" outlineLevel="1" thickBot="1">
      <c r="A80" s="122" t="s">
        <v>342</v>
      </c>
      <c r="B80" s="516">
        <f t="shared" ref="B80:N80" si="362">B69-B79</f>
        <v>-8416320</v>
      </c>
      <c r="C80" s="516">
        <f t="shared" si="362"/>
        <v>0</v>
      </c>
      <c r="D80" s="516">
        <f t="shared" si="362"/>
        <v>0</v>
      </c>
      <c r="E80" s="516">
        <f t="shared" si="362"/>
        <v>0</v>
      </c>
      <c r="F80" s="516">
        <f t="shared" si="362"/>
        <v>0</v>
      </c>
      <c r="G80" s="516">
        <f t="shared" si="362"/>
        <v>0</v>
      </c>
      <c r="H80" s="516">
        <f t="shared" si="362"/>
        <v>0</v>
      </c>
      <c r="I80" s="516">
        <f t="shared" si="362"/>
        <v>0</v>
      </c>
      <c r="J80" s="516">
        <f t="shared" si="362"/>
        <v>0</v>
      </c>
      <c r="K80" s="516">
        <f t="shared" si="362"/>
        <v>0</v>
      </c>
      <c r="L80" s="516">
        <f t="shared" si="362"/>
        <v>0</v>
      </c>
      <c r="M80" s="516">
        <f t="shared" si="362"/>
        <v>0</v>
      </c>
      <c r="N80" s="516">
        <f t="shared" si="362"/>
        <v>0</v>
      </c>
      <c r="O80" s="146">
        <f ca="1">Table425354[[#This Row],[Year 1
Month 12]]-'Projected FS'!C214</f>
        <v>268422.73599999887</v>
      </c>
      <c r="P80" s="516">
        <f t="shared" ref="P80:AA80" si="363">P69-P79</f>
        <v>0</v>
      </c>
      <c r="Q80" s="516">
        <f t="shared" si="363"/>
        <v>0</v>
      </c>
      <c r="R80" s="516">
        <f t="shared" si="363"/>
        <v>0</v>
      </c>
      <c r="S80" s="516">
        <f t="shared" si="363"/>
        <v>0</v>
      </c>
      <c r="T80" s="516">
        <f t="shared" si="363"/>
        <v>0</v>
      </c>
      <c r="U80" s="516">
        <f t="shared" si="363"/>
        <v>0</v>
      </c>
      <c r="V80" s="516">
        <f t="shared" si="363"/>
        <v>0</v>
      </c>
      <c r="W80" s="516">
        <f t="shared" si="363"/>
        <v>0</v>
      </c>
      <c r="X80" s="516">
        <f t="shared" si="363"/>
        <v>0</v>
      </c>
      <c r="Y80" s="516">
        <f t="shared" si="363"/>
        <v>0</v>
      </c>
      <c r="Z80" s="516">
        <f t="shared" si="363"/>
        <v>0</v>
      </c>
      <c r="AA80" s="516">
        <f t="shared" si="363"/>
        <v>0</v>
      </c>
      <c r="AB80" s="448">
        <f ca="1">Table425354137[[#This Row],[Year 2
Month 12]]-'Projected FS'!D214</f>
        <v>-1650713.770160001</v>
      </c>
      <c r="AC80" s="516">
        <f t="shared" ref="AC80:AN80" si="364">AC69-AC79</f>
        <v>0</v>
      </c>
      <c r="AD80" s="516">
        <f t="shared" si="364"/>
        <v>0</v>
      </c>
      <c r="AE80" s="516">
        <f t="shared" si="364"/>
        <v>0</v>
      </c>
      <c r="AF80" s="516">
        <f t="shared" si="364"/>
        <v>0</v>
      </c>
      <c r="AG80" s="516">
        <f t="shared" si="364"/>
        <v>0</v>
      </c>
      <c r="AH80" s="516">
        <f t="shared" si="364"/>
        <v>0</v>
      </c>
      <c r="AI80" s="516">
        <f t="shared" si="364"/>
        <v>0</v>
      </c>
      <c r="AJ80" s="516">
        <f t="shared" si="364"/>
        <v>0</v>
      </c>
      <c r="AK80" s="516">
        <f t="shared" si="364"/>
        <v>0</v>
      </c>
      <c r="AL80" s="516">
        <f t="shared" si="364"/>
        <v>0</v>
      </c>
      <c r="AM80" s="516">
        <f t="shared" si="364"/>
        <v>0</v>
      </c>
      <c r="AN80" s="516">
        <f t="shared" si="364"/>
        <v>0</v>
      </c>
      <c r="AO80" s="448">
        <f ca="1">Table425354137152[[#This Row],[Year 3
Month 12]]-'Projected FS'!E214</f>
        <v>-3996535.2297418211</v>
      </c>
      <c r="AP80" s="516">
        <f t="shared" ref="AP80:BA80" si="365">AP69-AP79</f>
        <v>0</v>
      </c>
      <c r="AQ80" s="516">
        <f t="shared" si="365"/>
        <v>0</v>
      </c>
      <c r="AR80" s="516">
        <f t="shared" si="365"/>
        <v>0</v>
      </c>
      <c r="AS80" s="516">
        <f t="shared" si="365"/>
        <v>0</v>
      </c>
      <c r="AT80" s="516">
        <f t="shared" si="365"/>
        <v>0</v>
      </c>
      <c r="AU80" s="516">
        <f t="shared" si="365"/>
        <v>0</v>
      </c>
      <c r="AV80" s="516">
        <f t="shared" si="365"/>
        <v>0</v>
      </c>
      <c r="AW80" s="516">
        <f t="shared" si="365"/>
        <v>0</v>
      </c>
      <c r="AX80" s="516">
        <f t="shared" si="365"/>
        <v>0</v>
      </c>
      <c r="AY80" s="516">
        <f t="shared" si="365"/>
        <v>0</v>
      </c>
      <c r="AZ80" s="516">
        <f t="shared" si="365"/>
        <v>0</v>
      </c>
      <c r="BA80" s="516">
        <f t="shared" si="365"/>
        <v>0</v>
      </c>
      <c r="BB80" s="448">
        <f ca="1">Table425354137154[[#This Row],[Year 4
Month 12]]-'Projected FS'!F214</f>
        <v>-6812425.5464600008</v>
      </c>
      <c r="BC80" s="516">
        <f t="shared" ref="BC80:BN80" si="366">BC69-BC79</f>
        <v>0</v>
      </c>
      <c r="BD80" s="516">
        <f t="shared" si="366"/>
        <v>0</v>
      </c>
      <c r="BE80" s="516">
        <f t="shared" si="366"/>
        <v>0</v>
      </c>
      <c r="BF80" s="516">
        <f t="shared" si="366"/>
        <v>0</v>
      </c>
      <c r="BG80" s="516">
        <f t="shared" si="366"/>
        <v>0</v>
      </c>
      <c r="BH80" s="516">
        <f t="shared" si="366"/>
        <v>0</v>
      </c>
      <c r="BI80" s="516">
        <f t="shared" si="366"/>
        <v>0</v>
      </c>
      <c r="BJ80" s="516">
        <f t="shared" si="366"/>
        <v>0</v>
      </c>
      <c r="BK80" s="516">
        <f t="shared" si="366"/>
        <v>0</v>
      </c>
      <c r="BL80" s="516">
        <f t="shared" si="366"/>
        <v>0</v>
      </c>
      <c r="BM80" s="516">
        <f t="shared" si="366"/>
        <v>0</v>
      </c>
      <c r="BN80" s="516">
        <f t="shared" si="366"/>
        <v>0</v>
      </c>
      <c r="BO80" s="448">
        <f ca="1">Table425354137154148[[#This Row],[Year 5
Month 12]]-'Projected FS'!G214</f>
        <v>-10145333.020002093</v>
      </c>
      <c r="BP80" s="516">
        <f t="shared" ref="BP80:CA80" si="367">BP69-BP79</f>
        <v>0</v>
      </c>
      <c r="BQ80" s="516">
        <f t="shared" si="367"/>
        <v>0</v>
      </c>
      <c r="BR80" s="516">
        <f t="shared" si="367"/>
        <v>0</v>
      </c>
      <c r="BS80" s="516">
        <f t="shared" si="367"/>
        <v>0</v>
      </c>
      <c r="BT80" s="516">
        <f t="shared" si="367"/>
        <v>0</v>
      </c>
      <c r="BU80" s="516">
        <f t="shared" si="367"/>
        <v>0</v>
      </c>
      <c r="BV80" s="516">
        <f t="shared" si="367"/>
        <v>0</v>
      </c>
      <c r="BW80" s="516">
        <f t="shared" si="367"/>
        <v>0</v>
      </c>
      <c r="BX80" s="516">
        <f t="shared" si="367"/>
        <v>0</v>
      </c>
      <c r="BY80" s="516">
        <f t="shared" si="367"/>
        <v>0</v>
      </c>
      <c r="BZ80" s="516">
        <f t="shared" si="367"/>
        <v>0</v>
      </c>
      <c r="CA80" s="516">
        <f t="shared" si="367"/>
        <v>0</v>
      </c>
      <c r="CB80" s="448">
        <f ca="1">Table425354137154148163[[#This Row],[Year 6
Month 12]]-'Projected FS'!H214</f>
        <v>-14046105.31835198</v>
      </c>
      <c r="CC80" s="516">
        <f t="shared" ref="CC80:CN80" si="368">CC69-CC79</f>
        <v>0</v>
      </c>
      <c r="CD80" s="516">
        <f t="shared" si="368"/>
        <v>0</v>
      </c>
      <c r="CE80" s="516">
        <f t="shared" si="368"/>
        <v>0</v>
      </c>
      <c r="CF80" s="516">
        <f t="shared" si="368"/>
        <v>0</v>
      </c>
      <c r="CG80" s="516">
        <f t="shared" si="368"/>
        <v>0</v>
      </c>
      <c r="CH80" s="516">
        <f t="shared" si="368"/>
        <v>0</v>
      </c>
      <c r="CI80" s="516">
        <f t="shared" si="368"/>
        <v>0</v>
      </c>
      <c r="CJ80" s="516">
        <f t="shared" si="368"/>
        <v>0</v>
      </c>
      <c r="CK80" s="516">
        <f t="shared" si="368"/>
        <v>0</v>
      </c>
      <c r="CL80" s="516">
        <f t="shared" si="368"/>
        <v>0</v>
      </c>
      <c r="CM80" s="516">
        <f t="shared" si="368"/>
        <v>0</v>
      </c>
      <c r="CN80" s="516">
        <f t="shared" si="368"/>
        <v>0</v>
      </c>
      <c r="CO80" s="448">
        <f ca="1">Table425354137154148166[[#This Row],[Year 7
Month 12]]-'Projected FS'!I214</f>
        <v>-18285610.195957817</v>
      </c>
    </row>
    <row r="81" spans="1:93" ht="24.95" hidden="1" customHeight="1" outlineLevel="1" thickBot="1">
      <c r="A81" s="230" t="s">
        <v>343</v>
      </c>
      <c r="AB81" s="549"/>
      <c r="AO81" s="549"/>
      <c r="BB81" s="549"/>
      <c r="BO81" s="549"/>
      <c r="CB81" s="549"/>
      <c r="CO81" s="549"/>
    </row>
    <row r="82" spans="1:93" s="104" customFormat="1" ht="24.95" hidden="1" customHeight="1" outlineLevel="1" thickTop="1" thickBot="1">
      <c r="A82" s="188" t="str">
        <f>'Summary. Assumptions. Inputs'!$G$30</f>
        <v>Equity financing</v>
      </c>
      <c r="B82" s="526">
        <f>IF(B$80&lt;0,B$80*-1,0)-'OPEREX, PAYROL'!R142-'Capital Expenditures'!H128-'Capital Expenditures'!H129</f>
        <v>8416320</v>
      </c>
      <c r="C82" s="526">
        <f>IF(C$80&lt;0,C$80*-1,0)</f>
        <v>0</v>
      </c>
      <c r="D82" s="526">
        <f t="shared" ref="D82:N82" si="369">IF(D$80&lt;0,D$80*-1,0)</f>
        <v>0</v>
      </c>
      <c r="E82" s="526">
        <f t="shared" si="369"/>
        <v>0</v>
      </c>
      <c r="F82" s="526">
        <f t="shared" si="369"/>
        <v>0</v>
      </c>
      <c r="G82" s="526">
        <f t="shared" si="369"/>
        <v>0</v>
      </c>
      <c r="H82" s="526">
        <f t="shared" si="369"/>
        <v>0</v>
      </c>
      <c r="I82" s="526">
        <f t="shared" si="369"/>
        <v>0</v>
      </c>
      <c r="J82" s="526">
        <f t="shared" si="369"/>
        <v>0</v>
      </c>
      <c r="K82" s="526">
        <f t="shared" si="369"/>
        <v>0</v>
      </c>
      <c r="L82" s="526">
        <f t="shared" si="369"/>
        <v>0</v>
      </c>
      <c r="M82" s="526">
        <f t="shared" si="369"/>
        <v>0</v>
      </c>
      <c r="N82" s="526">
        <f t="shared" si="369"/>
        <v>0</v>
      </c>
      <c r="O82" s="553">
        <f>SUM('Cashflow Projection &amp; Investme'!$B82:$N82)</f>
        <v>8416320</v>
      </c>
      <c r="P82" s="526">
        <f>IF(P$80&lt;0,P$80*-1,0)</f>
        <v>0</v>
      </c>
      <c r="Q82" s="526">
        <f t="shared" ref="Q82:AA82" si="370">IF(Q$80&lt;0,Q$80*-1,0)</f>
        <v>0</v>
      </c>
      <c r="R82" s="526">
        <f t="shared" si="370"/>
        <v>0</v>
      </c>
      <c r="S82" s="526">
        <f t="shared" si="370"/>
        <v>0</v>
      </c>
      <c r="T82" s="526">
        <f t="shared" si="370"/>
        <v>0</v>
      </c>
      <c r="U82" s="526">
        <f t="shared" si="370"/>
        <v>0</v>
      </c>
      <c r="V82" s="526">
        <f t="shared" si="370"/>
        <v>0</v>
      </c>
      <c r="W82" s="526">
        <f t="shared" si="370"/>
        <v>0</v>
      </c>
      <c r="X82" s="526">
        <f t="shared" si="370"/>
        <v>0</v>
      </c>
      <c r="Y82" s="526">
        <f t="shared" si="370"/>
        <v>0</v>
      </c>
      <c r="Z82" s="526">
        <f t="shared" si="370"/>
        <v>0</v>
      </c>
      <c r="AA82" s="526">
        <f t="shared" si="370"/>
        <v>0</v>
      </c>
      <c r="AB82" s="545">
        <f>SUM(P82:AA82)</f>
        <v>0</v>
      </c>
      <c r="AC82" s="526">
        <f>IF(AC$80&lt;0,AC$80*-1,0)</f>
        <v>0</v>
      </c>
      <c r="AD82" s="526">
        <f t="shared" ref="AD82:AN82" si="371">IF(AD$80&lt;0,AD$80*-1,0)</f>
        <v>0</v>
      </c>
      <c r="AE82" s="526">
        <f t="shared" si="371"/>
        <v>0</v>
      </c>
      <c r="AF82" s="526">
        <f t="shared" si="371"/>
        <v>0</v>
      </c>
      <c r="AG82" s="526">
        <f t="shared" si="371"/>
        <v>0</v>
      </c>
      <c r="AH82" s="526">
        <f t="shared" si="371"/>
        <v>0</v>
      </c>
      <c r="AI82" s="526">
        <f t="shared" si="371"/>
        <v>0</v>
      </c>
      <c r="AJ82" s="526">
        <f t="shared" si="371"/>
        <v>0</v>
      </c>
      <c r="AK82" s="526">
        <f t="shared" si="371"/>
        <v>0</v>
      </c>
      <c r="AL82" s="526">
        <f t="shared" si="371"/>
        <v>0</v>
      </c>
      <c r="AM82" s="526">
        <f t="shared" si="371"/>
        <v>0</v>
      </c>
      <c r="AN82" s="526">
        <f t="shared" si="371"/>
        <v>0</v>
      </c>
      <c r="AO82" s="545">
        <f>SUM(AC82:AN82)</f>
        <v>0</v>
      </c>
      <c r="AP82" s="526">
        <f>IF(AP$80&lt;0,AP$80*-1,0)</f>
        <v>0</v>
      </c>
      <c r="AQ82" s="526">
        <f t="shared" ref="AQ82:BA82" si="372">IF(AQ$80&lt;0,AQ$80*-1,0)</f>
        <v>0</v>
      </c>
      <c r="AR82" s="526">
        <f t="shared" si="372"/>
        <v>0</v>
      </c>
      <c r="AS82" s="526">
        <f t="shared" si="372"/>
        <v>0</v>
      </c>
      <c r="AT82" s="526">
        <f t="shared" si="372"/>
        <v>0</v>
      </c>
      <c r="AU82" s="526">
        <f t="shared" si="372"/>
        <v>0</v>
      </c>
      <c r="AV82" s="526">
        <f t="shared" si="372"/>
        <v>0</v>
      </c>
      <c r="AW82" s="526">
        <f t="shared" si="372"/>
        <v>0</v>
      </c>
      <c r="AX82" s="526">
        <f t="shared" si="372"/>
        <v>0</v>
      </c>
      <c r="AY82" s="526">
        <f t="shared" si="372"/>
        <v>0</v>
      </c>
      <c r="AZ82" s="526">
        <f t="shared" si="372"/>
        <v>0</v>
      </c>
      <c r="BA82" s="526">
        <f t="shared" si="372"/>
        <v>0</v>
      </c>
      <c r="BB82" s="545">
        <f>SUM('Cashflow Projection &amp; Investme'!$B82:$N82)</f>
        <v>8416320</v>
      </c>
      <c r="BC82" s="526">
        <f>IF(BC$80&lt;0,BC$80*-1,0)</f>
        <v>0</v>
      </c>
      <c r="BD82" s="526">
        <f t="shared" ref="BD82:BN82" si="373">IF(BD$80&lt;0,BD$80*-1,0)</f>
        <v>0</v>
      </c>
      <c r="BE82" s="526">
        <f t="shared" si="373"/>
        <v>0</v>
      </c>
      <c r="BF82" s="526">
        <f t="shared" si="373"/>
        <v>0</v>
      </c>
      <c r="BG82" s="526">
        <f t="shared" si="373"/>
        <v>0</v>
      </c>
      <c r="BH82" s="526">
        <f t="shared" si="373"/>
        <v>0</v>
      </c>
      <c r="BI82" s="526">
        <f t="shared" si="373"/>
        <v>0</v>
      </c>
      <c r="BJ82" s="526">
        <f t="shared" si="373"/>
        <v>0</v>
      </c>
      <c r="BK82" s="526">
        <f t="shared" si="373"/>
        <v>0</v>
      </c>
      <c r="BL82" s="526">
        <f t="shared" si="373"/>
        <v>0</v>
      </c>
      <c r="BM82" s="526">
        <f t="shared" si="373"/>
        <v>0</v>
      </c>
      <c r="BN82" s="526">
        <f t="shared" si="373"/>
        <v>0</v>
      </c>
      <c r="BO82" s="545">
        <f>SUM('Cashflow Projection &amp; Investme'!$B82:$N82)</f>
        <v>8416320</v>
      </c>
      <c r="BP82" s="526">
        <f>IF(BP$80&lt;0,BP$80*-1,0)</f>
        <v>0</v>
      </c>
      <c r="BQ82" s="526">
        <f t="shared" ref="BQ82:CA82" si="374">IF(BQ$80&lt;0,BQ$80*-1,0)</f>
        <v>0</v>
      </c>
      <c r="BR82" s="526">
        <f t="shared" si="374"/>
        <v>0</v>
      </c>
      <c r="BS82" s="526">
        <f t="shared" si="374"/>
        <v>0</v>
      </c>
      <c r="BT82" s="526">
        <f t="shared" si="374"/>
        <v>0</v>
      </c>
      <c r="BU82" s="526">
        <f t="shared" si="374"/>
        <v>0</v>
      </c>
      <c r="BV82" s="526">
        <f t="shared" si="374"/>
        <v>0</v>
      </c>
      <c r="BW82" s="526">
        <f t="shared" si="374"/>
        <v>0</v>
      </c>
      <c r="BX82" s="526">
        <f t="shared" si="374"/>
        <v>0</v>
      </c>
      <c r="BY82" s="526">
        <f t="shared" si="374"/>
        <v>0</v>
      </c>
      <c r="BZ82" s="526">
        <f t="shared" si="374"/>
        <v>0</v>
      </c>
      <c r="CA82" s="526">
        <f t="shared" si="374"/>
        <v>0</v>
      </c>
      <c r="CB82" s="545">
        <f>SUM(BP82:CA82)</f>
        <v>0</v>
      </c>
      <c r="CC82" s="526">
        <f>IF(CC$80&lt;0,CC$80*-1,0)</f>
        <v>0</v>
      </c>
      <c r="CD82" s="526">
        <f t="shared" ref="CD82:CN82" si="375">IF(CD$80&lt;0,CD$80*-1,0)</f>
        <v>0</v>
      </c>
      <c r="CE82" s="526">
        <f t="shared" si="375"/>
        <v>0</v>
      </c>
      <c r="CF82" s="526">
        <f t="shared" si="375"/>
        <v>0</v>
      </c>
      <c r="CG82" s="526">
        <f t="shared" si="375"/>
        <v>0</v>
      </c>
      <c r="CH82" s="526">
        <f t="shared" si="375"/>
        <v>0</v>
      </c>
      <c r="CI82" s="526">
        <f t="shared" si="375"/>
        <v>0</v>
      </c>
      <c r="CJ82" s="526">
        <f t="shared" si="375"/>
        <v>0</v>
      </c>
      <c r="CK82" s="526">
        <f t="shared" si="375"/>
        <v>0</v>
      </c>
      <c r="CL82" s="526">
        <f t="shared" si="375"/>
        <v>0</v>
      </c>
      <c r="CM82" s="526">
        <f t="shared" si="375"/>
        <v>0</v>
      </c>
      <c r="CN82" s="526">
        <f t="shared" si="375"/>
        <v>0</v>
      </c>
      <c r="CO82" s="545">
        <f>SUM('Cashflow Projection &amp; Investme'!$B82:$N82)</f>
        <v>8416320</v>
      </c>
    </row>
    <row r="83" spans="1:93" s="107" customFormat="1" ht="24.95" hidden="1" customHeight="1" outlineLevel="1" thickBot="1">
      <c r="A83" s="123" t="s">
        <v>344</v>
      </c>
      <c r="B83" s="525">
        <f t="shared" ref="B83:N83" si="376">B80+SUM(B82)</f>
        <v>0</v>
      </c>
      <c r="C83" s="525">
        <f t="shared" si="376"/>
        <v>0</v>
      </c>
      <c r="D83" s="525">
        <f t="shared" si="376"/>
        <v>0</v>
      </c>
      <c r="E83" s="525">
        <f t="shared" si="376"/>
        <v>0</v>
      </c>
      <c r="F83" s="525">
        <f t="shared" si="376"/>
        <v>0</v>
      </c>
      <c r="G83" s="525">
        <f t="shared" si="376"/>
        <v>0</v>
      </c>
      <c r="H83" s="525">
        <f t="shared" si="376"/>
        <v>0</v>
      </c>
      <c r="I83" s="525">
        <f t="shared" si="376"/>
        <v>0</v>
      </c>
      <c r="J83" s="525">
        <f t="shared" si="376"/>
        <v>0</v>
      </c>
      <c r="K83" s="525">
        <f t="shared" si="376"/>
        <v>0</v>
      </c>
      <c r="L83" s="525">
        <f t="shared" si="376"/>
        <v>0</v>
      </c>
      <c r="M83" s="525">
        <f t="shared" si="376"/>
        <v>0</v>
      </c>
      <c r="N83" s="525">
        <f t="shared" si="376"/>
        <v>0</v>
      </c>
      <c r="O83" s="517"/>
      <c r="P83" s="525">
        <f t="shared" ref="P83:AA83" si="377">P80+SUM(P82)</f>
        <v>0</v>
      </c>
      <c r="Q83" s="525">
        <f t="shared" si="377"/>
        <v>0</v>
      </c>
      <c r="R83" s="525">
        <f t="shared" si="377"/>
        <v>0</v>
      </c>
      <c r="S83" s="525">
        <f t="shared" si="377"/>
        <v>0</v>
      </c>
      <c r="T83" s="525">
        <f t="shared" si="377"/>
        <v>0</v>
      </c>
      <c r="U83" s="525">
        <f t="shared" si="377"/>
        <v>0</v>
      </c>
      <c r="V83" s="525">
        <f t="shared" si="377"/>
        <v>0</v>
      </c>
      <c r="W83" s="525">
        <f t="shared" si="377"/>
        <v>0</v>
      </c>
      <c r="X83" s="525">
        <f t="shared" si="377"/>
        <v>0</v>
      </c>
      <c r="Y83" s="525">
        <f t="shared" si="377"/>
        <v>0</v>
      </c>
      <c r="Z83" s="525">
        <f t="shared" si="377"/>
        <v>0</v>
      </c>
      <c r="AA83" s="525">
        <f t="shared" si="377"/>
        <v>0</v>
      </c>
      <c r="AB83" s="546">
        <f t="shared" ref="AB83:AB89" si="378">SUM(AB82:AB82)</f>
        <v>0</v>
      </c>
      <c r="AC83" s="525">
        <f t="shared" ref="AC83:AN83" si="379">AC80+SUM(AC82)</f>
        <v>0</v>
      </c>
      <c r="AD83" s="525">
        <f t="shared" si="379"/>
        <v>0</v>
      </c>
      <c r="AE83" s="525">
        <f t="shared" si="379"/>
        <v>0</v>
      </c>
      <c r="AF83" s="525">
        <f t="shared" si="379"/>
        <v>0</v>
      </c>
      <c r="AG83" s="525">
        <f t="shared" si="379"/>
        <v>0</v>
      </c>
      <c r="AH83" s="525">
        <f t="shared" si="379"/>
        <v>0</v>
      </c>
      <c r="AI83" s="525">
        <f t="shared" si="379"/>
        <v>0</v>
      </c>
      <c r="AJ83" s="525">
        <f t="shared" si="379"/>
        <v>0</v>
      </c>
      <c r="AK83" s="525">
        <f t="shared" si="379"/>
        <v>0</v>
      </c>
      <c r="AL83" s="525">
        <f t="shared" si="379"/>
        <v>0</v>
      </c>
      <c r="AM83" s="525">
        <f t="shared" si="379"/>
        <v>0</v>
      </c>
      <c r="AN83" s="525">
        <f t="shared" si="379"/>
        <v>0</v>
      </c>
      <c r="AO83" s="544"/>
      <c r="AP83" s="525">
        <f t="shared" ref="AP83:BA83" si="380">AP80+SUM(AP82)</f>
        <v>0</v>
      </c>
      <c r="AQ83" s="525">
        <f t="shared" si="380"/>
        <v>0</v>
      </c>
      <c r="AR83" s="525">
        <f t="shared" si="380"/>
        <v>0</v>
      </c>
      <c r="AS83" s="525">
        <f t="shared" si="380"/>
        <v>0</v>
      </c>
      <c r="AT83" s="525">
        <f t="shared" si="380"/>
        <v>0</v>
      </c>
      <c r="AU83" s="525">
        <f t="shared" si="380"/>
        <v>0</v>
      </c>
      <c r="AV83" s="525">
        <f t="shared" si="380"/>
        <v>0</v>
      </c>
      <c r="AW83" s="525">
        <f t="shared" si="380"/>
        <v>0</v>
      </c>
      <c r="AX83" s="525">
        <f t="shared" si="380"/>
        <v>0</v>
      </c>
      <c r="AY83" s="525">
        <f t="shared" si="380"/>
        <v>0</v>
      </c>
      <c r="AZ83" s="525">
        <f t="shared" si="380"/>
        <v>0</v>
      </c>
      <c r="BA83" s="525">
        <f t="shared" si="380"/>
        <v>0</v>
      </c>
      <c r="BB83" s="544"/>
      <c r="BC83" s="525">
        <f t="shared" ref="BC83:BN83" si="381">BC80+SUM(BC82)</f>
        <v>0</v>
      </c>
      <c r="BD83" s="525">
        <f t="shared" si="381"/>
        <v>0</v>
      </c>
      <c r="BE83" s="525">
        <f t="shared" si="381"/>
        <v>0</v>
      </c>
      <c r="BF83" s="525">
        <f t="shared" si="381"/>
        <v>0</v>
      </c>
      <c r="BG83" s="525">
        <f t="shared" si="381"/>
        <v>0</v>
      </c>
      <c r="BH83" s="525">
        <f t="shared" si="381"/>
        <v>0</v>
      </c>
      <c r="BI83" s="525">
        <f t="shared" si="381"/>
        <v>0</v>
      </c>
      <c r="BJ83" s="525">
        <f t="shared" si="381"/>
        <v>0</v>
      </c>
      <c r="BK83" s="525">
        <f t="shared" si="381"/>
        <v>0</v>
      </c>
      <c r="BL83" s="525">
        <f t="shared" si="381"/>
        <v>0</v>
      </c>
      <c r="BM83" s="525">
        <f t="shared" si="381"/>
        <v>0</v>
      </c>
      <c r="BN83" s="525">
        <f t="shared" si="381"/>
        <v>0</v>
      </c>
      <c r="BO83" s="544"/>
      <c r="BP83" s="525">
        <f t="shared" ref="BP83:CA83" si="382">BP80+SUM(BP82)</f>
        <v>0</v>
      </c>
      <c r="BQ83" s="525">
        <f t="shared" si="382"/>
        <v>0</v>
      </c>
      <c r="BR83" s="525">
        <f t="shared" si="382"/>
        <v>0</v>
      </c>
      <c r="BS83" s="525">
        <f t="shared" si="382"/>
        <v>0</v>
      </c>
      <c r="BT83" s="525">
        <f t="shared" si="382"/>
        <v>0</v>
      </c>
      <c r="BU83" s="525">
        <f t="shared" si="382"/>
        <v>0</v>
      </c>
      <c r="BV83" s="525">
        <f t="shared" si="382"/>
        <v>0</v>
      </c>
      <c r="BW83" s="525">
        <f t="shared" si="382"/>
        <v>0</v>
      </c>
      <c r="BX83" s="525">
        <f t="shared" si="382"/>
        <v>0</v>
      </c>
      <c r="BY83" s="525">
        <f t="shared" si="382"/>
        <v>0</v>
      </c>
      <c r="BZ83" s="525">
        <f t="shared" si="382"/>
        <v>0</v>
      </c>
      <c r="CA83" s="525">
        <f t="shared" si="382"/>
        <v>0</v>
      </c>
      <c r="CB83" s="544"/>
      <c r="CC83" s="525">
        <f t="shared" ref="CC83:CN83" si="383">CC80+SUM(CC82)</f>
        <v>0</v>
      </c>
      <c r="CD83" s="525">
        <f t="shared" si="383"/>
        <v>0</v>
      </c>
      <c r="CE83" s="525">
        <f t="shared" si="383"/>
        <v>0</v>
      </c>
      <c r="CF83" s="525">
        <f t="shared" si="383"/>
        <v>0</v>
      </c>
      <c r="CG83" s="525">
        <f t="shared" si="383"/>
        <v>0</v>
      </c>
      <c r="CH83" s="525">
        <f t="shared" si="383"/>
        <v>0</v>
      </c>
      <c r="CI83" s="525">
        <f t="shared" si="383"/>
        <v>0</v>
      </c>
      <c r="CJ83" s="525">
        <f t="shared" si="383"/>
        <v>0</v>
      </c>
      <c r="CK83" s="525">
        <f t="shared" si="383"/>
        <v>0</v>
      </c>
      <c r="CL83" s="525">
        <f t="shared" si="383"/>
        <v>0</v>
      </c>
      <c r="CM83" s="525">
        <f t="shared" si="383"/>
        <v>0</v>
      </c>
      <c r="CN83" s="525">
        <f t="shared" si="383"/>
        <v>0</v>
      </c>
      <c r="CO83" s="544"/>
    </row>
    <row r="84" spans="1:93" s="104" customFormat="1" ht="24.95" hidden="1" customHeight="1" outlineLevel="1" thickBot="1">
      <c r="A84" s="188" t="str">
        <f>'Summary. Assumptions. Inputs'!$G$31</f>
        <v>Debt financing</v>
      </c>
      <c r="B84" s="529">
        <f>'Capital Expenditures'!H128</f>
        <v>0</v>
      </c>
      <c r="C84" s="530"/>
      <c r="D84" s="530"/>
      <c r="E84" s="530"/>
      <c r="F84" s="530"/>
      <c r="G84" s="530"/>
      <c r="H84" s="530"/>
      <c r="I84" s="530"/>
      <c r="J84" s="530"/>
      <c r="K84" s="530"/>
      <c r="L84" s="530"/>
      <c r="M84" s="530"/>
      <c r="N84" s="530"/>
      <c r="O84" s="554">
        <f>SUM('Cashflow Projection &amp; Investme'!$B84:$N84)</f>
        <v>0</v>
      </c>
      <c r="P84" s="530"/>
      <c r="Q84" s="530"/>
      <c r="R84" s="530"/>
      <c r="S84" s="530"/>
      <c r="T84" s="530"/>
      <c r="U84" s="530"/>
      <c r="V84" s="530"/>
      <c r="W84" s="530"/>
      <c r="X84" s="530"/>
      <c r="Y84" s="530"/>
      <c r="Z84" s="530"/>
      <c r="AA84" s="530"/>
      <c r="AB84" s="546">
        <f t="shared" si="378"/>
        <v>0</v>
      </c>
      <c r="AC84" s="530"/>
      <c r="AD84" s="530"/>
      <c r="AE84" s="530"/>
      <c r="AF84" s="530"/>
      <c r="AG84" s="530"/>
      <c r="AH84" s="530"/>
      <c r="AI84" s="530"/>
      <c r="AJ84" s="530"/>
      <c r="AK84" s="530"/>
      <c r="AL84" s="530"/>
      <c r="AM84" s="530"/>
      <c r="AN84" s="530"/>
      <c r="AO84" s="550">
        <f>SUM('Cashflow Projection &amp; Investme'!$B84:$N84)</f>
        <v>0</v>
      </c>
      <c r="AP84" s="530"/>
      <c r="AQ84" s="530"/>
      <c r="AR84" s="530"/>
      <c r="AS84" s="530"/>
      <c r="AT84" s="530"/>
      <c r="AU84" s="530"/>
      <c r="AV84" s="530"/>
      <c r="AW84" s="530"/>
      <c r="AX84" s="530"/>
      <c r="AY84" s="530"/>
      <c r="AZ84" s="530"/>
      <c r="BA84" s="530"/>
      <c r="BB84" s="550">
        <f>SUM('Cashflow Projection &amp; Investme'!$B84:$N84)</f>
        <v>0</v>
      </c>
      <c r="BC84" s="530"/>
      <c r="BD84" s="530"/>
      <c r="BE84" s="530"/>
      <c r="BF84" s="530"/>
      <c r="BG84" s="530"/>
      <c r="BH84" s="530"/>
      <c r="BI84" s="530"/>
      <c r="BJ84" s="530"/>
      <c r="BK84" s="530"/>
      <c r="BL84" s="530"/>
      <c r="BM84" s="530"/>
      <c r="BN84" s="530"/>
      <c r="BO84" s="550">
        <f>SUM('Cashflow Projection &amp; Investme'!$B84:$N84)</f>
        <v>0</v>
      </c>
      <c r="BP84" s="530"/>
      <c r="BQ84" s="530"/>
      <c r="BR84" s="530"/>
      <c r="BS84" s="530"/>
      <c r="BT84" s="530"/>
      <c r="BU84" s="530"/>
      <c r="BV84" s="530"/>
      <c r="BW84" s="530"/>
      <c r="BX84" s="530"/>
      <c r="BY84" s="530"/>
      <c r="BZ84" s="530"/>
      <c r="CA84" s="530"/>
      <c r="CB84" s="550">
        <f>SUM('Cashflow Projection &amp; Investme'!$B84:$N84)</f>
        <v>0</v>
      </c>
      <c r="CC84" s="530"/>
      <c r="CD84" s="530"/>
      <c r="CE84" s="530"/>
      <c r="CF84" s="530"/>
      <c r="CG84" s="530"/>
      <c r="CH84" s="530"/>
      <c r="CI84" s="530"/>
      <c r="CJ84" s="530"/>
      <c r="CK84" s="530"/>
      <c r="CL84" s="530"/>
      <c r="CM84" s="530"/>
      <c r="CN84" s="530"/>
      <c r="CO84" s="550">
        <f>SUM('Cashflow Projection &amp; Investme'!$B84:$N84)</f>
        <v>0</v>
      </c>
    </row>
    <row r="85" spans="1:93" s="107" customFormat="1" ht="24.95" hidden="1" customHeight="1" outlineLevel="1" thickBot="1">
      <c r="A85" s="123" t="s">
        <v>345</v>
      </c>
      <c r="B85" s="525">
        <f t="shared" ref="B85:N85" si="384">B83+SUM(B84)</f>
        <v>0</v>
      </c>
      <c r="C85" s="525">
        <f t="shared" si="384"/>
        <v>0</v>
      </c>
      <c r="D85" s="525">
        <f t="shared" si="384"/>
        <v>0</v>
      </c>
      <c r="E85" s="525">
        <f t="shared" si="384"/>
        <v>0</v>
      </c>
      <c r="F85" s="525">
        <f t="shared" si="384"/>
        <v>0</v>
      </c>
      <c r="G85" s="525">
        <f t="shared" si="384"/>
        <v>0</v>
      </c>
      <c r="H85" s="525">
        <f t="shared" si="384"/>
        <v>0</v>
      </c>
      <c r="I85" s="525">
        <f t="shared" si="384"/>
        <v>0</v>
      </c>
      <c r="J85" s="525">
        <f t="shared" si="384"/>
        <v>0</v>
      </c>
      <c r="K85" s="525">
        <f t="shared" si="384"/>
        <v>0</v>
      </c>
      <c r="L85" s="525">
        <f t="shared" si="384"/>
        <v>0</v>
      </c>
      <c r="M85" s="525">
        <f t="shared" si="384"/>
        <v>0</v>
      </c>
      <c r="N85" s="525">
        <f t="shared" si="384"/>
        <v>0</v>
      </c>
      <c r="O85" s="517"/>
      <c r="P85" s="525">
        <f t="shared" ref="P85:AA85" si="385">P83+SUM(P84)</f>
        <v>0</v>
      </c>
      <c r="Q85" s="525">
        <f t="shared" si="385"/>
        <v>0</v>
      </c>
      <c r="R85" s="525">
        <f t="shared" si="385"/>
        <v>0</v>
      </c>
      <c r="S85" s="525">
        <f t="shared" si="385"/>
        <v>0</v>
      </c>
      <c r="T85" s="525">
        <f t="shared" si="385"/>
        <v>0</v>
      </c>
      <c r="U85" s="525">
        <f t="shared" si="385"/>
        <v>0</v>
      </c>
      <c r="V85" s="525">
        <f t="shared" si="385"/>
        <v>0</v>
      </c>
      <c r="W85" s="525">
        <f t="shared" si="385"/>
        <v>0</v>
      </c>
      <c r="X85" s="525">
        <f t="shared" si="385"/>
        <v>0</v>
      </c>
      <c r="Y85" s="525">
        <f t="shared" si="385"/>
        <v>0</v>
      </c>
      <c r="Z85" s="525">
        <f t="shared" si="385"/>
        <v>0</v>
      </c>
      <c r="AA85" s="525">
        <f t="shared" si="385"/>
        <v>0</v>
      </c>
      <c r="AB85" s="546">
        <f t="shared" si="378"/>
        <v>0</v>
      </c>
      <c r="AC85" s="525">
        <f t="shared" ref="AC85:AN85" si="386">AC83+SUM(AC84)</f>
        <v>0</v>
      </c>
      <c r="AD85" s="525">
        <f t="shared" si="386"/>
        <v>0</v>
      </c>
      <c r="AE85" s="525">
        <f t="shared" si="386"/>
        <v>0</v>
      </c>
      <c r="AF85" s="525">
        <f t="shared" si="386"/>
        <v>0</v>
      </c>
      <c r="AG85" s="525">
        <f t="shared" si="386"/>
        <v>0</v>
      </c>
      <c r="AH85" s="525">
        <f t="shared" si="386"/>
        <v>0</v>
      </c>
      <c r="AI85" s="525">
        <f t="shared" si="386"/>
        <v>0</v>
      </c>
      <c r="AJ85" s="525">
        <f t="shared" si="386"/>
        <v>0</v>
      </c>
      <c r="AK85" s="525">
        <f t="shared" si="386"/>
        <v>0</v>
      </c>
      <c r="AL85" s="525">
        <f t="shared" si="386"/>
        <v>0</v>
      </c>
      <c r="AM85" s="525">
        <f t="shared" si="386"/>
        <v>0</v>
      </c>
      <c r="AN85" s="525">
        <f t="shared" si="386"/>
        <v>0</v>
      </c>
      <c r="AO85" s="544"/>
      <c r="AP85" s="525">
        <f t="shared" ref="AP85:BA85" si="387">AP83+SUM(AP84)</f>
        <v>0</v>
      </c>
      <c r="AQ85" s="525">
        <f t="shared" si="387"/>
        <v>0</v>
      </c>
      <c r="AR85" s="525">
        <f t="shared" si="387"/>
        <v>0</v>
      </c>
      <c r="AS85" s="525">
        <f t="shared" si="387"/>
        <v>0</v>
      </c>
      <c r="AT85" s="525">
        <f t="shared" si="387"/>
        <v>0</v>
      </c>
      <c r="AU85" s="525">
        <f t="shared" si="387"/>
        <v>0</v>
      </c>
      <c r="AV85" s="525">
        <f t="shared" si="387"/>
        <v>0</v>
      </c>
      <c r="AW85" s="525">
        <f t="shared" si="387"/>
        <v>0</v>
      </c>
      <c r="AX85" s="525">
        <f t="shared" si="387"/>
        <v>0</v>
      </c>
      <c r="AY85" s="525">
        <f t="shared" si="387"/>
        <v>0</v>
      </c>
      <c r="AZ85" s="525">
        <f t="shared" si="387"/>
        <v>0</v>
      </c>
      <c r="BA85" s="525">
        <f t="shared" si="387"/>
        <v>0</v>
      </c>
      <c r="BB85" s="544"/>
      <c r="BC85" s="525">
        <f t="shared" ref="BC85:BN85" si="388">BC83+SUM(BC84)</f>
        <v>0</v>
      </c>
      <c r="BD85" s="525">
        <f t="shared" si="388"/>
        <v>0</v>
      </c>
      <c r="BE85" s="525">
        <f t="shared" si="388"/>
        <v>0</v>
      </c>
      <c r="BF85" s="525">
        <f t="shared" si="388"/>
        <v>0</v>
      </c>
      <c r="BG85" s="525">
        <f t="shared" si="388"/>
        <v>0</v>
      </c>
      <c r="BH85" s="525">
        <f t="shared" si="388"/>
        <v>0</v>
      </c>
      <c r="BI85" s="525">
        <f t="shared" si="388"/>
        <v>0</v>
      </c>
      <c r="BJ85" s="525">
        <f t="shared" si="388"/>
        <v>0</v>
      </c>
      <c r="BK85" s="525">
        <f t="shared" si="388"/>
        <v>0</v>
      </c>
      <c r="BL85" s="525">
        <f t="shared" si="388"/>
        <v>0</v>
      </c>
      <c r="BM85" s="525">
        <f t="shared" si="388"/>
        <v>0</v>
      </c>
      <c r="BN85" s="525">
        <f t="shared" si="388"/>
        <v>0</v>
      </c>
      <c r="BO85" s="544"/>
      <c r="BP85" s="525">
        <f t="shared" ref="BP85:CA85" si="389">BP83+SUM(BP84)</f>
        <v>0</v>
      </c>
      <c r="BQ85" s="525">
        <f t="shared" si="389"/>
        <v>0</v>
      </c>
      <c r="BR85" s="525">
        <f t="shared" si="389"/>
        <v>0</v>
      </c>
      <c r="BS85" s="525">
        <f t="shared" si="389"/>
        <v>0</v>
      </c>
      <c r="BT85" s="525">
        <f t="shared" si="389"/>
        <v>0</v>
      </c>
      <c r="BU85" s="525">
        <f t="shared" si="389"/>
        <v>0</v>
      </c>
      <c r="BV85" s="525">
        <f t="shared" si="389"/>
        <v>0</v>
      </c>
      <c r="BW85" s="525">
        <f t="shared" si="389"/>
        <v>0</v>
      </c>
      <c r="BX85" s="525">
        <f t="shared" si="389"/>
        <v>0</v>
      </c>
      <c r="BY85" s="525">
        <f t="shared" si="389"/>
        <v>0</v>
      </c>
      <c r="BZ85" s="525">
        <f t="shared" si="389"/>
        <v>0</v>
      </c>
      <c r="CA85" s="525">
        <f t="shared" si="389"/>
        <v>0</v>
      </c>
      <c r="CB85" s="544"/>
      <c r="CC85" s="525">
        <f t="shared" ref="CC85:CN85" si="390">CC83+SUM(CC84)</f>
        <v>0</v>
      </c>
      <c r="CD85" s="525">
        <f t="shared" si="390"/>
        <v>0</v>
      </c>
      <c r="CE85" s="525">
        <f t="shared" si="390"/>
        <v>0</v>
      </c>
      <c r="CF85" s="525">
        <f t="shared" si="390"/>
        <v>0</v>
      </c>
      <c r="CG85" s="525">
        <f t="shared" si="390"/>
        <v>0</v>
      </c>
      <c r="CH85" s="525">
        <f t="shared" si="390"/>
        <v>0</v>
      </c>
      <c r="CI85" s="525">
        <f t="shared" si="390"/>
        <v>0</v>
      </c>
      <c r="CJ85" s="525">
        <f t="shared" si="390"/>
        <v>0</v>
      </c>
      <c r="CK85" s="525">
        <f t="shared" si="390"/>
        <v>0</v>
      </c>
      <c r="CL85" s="525">
        <f t="shared" si="390"/>
        <v>0</v>
      </c>
      <c r="CM85" s="525">
        <f t="shared" si="390"/>
        <v>0</v>
      </c>
      <c r="CN85" s="525">
        <f t="shared" si="390"/>
        <v>0</v>
      </c>
      <c r="CO85" s="544"/>
    </row>
    <row r="86" spans="1:93" s="104" customFormat="1" ht="24.95" hidden="1" customHeight="1" outlineLevel="1" thickBot="1">
      <c r="A86" s="188" t="str">
        <f>'Summary. Assumptions. Inputs'!$G$38</f>
        <v>Grant (Capex)</v>
      </c>
      <c r="B86" s="532">
        <f>'Capital Expenditures'!H129</f>
        <v>0</v>
      </c>
      <c r="C86" s="532"/>
      <c r="D86" s="532"/>
      <c r="E86" s="532"/>
      <c r="F86" s="532"/>
      <c r="G86" s="532"/>
      <c r="H86" s="532"/>
      <c r="I86" s="532"/>
      <c r="J86" s="532"/>
      <c r="K86" s="532"/>
      <c r="L86" s="532"/>
      <c r="M86" s="532"/>
      <c r="N86" s="532"/>
      <c r="O86" s="555">
        <f>SUM('Cashflow Projection &amp; Investme'!$B86:$N86)</f>
        <v>0</v>
      </c>
      <c r="P86" s="532"/>
      <c r="Q86" s="532"/>
      <c r="R86" s="532"/>
      <c r="S86" s="532"/>
      <c r="T86" s="532"/>
      <c r="U86" s="532"/>
      <c r="V86" s="532"/>
      <c r="W86" s="532"/>
      <c r="X86" s="532"/>
      <c r="Y86" s="532"/>
      <c r="Z86" s="532"/>
      <c r="AA86" s="532"/>
      <c r="AB86" s="546">
        <f t="shared" si="378"/>
        <v>0</v>
      </c>
      <c r="AC86" s="532"/>
      <c r="AD86" s="532"/>
      <c r="AE86" s="532"/>
      <c r="AF86" s="532"/>
      <c r="AG86" s="532"/>
      <c r="AH86" s="532"/>
      <c r="AI86" s="532"/>
      <c r="AJ86" s="532"/>
      <c r="AK86" s="532"/>
      <c r="AL86" s="532"/>
      <c r="AM86" s="532"/>
      <c r="AN86" s="532"/>
      <c r="AO86" s="550">
        <f>SUM('Cashflow Projection &amp; Investme'!$B86:$N86)</f>
        <v>0</v>
      </c>
      <c r="AP86" s="532"/>
      <c r="AQ86" s="532"/>
      <c r="AR86" s="532"/>
      <c r="AS86" s="532"/>
      <c r="AT86" s="532"/>
      <c r="AU86" s="532"/>
      <c r="AV86" s="532"/>
      <c r="AW86" s="532"/>
      <c r="AX86" s="532"/>
      <c r="AY86" s="532"/>
      <c r="AZ86" s="532"/>
      <c r="BA86" s="532"/>
      <c r="BB86" s="550">
        <f>SUM('Cashflow Projection &amp; Investme'!$B86:$N86)</f>
        <v>0</v>
      </c>
      <c r="BC86" s="532"/>
      <c r="BD86" s="532"/>
      <c r="BE86" s="532"/>
      <c r="BF86" s="532"/>
      <c r="BG86" s="532"/>
      <c r="BH86" s="532"/>
      <c r="BI86" s="532"/>
      <c r="BJ86" s="532"/>
      <c r="BK86" s="532"/>
      <c r="BL86" s="532"/>
      <c r="BM86" s="532"/>
      <c r="BN86" s="532"/>
      <c r="BO86" s="550">
        <f>SUM('Cashflow Projection &amp; Investme'!$B86:$N86)</f>
        <v>0</v>
      </c>
      <c r="BP86" s="532"/>
      <c r="BQ86" s="532"/>
      <c r="BR86" s="532"/>
      <c r="BS86" s="532"/>
      <c r="BT86" s="532"/>
      <c r="BU86" s="532"/>
      <c r="BV86" s="532"/>
      <c r="BW86" s="532"/>
      <c r="BX86" s="532"/>
      <c r="BY86" s="532"/>
      <c r="BZ86" s="532"/>
      <c r="CA86" s="532"/>
      <c r="CB86" s="545">
        <f>SUM(BP86:CA86)</f>
        <v>0</v>
      </c>
      <c r="CC86" s="532"/>
      <c r="CD86" s="532"/>
      <c r="CE86" s="532"/>
      <c r="CF86" s="532"/>
      <c r="CG86" s="532"/>
      <c r="CH86" s="532"/>
      <c r="CI86" s="532"/>
      <c r="CJ86" s="532"/>
      <c r="CK86" s="532"/>
      <c r="CL86" s="532"/>
      <c r="CM86" s="532"/>
      <c r="CN86" s="532"/>
      <c r="CO86" s="550">
        <f>SUM('Cashflow Projection &amp; Investme'!$B86:$N86)</f>
        <v>0</v>
      </c>
    </row>
    <row r="87" spans="1:93" s="107" customFormat="1" ht="24.95" hidden="1" customHeight="1" outlineLevel="1" thickBot="1">
      <c r="A87" s="123" t="s">
        <v>346</v>
      </c>
      <c r="B87" s="525">
        <f t="shared" ref="B87:N87" si="391">B85+SUM(B86)</f>
        <v>0</v>
      </c>
      <c r="C87" s="525">
        <f t="shared" si="391"/>
        <v>0</v>
      </c>
      <c r="D87" s="525">
        <f t="shared" si="391"/>
        <v>0</v>
      </c>
      <c r="E87" s="525">
        <f t="shared" si="391"/>
        <v>0</v>
      </c>
      <c r="F87" s="525">
        <f t="shared" si="391"/>
        <v>0</v>
      </c>
      <c r="G87" s="525">
        <f t="shared" si="391"/>
        <v>0</v>
      </c>
      <c r="H87" s="525">
        <f t="shared" si="391"/>
        <v>0</v>
      </c>
      <c r="I87" s="525">
        <f t="shared" si="391"/>
        <v>0</v>
      </c>
      <c r="J87" s="525">
        <f t="shared" si="391"/>
        <v>0</v>
      </c>
      <c r="K87" s="525">
        <f t="shared" si="391"/>
        <v>0</v>
      </c>
      <c r="L87" s="525">
        <f t="shared" si="391"/>
        <v>0</v>
      </c>
      <c r="M87" s="525">
        <f t="shared" si="391"/>
        <v>0</v>
      </c>
      <c r="N87" s="525">
        <f t="shared" si="391"/>
        <v>0</v>
      </c>
      <c r="O87" s="517"/>
      <c r="P87" s="525">
        <f t="shared" ref="P87:AA87" si="392">P85+SUM(P86)</f>
        <v>0</v>
      </c>
      <c r="Q87" s="525">
        <f t="shared" si="392"/>
        <v>0</v>
      </c>
      <c r="R87" s="525">
        <f t="shared" si="392"/>
        <v>0</v>
      </c>
      <c r="S87" s="525">
        <f t="shared" si="392"/>
        <v>0</v>
      </c>
      <c r="T87" s="525">
        <f t="shared" si="392"/>
        <v>0</v>
      </c>
      <c r="U87" s="525">
        <f t="shared" si="392"/>
        <v>0</v>
      </c>
      <c r="V87" s="525">
        <f t="shared" si="392"/>
        <v>0</v>
      </c>
      <c r="W87" s="525">
        <f t="shared" si="392"/>
        <v>0</v>
      </c>
      <c r="X87" s="525">
        <f t="shared" si="392"/>
        <v>0</v>
      </c>
      <c r="Y87" s="525">
        <f t="shared" si="392"/>
        <v>0</v>
      </c>
      <c r="Z87" s="525">
        <f t="shared" si="392"/>
        <v>0</v>
      </c>
      <c r="AA87" s="525">
        <f t="shared" si="392"/>
        <v>0</v>
      </c>
      <c r="AB87" s="546">
        <f t="shared" si="378"/>
        <v>0</v>
      </c>
      <c r="AC87" s="525">
        <f t="shared" ref="AC87:AN87" si="393">AC85+SUM(AC86)</f>
        <v>0</v>
      </c>
      <c r="AD87" s="525">
        <f t="shared" si="393"/>
        <v>0</v>
      </c>
      <c r="AE87" s="525">
        <f t="shared" si="393"/>
        <v>0</v>
      </c>
      <c r="AF87" s="525">
        <f t="shared" si="393"/>
        <v>0</v>
      </c>
      <c r="AG87" s="525">
        <f t="shared" si="393"/>
        <v>0</v>
      </c>
      <c r="AH87" s="525">
        <f t="shared" si="393"/>
        <v>0</v>
      </c>
      <c r="AI87" s="525">
        <f t="shared" si="393"/>
        <v>0</v>
      </c>
      <c r="AJ87" s="525">
        <f t="shared" si="393"/>
        <v>0</v>
      </c>
      <c r="AK87" s="525">
        <f t="shared" si="393"/>
        <v>0</v>
      </c>
      <c r="AL87" s="525">
        <f t="shared" si="393"/>
        <v>0</v>
      </c>
      <c r="AM87" s="525">
        <f t="shared" si="393"/>
        <v>0</v>
      </c>
      <c r="AN87" s="525">
        <f t="shared" si="393"/>
        <v>0</v>
      </c>
      <c r="AO87" s="544"/>
      <c r="AP87" s="525">
        <f t="shared" ref="AP87:BA87" si="394">AP85+SUM(AP86)</f>
        <v>0</v>
      </c>
      <c r="AQ87" s="525">
        <f t="shared" si="394"/>
        <v>0</v>
      </c>
      <c r="AR87" s="525">
        <f t="shared" si="394"/>
        <v>0</v>
      </c>
      <c r="AS87" s="525">
        <f t="shared" si="394"/>
        <v>0</v>
      </c>
      <c r="AT87" s="525">
        <f t="shared" si="394"/>
        <v>0</v>
      </c>
      <c r="AU87" s="525">
        <f t="shared" si="394"/>
        <v>0</v>
      </c>
      <c r="AV87" s="525">
        <f t="shared" si="394"/>
        <v>0</v>
      </c>
      <c r="AW87" s="525">
        <f t="shared" si="394"/>
        <v>0</v>
      </c>
      <c r="AX87" s="525">
        <f t="shared" si="394"/>
        <v>0</v>
      </c>
      <c r="AY87" s="525">
        <f t="shared" si="394"/>
        <v>0</v>
      </c>
      <c r="AZ87" s="525">
        <f t="shared" si="394"/>
        <v>0</v>
      </c>
      <c r="BA87" s="525">
        <f t="shared" si="394"/>
        <v>0</v>
      </c>
      <c r="BB87" s="544"/>
      <c r="BC87" s="525">
        <f t="shared" ref="BC87:BN87" si="395">BC85+SUM(BC86)</f>
        <v>0</v>
      </c>
      <c r="BD87" s="525">
        <f t="shared" si="395"/>
        <v>0</v>
      </c>
      <c r="BE87" s="525">
        <f t="shared" si="395"/>
        <v>0</v>
      </c>
      <c r="BF87" s="525">
        <f t="shared" si="395"/>
        <v>0</v>
      </c>
      <c r="BG87" s="525">
        <f t="shared" si="395"/>
        <v>0</v>
      </c>
      <c r="BH87" s="525">
        <f t="shared" si="395"/>
        <v>0</v>
      </c>
      <c r="BI87" s="525">
        <f t="shared" si="395"/>
        <v>0</v>
      </c>
      <c r="BJ87" s="525">
        <f t="shared" si="395"/>
        <v>0</v>
      </c>
      <c r="BK87" s="525">
        <f t="shared" si="395"/>
        <v>0</v>
      </c>
      <c r="BL87" s="525">
        <f t="shared" si="395"/>
        <v>0</v>
      </c>
      <c r="BM87" s="525">
        <f t="shared" si="395"/>
        <v>0</v>
      </c>
      <c r="BN87" s="525">
        <f t="shared" si="395"/>
        <v>0</v>
      </c>
      <c r="BO87" s="544"/>
      <c r="BP87" s="525">
        <f t="shared" ref="BP87:CA87" si="396">BP85+SUM(BP86)</f>
        <v>0</v>
      </c>
      <c r="BQ87" s="525">
        <f t="shared" si="396"/>
        <v>0</v>
      </c>
      <c r="BR87" s="525">
        <f t="shared" si="396"/>
        <v>0</v>
      </c>
      <c r="BS87" s="525">
        <f t="shared" si="396"/>
        <v>0</v>
      </c>
      <c r="BT87" s="525">
        <f t="shared" si="396"/>
        <v>0</v>
      </c>
      <c r="BU87" s="525">
        <f t="shared" si="396"/>
        <v>0</v>
      </c>
      <c r="BV87" s="525">
        <f t="shared" si="396"/>
        <v>0</v>
      </c>
      <c r="BW87" s="525">
        <f t="shared" si="396"/>
        <v>0</v>
      </c>
      <c r="BX87" s="525">
        <f t="shared" si="396"/>
        <v>0</v>
      </c>
      <c r="BY87" s="525">
        <f t="shared" si="396"/>
        <v>0</v>
      </c>
      <c r="BZ87" s="525">
        <f t="shared" si="396"/>
        <v>0</v>
      </c>
      <c r="CA87" s="525">
        <f t="shared" si="396"/>
        <v>0</v>
      </c>
      <c r="CB87" s="544"/>
      <c r="CC87" s="525">
        <f t="shared" ref="CC87:CN87" si="397">CC85+SUM(CC86)</f>
        <v>0</v>
      </c>
      <c r="CD87" s="525">
        <f t="shared" si="397"/>
        <v>0</v>
      </c>
      <c r="CE87" s="525">
        <f t="shared" si="397"/>
        <v>0</v>
      </c>
      <c r="CF87" s="525">
        <f t="shared" si="397"/>
        <v>0</v>
      </c>
      <c r="CG87" s="525">
        <f t="shared" si="397"/>
        <v>0</v>
      </c>
      <c r="CH87" s="525">
        <f t="shared" si="397"/>
        <v>0</v>
      </c>
      <c r="CI87" s="525">
        <f t="shared" si="397"/>
        <v>0</v>
      </c>
      <c r="CJ87" s="525">
        <f t="shared" si="397"/>
        <v>0</v>
      </c>
      <c r="CK87" s="525">
        <f t="shared" si="397"/>
        <v>0</v>
      </c>
      <c r="CL87" s="525">
        <f t="shared" si="397"/>
        <v>0</v>
      </c>
      <c r="CM87" s="525">
        <f t="shared" si="397"/>
        <v>0</v>
      </c>
      <c r="CN87" s="525">
        <f t="shared" si="397"/>
        <v>0</v>
      </c>
      <c r="CO87" s="544"/>
    </row>
    <row r="88" spans="1:93" s="104" customFormat="1" ht="24.95" hidden="1" customHeight="1" outlineLevel="1" thickBot="1">
      <c r="A88" s="188" t="str">
        <f>'Summary. Assumptions. Inputs'!$G$39</f>
        <v>Grant (Opex)</v>
      </c>
      <c r="B88" s="532">
        <f>'OPEREX, PAYROL'!R142</f>
        <v>0</v>
      </c>
      <c r="C88" s="532"/>
      <c r="D88" s="532"/>
      <c r="E88" s="532"/>
      <c r="F88" s="532"/>
      <c r="G88" s="532"/>
      <c r="H88" s="532"/>
      <c r="I88" s="532"/>
      <c r="J88" s="532"/>
      <c r="K88" s="532"/>
      <c r="L88" s="532"/>
      <c r="M88" s="532"/>
      <c r="N88" s="532"/>
      <c r="O88" s="555">
        <f>SUM('Cashflow Projection &amp; Investme'!$B88:$N88)</f>
        <v>0</v>
      </c>
      <c r="P88" s="532"/>
      <c r="Q88" s="532"/>
      <c r="R88" s="532"/>
      <c r="S88" s="532"/>
      <c r="T88" s="532"/>
      <c r="U88" s="532"/>
      <c r="V88" s="532"/>
      <c r="W88" s="532"/>
      <c r="X88" s="532"/>
      <c r="Y88" s="532"/>
      <c r="Z88" s="532"/>
      <c r="AA88" s="532"/>
      <c r="AB88" s="546">
        <f t="shared" si="378"/>
        <v>0</v>
      </c>
      <c r="AC88" s="532"/>
      <c r="AD88" s="532"/>
      <c r="AE88" s="532"/>
      <c r="AF88" s="532"/>
      <c r="AG88" s="532"/>
      <c r="AH88" s="532"/>
      <c r="AI88" s="532"/>
      <c r="AJ88" s="532"/>
      <c r="AK88" s="532"/>
      <c r="AL88" s="532"/>
      <c r="AM88" s="532"/>
      <c r="AN88" s="532"/>
      <c r="AO88" s="550">
        <f>SUM('Cashflow Projection &amp; Investme'!$B88:$N88)</f>
        <v>0</v>
      </c>
      <c r="AP88" s="532"/>
      <c r="AQ88" s="532"/>
      <c r="AR88" s="532"/>
      <c r="AS88" s="532"/>
      <c r="AT88" s="532"/>
      <c r="AU88" s="532"/>
      <c r="AV88" s="532"/>
      <c r="AW88" s="532"/>
      <c r="AX88" s="532"/>
      <c r="AY88" s="532"/>
      <c r="AZ88" s="532"/>
      <c r="BA88" s="532"/>
      <c r="BB88" s="550">
        <f>SUM('Cashflow Projection &amp; Investme'!$B88:$N88)</f>
        <v>0</v>
      </c>
      <c r="BC88" s="532"/>
      <c r="BD88" s="532"/>
      <c r="BE88" s="532"/>
      <c r="BF88" s="532"/>
      <c r="BG88" s="532"/>
      <c r="BH88" s="532"/>
      <c r="BI88" s="532"/>
      <c r="BJ88" s="532"/>
      <c r="BK88" s="532"/>
      <c r="BL88" s="532"/>
      <c r="BM88" s="532"/>
      <c r="BN88" s="532"/>
      <c r="BO88" s="550">
        <f>SUM('Cashflow Projection &amp; Investme'!$B88:$N88)</f>
        <v>0</v>
      </c>
      <c r="BP88" s="532"/>
      <c r="BQ88" s="532"/>
      <c r="BR88" s="532"/>
      <c r="BS88" s="532"/>
      <c r="BT88" s="532"/>
      <c r="BU88" s="532"/>
      <c r="BV88" s="532"/>
      <c r="BW88" s="532"/>
      <c r="BX88" s="532"/>
      <c r="BY88" s="532"/>
      <c r="BZ88" s="532"/>
      <c r="CA88" s="532"/>
      <c r="CB88" s="550">
        <f>SUM('Cashflow Projection &amp; Investme'!$B88:$N88)</f>
        <v>0</v>
      </c>
      <c r="CC88" s="532"/>
      <c r="CD88" s="532"/>
      <c r="CE88" s="532"/>
      <c r="CF88" s="532"/>
      <c r="CG88" s="532"/>
      <c r="CH88" s="532"/>
      <c r="CI88" s="532"/>
      <c r="CJ88" s="532"/>
      <c r="CK88" s="532"/>
      <c r="CL88" s="532"/>
      <c r="CM88" s="532"/>
      <c r="CN88" s="532"/>
      <c r="CO88" s="550">
        <f>SUM('Cashflow Projection &amp; Investme'!$B88:$N88)</f>
        <v>0</v>
      </c>
    </row>
    <row r="89" spans="1:93" s="107" customFormat="1" ht="24.95" hidden="1" customHeight="1" outlineLevel="1" thickBot="1">
      <c r="A89" s="123" t="s">
        <v>345</v>
      </c>
      <c r="B89" s="525">
        <f t="shared" ref="B89:N89" si="398">B87+SUM(B88)</f>
        <v>0</v>
      </c>
      <c r="C89" s="525">
        <f t="shared" si="398"/>
        <v>0</v>
      </c>
      <c r="D89" s="525">
        <f t="shared" si="398"/>
        <v>0</v>
      </c>
      <c r="E89" s="525">
        <f t="shared" si="398"/>
        <v>0</v>
      </c>
      <c r="F89" s="525">
        <f t="shared" si="398"/>
        <v>0</v>
      </c>
      <c r="G89" s="525">
        <f t="shared" si="398"/>
        <v>0</v>
      </c>
      <c r="H89" s="525">
        <f t="shared" si="398"/>
        <v>0</v>
      </c>
      <c r="I89" s="525">
        <f t="shared" si="398"/>
        <v>0</v>
      </c>
      <c r="J89" s="525">
        <f t="shared" si="398"/>
        <v>0</v>
      </c>
      <c r="K89" s="525">
        <f t="shared" si="398"/>
        <v>0</v>
      </c>
      <c r="L89" s="525">
        <f t="shared" si="398"/>
        <v>0</v>
      </c>
      <c r="M89" s="525">
        <f t="shared" si="398"/>
        <v>0</v>
      </c>
      <c r="N89" s="525">
        <f t="shared" si="398"/>
        <v>0</v>
      </c>
      <c r="O89" s="517"/>
      <c r="P89" s="525">
        <f t="shared" ref="P89:AA89" si="399">P87+SUM(P88)</f>
        <v>0</v>
      </c>
      <c r="Q89" s="525">
        <f t="shared" si="399"/>
        <v>0</v>
      </c>
      <c r="R89" s="525">
        <f t="shared" si="399"/>
        <v>0</v>
      </c>
      <c r="S89" s="525">
        <f t="shared" si="399"/>
        <v>0</v>
      </c>
      <c r="T89" s="525">
        <f t="shared" si="399"/>
        <v>0</v>
      </c>
      <c r="U89" s="525">
        <f t="shared" si="399"/>
        <v>0</v>
      </c>
      <c r="V89" s="525">
        <f t="shared" si="399"/>
        <v>0</v>
      </c>
      <c r="W89" s="525">
        <f t="shared" si="399"/>
        <v>0</v>
      </c>
      <c r="X89" s="525">
        <f t="shared" si="399"/>
        <v>0</v>
      </c>
      <c r="Y89" s="525">
        <f t="shared" si="399"/>
        <v>0</v>
      </c>
      <c r="Z89" s="525">
        <f t="shared" si="399"/>
        <v>0</v>
      </c>
      <c r="AA89" s="525">
        <f t="shared" si="399"/>
        <v>0</v>
      </c>
      <c r="AB89" s="546">
        <f t="shared" si="378"/>
        <v>0</v>
      </c>
      <c r="AC89" s="525">
        <f t="shared" ref="AC89:AN89" si="400">AC87+SUM(AC88)</f>
        <v>0</v>
      </c>
      <c r="AD89" s="525">
        <f t="shared" si="400"/>
        <v>0</v>
      </c>
      <c r="AE89" s="525">
        <f t="shared" si="400"/>
        <v>0</v>
      </c>
      <c r="AF89" s="525">
        <f t="shared" si="400"/>
        <v>0</v>
      </c>
      <c r="AG89" s="525">
        <f t="shared" si="400"/>
        <v>0</v>
      </c>
      <c r="AH89" s="525">
        <f t="shared" si="400"/>
        <v>0</v>
      </c>
      <c r="AI89" s="525">
        <f t="shared" si="400"/>
        <v>0</v>
      </c>
      <c r="AJ89" s="525">
        <f t="shared" si="400"/>
        <v>0</v>
      </c>
      <c r="AK89" s="525">
        <f t="shared" si="400"/>
        <v>0</v>
      </c>
      <c r="AL89" s="525">
        <f t="shared" si="400"/>
        <v>0</v>
      </c>
      <c r="AM89" s="525">
        <f t="shared" si="400"/>
        <v>0</v>
      </c>
      <c r="AN89" s="525">
        <f t="shared" si="400"/>
        <v>0</v>
      </c>
      <c r="AO89" s="544"/>
      <c r="AP89" s="525">
        <f t="shared" ref="AP89:BA89" si="401">AP87+SUM(AP88)</f>
        <v>0</v>
      </c>
      <c r="AQ89" s="525">
        <f t="shared" si="401"/>
        <v>0</v>
      </c>
      <c r="AR89" s="525">
        <f t="shared" si="401"/>
        <v>0</v>
      </c>
      <c r="AS89" s="525">
        <f t="shared" si="401"/>
        <v>0</v>
      </c>
      <c r="AT89" s="525">
        <f t="shared" si="401"/>
        <v>0</v>
      </c>
      <c r="AU89" s="525">
        <f t="shared" si="401"/>
        <v>0</v>
      </c>
      <c r="AV89" s="525">
        <f t="shared" si="401"/>
        <v>0</v>
      </c>
      <c r="AW89" s="525">
        <f t="shared" si="401"/>
        <v>0</v>
      </c>
      <c r="AX89" s="525">
        <f t="shared" si="401"/>
        <v>0</v>
      </c>
      <c r="AY89" s="525">
        <f t="shared" si="401"/>
        <v>0</v>
      </c>
      <c r="AZ89" s="525">
        <f t="shared" si="401"/>
        <v>0</v>
      </c>
      <c r="BA89" s="525">
        <f t="shared" si="401"/>
        <v>0</v>
      </c>
      <c r="BB89" s="544"/>
      <c r="BC89" s="525">
        <f t="shared" ref="BC89:BN89" si="402">BC87+SUM(BC88)</f>
        <v>0</v>
      </c>
      <c r="BD89" s="525">
        <f t="shared" si="402"/>
        <v>0</v>
      </c>
      <c r="BE89" s="525">
        <f t="shared" si="402"/>
        <v>0</v>
      </c>
      <c r="BF89" s="525">
        <f t="shared" si="402"/>
        <v>0</v>
      </c>
      <c r="BG89" s="525">
        <f t="shared" si="402"/>
        <v>0</v>
      </c>
      <c r="BH89" s="525">
        <f t="shared" si="402"/>
        <v>0</v>
      </c>
      <c r="BI89" s="525">
        <f t="shared" si="402"/>
        <v>0</v>
      </c>
      <c r="BJ89" s="525">
        <f t="shared" si="402"/>
        <v>0</v>
      </c>
      <c r="BK89" s="525">
        <f t="shared" si="402"/>
        <v>0</v>
      </c>
      <c r="BL89" s="525">
        <f t="shared" si="402"/>
        <v>0</v>
      </c>
      <c r="BM89" s="525">
        <f t="shared" si="402"/>
        <v>0</v>
      </c>
      <c r="BN89" s="525">
        <f t="shared" si="402"/>
        <v>0</v>
      </c>
      <c r="BO89" s="544"/>
      <c r="BP89" s="525">
        <f t="shared" ref="BP89:CA89" si="403">BP87+SUM(BP88)</f>
        <v>0</v>
      </c>
      <c r="BQ89" s="525">
        <f t="shared" si="403"/>
        <v>0</v>
      </c>
      <c r="BR89" s="525">
        <f t="shared" si="403"/>
        <v>0</v>
      </c>
      <c r="BS89" s="525">
        <f t="shared" si="403"/>
        <v>0</v>
      </c>
      <c r="BT89" s="525">
        <f t="shared" si="403"/>
        <v>0</v>
      </c>
      <c r="BU89" s="525">
        <f t="shared" si="403"/>
        <v>0</v>
      </c>
      <c r="BV89" s="525">
        <f t="shared" si="403"/>
        <v>0</v>
      </c>
      <c r="BW89" s="525">
        <f t="shared" si="403"/>
        <v>0</v>
      </c>
      <c r="BX89" s="525">
        <f t="shared" si="403"/>
        <v>0</v>
      </c>
      <c r="BY89" s="525">
        <f t="shared" si="403"/>
        <v>0</v>
      </c>
      <c r="BZ89" s="525">
        <f t="shared" si="403"/>
        <v>0</v>
      </c>
      <c r="CA89" s="525">
        <f t="shared" si="403"/>
        <v>0</v>
      </c>
      <c r="CB89" s="544"/>
      <c r="CC89" s="525">
        <f t="shared" ref="CC89:CN89" si="404">CC87+SUM(CC88)</f>
        <v>0</v>
      </c>
      <c r="CD89" s="525">
        <f t="shared" si="404"/>
        <v>0</v>
      </c>
      <c r="CE89" s="525">
        <f t="shared" si="404"/>
        <v>0</v>
      </c>
      <c r="CF89" s="525">
        <f t="shared" si="404"/>
        <v>0</v>
      </c>
      <c r="CG89" s="525">
        <f t="shared" si="404"/>
        <v>0</v>
      </c>
      <c r="CH89" s="525">
        <f t="shared" si="404"/>
        <v>0</v>
      </c>
      <c r="CI89" s="525">
        <f t="shared" si="404"/>
        <v>0</v>
      </c>
      <c r="CJ89" s="525">
        <f t="shared" si="404"/>
        <v>0</v>
      </c>
      <c r="CK89" s="525">
        <f t="shared" si="404"/>
        <v>0</v>
      </c>
      <c r="CL89" s="525">
        <f t="shared" si="404"/>
        <v>0</v>
      </c>
      <c r="CM89" s="525">
        <f t="shared" si="404"/>
        <v>0</v>
      </c>
      <c r="CN89" s="525">
        <f t="shared" si="404"/>
        <v>0</v>
      </c>
      <c r="CO89" s="544"/>
    </row>
    <row r="90" spans="1:93" hidden="1" collapsed="1"/>
    <row r="91" spans="1:93" hidden="1"/>
    <row r="92" spans="1:93" hidden="1"/>
    <row r="93" spans="1:93" hidden="1"/>
    <row r="94" spans="1:93" hidden="1"/>
    <row r="95" spans="1:93" hidden="1"/>
    <row r="96" spans="1:93" hidden="1"/>
    <row r="97" hidden="1"/>
    <row r="98" hidden="1"/>
  </sheetData>
  <sheetProtection formatCells="0" formatColumns="0" formatRows="0" insertColumns="0" insertRows="0"/>
  <phoneticPr fontId="49" type="noConversion"/>
  <printOptions horizontalCentered="1"/>
  <pageMargins left="0.9055118110236221" right="0.70866141732283472" top="0.74803149606299213" bottom="0.74803149606299213" header="0.31496062992125984" footer="0.31496062992125984"/>
  <pageSetup paperSize="9" scale="29" fitToHeight="0" orientation="portrait" errors="blank" r:id="rId1"/>
  <headerFooter>
    <oddFooter>&amp;L&amp;"-,Bold Italic"&amp;8&amp;K01+027Developed By: MAIUMAS Consulting
Hani Omar Skaik&amp;C&amp;A&amp;R&amp;D / &amp;T</oddFooter>
  </headerFooter>
  <drawing r:id="rId2"/>
  <legacyDrawing r:id="rId3"/>
  <legacyDrawingHF r:id="rId4"/>
  <tableParts count="21">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8BACB-7A8B-4EFF-9B84-DF649CC7FF2F}">
  <dimension ref="A1:E8"/>
  <sheetViews>
    <sheetView workbookViewId="0">
      <selection activeCell="C12" sqref="C12"/>
    </sheetView>
  </sheetViews>
  <sheetFormatPr defaultColWidth="8.77734375" defaultRowHeight="15"/>
  <cols>
    <col min="1" max="1" width="16.33203125" style="450" bestFit="1" customWidth="1"/>
    <col min="2" max="3" width="23.6640625" style="450" bestFit="1" customWidth="1"/>
    <col min="4" max="4" width="12.88671875" style="450" customWidth="1"/>
    <col min="5" max="5" width="59.21875" style="450" bestFit="1" customWidth="1"/>
    <col min="6" max="16384" width="8.77734375" style="450"/>
  </cols>
  <sheetData>
    <row r="1" spans="1:5">
      <c r="A1" s="450" t="s">
        <v>438</v>
      </c>
      <c r="B1" s="450" t="s">
        <v>439</v>
      </c>
      <c r="C1" s="450" t="s">
        <v>440</v>
      </c>
      <c r="D1" s="450" t="s">
        <v>441</v>
      </c>
      <c r="E1" s="450" t="s">
        <v>442</v>
      </c>
    </row>
    <row r="2" spans="1:5">
      <c r="A2" s="450" t="s">
        <v>443</v>
      </c>
      <c r="B2" s="450" t="s">
        <v>444</v>
      </c>
      <c r="C2" s="450" t="s">
        <v>445</v>
      </c>
      <c r="D2" s="450" t="s">
        <v>446</v>
      </c>
      <c r="E2" s="451" t="s">
        <v>447</v>
      </c>
    </row>
    <row r="3" spans="1:5">
      <c r="A3" s="450" t="s">
        <v>448</v>
      </c>
      <c r="B3" s="450" t="s">
        <v>449</v>
      </c>
      <c r="C3" s="450" t="s">
        <v>450</v>
      </c>
      <c r="D3" s="450" t="s">
        <v>451</v>
      </c>
      <c r="E3" s="451" t="s">
        <v>452</v>
      </c>
    </row>
    <row r="4" spans="1:5">
      <c r="A4" s="450" t="s">
        <v>453</v>
      </c>
      <c r="B4" s="450" t="s">
        <v>454</v>
      </c>
      <c r="E4" s="451" t="s">
        <v>455</v>
      </c>
    </row>
    <row r="5" spans="1:5">
      <c r="A5" s="450" t="s">
        <v>456</v>
      </c>
      <c r="B5" s="450" t="s">
        <v>457</v>
      </c>
      <c r="E5" s="451" t="s">
        <v>458</v>
      </c>
    </row>
    <row r="6" spans="1:5">
      <c r="E6" s="451" t="s">
        <v>459</v>
      </c>
    </row>
    <row r="7" spans="1:5">
      <c r="E7" s="452" t="s">
        <v>460</v>
      </c>
    </row>
    <row r="8" spans="1:5">
      <c r="E8" s="452" t="s">
        <v>461</v>
      </c>
    </row>
  </sheetData>
  <pageMargins left="0.7" right="0.7" top="0.75" bottom="0.75" header="0.3" footer="0.3"/>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76DB5-EB1E-48AF-B291-2ED1C3CF1812}">
  <sheetPr>
    <tabColor rgb="FF002060"/>
  </sheetPr>
  <dimension ref="A1:CO89"/>
  <sheetViews>
    <sheetView topLeftCell="A16" zoomScale="70" zoomScaleNormal="70" workbookViewId="0">
      <pane xSplit="1" topLeftCell="B1" activePane="topRight" state="frozen"/>
      <selection activeCell="A14" sqref="A1:CP86 A66:CP86"/>
      <selection pane="topRight"/>
    </sheetView>
  </sheetViews>
  <sheetFormatPr defaultColWidth="8.88671875" defaultRowHeight="15" outlineLevelCol="1"/>
  <cols>
    <col min="1" max="1" width="40.77734375" bestFit="1" customWidth="1"/>
    <col min="2" max="2" width="18.6640625" bestFit="1" customWidth="1"/>
    <col min="3" max="3" width="14" customWidth="1"/>
    <col min="4" max="4" width="13.77734375" bestFit="1" customWidth="1"/>
    <col min="5" max="5" width="14" bestFit="1" customWidth="1"/>
    <col min="6" max="6" width="15.21875" bestFit="1" customWidth="1"/>
    <col min="7" max="7" width="14" style="1" bestFit="1" customWidth="1"/>
    <col min="8" max="8" width="13.77734375" style="1" bestFit="1" customWidth="1"/>
    <col min="9" max="9" width="14" style="1" bestFit="1" customWidth="1"/>
    <col min="10" max="10" width="15.21875" style="1" bestFit="1" customWidth="1"/>
    <col min="11" max="11" width="14" hidden="1" customWidth="1" outlineLevel="1"/>
    <col min="12" max="12" width="13.77734375" hidden="1" customWidth="1" outlineLevel="1"/>
    <col min="13" max="13" width="14" hidden="1" customWidth="1" outlineLevel="1"/>
    <col min="14" max="14" width="15.21875" hidden="1" customWidth="1" outlineLevel="1"/>
    <col min="15" max="15" width="14" hidden="1" customWidth="1" outlineLevel="1"/>
    <col min="16" max="16" width="13.77734375" hidden="1" customWidth="1" outlineLevel="1"/>
    <col min="17" max="17" width="14" hidden="1" customWidth="1" outlineLevel="1"/>
    <col min="18" max="18" width="15.21875" hidden="1" customWidth="1" outlineLevel="1"/>
    <col min="19" max="19" width="14" hidden="1" customWidth="1" outlineLevel="1"/>
    <col min="20" max="20" width="13.77734375" hidden="1" customWidth="1" outlineLevel="1"/>
    <col min="21" max="21" width="14" hidden="1" customWidth="1" outlineLevel="1"/>
    <col min="22" max="22" width="13.77734375" hidden="1" customWidth="1" outlineLevel="1"/>
    <col min="23" max="23" width="14" hidden="1" customWidth="1" outlineLevel="1"/>
    <col min="24" max="24" width="13.77734375" hidden="1" customWidth="1" outlineLevel="1"/>
    <col min="25" max="25" width="14" hidden="1" customWidth="1" outlineLevel="1"/>
    <col min="26" max="26" width="13.77734375" hidden="1" customWidth="1" outlineLevel="1"/>
    <col min="27" max="27" width="14" hidden="1" customWidth="1" outlineLevel="1"/>
    <col min="28" max="28" width="13.77734375" hidden="1" customWidth="1" outlineLevel="1"/>
    <col min="29" max="29" width="14" hidden="1" customWidth="1" outlineLevel="1"/>
    <col min="30" max="30" width="15.21875" hidden="1" customWidth="1" outlineLevel="1"/>
    <col min="31" max="31" width="15.44140625" customWidth="1" collapsed="1"/>
    <col min="32" max="37" width="15.44140625" customWidth="1"/>
    <col min="38" max="40" width="14.21875" customWidth="1"/>
    <col min="41" max="41" width="14.21875" bestFit="1" customWidth="1"/>
    <col min="42" max="42" width="15.109375" customWidth="1"/>
    <col min="43" max="50" width="15.44140625" customWidth="1"/>
    <col min="51" max="53" width="14.21875" customWidth="1"/>
    <col min="54" max="54" width="14.21875" bestFit="1" customWidth="1"/>
    <col min="55" max="55" width="15.109375" customWidth="1"/>
    <col min="56" max="63" width="15.44140625" customWidth="1"/>
    <col min="64" max="66" width="14.21875" customWidth="1"/>
    <col min="67" max="67" width="14.6640625" bestFit="1" customWidth="1"/>
    <col min="68" max="68" width="15.109375" customWidth="1"/>
    <col min="69" max="76" width="15.44140625" customWidth="1"/>
    <col min="77" max="79" width="14.6640625" customWidth="1"/>
    <col min="80" max="80" width="14.6640625" bestFit="1" customWidth="1"/>
    <col min="81" max="81" width="15.109375" customWidth="1"/>
    <col min="82" max="89" width="15.44140625" customWidth="1"/>
    <col min="90" max="92" width="14.6640625" customWidth="1"/>
    <col min="93" max="93" width="14.6640625" bestFit="1" customWidth="1"/>
  </cols>
  <sheetData>
    <row r="1" spans="1:30" ht="62.25" customHeight="1"/>
    <row r="2" spans="1:30" ht="21" customHeight="1">
      <c r="A2" s="231" t="str">
        <f>'Summary. Assumptions. Inputs'!A2:G2</f>
        <v>Al Bawader for Greenhouse Plastics</v>
      </c>
      <c r="B2" s="102"/>
      <c r="C2" s="102"/>
      <c r="D2" s="102"/>
    </row>
    <row r="3" spans="1:30" s="104" customFormat="1" ht="21" customHeight="1" thickBot="1">
      <c r="A3" s="230" t="s">
        <v>299</v>
      </c>
      <c r="B3" s="103"/>
      <c r="C3" s="103"/>
      <c r="D3" s="103"/>
      <c r="E3" s="1"/>
      <c r="F3" s="1"/>
      <c r="G3" s="1"/>
      <c r="H3" s="1"/>
      <c r="I3" s="1"/>
      <c r="J3" s="1"/>
      <c r="K3" s="1"/>
      <c r="L3" s="1"/>
      <c r="M3" s="1"/>
      <c r="N3" s="1"/>
      <c r="O3" s="1"/>
      <c r="P3" s="1"/>
      <c r="Q3" s="1"/>
    </row>
    <row r="4" spans="1:30" s="104" customFormat="1" ht="21" customHeight="1" thickTop="1">
      <c r="A4" s="515" t="s">
        <v>300</v>
      </c>
      <c r="B4" s="106"/>
      <c r="C4" s="106"/>
      <c r="D4" s="106"/>
      <c r="E4" s="106"/>
      <c r="F4" s="106"/>
      <c r="G4" s="106"/>
      <c r="H4" s="106"/>
      <c r="I4" s="106"/>
      <c r="J4" s="1"/>
      <c r="K4" s="1"/>
      <c r="L4" s="1"/>
      <c r="M4" s="1"/>
      <c r="N4" s="1"/>
      <c r="O4" s="1"/>
      <c r="P4" s="1"/>
      <c r="Q4" s="1"/>
    </row>
    <row r="5" spans="1:30" s="107" customFormat="1" ht="42.75" customHeight="1" thickBot="1">
      <c r="A5" s="127" t="s">
        <v>252</v>
      </c>
      <c r="B5" s="127" t="s">
        <v>301</v>
      </c>
      <c r="C5" s="427" t="s">
        <v>302</v>
      </c>
      <c r="D5" s="427" t="s">
        <v>303</v>
      </c>
      <c r="E5" s="427" t="s">
        <v>304</v>
      </c>
      <c r="F5" s="427" t="s">
        <v>305</v>
      </c>
      <c r="G5" s="427" t="s">
        <v>306</v>
      </c>
      <c r="H5" s="427" t="s">
        <v>307</v>
      </c>
      <c r="I5" s="427" t="s">
        <v>308</v>
      </c>
      <c r="J5" s="427" t="s">
        <v>309</v>
      </c>
      <c r="K5" s="427" t="s">
        <v>310</v>
      </c>
      <c r="L5" s="427" t="s">
        <v>311</v>
      </c>
      <c r="M5" s="427" t="s">
        <v>312</v>
      </c>
      <c r="N5" s="427" t="s">
        <v>313</v>
      </c>
      <c r="O5" s="427" t="s">
        <v>314</v>
      </c>
      <c r="P5" s="427" t="s">
        <v>315</v>
      </c>
      <c r="Q5" s="427" t="s">
        <v>316</v>
      </c>
      <c r="R5" s="427" t="s">
        <v>317</v>
      </c>
      <c r="S5" s="427" t="s">
        <v>318</v>
      </c>
      <c r="T5" s="427" t="s">
        <v>319</v>
      </c>
      <c r="U5" s="427" t="s">
        <v>320</v>
      </c>
      <c r="V5" s="427" t="s">
        <v>321</v>
      </c>
      <c r="W5" s="427" t="s">
        <v>322</v>
      </c>
      <c r="X5" s="427" t="s">
        <v>323</v>
      </c>
      <c r="Y5" s="427" t="s">
        <v>324</v>
      </c>
      <c r="Z5" s="427" t="s">
        <v>325</v>
      </c>
      <c r="AA5" s="427" t="s">
        <v>326</v>
      </c>
      <c r="AB5" s="427" t="s">
        <v>327</v>
      </c>
      <c r="AC5" s="427" t="s">
        <v>328</v>
      </c>
      <c r="AD5" s="427" t="s">
        <v>329</v>
      </c>
    </row>
    <row r="6" spans="1:30" s="107" customFormat="1" ht="24.95" customHeight="1" thickBot="1">
      <c r="A6" s="122" t="s">
        <v>245</v>
      </c>
      <c r="B6" s="125"/>
      <c r="C6" s="516">
        <f ca="1">B30</f>
        <v>0</v>
      </c>
      <c r="D6" s="516">
        <f t="shared" ref="D6:AD6" ca="1" si="0">C30</f>
        <v>0</v>
      </c>
      <c r="E6" s="516">
        <f t="shared" ca="1" si="0"/>
        <v>213327.27478948096</v>
      </c>
      <c r="F6" s="517">
        <f t="shared" ca="1" si="0"/>
        <v>425354.54957896192</v>
      </c>
      <c r="G6" s="535">
        <f t="shared" ca="1" si="0"/>
        <v>637381.82436844287</v>
      </c>
      <c r="H6" s="516">
        <f t="shared" ca="1" si="0"/>
        <v>769688.65271992376</v>
      </c>
      <c r="I6" s="516">
        <f t="shared" ca="1" si="0"/>
        <v>1074969.8673214046</v>
      </c>
      <c r="J6" s="516">
        <f t="shared" ca="1" si="0"/>
        <v>1380251.0819228855</v>
      </c>
      <c r="K6" s="113">
        <f t="shared" ca="1" si="0"/>
        <v>1685532.2965243664</v>
      </c>
      <c r="L6" s="113">
        <f t="shared" ca="1" si="0"/>
        <v>1903713.023668847</v>
      </c>
      <c r="M6" s="113">
        <f t="shared" ca="1" si="0"/>
        <v>2311887.7051883284</v>
      </c>
      <c r="N6" s="113">
        <f t="shared" ca="1" si="0"/>
        <v>2720062.3867078098</v>
      </c>
      <c r="O6" s="113">
        <f t="shared" ca="1" si="0"/>
        <v>3128237.0682272911</v>
      </c>
      <c r="P6" s="113">
        <f t="shared" ca="1" si="0"/>
        <v>3441321.4524967731</v>
      </c>
      <c r="Q6" s="113">
        <f t="shared" ca="1" si="0"/>
        <v>3962808.7117662546</v>
      </c>
      <c r="R6" s="113">
        <f t="shared" ca="1" si="0"/>
        <v>4484295.9710357357</v>
      </c>
      <c r="S6" s="113">
        <f t="shared" ca="1" si="0"/>
        <v>5005783.2303052172</v>
      </c>
      <c r="T6" s="113">
        <f t="shared" ca="1" si="0"/>
        <v>5423520.8875052966</v>
      </c>
      <c r="U6" s="113">
        <f t="shared" ca="1" si="0"/>
        <v>6069598.6280803774</v>
      </c>
      <c r="V6" s="113">
        <f t="shared" ca="1" si="0"/>
        <v>6715676.3686554581</v>
      </c>
      <c r="W6" s="113">
        <f t="shared" ca="1" si="0"/>
        <v>7361754.1092305388</v>
      </c>
      <c r="X6" s="113">
        <f t="shared" ca="1" si="0"/>
        <v>7894692.3992252704</v>
      </c>
      <c r="Y6" s="113">
        <f t="shared" ca="1" si="0"/>
        <v>8677575.203970002</v>
      </c>
      <c r="Z6" s="113">
        <f t="shared" ca="1" si="0"/>
        <v>9460458.0087147336</v>
      </c>
      <c r="AA6" s="113">
        <f t="shared" ca="1" si="0"/>
        <v>10243340.813459465</v>
      </c>
      <c r="AB6" s="113">
        <f t="shared" ca="1" si="0"/>
        <v>10951714.203622334</v>
      </c>
      <c r="AC6" s="113">
        <f t="shared" ca="1" si="0"/>
        <v>11785615.592160203</v>
      </c>
      <c r="AD6" s="113">
        <f t="shared" ca="1" si="0"/>
        <v>12619516.980698071</v>
      </c>
    </row>
    <row r="7" spans="1:30" s="107" customFormat="1" ht="24.95" customHeight="1">
      <c r="A7" s="123" t="s">
        <v>330</v>
      </c>
      <c r="B7" s="116"/>
      <c r="C7" s="116"/>
      <c r="D7" s="116"/>
      <c r="E7" s="116"/>
      <c r="F7" s="117"/>
      <c r="G7" s="441"/>
      <c r="H7" s="116"/>
      <c r="I7" s="116"/>
      <c r="J7" s="116"/>
      <c r="K7" s="116"/>
      <c r="L7" s="116"/>
      <c r="M7" s="116"/>
      <c r="N7" s="116"/>
      <c r="O7" s="116"/>
      <c r="P7" s="116"/>
      <c r="Q7" s="116"/>
      <c r="R7" s="116"/>
      <c r="S7" s="116"/>
      <c r="T7" s="116"/>
      <c r="U7" s="116"/>
      <c r="V7" s="116"/>
      <c r="W7" s="116"/>
      <c r="X7" s="116"/>
      <c r="Y7" s="116"/>
      <c r="Z7" s="116"/>
      <c r="AA7" s="116"/>
      <c r="AB7" s="116"/>
      <c r="AC7" s="116"/>
      <c r="AD7" s="116"/>
    </row>
    <row r="8" spans="1:30" s="104" customFormat="1" ht="24.95" customHeight="1">
      <c r="A8" s="124" t="s">
        <v>331</v>
      </c>
      <c r="B8" s="518"/>
      <c r="C8" s="518">
        <f ca="1">'Cashflow Projection &amp; Investme'!C8+'Cashflow Projection &amp; Investme'!D8+'Cashflow Projection &amp; Investme'!E8</f>
        <v>1042014.375</v>
      </c>
      <c r="D8" s="518">
        <f ca="1">'Cashflow Projection &amp; Investme'!F8+'Cashflow Projection &amp; Investme'!G8+'Cashflow Projection &amp; Investme'!H8</f>
        <v>2084028.75</v>
      </c>
      <c r="E8" s="518">
        <f ca="1">'Cashflow Projection &amp; Investme'!I8+'Cashflow Projection &amp; Investme'!J8+'Cashflow Projection &amp; Investme'!K8</f>
        <v>2084028.75</v>
      </c>
      <c r="F8" s="519">
        <f ca="1">'Cashflow Projection &amp; Investme'!L8+'Cashflow Projection &amp; Investme'!M8+'Cashflow Projection &amp; Investme'!N8</f>
        <v>2084028.75</v>
      </c>
      <c r="G8" s="536">
        <f ca="1">'Cashflow Projection &amp; Investme'!P8+'Cashflow Projection &amp; Investme'!Q8+'Cashflow Projection &amp; Investme'!R8</f>
        <v>2257003.13625</v>
      </c>
      <c r="H8" s="518">
        <f ca="1">'Cashflow Projection &amp; Investme'!S8+'Cashflow Projection &amp; Investme'!T8+'Cashflow Projection &amp; Investme'!U8</f>
        <v>2429977.5225</v>
      </c>
      <c r="I8" s="518">
        <f ca="1">'Cashflow Projection &amp; Investme'!V8+'Cashflow Projection &amp; Investme'!W8+'Cashflow Projection &amp; Investme'!X8</f>
        <v>2429977.5225</v>
      </c>
      <c r="J8" s="518">
        <f ca="1">'Cashflow Projection &amp; Investme'!Y8+'Cashflow Projection &amp; Investme'!Z8+'Cashflow Projection &amp; Investme'!AA8</f>
        <v>2429977.5225</v>
      </c>
      <c r="K8" s="109">
        <f ca="1">'Cashflow Projection &amp; Investme'!AC8+'Cashflow Projection &amp; Investme'!AD8+'Cashflow Projection &amp; Investme'!AE8</f>
        <v>2619971.4768749997</v>
      </c>
      <c r="L8" s="109">
        <f ca="1">'Cashflow Projection &amp; Investme'!AF8+'Cashflow Projection &amp; Investme'!AG8+'Cashflow Projection &amp; Investme'!AH8</f>
        <v>2809965.4312500004</v>
      </c>
      <c r="M8" s="109">
        <f ca="1">'Cashflow Projection &amp; Investme'!AI8+'Cashflow Projection &amp; Investme'!AJ8+'Cashflow Projection &amp; Investme'!AK8</f>
        <v>2809965.4312500004</v>
      </c>
      <c r="N8" s="109">
        <f ca="1">'Cashflow Projection &amp; Investme'!AL8+'Cashflow Projection &amp; Investme'!AM8+'Cashflow Projection &amp; Investme'!AN8</f>
        <v>2809965.4312500004</v>
      </c>
      <c r="O8" s="109">
        <f ca="1">'Cashflow Projection &amp; Investme'!AP8+'Cashflow Projection &amp; Investme'!AQ8+'Cashflow Projection &amp; Investme'!AR8</f>
        <v>3018368.3062499999</v>
      </c>
      <c r="P8" s="109">
        <f ca="1">'Cashflow Projection &amp; Investme'!AS8+'Cashflow Projection &amp; Investme'!AT8+'Cashflow Projection &amp; Investme'!AU8</f>
        <v>3226771.1812499994</v>
      </c>
      <c r="Q8" s="109">
        <f ca="1">'Cashflow Projection &amp; Investme'!AV8+'Cashflow Projection &amp; Investme'!AW8+'Cashflow Projection &amp; Investme'!AX8</f>
        <v>3226771.1812499994</v>
      </c>
      <c r="R8" s="109">
        <f ca="1">'Cashflow Projection &amp; Investme'!AY8+'Cashflow Projection &amp; Investme'!AZ8+'Cashflow Projection &amp; Investme'!BA8</f>
        <v>3226771.1812499994</v>
      </c>
      <c r="S8" s="109">
        <f ca="1">'Cashflow Projection &amp; Investme'!BC8+'Cashflow Projection &amp; Investme'!BD8+'Cashflow Projection &amp; Investme'!BE8</f>
        <v>3455111.2646249989</v>
      </c>
      <c r="T8" s="109">
        <f ca="1">'Cashflow Projection &amp; Investme'!BF8+'Cashflow Projection &amp; Investme'!BG8+'Cashflow Projection &amp; Investme'!BH8</f>
        <v>3683451.3479999993</v>
      </c>
      <c r="U8" s="109">
        <f ca="1">'Cashflow Projection &amp; Investme'!BI8+'Cashflow Projection &amp; Investme'!BJ8+'Cashflow Projection &amp; Investme'!BK8</f>
        <v>3683451.3479999993</v>
      </c>
      <c r="V8" s="109">
        <f ca="1">'Cashflow Projection &amp; Investme'!BL8+'Cashflow Projection &amp; Investme'!BM8+'Cashflow Projection &amp; Investme'!BN8</f>
        <v>3683451.3479999993</v>
      </c>
      <c r="W8" s="109">
        <f ca="1">'Cashflow Projection &amp; Investme'!BP8+'Cashflow Projection &amp; Investme'!BQ8+'Cashflow Projection &amp; Investme'!BR8</f>
        <v>3933395.8627499999</v>
      </c>
      <c r="X8" s="109">
        <f ca="1">'Cashflow Projection &amp; Investme'!BS8+'Cashflow Projection &amp; Investme'!BT8+'Cashflow Projection &amp; Investme'!BU8</f>
        <v>4183340.3774999999</v>
      </c>
      <c r="Y8" s="109">
        <f ca="1">'Cashflow Projection &amp; Investme'!BV8+'Cashflow Projection &amp; Investme'!BW8+'Cashflow Projection &amp; Investme'!BX8</f>
        <v>4183340.3774999999</v>
      </c>
      <c r="Z8" s="109">
        <f ca="1">'Cashflow Projection &amp; Investme'!BY8+'Cashflow Projection &amp; Investme'!BZ8+'Cashflow Projection &amp; Investme'!CA8</f>
        <v>4183340.3774999999</v>
      </c>
      <c r="AA8" s="109">
        <f ca="1">'Cashflow Projection &amp; Investme'!CC8+'Cashflow Projection &amp; Investme'!CD8+'Cashflow Projection &amp; Investme'!CE8</f>
        <v>4308868.3758749999</v>
      </c>
      <c r="AB8" s="109">
        <f ca="1">'Cashflow Projection &amp; Investme'!CF8+'Cashflow Projection &amp; Investme'!CG8+'Cashflow Projection &amp; Investme'!CH8</f>
        <v>4434396.3742500003</v>
      </c>
      <c r="AC8" s="109">
        <f ca="1">'Cashflow Projection &amp; Investme'!CI8+'Cashflow Projection &amp; Investme'!CJ8+'Cashflow Projection &amp; Investme'!CK8</f>
        <v>4434396.3742500003</v>
      </c>
      <c r="AD8" s="109">
        <f ca="1">'Cashflow Projection &amp; Investme'!CL8+'Cashflow Projection &amp; Investme'!CM8+'Cashflow Projection &amp; Investme'!CN8</f>
        <v>4434396.3742500003</v>
      </c>
    </row>
    <row r="9" spans="1:30" s="112" customFormat="1" ht="24.95" customHeight="1" thickBot="1">
      <c r="A9" s="123" t="s">
        <v>332</v>
      </c>
      <c r="B9" s="520">
        <f>SUM(B8:B8)</f>
        <v>0</v>
      </c>
      <c r="C9" s="520">
        <f t="shared" ref="C9:F9" ca="1" si="1">SUBTOTAL(109,C8)</f>
        <v>1042014.375</v>
      </c>
      <c r="D9" s="520">
        <f t="shared" ca="1" si="1"/>
        <v>2084028.75</v>
      </c>
      <c r="E9" s="520">
        <f t="shared" ca="1" si="1"/>
        <v>2084028.75</v>
      </c>
      <c r="F9" s="521">
        <f t="shared" ca="1" si="1"/>
        <v>2084028.75</v>
      </c>
      <c r="G9" s="537">
        <f t="shared" ref="G9:J9" ca="1" si="2">SUBTOTAL(109,G8)</f>
        <v>2257003.13625</v>
      </c>
      <c r="H9" s="520">
        <f t="shared" ca="1" si="2"/>
        <v>2429977.5225</v>
      </c>
      <c r="I9" s="520">
        <f t="shared" ca="1" si="2"/>
        <v>2429977.5225</v>
      </c>
      <c r="J9" s="521">
        <f t="shared" ca="1" si="2"/>
        <v>2429977.5225</v>
      </c>
      <c r="K9" s="110">
        <f t="shared" ref="K9:N9" ca="1" si="3">SUBTOTAL(109,K8)</f>
        <v>2619971.4768749997</v>
      </c>
      <c r="L9" s="110">
        <f t="shared" ca="1" si="3"/>
        <v>2809965.4312500004</v>
      </c>
      <c r="M9" s="110">
        <f t="shared" ca="1" si="3"/>
        <v>2809965.4312500004</v>
      </c>
      <c r="N9" s="111">
        <f t="shared" ca="1" si="3"/>
        <v>2809965.4312500004</v>
      </c>
      <c r="O9" s="110">
        <f t="shared" ref="O9:R9" ca="1" si="4">SUBTOTAL(109,O8)</f>
        <v>3018368.3062499999</v>
      </c>
      <c r="P9" s="110">
        <f t="shared" ca="1" si="4"/>
        <v>3226771.1812499994</v>
      </c>
      <c r="Q9" s="110">
        <f t="shared" ca="1" si="4"/>
        <v>3226771.1812499994</v>
      </c>
      <c r="R9" s="111">
        <f t="shared" ca="1" si="4"/>
        <v>3226771.1812499994</v>
      </c>
      <c r="S9" s="110">
        <f t="shared" ref="S9:V9" ca="1" si="5">SUBTOTAL(109,S8)</f>
        <v>3455111.2646249989</v>
      </c>
      <c r="T9" s="110">
        <f t="shared" ca="1" si="5"/>
        <v>3683451.3479999993</v>
      </c>
      <c r="U9" s="110">
        <f t="shared" ca="1" si="5"/>
        <v>3683451.3479999993</v>
      </c>
      <c r="V9" s="111">
        <f t="shared" ca="1" si="5"/>
        <v>3683451.3479999993</v>
      </c>
      <c r="W9" s="110">
        <f t="shared" ref="W9:Z9" ca="1" si="6">SUBTOTAL(109,W8)</f>
        <v>3933395.8627499999</v>
      </c>
      <c r="X9" s="110">
        <f t="shared" ca="1" si="6"/>
        <v>4183340.3774999999</v>
      </c>
      <c r="Y9" s="110">
        <f t="shared" ca="1" si="6"/>
        <v>4183340.3774999999</v>
      </c>
      <c r="Z9" s="111">
        <f t="shared" ca="1" si="6"/>
        <v>4183340.3774999999</v>
      </c>
      <c r="AA9" s="110">
        <f t="shared" ref="AA9:AD9" ca="1" si="7">SUBTOTAL(109,AA8)</f>
        <v>4308868.3758749999</v>
      </c>
      <c r="AB9" s="110">
        <f t="shared" ca="1" si="7"/>
        <v>4434396.3742500003</v>
      </c>
      <c r="AC9" s="110">
        <f t="shared" ca="1" si="7"/>
        <v>4434396.3742500003</v>
      </c>
      <c r="AD9" s="111">
        <f t="shared" ca="1" si="7"/>
        <v>4434396.3742500003</v>
      </c>
    </row>
    <row r="10" spans="1:30" s="107" customFormat="1" ht="24.95" customHeight="1" thickBot="1">
      <c r="A10" s="122" t="s">
        <v>333</v>
      </c>
      <c r="B10" s="516">
        <f t="shared" ref="B10:F10" si="8">B6+B9</f>
        <v>0</v>
      </c>
      <c r="C10" s="516">
        <f t="shared" ca="1" si="8"/>
        <v>1042014.375</v>
      </c>
      <c r="D10" s="516">
        <f t="shared" ca="1" si="8"/>
        <v>2084028.75</v>
      </c>
      <c r="E10" s="516">
        <f t="shared" ca="1" si="8"/>
        <v>2297356.024789481</v>
      </c>
      <c r="F10" s="517">
        <f t="shared" ca="1" si="8"/>
        <v>2509383.2995789619</v>
      </c>
      <c r="G10" s="535">
        <f t="shared" ref="G10:J10" ca="1" si="9">G6+G9</f>
        <v>2894384.9606184429</v>
      </c>
      <c r="H10" s="516">
        <f t="shared" ca="1" si="9"/>
        <v>3199666.1752199237</v>
      </c>
      <c r="I10" s="516">
        <f t="shared" ca="1" si="9"/>
        <v>3504947.3898214046</v>
      </c>
      <c r="J10" s="517">
        <f t="shared" ca="1" si="9"/>
        <v>3810228.6044228855</v>
      </c>
      <c r="K10" s="113">
        <f t="shared" ref="K10:N10" ca="1" si="10">K6+K9</f>
        <v>4305503.7733993661</v>
      </c>
      <c r="L10" s="113">
        <f t="shared" ca="1" si="10"/>
        <v>4713678.4549188474</v>
      </c>
      <c r="M10" s="113">
        <f t="shared" ca="1" si="10"/>
        <v>5121853.1364383288</v>
      </c>
      <c r="N10" s="126">
        <f t="shared" ca="1" si="10"/>
        <v>5530027.8179578101</v>
      </c>
      <c r="O10" s="113">
        <f t="shared" ref="O10:R10" ca="1" si="11">O6+O9</f>
        <v>6146605.3744772915</v>
      </c>
      <c r="P10" s="113">
        <f t="shared" ca="1" si="11"/>
        <v>6668092.633746773</v>
      </c>
      <c r="Q10" s="113">
        <f t="shared" ca="1" si="11"/>
        <v>7189579.8930162545</v>
      </c>
      <c r="R10" s="126">
        <f t="shared" ca="1" si="11"/>
        <v>7711067.1522857351</v>
      </c>
      <c r="S10" s="113">
        <f t="shared" ref="S10:V10" ca="1" si="12">S6+S9</f>
        <v>8460894.4949302152</v>
      </c>
      <c r="T10" s="113">
        <f t="shared" ca="1" si="12"/>
        <v>9106972.2355052959</v>
      </c>
      <c r="U10" s="113">
        <f t="shared" ca="1" si="12"/>
        <v>9753049.9760803767</v>
      </c>
      <c r="V10" s="126">
        <f t="shared" ca="1" si="12"/>
        <v>10399127.716655457</v>
      </c>
      <c r="W10" s="113">
        <f t="shared" ref="W10:AD10" ca="1" si="13">W6+W9</f>
        <v>11295149.971980538</v>
      </c>
      <c r="X10" s="113">
        <f t="shared" ca="1" si="13"/>
        <v>12078032.77672527</v>
      </c>
      <c r="Y10" s="113">
        <f t="shared" ca="1" si="13"/>
        <v>12860915.581470001</v>
      </c>
      <c r="Z10" s="126">
        <f t="shared" ca="1" si="13"/>
        <v>13643798.386214733</v>
      </c>
      <c r="AA10" s="113">
        <f t="shared" ca="1" si="13"/>
        <v>14552209.189334465</v>
      </c>
      <c r="AB10" s="113">
        <f t="shared" ca="1" si="13"/>
        <v>15386110.577872334</v>
      </c>
      <c r="AC10" s="113">
        <f t="shared" ca="1" si="13"/>
        <v>16220011.966410203</v>
      </c>
      <c r="AD10" s="126">
        <f t="shared" ca="1" si="13"/>
        <v>17053913.354948074</v>
      </c>
    </row>
    <row r="11" spans="1:30" s="107" customFormat="1" ht="24.95" customHeight="1">
      <c r="A11" s="123" t="s">
        <v>334</v>
      </c>
      <c r="B11" s="116"/>
      <c r="C11" s="116"/>
      <c r="D11" s="116"/>
      <c r="E11" s="116"/>
      <c r="F11" s="117"/>
      <c r="G11" s="441"/>
      <c r="H11" s="116"/>
      <c r="I11" s="116"/>
      <c r="J11" s="117"/>
      <c r="K11" s="116"/>
      <c r="L11" s="116"/>
      <c r="M11" s="116"/>
      <c r="N11" s="117"/>
      <c r="O11" s="116"/>
      <c r="P11" s="116"/>
      <c r="Q11" s="116"/>
      <c r="R11" s="117"/>
      <c r="S11" s="116"/>
      <c r="T11" s="116"/>
      <c r="U11" s="116"/>
      <c r="V11" s="117"/>
      <c r="W11" s="116"/>
      <c r="X11" s="116"/>
      <c r="Y11" s="116"/>
      <c r="Z11" s="117"/>
      <c r="AA11" s="116"/>
      <c r="AB11" s="116"/>
      <c r="AC11" s="116"/>
      <c r="AD11" s="117"/>
    </row>
    <row r="12" spans="1:30" s="107" customFormat="1" ht="24.95" customHeight="1">
      <c r="A12" s="124" t="s">
        <v>335</v>
      </c>
      <c r="B12" s="518">
        <f ca="1">'Sales Volume, Cost of Productio'!C190*'Summary. Assumptions. Inputs'!$C$38</f>
        <v>462030.15599999996</v>
      </c>
      <c r="C12" s="518">
        <f ca="1">'Cashflow Projection &amp; Investme'!C12+'Cashflow Projection &amp; Investme'!D12+'Cashflow Projection &amp; Investme'!E12</f>
        <v>1386090.4679999999</v>
      </c>
      <c r="D12" s="518">
        <f ca="1">'Cashflow Projection &amp; Investme'!F12+'Cashflow Projection &amp; Investme'!G12+'Cashflow Projection &amp; Investme'!H12</f>
        <v>1386090.4679999999</v>
      </c>
      <c r="E12" s="518">
        <f ca="1">'Cashflow Projection &amp; Investme'!I12+'Cashflow Projection &amp; Investme'!J12+'Cashflow Projection &amp; Investme'!K12</f>
        <v>1386090.4679999999</v>
      </c>
      <c r="F12" s="519">
        <f ca="1">'Cashflow Projection &amp; Investme'!L12+'Cashflow Projection &amp; Investme'!M12+'Cashflow Projection &amp; Investme'!N12</f>
        <v>1386090.4679999999</v>
      </c>
      <c r="G12" s="536">
        <f ca="1">'Cashflow Projection &amp; Investme'!P12+'Cashflow Projection &amp; Investme'!Q12+'Cashflow Projection &amp; Investme'!R12</f>
        <v>1616181.4856879998</v>
      </c>
      <c r="H12" s="518">
        <f ca="1">'Cashflow Projection &amp; Investme'!S12+'Cashflow Projection &amp; Investme'!T12+'Cashflow Projection &amp; Investme'!U12</f>
        <v>1616181.4856879998</v>
      </c>
      <c r="I12" s="518">
        <f ca="1">'Cashflow Projection &amp; Investme'!V12+'Cashflow Projection &amp; Investme'!W12+'Cashflow Projection &amp; Investme'!X12</f>
        <v>1616181.4856879998</v>
      </c>
      <c r="J12" s="518">
        <f ca="1">'Cashflow Projection &amp; Investme'!Y12+'Cashflow Projection &amp; Investme'!Z12+'Cashflow Projection &amp; Investme'!AA12</f>
        <v>1616181.4856879998</v>
      </c>
      <c r="K12" s="109">
        <f ca="1">'Cashflow Projection &amp; Investme'!AC12+'Cashflow Projection &amp; Investme'!AD12+'Cashflow Projection &amp; Investme'!AE12</f>
        <v>1868911.9810199998</v>
      </c>
      <c r="L12" s="109">
        <f ca="1">'Cashflow Projection &amp; Investme'!AF12+'Cashflow Projection &amp; Investme'!AG12+'Cashflow Projection &amp; Investme'!AH12</f>
        <v>1868911.9810199998</v>
      </c>
      <c r="M12" s="109">
        <f ca="1">'Cashflow Projection &amp; Investme'!AI12+'Cashflow Projection &amp; Investme'!AJ12+'Cashflow Projection &amp; Investme'!AK12</f>
        <v>1868911.9810199998</v>
      </c>
      <c r="N12" s="109">
        <f ca="1">'Cashflow Projection &amp; Investme'!AL12+'Cashflow Projection &amp; Investme'!AM12+'Cashflow Projection &amp; Investme'!AN12</f>
        <v>1868911.9810199998</v>
      </c>
      <c r="O12" s="109">
        <f ca="1">'Cashflow Projection &amp; Investme'!AP12+'Cashflow Projection &amp; Investme'!AQ12+'Cashflow Projection &amp; Investme'!AR12</f>
        <v>2146130.0746199992</v>
      </c>
      <c r="P12" s="109">
        <f ca="1">'Cashflow Projection &amp; Investme'!AS12+'Cashflow Projection &amp; Investme'!AT12+'Cashflow Projection &amp; Investme'!AU12</f>
        <v>2146130.0746199992</v>
      </c>
      <c r="Q12" s="109">
        <f ca="1">'Cashflow Projection &amp; Investme'!AV12+'Cashflow Projection &amp; Investme'!AW12+'Cashflow Projection &amp; Investme'!AX12</f>
        <v>2146130.0746199992</v>
      </c>
      <c r="R12" s="109">
        <f ca="1">'Cashflow Projection &amp; Investme'!AY12+'Cashflow Projection &amp; Investme'!AZ12+'Cashflow Projection &amp; Investme'!BA12</f>
        <v>2146130.0746199992</v>
      </c>
      <c r="S12" s="109">
        <f ca="1">'Cashflow Projection &amp; Investme'!BC12+'Cashflow Projection &amp; Investme'!BD12+'Cashflow Projection &amp; Investme'!BE12</f>
        <v>2449868.6991743995</v>
      </c>
      <c r="T12" s="109">
        <f ca="1">'Cashflow Projection &amp; Investme'!BF12+'Cashflow Projection &amp; Investme'!BG12+'Cashflow Projection &amp; Investme'!BH12</f>
        <v>2449868.6991743995</v>
      </c>
      <c r="U12" s="109">
        <f ca="1">'Cashflow Projection &amp; Investme'!BI12+'Cashflow Projection &amp; Investme'!BJ12+'Cashflow Projection &amp; Investme'!BK12</f>
        <v>2449868.6991743995</v>
      </c>
      <c r="V12" s="109">
        <f ca="1">'Cashflow Projection &amp; Investme'!BL12+'Cashflow Projection &amp; Investme'!BM12+'Cashflow Projection &amp; Investme'!BN12</f>
        <v>2449868.6991743995</v>
      </c>
      <c r="W12" s="109">
        <f ca="1">'Cashflow Projection &amp; Investme'!BP12+'Cashflow Projection &amp; Investme'!BQ12+'Cashflow Projection &amp; Investme'!BR12</f>
        <v>2782345.599431999</v>
      </c>
      <c r="X12" s="109">
        <f ca="1">'Cashflow Projection &amp; Investme'!BS12+'Cashflow Projection &amp; Investme'!BT12+'Cashflow Projection &amp; Investme'!BU12</f>
        <v>2782345.599431999</v>
      </c>
      <c r="Y12" s="109">
        <f ca="1">'Cashflow Projection &amp; Investme'!BV12+'Cashflow Projection &amp; Investme'!BW12+'Cashflow Projection &amp; Investme'!BX12</f>
        <v>2782345.599431999</v>
      </c>
      <c r="Z12" s="109">
        <f ca="1">'Cashflow Projection &amp; Investme'!BY12+'Cashflow Projection &amp; Investme'!BZ12+'Cashflow Projection &amp; Investme'!CA12</f>
        <v>2782345.599431999</v>
      </c>
      <c r="AA12" s="109">
        <f ca="1">'Cashflow Projection &amp; Investme'!CC12+'Cashflow Projection &amp; Investme'!CD12+'Cashflow Projection &amp; Investme'!CE12</f>
        <v>2949323.2978103994</v>
      </c>
      <c r="AB12" s="109">
        <f ca="1">'Cashflow Projection &amp; Investme'!CF12+'Cashflow Projection &amp; Investme'!CG12+'Cashflow Projection &amp; Investme'!CH12</f>
        <v>2949323.2978103994</v>
      </c>
      <c r="AC12" s="109">
        <f ca="1">'Cashflow Projection &amp; Investme'!CI12+'Cashflow Projection &amp; Investme'!CJ12+'Cashflow Projection &amp; Investme'!CK12</f>
        <v>2949323.2978103994</v>
      </c>
      <c r="AD12" s="109">
        <f ca="1">'Cashflow Projection &amp; Investme'!CL12+'Cashflow Projection &amp; Investme'!CM12+'Cashflow Projection &amp; Investme'!CN12</f>
        <v>2949323.2978103994</v>
      </c>
    </row>
    <row r="13" spans="1:30" s="112" customFormat="1" ht="24.95" customHeight="1">
      <c r="A13" s="124" t="s">
        <v>336</v>
      </c>
      <c r="B13" s="518">
        <f>'OPEREX, PAYROL'!E29</f>
        <v>0</v>
      </c>
      <c r="C13" s="518">
        <f>'Cashflow Projection &amp; Investme'!C13+'Cashflow Projection &amp; Investme'!D13+'Cashflow Projection &amp; Investme'!E13</f>
        <v>200100</v>
      </c>
      <c r="D13" s="518">
        <f>'Cashflow Projection &amp; Investme'!F13+'Cashflow Projection &amp; Investme'!G13+'Cashflow Projection &amp; Investme'!H13</f>
        <v>198800</v>
      </c>
      <c r="E13" s="518">
        <f>'Cashflow Projection &amp; Investme'!I13+'Cashflow Projection &amp; Investme'!J13+'Cashflow Projection &amp; Investme'!K13</f>
        <v>200100</v>
      </c>
      <c r="F13" s="519">
        <f>'Cashflow Projection &amp; Investme'!L13+'Cashflow Projection &amp; Investme'!M13+'Cashflow Projection &amp; Investme'!N13</f>
        <v>200100</v>
      </c>
      <c r="G13" s="536">
        <f>'Cashflow Projection &amp; Investme'!P13+'Cashflow Projection &amp; Investme'!Q13+'Cashflow Projection &amp; Investme'!R13</f>
        <v>210105</v>
      </c>
      <c r="H13" s="518">
        <f>'Cashflow Projection &amp; Investme'!S13+'Cashflow Projection &amp; Investme'!T13+'Cashflow Projection &amp; Investme'!U13</f>
        <v>210105</v>
      </c>
      <c r="I13" s="518">
        <f>'Cashflow Projection &amp; Investme'!V13+'Cashflow Projection &amp; Investme'!W13+'Cashflow Projection &amp; Investme'!X13</f>
        <v>210105</v>
      </c>
      <c r="J13" s="518">
        <f>'Cashflow Projection &amp; Investme'!Y13+'Cashflow Projection &amp; Investme'!Z13+'Cashflow Projection &amp; Investme'!AA13</f>
        <v>210105</v>
      </c>
      <c r="K13" s="109">
        <f>'Cashflow Projection &amp; Investme'!AC13+'Cashflow Projection &amp; Investme'!AD13+'Cashflow Projection &amp; Investme'!AE13</f>
        <v>220610.25</v>
      </c>
      <c r="L13" s="109">
        <f>'Cashflow Projection &amp; Investme'!AF13+'Cashflow Projection &amp; Investme'!AG13+'Cashflow Projection &amp; Investme'!AH13</f>
        <v>220610.25</v>
      </c>
      <c r="M13" s="109">
        <f>'Cashflow Projection &amp; Investme'!AI13+'Cashflow Projection &amp; Investme'!AJ13+'Cashflow Projection &amp; Investme'!AK13</f>
        <v>220610.25</v>
      </c>
      <c r="N13" s="109">
        <f>'Cashflow Projection &amp; Investme'!AL13+'Cashflow Projection &amp; Investme'!AM13+'Cashflow Projection &amp; Investme'!AN13</f>
        <v>220610.25</v>
      </c>
      <c r="O13" s="109">
        <f>'Cashflow Projection &amp; Investme'!AP13+'Cashflow Projection &amp; Investme'!AQ13+'Cashflow Projection &amp; Investme'!AR13</f>
        <v>231640.76250000001</v>
      </c>
      <c r="P13" s="109">
        <f>'Cashflow Projection &amp; Investme'!AS13+'Cashflow Projection &amp; Investme'!AT13+'Cashflow Projection &amp; Investme'!AU13</f>
        <v>231640.76250000001</v>
      </c>
      <c r="Q13" s="109">
        <f>'Cashflow Projection &amp; Investme'!AV13+'Cashflow Projection &amp; Investme'!AW13+'Cashflow Projection &amp; Investme'!AX13</f>
        <v>231640.76250000001</v>
      </c>
      <c r="R13" s="109">
        <f>'Cashflow Projection &amp; Investme'!AY13+'Cashflow Projection &amp; Investme'!AZ13+'Cashflow Projection &amp; Investme'!BA13</f>
        <v>231640.76250000001</v>
      </c>
      <c r="S13" s="109">
        <f>'Cashflow Projection &amp; Investme'!BC13+'Cashflow Projection &amp; Investme'!BD13+'Cashflow Projection &amp; Investme'!BE13</f>
        <v>243222.80062500003</v>
      </c>
      <c r="T13" s="109">
        <f>'Cashflow Projection &amp; Investme'!BF13+'Cashflow Projection &amp; Investme'!BG13+'Cashflow Projection &amp; Investme'!BH13</f>
        <v>243222.80062500003</v>
      </c>
      <c r="U13" s="109">
        <f>'Cashflow Projection &amp; Investme'!BI13+'Cashflow Projection &amp; Investme'!BJ13+'Cashflow Projection &amp; Investme'!BK13</f>
        <v>243222.80062500003</v>
      </c>
      <c r="V13" s="109">
        <f>'Cashflow Projection &amp; Investme'!BL13+'Cashflow Projection &amp; Investme'!BM13+'Cashflow Projection &amp; Investme'!BN13</f>
        <v>243222.80062500003</v>
      </c>
      <c r="W13" s="109">
        <f>'Cashflow Projection &amp; Investme'!BP13+'Cashflow Projection &amp; Investme'!BQ13+'Cashflow Projection &amp; Investme'!BR13</f>
        <v>255383.94065625005</v>
      </c>
      <c r="X13" s="109">
        <f>'Cashflow Projection &amp; Investme'!BS13+'Cashflow Projection &amp; Investme'!BT13+'Cashflow Projection &amp; Investme'!BU13</f>
        <v>255383.94065625005</v>
      </c>
      <c r="Y13" s="109">
        <f>'Cashflow Projection &amp; Investme'!BV13+'Cashflow Projection &amp; Investme'!BW13+'Cashflow Projection &amp; Investme'!BX13</f>
        <v>255383.94065625005</v>
      </c>
      <c r="Z13" s="109">
        <f>'Cashflow Projection &amp; Investme'!BY13+'Cashflow Projection &amp; Investme'!BZ13+'Cashflow Projection &amp; Investme'!CA13</f>
        <v>255383.94065625005</v>
      </c>
      <c r="AA13" s="109">
        <f>'Cashflow Projection &amp; Investme'!CC13+'Cashflow Projection &amp; Investme'!CD13+'Cashflow Projection &amp; Investme'!CE13</f>
        <v>268153.13768906257</v>
      </c>
      <c r="AB13" s="109">
        <f>'Cashflow Projection &amp; Investme'!CF13+'Cashflow Projection &amp; Investme'!CG13+'Cashflow Projection &amp; Investme'!CH13</f>
        <v>268153.13768906257</v>
      </c>
      <c r="AC13" s="109">
        <f>'Cashflow Projection &amp; Investme'!CI13+'Cashflow Projection &amp; Investme'!CJ13+'Cashflow Projection &amp; Investme'!CK13</f>
        <v>268153.13768906257</v>
      </c>
      <c r="AD13" s="109">
        <f>'Cashflow Projection &amp; Investme'!CL13+'Cashflow Projection &amp; Investme'!CM13+'Cashflow Projection &amp; Investme'!CN13</f>
        <v>268153.13768906257</v>
      </c>
    </row>
    <row r="14" spans="1:30" s="112" customFormat="1" ht="24.95" customHeight="1">
      <c r="A14" s="124" t="s">
        <v>200</v>
      </c>
      <c r="B14" s="518">
        <f>'OPEREX, PAYROL'!E52</f>
        <v>110000</v>
      </c>
      <c r="C14" s="518">
        <f>'Cashflow Projection &amp; Investme'!C14+'Cashflow Projection &amp; Investme'!D14+'Cashflow Projection &amp; Investme'!E14</f>
        <v>125988.15000000001</v>
      </c>
      <c r="D14" s="518">
        <f>'Cashflow Projection &amp; Investme'!F14+'Cashflow Projection &amp; Investme'!G14+'Cashflow Projection &amp; Investme'!H14</f>
        <v>125988.15000000001</v>
      </c>
      <c r="E14" s="518">
        <f>'Cashflow Projection &amp; Investme'!I14+'Cashflow Projection &amp; Investme'!J14+'Cashflow Projection &amp; Investme'!K14</f>
        <v>125988.15000000001</v>
      </c>
      <c r="F14" s="519">
        <f>'Cashflow Projection &amp; Investme'!L14+'Cashflow Projection &amp; Investme'!M14+'Cashflow Projection &amp; Investme'!N14</f>
        <v>125988.15000000001</v>
      </c>
      <c r="G14" s="536">
        <f ca="1">'Cashflow Projection &amp; Investme'!P14+'Cashflow Projection &amp; Investme'!Q14+'Cashflow Projection &amp; Investme'!R14</f>
        <v>138586.96500000003</v>
      </c>
      <c r="H14" s="518">
        <f ca="1">'Cashflow Projection &amp; Investme'!S14+'Cashflow Projection &amp; Investme'!T14+'Cashflow Projection &amp; Investme'!U14</f>
        <v>138586.96500000003</v>
      </c>
      <c r="I14" s="518">
        <f ca="1">'Cashflow Projection &amp; Investme'!V14+'Cashflow Projection &amp; Investme'!W14+'Cashflow Projection &amp; Investme'!X14</f>
        <v>138586.96500000003</v>
      </c>
      <c r="J14" s="518">
        <f ca="1">'Cashflow Projection &amp; Investme'!Y14+'Cashflow Projection &amp; Investme'!Z14+'Cashflow Projection &amp; Investme'!AA14</f>
        <v>138586.96500000003</v>
      </c>
      <c r="K14" s="109">
        <f ca="1">'Cashflow Projection &amp; Investme'!AC14+'Cashflow Projection &amp; Investme'!AD14+'Cashflow Projection &amp; Investme'!AE14</f>
        <v>152445.66150000005</v>
      </c>
      <c r="L14" s="109">
        <f ca="1">'Cashflow Projection &amp; Investme'!AF14+'Cashflow Projection &amp; Investme'!AG14+'Cashflow Projection &amp; Investme'!AH14</f>
        <v>152445.66150000005</v>
      </c>
      <c r="M14" s="109">
        <f ca="1">'Cashflow Projection &amp; Investme'!AI14+'Cashflow Projection &amp; Investme'!AJ14+'Cashflow Projection &amp; Investme'!AK14</f>
        <v>152445.66150000005</v>
      </c>
      <c r="N14" s="109">
        <f ca="1">'Cashflow Projection &amp; Investme'!AL14+'Cashflow Projection &amp; Investme'!AM14+'Cashflow Projection &amp; Investme'!AN14</f>
        <v>152445.66150000005</v>
      </c>
      <c r="O14" s="109">
        <f ca="1">'Cashflow Projection &amp; Investme'!AP14+'Cashflow Projection &amp; Investme'!AQ14+'Cashflow Projection &amp; Investme'!AR14</f>
        <v>167690.22765000002</v>
      </c>
      <c r="P14" s="109">
        <f ca="1">'Cashflow Projection &amp; Investme'!AS14+'Cashflow Projection &amp; Investme'!AT14+'Cashflow Projection &amp; Investme'!AU14</f>
        <v>167690.22765000002</v>
      </c>
      <c r="Q14" s="109">
        <f ca="1">'Cashflow Projection &amp; Investme'!AV14+'Cashflow Projection &amp; Investme'!AW14+'Cashflow Projection &amp; Investme'!AX14</f>
        <v>167690.22765000002</v>
      </c>
      <c r="R14" s="109">
        <f ca="1">'Cashflow Projection &amp; Investme'!AY14+'Cashflow Projection &amp; Investme'!AZ14+'Cashflow Projection &amp; Investme'!BA14</f>
        <v>167690.22765000002</v>
      </c>
      <c r="S14" s="109">
        <f ca="1">'Cashflow Projection &amp; Investme'!BC14+'Cashflow Projection &amp; Investme'!BD14+'Cashflow Projection &amp; Investme'!BE14</f>
        <v>184459.25041500008</v>
      </c>
      <c r="T14" s="109">
        <f ca="1">'Cashflow Projection &amp; Investme'!BF14+'Cashflow Projection &amp; Investme'!BG14+'Cashflow Projection &amp; Investme'!BH14</f>
        <v>184459.25041500008</v>
      </c>
      <c r="U14" s="109">
        <f ca="1">'Cashflow Projection &amp; Investme'!BI14+'Cashflow Projection &amp; Investme'!BJ14+'Cashflow Projection &amp; Investme'!BK14</f>
        <v>184459.25041500008</v>
      </c>
      <c r="V14" s="109">
        <f ca="1">'Cashflow Projection &amp; Investme'!BL14+'Cashflow Projection &amp; Investme'!BM14+'Cashflow Projection &amp; Investme'!BN14</f>
        <v>184459.25041500008</v>
      </c>
      <c r="W14" s="109">
        <f ca="1">'Cashflow Projection &amp; Investme'!BP14+'Cashflow Projection &amp; Investme'!BQ14+'Cashflow Projection &amp; Investme'!BR14</f>
        <v>202905.17545650009</v>
      </c>
      <c r="X14" s="109">
        <f ca="1">'Cashflow Projection &amp; Investme'!BS14+'Cashflow Projection &amp; Investme'!BT14+'Cashflow Projection &amp; Investme'!BU14</f>
        <v>202905.17545650009</v>
      </c>
      <c r="Y14" s="109">
        <f ca="1">'Cashflow Projection &amp; Investme'!BV14+'Cashflow Projection &amp; Investme'!BW14+'Cashflow Projection &amp; Investme'!BX14</f>
        <v>202905.17545650009</v>
      </c>
      <c r="Z14" s="109">
        <f ca="1">'Cashflow Projection &amp; Investme'!BY14+'Cashflow Projection &amp; Investme'!BZ14+'Cashflow Projection &amp; Investme'!CA14</f>
        <v>202905.17545650009</v>
      </c>
      <c r="AA14" s="109">
        <f ca="1">'Cashflow Projection &amp; Investme'!CC14+'Cashflow Projection &amp; Investme'!CD14+'Cashflow Projection &amp; Investme'!CE14</f>
        <v>223195.6930021501</v>
      </c>
      <c r="AB14" s="109">
        <f ca="1">'Cashflow Projection &amp; Investme'!CF14+'Cashflow Projection &amp; Investme'!CG14+'Cashflow Projection &amp; Investme'!CH14</f>
        <v>223195.6930021501</v>
      </c>
      <c r="AC14" s="109">
        <f ca="1">'Cashflow Projection &amp; Investme'!CI14+'Cashflow Projection &amp; Investme'!CJ14+'Cashflow Projection &amp; Investme'!CK14</f>
        <v>223195.6930021501</v>
      </c>
      <c r="AD14" s="109">
        <f ca="1">'Cashflow Projection &amp; Investme'!CL14+'Cashflow Projection &amp; Investme'!CM14+'Cashflow Projection &amp; Investme'!CN14</f>
        <v>223195.6930021501</v>
      </c>
    </row>
    <row r="15" spans="1:30" s="112" customFormat="1" ht="24.95" customHeight="1">
      <c r="A15" s="124" t="s">
        <v>337</v>
      </c>
      <c r="B15" s="518">
        <f>'OPEREX, PAYROL'!E90</f>
        <v>0</v>
      </c>
      <c r="C15" s="518">
        <f>'Cashflow Projection &amp; Investme'!C15+'Cashflow Projection &amp; Investme'!D15+'Cashflow Projection &amp; Investme'!E15</f>
        <v>0</v>
      </c>
      <c r="D15" s="518">
        <f>'Cashflow Projection &amp; Investme'!F15+'Cashflow Projection &amp; Investme'!G15+'Cashflow Projection &amp; Investme'!H15</f>
        <v>0</v>
      </c>
      <c r="E15" s="518">
        <f>'Cashflow Projection &amp; Investme'!I15+'Cashflow Projection &amp; Investme'!J15+'Cashflow Projection &amp; Investme'!K15</f>
        <v>0</v>
      </c>
      <c r="F15" s="519">
        <f>'Cashflow Projection &amp; Investme'!L15+'Cashflow Projection &amp; Investme'!M15+'Cashflow Projection &amp; Investme'!N15</f>
        <v>0</v>
      </c>
      <c r="G15" s="536">
        <f>'Cashflow Projection &amp; Investme'!P15+'Cashflow Projection &amp; Investme'!Q15+'Cashflow Projection &amp; Investme'!R15</f>
        <v>0</v>
      </c>
      <c r="H15" s="518">
        <f>'Cashflow Projection &amp; Investme'!S15+'Cashflow Projection &amp; Investme'!T15+'Cashflow Projection &amp; Investme'!U15</f>
        <v>0</v>
      </c>
      <c r="I15" s="518">
        <f>'Cashflow Projection &amp; Investme'!V15+'Cashflow Projection &amp; Investme'!W15+'Cashflow Projection &amp; Investme'!X15</f>
        <v>0</v>
      </c>
      <c r="J15" s="518">
        <f>'Cashflow Projection &amp; Investme'!Y15+'Cashflow Projection &amp; Investme'!Z15+'Cashflow Projection &amp; Investme'!AA15</f>
        <v>0</v>
      </c>
      <c r="K15" s="109">
        <f>'Cashflow Projection &amp; Investme'!AC15+'Cashflow Projection &amp; Investme'!AD15+'Cashflow Projection &amp; Investme'!AE15</f>
        <v>0</v>
      </c>
      <c r="L15" s="109">
        <f>'Cashflow Projection &amp; Investme'!AF15+'Cashflow Projection &amp; Investme'!AG15+'Cashflow Projection &amp; Investme'!AH15</f>
        <v>0</v>
      </c>
      <c r="M15" s="109">
        <f>'Cashflow Projection &amp; Investme'!AI15+'Cashflow Projection &amp; Investme'!AJ15+'Cashflow Projection &amp; Investme'!AK15</f>
        <v>0</v>
      </c>
      <c r="N15" s="109">
        <f>'Cashflow Projection &amp; Investme'!AL15+'Cashflow Projection &amp; Investme'!AM15+'Cashflow Projection &amp; Investme'!AN15</f>
        <v>0</v>
      </c>
      <c r="O15" s="109">
        <f>'Cashflow Projection &amp; Investme'!AP15+'Cashflow Projection &amp; Investme'!AQ15+'Cashflow Projection &amp; Investme'!AR15</f>
        <v>0</v>
      </c>
      <c r="P15" s="109">
        <f>'Cashflow Projection &amp; Investme'!AS15+'Cashflow Projection &amp; Investme'!AT15+'Cashflow Projection &amp; Investme'!AU15</f>
        <v>0</v>
      </c>
      <c r="Q15" s="109">
        <f>'Cashflow Projection &amp; Investme'!AV15+'Cashflow Projection &amp; Investme'!AW15+'Cashflow Projection &amp; Investme'!AX15</f>
        <v>0</v>
      </c>
      <c r="R15" s="109">
        <f>'Cashflow Projection &amp; Investme'!AY15+'Cashflow Projection &amp; Investme'!AZ15+'Cashflow Projection &amp; Investme'!BA15</f>
        <v>0</v>
      </c>
      <c r="S15" s="109">
        <f>'Cashflow Projection &amp; Investme'!BC15+'Cashflow Projection &amp; Investme'!BD15+'Cashflow Projection &amp; Investme'!BE15</f>
        <v>0</v>
      </c>
      <c r="T15" s="109">
        <f>'Cashflow Projection &amp; Investme'!BF15+'Cashflow Projection &amp; Investme'!BG15+'Cashflow Projection &amp; Investme'!BH15</f>
        <v>0</v>
      </c>
      <c r="U15" s="109">
        <f>'Cashflow Projection &amp; Investme'!BI15+'Cashflow Projection &amp; Investme'!BJ15+'Cashflow Projection &amp; Investme'!BK15</f>
        <v>0</v>
      </c>
      <c r="V15" s="109">
        <f>'Cashflow Projection &amp; Investme'!BL15+'Cashflow Projection &amp; Investme'!BM15+'Cashflow Projection &amp; Investme'!BN15</f>
        <v>0</v>
      </c>
      <c r="W15" s="109">
        <f>'Cashflow Projection &amp; Investme'!BP15+'Cashflow Projection &amp; Investme'!BQ15+'Cashflow Projection &amp; Investme'!BR15</f>
        <v>0</v>
      </c>
      <c r="X15" s="109">
        <f>'Cashflow Projection &amp; Investme'!BS15+'Cashflow Projection &amp; Investme'!BT15+'Cashflow Projection &amp; Investme'!BU15</f>
        <v>0</v>
      </c>
      <c r="Y15" s="109">
        <f>'Cashflow Projection &amp; Investme'!BV15+'Cashflow Projection &amp; Investme'!BW15+'Cashflow Projection &amp; Investme'!BX15</f>
        <v>0</v>
      </c>
      <c r="Z15" s="109">
        <f>'Cashflow Projection &amp; Investme'!BY15+'Cashflow Projection &amp; Investme'!BZ15+'Cashflow Projection &amp; Investme'!CA15</f>
        <v>0</v>
      </c>
      <c r="AA15" s="109">
        <f>'Cashflow Projection &amp; Investme'!CC15+'Cashflow Projection &amp; Investme'!CD15+'Cashflow Projection &amp; Investme'!CE15</f>
        <v>0</v>
      </c>
      <c r="AB15" s="109">
        <f>'Cashflow Projection &amp; Investme'!CF15+'Cashflow Projection &amp; Investme'!CG15+'Cashflow Projection &amp; Investme'!CH15</f>
        <v>0</v>
      </c>
      <c r="AC15" s="109">
        <f>'Cashflow Projection &amp; Investme'!CI15+'Cashflow Projection &amp; Investme'!CJ15+'Cashflow Projection &amp; Investme'!CK15</f>
        <v>0</v>
      </c>
      <c r="AD15" s="109">
        <f>'Cashflow Projection &amp; Investme'!CL15+'Cashflow Projection &amp; Investme'!CM15+'Cashflow Projection &amp; Investme'!CN15</f>
        <v>0</v>
      </c>
    </row>
    <row r="16" spans="1:30" s="112" customFormat="1" ht="24.95" customHeight="1" thickBot="1">
      <c r="A16" s="124" t="s">
        <v>338</v>
      </c>
      <c r="B16" s="514"/>
      <c r="C16" s="514">
        <f>'Cashflow Projection &amp; Investme'!C16+'Cashflow Projection &amp; Investme'!D16+'Cashflow Projection &amp; Investme'!E16</f>
        <v>159822.85721051914</v>
      </c>
      <c r="D16" s="514">
        <f>'Cashflow Projection &amp; Investme'!F16+'Cashflow Projection &amp; Investme'!G16+'Cashflow Projection &amp; Investme'!H16</f>
        <v>159822.85721051914</v>
      </c>
      <c r="E16" s="514">
        <f>'Cashflow Projection &amp; Investme'!I16+'Cashflow Projection &amp; Investme'!J16+'Cashflow Projection &amp; Investme'!K16</f>
        <v>159822.85721051914</v>
      </c>
      <c r="F16" s="522">
        <f>'Cashflow Projection &amp; Investme'!L16+'Cashflow Projection &amp; Investme'!M16+'Cashflow Projection &amp; Investme'!N16</f>
        <v>159822.85721051914</v>
      </c>
      <c r="G16" s="538">
        <f>'Cashflow Projection &amp; Investme'!P16+'Cashflow Projection &amp; Investme'!Q16+'Cashflow Projection &amp; Investme'!R16</f>
        <v>159822.85721051914</v>
      </c>
      <c r="H16" s="514">
        <f>'Cashflow Projection &amp; Investme'!S16+'Cashflow Projection &amp; Investme'!T16+'Cashflow Projection &amp; Investme'!U16</f>
        <v>159822.85721051914</v>
      </c>
      <c r="I16" s="514">
        <f>'Cashflow Projection &amp; Investme'!V16+'Cashflow Projection &amp; Investme'!W16+'Cashflow Projection &amp; Investme'!X16</f>
        <v>159822.85721051914</v>
      </c>
      <c r="J16" s="514">
        <f>'Cashflow Projection &amp; Investme'!Y16+'Cashflow Projection &amp; Investme'!Z16+'Cashflow Projection &amp; Investme'!AA16</f>
        <v>159822.85721051914</v>
      </c>
      <c r="K16" s="114">
        <f>'Cashflow Projection &amp; Investme'!AC16+'Cashflow Projection &amp; Investme'!AD16+'Cashflow Projection &amp; Investme'!AE16</f>
        <v>159822.85721051914</v>
      </c>
      <c r="L16" s="114">
        <f>'Cashflow Projection &amp; Investme'!AF16+'Cashflow Projection &amp; Investme'!AG16+'Cashflow Projection &amp; Investme'!AH16</f>
        <v>159822.85721051914</v>
      </c>
      <c r="M16" s="114">
        <f>'Cashflow Projection &amp; Investme'!AI16+'Cashflow Projection &amp; Investme'!AJ16+'Cashflow Projection &amp; Investme'!AK16</f>
        <v>159822.85721051914</v>
      </c>
      <c r="N16" s="114">
        <f>'Cashflow Projection &amp; Investme'!AL16+'Cashflow Projection &amp; Investme'!AM16+'Cashflow Projection &amp; Investme'!AN16</f>
        <v>159822.85721051914</v>
      </c>
      <c r="O16" s="114">
        <f>'Cashflow Projection &amp; Investme'!AP16+'Cashflow Projection &amp; Investme'!AQ16+'Cashflow Projection &amp; Investme'!AR16</f>
        <v>159822.85721051914</v>
      </c>
      <c r="P16" s="114">
        <f>'Cashflow Projection &amp; Investme'!AS16+'Cashflow Projection &amp; Investme'!AT16+'Cashflow Projection &amp; Investme'!AU16</f>
        <v>159822.85721051914</v>
      </c>
      <c r="Q16" s="114">
        <f>'Cashflow Projection &amp; Investme'!AV16+'Cashflow Projection &amp; Investme'!AW16+'Cashflow Projection &amp; Investme'!AX16</f>
        <v>159822.85721051914</v>
      </c>
      <c r="R16" s="114">
        <f>'Cashflow Projection &amp; Investme'!AY16+'Cashflow Projection &amp; Investme'!AZ16+'Cashflow Projection &amp; Investme'!BA16</f>
        <v>159822.85721051914</v>
      </c>
      <c r="S16" s="114">
        <f>'Cashflow Projection &amp; Investme'!BC16+'Cashflow Projection &amp; Investme'!BD16+'Cashflow Projection &amp; Investme'!BE16</f>
        <v>159822.85721051914</v>
      </c>
      <c r="T16" s="114">
        <f>'Cashflow Projection &amp; Investme'!BF16+'Cashflow Projection &amp; Investme'!BG16+'Cashflow Projection &amp; Investme'!BH16</f>
        <v>159822.85721051914</v>
      </c>
      <c r="U16" s="114">
        <f>'Cashflow Projection &amp; Investme'!BI16+'Cashflow Projection &amp; Investme'!BJ16+'Cashflow Projection &amp; Investme'!BK16</f>
        <v>159822.85721051914</v>
      </c>
      <c r="V16" s="114">
        <f>'Cashflow Projection &amp; Investme'!BL16+'Cashflow Projection &amp; Investme'!BM16+'Cashflow Projection &amp; Investme'!BN16</f>
        <v>159822.85721051914</v>
      </c>
      <c r="W16" s="114">
        <f>'Cashflow Projection &amp; Investme'!BP16+'Cashflow Projection &amp; Investme'!BQ16+'Cashflow Projection &amp; Investme'!BR16</f>
        <v>159822.85721051914</v>
      </c>
      <c r="X16" s="114">
        <f>'Cashflow Projection &amp; Investme'!BS16+'Cashflow Projection &amp; Investme'!BT16+'Cashflow Projection &amp; Investme'!BU16</f>
        <v>159822.85721051914</v>
      </c>
      <c r="Y16" s="114">
        <f>'Cashflow Projection &amp; Investme'!BV16+'Cashflow Projection &amp; Investme'!BW16+'Cashflow Projection &amp; Investme'!BX16</f>
        <v>159822.85721051914</v>
      </c>
      <c r="Z16" s="114">
        <f>'Cashflow Projection &amp; Investme'!BY16+'Cashflow Projection &amp; Investme'!BZ16+'Cashflow Projection &amp; Investme'!CA16</f>
        <v>159822.85721051914</v>
      </c>
      <c r="AA16" s="114">
        <f>'Cashflow Projection &amp; Investme'!CC16+'Cashflow Projection &amp; Investme'!CD16+'Cashflow Projection &amp; Investme'!CE16</f>
        <v>159822.85721051914</v>
      </c>
      <c r="AB16" s="114">
        <f>'Cashflow Projection &amp; Investme'!CF16+'Cashflow Projection &amp; Investme'!CG16+'Cashflow Projection &amp; Investme'!CH16</f>
        <v>159822.85721051914</v>
      </c>
      <c r="AC16" s="114">
        <f>'Cashflow Projection &amp; Investme'!CI16+'Cashflow Projection &amp; Investme'!CJ16+'Cashflow Projection &amp; Investme'!CK16</f>
        <v>159822.85721051914</v>
      </c>
      <c r="AD16" s="114">
        <f>'Cashflow Projection &amp; Investme'!CL16+'Cashflow Projection &amp; Investme'!CM16+'Cashflow Projection &amp; Investme'!CN16</f>
        <v>159822.85721051914</v>
      </c>
    </row>
    <row r="17" spans="1:30" s="107" customFormat="1" ht="24.95" customHeight="1" thickBot="1">
      <c r="A17" s="123" t="s">
        <v>339</v>
      </c>
      <c r="B17" s="523">
        <f ca="1">SUBTOTAL(109,B12:B16)</f>
        <v>572030.15599999996</v>
      </c>
      <c r="C17" s="523">
        <f t="shared" ref="C17:V17" ca="1" si="14">SUBTOTAL(109,C12:C16)</f>
        <v>1872001.475210519</v>
      </c>
      <c r="D17" s="523">
        <f t="shared" ca="1" si="14"/>
        <v>1870701.475210519</v>
      </c>
      <c r="E17" s="523">
        <f t="shared" ca="1" si="14"/>
        <v>1872001.475210519</v>
      </c>
      <c r="F17" s="524">
        <f t="shared" ca="1" si="14"/>
        <v>1872001.475210519</v>
      </c>
      <c r="G17" s="539">
        <f t="shared" ca="1" si="14"/>
        <v>2124696.3078985191</v>
      </c>
      <c r="H17" s="523">
        <f t="shared" ca="1" si="14"/>
        <v>2124696.3078985191</v>
      </c>
      <c r="I17" s="523">
        <f t="shared" ca="1" si="14"/>
        <v>2124696.3078985191</v>
      </c>
      <c r="J17" s="523">
        <f t="shared" ca="1" si="14"/>
        <v>2124696.3078985191</v>
      </c>
      <c r="K17" s="115">
        <f t="shared" ca="1" si="14"/>
        <v>2401790.749730519</v>
      </c>
      <c r="L17" s="115">
        <f t="shared" ca="1" si="14"/>
        <v>2401790.749730519</v>
      </c>
      <c r="M17" s="115">
        <f t="shared" ca="1" si="14"/>
        <v>2401790.749730519</v>
      </c>
      <c r="N17" s="115">
        <f t="shared" ca="1" si="14"/>
        <v>2401790.749730519</v>
      </c>
      <c r="O17" s="115">
        <f t="shared" ca="1" si="14"/>
        <v>2705283.9219805184</v>
      </c>
      <c r="P17" s="115">
        <f t="shared" ca="1" si="14"/>
        <v>2705283.9219805184</v>
      </c>
      <c r="Q17" s="115">
        <f t="shared" ca="1" si="14"/>
        <v>2705283.9219805184</v>
      </c>
      <c r="R17" s="115">
        <f t="shared" ca="1" si="14"/>
        <v>2705283.9219805184</v>
      </c>
      <c r="S17" s="115">
        <f t="shared" ca="1" si="14"/>
        <v>3037373.607424919</v>
      </c>
      <c r="T17" s="115">
        <f t="shared" ca="1" si="14"/>
        <v>3037373.607424919</v>
      </c>
      <c r="U17" s="115">
        <f t="shared" ca="1" si="14"/>
        <v>3037373.607424919</v>
      </c>
      <c r="V17" s="115">
        <f t="shared" ca="1" si="14"/>
        <v>3037373.607424919</v>
      </c>
      <c r="W17" s="115">
        <f t="shared" ref="W17:AD17" ca="1" si="15">SUBTOTAL(109,W12:W16)</f>
        <v>3400457.5727552683</v>
      </c>
      <c r="X17" s="115">
        <f t="shared" ca="1" si="15"/>
        <v>3400457.5727552683</v>
      </c>
      <c r="Y17" s="115">
        <f t="shared" ca="1" si="15"/>
        <v>3400457.5727552683</v>
      </c>
      <c r="Z17" s="115">
        <f t="shared" ca="1" si="15"/>
        <v>3400457.5727552683</v>
      </c>
      <c r="AA17" s="115">
        <f t="shared" ca="1" si="15"/>
        <v>3600494.985712131</v>
      </c>
      <c r="AB17" s="115">
        <f t="shared" ca="1" si="15"/>
        <v>3600494.985712131</v>
      </c>
      <c r="AC17" s="115">
        <f t="shared" ca="1" si="15"/>
        <v>3600494.985712131</v>
      </c>
      <c r="AD17" s="115">
        <f t="shared" ca="1" si="15"/>
        <v>3600494.985712131</v>
      </c>
    </row>
    <row r="18" spans="1:30" s="112" customFormat="1" ht="24.95" customHeight="1" thickBot="1">
      <c r="A18" s="123" t="s">
        <v>340</v>
      </c>
      <c r="B18" s="525">
        <f>'Projected FS'!$B$35</f>
        <v>8416320</v>
      </c>
      <c r="C18" s="118"/>
      <c r="D18" s="118"/>
      <c r="E18" s="118"/>
      <c r="F18" s="119"/>
      <c r="G18" s="442"/>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row>
    <row r="19" spans="1:30" s="104" customFormat="1" ht="24.95" customHeight="1" thickBot="1">
      <c r="A19" s="123" t="s">
        <v>341</v>
      </c>
      <c r="B19" s="120"/>
      <c r="C19" s="120"/>
      <c r="D19" s="120"/>
      <c r="E19" s="120"/>
      <c r="F19" s="121"/>
      <c r="G19" s="443"/>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row>
    <row r="20" spans="1:30" s="1" customFormat="1" ht="24.95" customHeight="1" thickBot="1">
      <c r="A20" s="122" t="s">
        <v>339</v>
      </c>
      <c r="B20" s="516">
        <f t="shared" ref="B20:F20" ca="1" si="16">SUM(B17:B19)</f>
        <v>8988350.1559999995</v>
      </c>
      <c r="C20" s="516">
        <f t="shared" ca="1" si="16"/>
        <v>1872001.475210519</v>
      </c>
      <c r="D20" s="516">
        <f t="shared" ca="1" si="16"/>
        <v>1870701.475210519</v>
      </c>
      <c r="E20" s="516">
        <f t="shared" ca="1" si="16"/>
        <v>1872001.475210519</v>
      </c>
      <c r="F20" s="517">
        <f t="shared" ca="1" si="16"/>
        <v>1872001.475210519</v>
      </c>
      <c r="G20" s="535">
        <f t="shared" ref="G20:J20" ca="1" si="17">SUM(G17:G19)</f>
        <v>2124696.3078985191</v>
      </c>
      <c r="H20" s="516">
        <f t="shared" ca="1" si="17"/>
        <v>2124696.3078985191</v>
      </c>
      <c r="I20" s="516">
        <f t="shared" ca="1" si="17"/>
        <v>2124696.3078985191</v>
      </c>
      <c r="J20" s="516">
        <f t="shared" ca="1" si="17"/>
        <v>2124696.3078985191</v>
      </c>
      <c r="K20" s="113">
        <f t="shared" ref="K20:N20" ca="1" si="18">SUM(K17:K19)</f>
        <v>2401790.749730519</v>
      </c>
      <c r="L20" s="113">
        <f t="shared" ca="1" si="18"/>
        <v>2401790.749730519</v>
      </c>
      <c r="M20" s="113">
        <f t="shared" ca="1" si="18"/>
        <v>2401790.749730519</v>
      </c>
      <c r="N20" s="113">
        <f t="shared" ca="1" si="18"/>
        <v>2401790.749730519</v>
      </c>
      <c r="O20" s="113">
        <f t="shared" ref="O20:R20" ca="1" si="19">SUM(O17:O19)</f>
        <v>2705283.9219805184</v>
      </c>
      <c r="P20" s="113">
        <f t="shared" ca="1" si="19"/>
        <v>2705283.9219805184</v>
      </c>
      <c r="Q20" s="113">
        <f t="shared" ca="1" si="19"/>
        <v>2705283.9219805184</v>
      </c>
      <c r="R20" s="113">
        <f t="shared" ca="1" si="19"/>
        <v>2705283.9219805184</v>
      </c>
      <c r="S20" s="113">
        <f t="shared" ref="S20:V20" ca="1" si="20">SUM(S17:S19)</f>
        <v>3037373.607424919</v>
      </c>
      <c r="T20" s="113">
        <f t="shared" ca="1" si="20"/>
        <v>3037373.607424919</v>
      </c>
      <c r="U20" s="113">
        <f t="shared" ca="1" si="20"/>
        <v>3037373.607424919</v>
      </c>
      <c r="V20" s="113">
        <f t="shared" ca="1" si="20"/>
        <v>3037373.607424919</v>
      </c>
      <c r="W20" s="113">
        <f t="shared" ref="W20:Z20" ca="1" si="21">SUM(W17:W19)</f>
        <v>3400457.5727552683</v>
      </c>
      <c r="X20" s="113">
        <f t="shared" ca="1" si="21"/>
        <v>3400457.5727552683</v>
      </c>
      <c r="Y20" s="113">
        <f t="shared" ca="1" si="21"/>
        <v>3400457.5727552683</v>
      </c>
      <c r="Z20" s="113">
        <f t="shared" ca="1" si="21"/>
        <v>3400457.5727552683</v>
      </c>
      <c r="AA20" s="113">
        <f t="shared" ref="AA20:AD20" ca="1" si="22">SUM(AA17:AA19)</f>
        <v>3600494.985712131</v>
      </c>
      <c r="AB20" s="113">
        <f t="shared" ca="1" si="22"/>
        <v>3600494.985712131</v>
      </c>
      <c r="AC20" s="113">
        <f t="shared" ca="1" si="22"/>
        <v>3600494.985712131</v>
      </c>
      <c r="AD20" s="113">
        <f t="shared" ca="1" si="22"/>
        <v>3600494.985712131</v>
      </c>
    </row>
    <row r="21" spans="1:30" s="1" customFormat="1" ht="24.95" customHeight="1" thickBot="1">
      <c r="A21" s="122" t="s">
        <v>342</v>
      </c>
      <c r="B21" s="516">
        <f t="shared" ref="B21:F21" ca="1" si="23">B10-B20</f>
        <v>-8988350.1559999995</v>
      </c>
      <c r="C21" s="516">
        <f t="shared" ca="1" si="23"/>
        <v>-829987.10021051904</v>
      </c>
      <c r="D21" s="516">
        <f t="shared" ca="1" si="23"/>
        <v>213327.27478948096</v>
      </c>
      <c r="E21" s="516">
        <f t="shared" ca="1" si="23"/>
        <v>425354.54957896192</v>
      </c>
      <c r="F21" s="517">
        <f t="shared" ca="1" si="23"/>
        <v>637381.82436844287</v>
      </c>
      <c r="G21" s="535">
        <f t="shared" ref="G21:J21" ca="1" si="24">G10-G20</f>
        <v>769688.65271992376</v>
      </c>
      <c r="H21" s="516">
        <f t="shared" ca="1" si="24"/>
        <v>1074969.8673214046</v>
      </c>
      <c r="I21" s="516">
        <f t="shared" ca="1" si="24"/>
        <v>1380251.0819228855</v>
      </c>
      <c r="J21" s="516">
        <f t="shared" ca="1" si="24"/>
        <v>1685532.2965243664</v>
      </c>
      <c r="K21" s="113">
        <f t="shared" ref="K21:N21" ca="1" si="25">K10-K20</f>
        <v>1903713.023668847</v>
      </c>
      <c r="L21" s="113">
        <f t="shared" ca="1" si="25"/>
        <v>2311887.7051883284</v>
      </c>
      <c r="M21" s="113">
        <f t="shared" ca="1" si="25"/>
        <v>2720062.3867078098</v>
      </c>
      <c r="N21" s="113">
        <f t="shared" ca="1" si="25"/>
        <v>3128237.0682272911</v>
      </c>
      <c r="O21" s="113">
        <f t="shared" ref="O21:R21" ca="1" si="26">O10-O20</f>
        <v>3441321.4524967731</v>
      </c>
      <c r="P21" s="113">
        <f t="shared" ca="1" si="26"/>
        <v>3962808.7117662546</v>
      </c>
      <c r="Q21" s="113">
        <f t="shared" ca="1" si="26"/>
        <v>4484295.9710357357</v>
      </c>
      <c r="R21" s="113">
        <f t="shared" ca="1" si="26"/>
        <v>5005783.2303052172</v>
      </c>
      <c r="S21" s="113">
        <f t="shared" ref="S21:V21" ca="1" si="27">S10-S20</f>
        <v>5423520.8875052966</v>
      </c>
      <c r="T21" s="113">
        <f t="shared" ca="1" si="27"/>
        <v>6069598.6280803774</v>
      </c>
      <c r="U21" s="113">
        <f t="shared" ca="1" si="27"/>
        <v>6715676.3686554581</v>
      </c>
      <c r="V21" s="113">
        <f t="shared" ca="1" si="27"/>
        <v>7361754.1092305388</v>
      </c>
      <c r="W21" s="113">
        <f t="shared" ref="W21:Z21" ca="1" si="28">W10-W20</f>
        <v>7894692.3992252704</v>
      </c>
      <c r="X21" s="113">
        <f t="shared" ca="1" si="28"/>
        <v>8677575.203970002</v>
      </c>
      <c r="Y21" s="113">
        <f t="shared" ca="1" si="28"/>
        <v>9460458.0087147336</v>
      </c>
      <c r="Z21" s="113">
        <f t="shared" ca="1" si="28"/>
        <v>10243340.813459465</v>
      </c>
      <c r="AA21" s="113">
        <f t="shared" ref="AA21:AD21" ca="1" si="29">AA10-AA20</f>
        <v>10951714.203622334</v>
      </c>
      <c r="AB21" s="113">
        <f t="shared" ca="1" si="29"/>
        <v>11785615.592160203</v>
      </c>
      <c r="AC21" s="113">
        <f t="shared" ca="1" si="29"/>
        <v>12619516.980698071</v>
      </c>
      <c r="AD21" s="113">
        <f t="shared" ca="1" si="29"/>
        <v>13453418.369235942</v>
      </c>
    </row>
    <row r="22" spans="1:30" s="1" customFormat="1" ht="24.95" customHeight="1" thickBot="1">
      <c r="A22" s="230" t="s">
        <v>343</v>
      </c>
      <c r="K22"/>
      <c r="L22"/>
      <c r="M22"/>
      <c r="N22"/>
      <c r="O22"/>
      <c r="P22"/>
      <c r="Q22"/>
      <c r="R22"/>
      <c r="S22"/>
      <c r="T22"/>
      <c r="U22"/>
      <c r="V22"/>
      <c r="W22"/>
      <c r="X22"/>
      <c r="Y22"/>
      <c r="Z22"/>
      <c r="AA22"/>
      <c r="AB22"/>
      <c r="AC22"/>
      <c r="AD22"/>
    </row>
    <row r="23" spans="1:30" s="104" customFormat="1" ht="24.95" customHeight="1" thickTop="1" thickBot="1">
      <c r="A23" s="188" t="s">
        <v>55</v>
      </c>
      <c r="B23" s="526">
        <f ca="1">IF(B$21&lt;0,B$21*-1,0)-'Summary. Assumptions. Inputs'!$J$31-'Summary. Assumptions. Inputs'!$J$38-'Summary. Assumptions. Inputs'!$J$39</f>
        <v>4400030.1559999995</v>
      </c>
      <c r="C23" s="526">
        <f t="shared" ref="C23:F23" ca="1" si="30">IF(C$21&lt;0,C$21*-1,0)</f>
        <v>829987.10021051904</v>
      </c>
      <c r="D23" s="526">
        <f t="shared" ca="1" si="30"/>
        <v>0</v>
      </c>
      <c r="E23" s="526">
        <f t="shared" ca="1" si="30"/>
        <v>0</v>
      </c>
      <c r="F23" s="527">
        <f t="shared" ca="1" si="30"/>
        <v>0</v>
      </c>
      <c r="G23" s="540">
        <f t="shared" ref="G23:J23" ca="1" si="31">IF(G$21&lt;0,G$21*-1,0)</f>
        <v>0</v>
      </c>
      <c r="H23" s="526">
        <f t="shared" ca="1" si="31"/>
        <v>0</v>
      </c>
      <c r="I23" s="526">
        <f t="shared" ca="1" si="31"/>
        <v>0</v>
      </c>
      <c r="J23" s="526">
        <f t="shared" ca="1" si="31"/>
        <v>0</v>
      </c>
      <c r="K23" s="195">
        <f t="shared" ref="K23:N23" ca="1" si="32">IF(K$21&lt;0,K$21*-1,0)</f>
        <v>0</v>
      </c>
      <c r="L23" s="195">
        <f t="shared" ca="1" si="32"/>
        <v>0</v>
      </c>
      <c r="M23" s="195">
        <f t="shared" ca="1" si="32"/>
        <v>0</v>
      </c>
      <c r="N23" s="195">
        <f t="shared" ca="1" si="32"/>
        <v>0</v>
      </c>
      <c r="O23" s="195">
        <f t="shared" ref="O23:R23" ca="1" si="33">IF(O$21&lt;0,O$21*-1,0)</f>
        <v>0</v>
      </c>
      <c r="P23" s="195">
        <f t="shared" ca="1" si="33"/>
        <v>0</v>
      </c>
      <c r="Q23" s="195">
        <f t="shared" ca="1" si="33"/>
        <v>0</v>
      </c>
      <c r="R23" s="195">
        <f t="shared" ca="1" si="33"/>
        <v>0</v>
      </c>
      <c r="S23" s="195">
        <f t="shared" ref="S23:V23" ca="1" si="34">IF(S$21&lt;0,S$21*-1,0)</f>
        <v>0</v>
      </c>
      <c r="T23" s="195">
        <f t="shared" ca="1" si="34"/>
        <v>0</v>
      </c>
      <c r="U23" s="195">
        <f t="shared" ca="1" si="34"/>
        <v>0</v>
      </c>
      <c r="V23" s="195">
        <f t="shared" ca="1" si="34"/>
        <v>0</v>
      </c>
      <c r="W23" s="195">
        <f t="shared" ref="W23:Z23" ca="1" si="35">IF(W$21&lt;0,W$21*-1,0)</f>
        <v>0</v>
      </c>
      <c r="X23" s="195">
        <f t="shared" ca="1" si="35"/>
        <v>0</v>
      </c>
      <c r="Y23" s="195">
        <f t="shared" ca="1" si="35"/>
        <v>0</v>
      </c>
      <c r="Z23" s="195">
        <f t="shared" ca="1" si="35"/>
        <v>0</v>
      </c>
      <c r="AA23" s="195">
        <f t="shared" ref="AA23:AD23" ca="1" si="36">IF(AA$21&lt;0,AA$21*-1,0)</f>
        <v>0</v>
      </c>
      <c r="AB23" s="195">
        <f t="shared" ca="1" si="36"/>
        <v>0</v>
      </c>
      <c r="AC23" s="195">
        <f t="shared" ca="1" si="36"/>
        <v>0</v>
      </c>
      <c r="AD23" s="195">
        <f t="shared" ca="1" si="36"/>
        <v>0</v>
      </c>
    </row>
    <row r="24" spans="1:30" s="107" customFormat="1" ht="24.95" customHeight="1" thickBot="1">
      <c r="A24" s="123" t="s">
        <v>344</v>
      </c>
      <c r="B24" s="525">
        <f ca="1">B21+SUM(B23)</f>
        <v>-4588320</v>
      </c>
      <c r="C24" s="525">
        <f t="shared" ref="C24:F24" ca="1" si="37">C21+SUM(C23)</f>
        <v>0</v>
      </c>
      <c r="D24" s="525">
        <f t="shared" ca="1" si="37"/>
        <v>213327.27478948096</v>
      </c>
      <c r="E24" s="525">
        <f t="shared" ca="1" si="37"/>
        <v>425354.54957896192</v>
      </c>
      <c r="F24" s="528">
        <f t="shared" ca="1" si="37"/>
        <v>637381.82436844287</v>
      </c>
      <c r="G24" s="541">
        <f t="shared" ref="G24:J24" ca="1" si="38">G21+SUM(G23)</f>
        <v>769688.65271992376</v>
      </c>
      <c r="H24" s="525">
        <f t="shared" ca="1" si="38"/>
        <v>1074969.8673214046</v>
      </c>
      <c r="I24" s="525">
        <f t="shared" ca="1" si="38"/>
        <v>1380251.0819228855</v>
      </c>
      <c r="J24" s="525">
        <f t="shared" ca="1" si="38"/>
        <v>1685532.2965243664</v>
      </c>
      <c r="K24" s="108">
        <f t="shared" ref="K24:N24" ca="1" si="39">K21+SUM(K23)</f>
        <v>1903713.023668847</v>
      </c>
      <c r="L24" s="108">
        <f t="shared" ca="1" si="39"/>
        <v>2311887.7051883284</v>
      </c>
      <c r="M24" s="108">
        <f t="shared" ca="1" si="39"/>
        <v>2720062.3867078098</v>
      </c>
      <c r="N24" s="108">
        <f t="shared" ca="1" si="39"/>
        <v>3128237.0682272911</v>
      </c>
      <c r="O24" s="108">
        <f t="shared" ref="O24:R24" ca="1" si="40">O21+SUM(O23)</f>
        <v>3441321.4524967731</v>
      </c>
      <c r="P24" s="108">
        <f t="shared" ca="1" si="40"/>
        <v>3962808.7117662546</v>
      </c>
      <c r="Q24" s="108">
        <f t="shared" ca="1" si="40"/>
        <v>4484295.9710357357</v>
      </c>
      <c r="R24" s="108">
        <f t="shared" ca="1" si="40"/>
        <v>5005783.2303052172</v>
      </c>
      <c r="S24" s="108">
        <f t="shared" ref="S24:V24" ca="1" si="41">S21+SUM(S23)</f>
        <v>5423520.8875052966</v>
      </c>
      <c r="T24" s="108">
        <f t="shared" ca="1" si="41"/>
        <v>6069598.6280803774</v>
      </c>
      <c r="U24" s="108">
        <f t="shared" ca="1" si="41"/>
        <v>6715676.3686554581</v>
      </c>
      <c r="V24" s="108">
        <f t="shared" ca="1" si="41"/>
        <v>7361754.1092305388</v>
      </c>
      <c r="W24" s="108">
        <f t="shared" ref="W24:Z24" ca="1" si="42">W21+SUM(W23)</f>
        <v>7894692.3992252704</v>
      </c>
      <c r="X24" s="108">
        <f t="shared" ca="1" si="42"/>
        <v>8677575.203970002</v>
      </c>
      <c r="Y24" s="108">
        <f t="shared" ca="1" si="42"/>
        <v>9460458.0087147336</v>
      </c>
      <c r="Z24" s="108">
        <f t="shared" ca="1" si="42"/>
        <v>10243340.813459465</v>
      </c>
      <c r="AA24" s="108">
        <f t="shared" ref="AA24:AD24" ca="1" si="43">AA21+SUM(AA23)</f>
        <v>10951714.203622334</v>
      </c>
      <c r="AB24" s="108">
        <f t="shared" ca="1" si="43"/>
        <v>11785615.592160203</v>
      </c>
      <c r="AC24" s="108">
        <f t="shared" ca="1" si="43"/>
        <v>12619516.980698071</v>
      </c>
      <c r="AD24" s="108">
        <f t="shared" ca="1" si="43"/>
        <v>13453418.369235942</v>
      </c>
    </row>
    <row r="25" spans="1:30" s="104" customFormat="1" ht="24.95" customHeight="1" thickBot="1">
      <c r="A25" s="188" t="s">
        <v>57</v>
      </c>
      <c r="B25" s="529">
        <f>'Summary. Assumptions. Inputs'!J31</f>
        <v>4588320</v>
      </c>
      <c r="C25" s="530"/>
      <c r="D25" s="530"/>
      <c r="E25" s="530"/>
      <c r="F25" s="531"/>
      <c r="G25" s="542"/>
      <c r="H25" s="530"/>
      <c r="I25" s="530"/>
      <c r="J25" s="530"/>
      <c r="K25" s="198"/>
      <c r="L25" s="198"/>
      <c r="M25" s="198"/>
      <c r="N25" s="198"/>
      <c r="O25" s="198"/>
      <c r="P25" s="198"/>
      <c r="Q25" s="198"/>
      <c r="R25" s="198"/>
      <c r="S25" s="198"/>
      <c r="T25" s="198"/>
      <c r="U25" s="198"/>
      <c r="V25" s="198"/>
      <c r="W25" s="198"/>
      <c r="X25" s="198"/>
      <c r="Y25" s="198"/>
      <c r="Z25" s="198"/>
      <c r="AA25" s="198"/>
      <c r="AB25" s="198"/>
      <c r="AC25" s="198"/>
      <c r="AD25" s="198"/>
    </row>
    <row r="26" spans="1:30" s="107" customFormat="1" ht="24.95" customHeight="1" thickBot="1">
      <c r="A26" s="123" t="s">
        <v>345</v>
      </c>
      <c r="B26" s="525">
        <f t="shared" ref="B26:F26" ca="1" si="44">B24+SUM(B25)</f>
        <v>0</v>
      </c>
      <c r="C26" s="525">
        <f t="shared" ca="1" si="44"/>
        <v>0</v>
      </c>
      <c r="D26" s="525">
        <f t="shared" ca="1" si="44"/>
        <v>213327.27478948096</v>
      </c>
      <c r="E26" s="525">
        <f t="shared" ca="1" si="44"/>
        <v>425354.54957896192</v>
      </c>
      <c r="F26" s="528">
        <f t="shared" ca="1" si="44"/>
        <v>637381.82436844287</v>
      </c>
      <c r="G26" s="541">
        <f t="shared" ref="G26:J26" ca="1" si="45">G24+SUM(G25)</f>
        <v>769688.65271992376</v>
      </c>
      <c r="H26" s="525">
        <f t="shared" ca="1" si="45"/>
        <v>1074969.8673214046</v>
      </c>
      <c r="I26" s="525">
        <f t="shared" ca="1" si="45"/>
        <v>1380251.0819228855</v>
      </c>
      <c r="J26" s="525">
        <f t="shared" ca="1" si="45"/>
        <v>1685532.2965243664</v>
      </c>
      <c r="K26" s="108">
        <f t="shared" ref="K26:N26" ca="1" si="46">K24+SUM(K25)</f>
        <v>1903713.023668847</v>
      </c>
      <c r="L26" s="108">
        <f t="shared" ca="1" si="46"/>
        <v>2311887.7051883284</v>
      </c>
      <c r="M26" s="108">
        <f t="shared" ca="1" si="46"/>
        <v>2720062.3867078098</v>
      </c>
      <c r="N26" s="108">
        <f t="shared" ca="1" si="46"/>
        <v>3128237.0682272911</v>
      </c>
      <c r="O26" s="108">
        <f t="shared" ref="O26:R26" ca="1" si="47">O24+SUM(O25)</f>
        <v>3441321.4524967731</v>
      </c>
      <c r="P26" s="108">
        <f t="shared" ca="1" si="47"/>
        <v>3962808.7117662546</v>
      </c>
      <c r="Q26" s="108">
        <f t="shared" ca="1" si="47"/>
        <v>4484295.9710357357</v>
      </c>
      <c r="R26" s="108">
        <f t="shared" ca="1" si="47"/>
        <v>5005783.2303052172</v>
      </c>
      <c r="S26" s="108">
        <f t="shared" ref="S26:V26" ca="1" si="48">S24+SUM(S25)</f>
        <v>5423520.8875052966</v>
      </c>
      <c r="T26" s="108">
        <f t="shared" ca="1" si="48"/>
        <v>6069598.6280803774</v>
      </c>
      <c r="U26" s="108">
        <f t="shared" ca="1" si="48"/>
        <v>6715676.3686554581</v>
      </c>
      <c r="V26" s="108">
        <f t="shared" ca="1" si="48"/>
        <v>7361754.1092305388</v>
      </c>
      <c r="W26" s="108">
        <f t="shared" ref="W26:Z26" ca="1" si="49">W24+SUM(W25)</f>
        <v>7894692.3992252704</v>
      </c>
      <c r="X26" s="108">
        <f t="shared" ca="1" si="49"/>
        <v>8677575.203970002</v>
      </c>
      <c r="Y26" s="108">
        <f t="shared" ca="1" si="49"/>
        <v>9460458.0087147336</v>
      </c>
      <c r="Z26" s="108">
        <f t="shared" ca="1" si="49"/>
        <v>10243340.813459465</v>
      </c>
      <c r="AA26" s="108">
        <f t="shared" ref="AA26:AD26" ca="1" si="50">AA24+SUM(AA25)</f>
        <v>10951714.203622334</v>
      </c>
      <c r="AB26" s="108">
        <f t="shared" ca="1" si="50"/>
        <v>11785615.592160203</v>
      </c>
      <c r="AC26" s="108">
        <f t="shared" ca="1" si="50"/>
        <v>12619516.980698071</v>
      </c>
      <c r="AD26" s="108">
        <f t="shared" ca="1" si="50"/>
        <v>13453418.369235942</v>
      </c>
    </row>
    <row r="27" spans="1:30" s="104" customFormat="1" ht="24.95" customHeight="1" thickBot="1">
      <c r="A27" s="188" t="s">
        <v>83</v>
      </c>
      <c r="B27" s="532">
        <f>'Summary. Assumptions. Inputs'!J38</f>
        <v>0</v>
      </c>
      <c r="C27" s="530"/>
      <c r="D27" s="530"/>
      <c r="E27" s="530"/>
      <c r="F27" s="531"/>
      <c r="G27" s="542"/>
      <c r="H27" s="530"/>
      <c r="I27" s="530"/>
      <c r="J27" s="530"/>
      <c r="K27" s="198"/>
      <c r="L27" s="198"/>
      <c r="M27" s="198"/>
      <c r="N27" s="198"/>
      <c r="O27" s="198"/>
      <c r="P27" s="198"/>
      <c r="Q27" s="198"/>
      <c r="R27" s="198"/>
      <c r="S27" s="198"/>
      <c r="T27" s="198"/>
      <c r="U27" s="198"/>
      <c r="V27" s="198"/>
      <c r="W27" s="198"/>
      <c r="X27" s="198"/>
      <c r="Y27" s="198"/>
      <c r="Z27" s="198"/>
      <c r="AA27" s="198"/>
      <c r="AB27" s="198"/>
      <c r="AC27" s="198"/>
      <c r="AD27" s="198"/>
    </row>
    <row r="28" spans="1:30" s="107" customFormat="1" ht="24.95" customHeight="1" thickBot="1">
      <c r="A28" s="123" t="s">
        <v>346</v>
      </c>
      <c r="B28" s="525">
        <f t="shared" ref="B28:F28" ca="1" si="51">B26+SUM(B27)</f>
        <v>0</v>
      </c>
      <c r="C28" s="525">
        <f t="shared" ca="1" si="51"/>
        <v>0</v>
      </c>
      <c r="D28" s="525">
        <f t="shared" ca="1" si="51"/>
        <v>213327.27478948096</v>
      </c>
      <c r="E28" s="525">
        <f t="shared" ca="1" si="51"/>
        <v>425354.54957896192</v>
      </c>
      <c r="F28" s="528">
        <f t="shared" ca="1" si="51"/>
        <v>637381.82436844287</v>
      </c>
      <c r="G28" s="541">
        <f t="shared" ref="G28:J28" ca="1" si="52">G26+SUM(G27)</f>
        <v>769688.65271992376</v>
      </c>
      <c r="H28" s="525">
        <f t="shared" ca="1" si="52"/>
        <v>1074969.8673214046</v>
      </c>
      <c r="I28" s="525">
        <f t="shared" ca="1" si="52"/>
        <v>1380251.0819228855</v>
      </c>
      <c r="J28" s="525">
        <f t="shared" ca="1" si="52"/>
        <v>1685532.2965243664</v>
      </c>
      <c r="K28" s="108">
        <f t="shared" ref="K28:N28" ca="1" si="53">K26+SUM(K27)</f>
        <v>1903713.023668847</v>
      </c>
      <c r="L28" s="108">
        <f t="shared" ca="1" si="53"/>
        <v>2311887.7051883284</v>
      </c>
      <c r="M28" s="108">
        <f t="shared" ca="1" si="53"/>
        <v>2720062.3867078098</v>
      </c>
      <c r="N28" s="108">
        <f t="shared" ca="1" si="53"/>
        <v>3128237.0682272911</v>
      </c>
      <c r="O28" s="108">
        <f t="shared" ref="O28:R28" ca="1" si="54">O26+SUM(O27)</f>
        <v>3441321.4524967731</v>
      </c>
      <c r="P28" s="108">
        <f t="shared" ca="1" si="54"/>
        <v>3962808.7117662546</v>
      </c>
      <c r="Q28" s="108">
        <f t="shared" ca="1" si="54"/>
        <v>4484295.9710357357</v>
      </c>
      <c r="R28" s="108">
        <f t="shared" ca="1" si="54"/>
        <v>5005783.2303052172</v>
      </c>
      <c r="S28" s="108">
        <f t="shared" ref="S28:V28" ca="1" si="55">S26+SUM(S27)</f>
        <v>5423520.8875052966</v>
      </c>
      <c r="T28" s="108">
        <f t="shared" ca="1" si="55"/>
        <v>6069598.6280803774</v>
      </c>
      <c r="U28" s="108">
        <f t="shared" ca="1" si="55"/>
        <v>6715676.3686554581</v>
      </c>
      <c r="V28" s="108">
        <f t="shared" ca="1" si="55"/>
        <v>7361754.1092305388</v>
      </c>
      <c r="W28" s="108">
        <f t="shared" ref="W28:Z28" ca="1" si="56">W26+SUM(W27)</f>
        <v>7894692.3992252704</v>
      </c>
      <c r="X28" s="108">
        <f t="shared" ca="1" si="56"/>
        <v>8677575.203970002</v>
      </c>
      <c r="Y28" s="108">
        <f t="shared" ca="1" si="56"/>
        <v>9460458.0087147336</v>
      </c>
      <c r="Z28" s="108">
        <f t="shared" ca="1" si="56"/>
        <v>10243340.813459465</v>
      </c>
      <c r="AA28" s="108">
        <f t="shared" ref="AA28:AD28" ca="1" si="57">AA26+SUM(AA27)</f>
        <v>10951714.203622334</v>
      </c>
      <c r="AB28" s="108">
        <f t="shared" ca="1" si="57"/>
        <v>11785615.592160203</v>
      </c>
      <c r="AC28" s="108">
        <f t="shared" ca="1" si="57"/>
        <v>12619516.980698071</v>
      </c>
      <c r="AD28" s="108">
        <f t="shared" ca="1" si="57"/>
        <v>13453418.369235942</v>
      </c>
    </row>
    <row r="29" spans="1:30" s="104" customFormat="1" ht="24.95" customHeight="1" thickBot="1">
      <c r="A29" s="188" t="s">
        <v>86</v>
      </c>
      <c r="B29" s="532">
        <f>'Summary. Assumptions. Inputs'!J39</f>
        <v>0</v>
      </c>
      <c r="C29" s="530"/>
      <c r="D29" s="530"/>
      <c r="E29" s="530"/>
      <c r="F29" s="531"/>
      <c r="G29" s="542"/>
      <c r="H29" s="530"/>
      <c r="I29" s="530"/>
      <c r="J29" s="530"/>
      <c r="K29" s="198"/>
      <c r="L29" s="198"/>
      <c r="M29" s="198"/>
      <c r="N29" s="198"/>
      <c r="O29" s="198"/>
      <c r="P29" s="198"/>
      <c r="Q29" s="198"/>
      <c r="R29" s="198"/>
      <c r="S29" s="198"/>
      <c r="T29" s="198"/>
      <c r="U29" s="198"/>
      <c r="V29" s="198"/>
      <c r="W29" s="198"/>
      <c r="X29" s="198"/>
      <c r="Y29" s="198"/>
      <c r="Z29" s="198"/>
      <c r="AA29" s="198"/>
      <c r="AB29" s="198"/>
      <c r="AC29" s="198"/>
      <c r="AD29" s="198"/>
    </row>
    <row r="30" spans="1:30" s="107" customFormat="1" ht="24.95" customHeight="1" thickBot="1">
      <c r="A30" s="123" t="s">
        <v>345</v>
      </c>
      <c r="B30" s="533">
        <f t="shared" ref="B30:F30" ca="1" si="58">B28+SUM(B29)</f>
        <v>0</v>
      </c>
      <c r="C30" s="533">
        <f t="shared" ca="1" si="58"/>
        <v>0</v>
      </c>
      <c r="D30" s="533">
        <f t="shared" ca="1" si="58"/>
        <v>213327.27478948096</v>
      </c>
      <c r="E30" s="533">
        <f t="shared" ca="1" si="58"/>
        <v>425354.54957896192</v>
      </c>
      <c r="F30" s="534">
        <f t="shared" ca="1" si="58"/>
        <v>637381.82436844287</v>
      </c>
      <c r="G30" s="541">
        <f t="shared" ref="G30:J30" ca="1" si="59">G28+SUM(G29)</f>
        <v>769688.65271992376</v>
      </c>
      <c r="H30" s="525">
        <f t="shared" ca="1" si="59"/>
        <v>1074969.8673214046</v>
      </c>
      <c r="I30" s="525">
        <f t="shared" ca="1" si="59"/>
        <v>1380251.0819228855</v>
      </c>
      <c r="J30" s="525">
        <f t="shared" ca="1" si="59"/>
        <v>1685532.2965243664</v>
      </c>
      <c r="K30" s="108">
        <f t="shared" ref="K30:N30" ca="1" si="60">K28+SUM(K29)</f>
        <v>1903713.023668847</v>
      </c>
      <c r="L30" s="108">
        <f t="shared" ca="1" si="60"/>
        <v>2311887.7051883284</v>
      </c>
      <c r="M30" s="108">
        <f t="shared" ca="1" si="60"/>
        <v>2720062.3867078098</v>
      </c>
      <c r="N30" s="108">
        <f t="shared" ca="1" si="60"/>
        <v>3128237.0682272911</v>
      </c>
      <c r="O30" s="108">
        <f t="shared" ref="O30:R30" ca="1" si="61">O28+SUM(O29)</f>
        <v>3441321.4524967731</v>
      </c>
      <c r="P30" s="108">
        <f t="shared" ca="1" si="61"/>
        <v>3962808.7117662546</v>
      </c>
      <c r="Q30" s="108">
        <f t="shared" ca="1" si="61"/>
        <v>4484295.9710357357</v>
      </c>
      <c r="R30" s="108">
        <f t="shared" ca="1" si="61"/>
        <v>5005783.2303052172</v>
      </c>
      <c r="S30" s="108">
        <f t="shared" ref="S30:V30" ca="1" si="62">S28+SUM(S29)</f>
        <v>5423520.8875052966</v>
      </c>
      <c r="T30" s="108">
        <f t="shared" ca="1" si="62"/>
        <v>6069598.6280803774</v>
      </c>
      <c r="U30" s="108">
        <f t="shared" ca="1" si="62"/>
        <v>6715676.3686554581</v>
      </c>
      <c r="V30" s="108">
        <f t="shared" ca="1" si="62"/>
        <v>7361754.1092305388</v>
      </c>
      <c r="W30" s="108">
        <f t="shared" ref="W30:Z30" ca="1" si="63">W28+SUM(W29)</f>
        <v>7894692.3992252704</v>
      </c>
      <c r="X30" s="108">
        <f t="shared" ca="1" si="63"/>
        <v>8677575.203970002</v>
      </c>
      <c r="Y30" s="108">
        <f t="shared" ca="1" si="63"/>
        <v>9460458.0087147336</v>
      </c>
      <c r="Z30" s="108">
        <f t="shared" ca="1" si="63"/>
        <v>10243340.813459465</v>
      </c>
      <c r="AA30" s="108">
        <f t="shared" ref="AA30:AD30" ca="1" si="64">AA28+SUM(AA29)</f>
        <v>10951714.203622334</v>
      </c>
      <c r="AB30" s="108">
        <f t="shared" ca="1" si="64"/>
        <v>11785615.592160203</v>
      </c>
      <c r="AC30" s="108">
        <f t="shared" ca="1" si="64"/>
        <v>12619516.980698071</v>
      </c>
      <c r="AD30" s="108">
        <f t="shared" ca="1" si="64"/>
        <v>13453418.369235942</v>
      </c>
    </row>
    <row r="33" spans="1:30" s="104" customFormat="1" ht="21" customHeight="1" thickBot="1">
      <c r="A33" s="140" t="s">
        <v>300</v>
      </c>
      <c r="B33" s="106"/>
      <c r="C33" s="106"/>
      <c r="D33" s="106"/>
      <c r="E33" s="106"/>
      <c r="F33" s="106"/>
      <c r="G33" s="106"/>
      <c r="H33" s="106"/>
      <c r="I33" s="106"/>
      <c r="J33" s="1"/>
      <c r="K33" s="1"/>
      <c r="L33" s="1"/>
      <c r="M33" s="1"/>
      <c r="N33" s="1"/>
      <c r="O33" s="1"/>
      <c r="P33" s="106"/>
      <c r="Q33" s="106"/>
      <c r="R33" s="106"/>
      <c r="S33" s="106"/>
      <c r="T33" s="106"/>
      <c r="U33" s="106"/>
      <c r="V33" s="106"/>
      <c r="W33" s="106"/>
      <c r="X33" s="106"/>
      <c r="Y33" s="1"/>
      <c r="Z33" s="1"/>
      <c r="AA33" s="1"/>
      <c r="AB33" s="1"/>
    </row>
    <row r="34" spans="1:30" s="104" customFormat="1" ht="21" customHeight="1" thickBot="1">
      <c r="A34" s="331" t="s">
        <v>136</v>
      </c>
      <c r="B34" s="105"/>
      <c r="C34" s="106"/>
      <c r="D34" s="106"/>
      <c r="E34" s="106"/>
      <c r="F34" s="106"/>
      <c r="G34" s="106"/>
      <c r="H34" s="106"/>
      <c r="I34" s="106"/>
      <c r="J34" s="1"/>
      <c r="K34" s="1"/>
      <c r="L34" s="1"/>
      <c r="M34" s="1"/>
      <c r="N34" s="1"/>
      <c r="O34" s="1"/>
      <c r="P34" s="105"/>
      <c r="Q34" s="105"/>
      <c r="R34" s="106"/>
      <c r="S34" s="106"/>
      <c r="T34" s="106"/>
      <c r="U34" s="106"/>
      <c r="V34" s="106"/>
      <c r="W34" s="106"/>
      <c r="X34" s="106"/>
      <c r="Y34" s="1"/>
      <c r="Z34" s="1"/>
      <c r="AA34" s="1"/>
      <c r="AB34" s="1"/>
    </row>
    <row r="35" spans="1:30" s="107" customFormat="1" ht="42.75" customHeight="1" thickBot="1">
      <c r="A35" s="127" t="s">
        <v>252</v>
      </c>
      <c r="B35" s="127" t="s">
        <v>301</v>
      </c>
      <c r="C35" s="427" t="s">
        <v>302</v>
      </c>
      <c r="D35" s="427" t="s">
        <v>303</v>
      </c>
      <c r="E35" s="427" t="s">
        <v>304</v>
      </c>
      <c r="F35" s="427" t="s">
        <v>305</v>
      </c>
      <c r="G35" s="427" t="s">
        <v>306</v>
      </c>
      <c r="H35" s="427" t="s">
        <v>307</v>
      </c>
      <c r="I35" s="427" t="s">
        <v>308</v>
      </c>
      <c r="J35" s="427" t="s">
        <v>309</v>
      </c>
      <c r="K35" s="427" t="s">
        <v>310</v>
      </c>
      <c r="L35" s="427" t="s">
        <v>311</v>
      </c>
      <c r="M35" s="427" t="s">
        <v>312</v>
      </c>
      <c r="N35" s="427" t="s">
        <v>313</v>
      </c>
      <c r="O35" s="427" t="s">
        <v>314</v>
      </c>
      <c r="P35" s="427" t="s">
        <v>315</v>
      </c>
      <c r="Q35" s="427" t="s">
        <v>316</v>
      </c>
      <c r="R35" s="427" t="s">
        <v>317</v>
      </c>
      <c r="S35" s="427" t="s">
        <v>318</v>
      </c>
      <c r="T35" s="427" t="s">
        <v>319</v>
      </c>
      <c r="U35" s="427" t="s">
        <v>320</v>
      </c>
      <c r="V35" s="427" t="s">
        <v>321</v>
      </c>
      <c r="W35" s="427" t="s">
        <v>322</v>
      </c>
      <c r="X35" s="427" t="s">
        <v>323</v>
      </c>
      <c r="Y35" s="427" t="s">
        <v>324</v>
      </c>
      <c r="Z35" s="427" t="s">
        <v>325</v>
      </c>
      <c r="AA35" s="427" t="s">
        <v>326</v>
      </c>
      <c r="AB35" s="427" t="s">
        <v>327</v>
      </c>
      <c r="AC35" s="427" t="s">
        <v>328</v>
      </c>
      <c r="AD35" s="427" t="s">
        <v>329</v>
      </c>
    </row>
    <row r="36" spans="1:30" s="107" customFormat="1" ht="24.95" customHeight="1" thickBot="1">
      <c r="A36" s="122" t="s">
        <v>245</v>
      </c>
      <c r="B36" s="125"/>
      <c r="C36" s="113">
        <f>B60</f>
        <v>0</v>
      </c>
      <c r="D36" s="113">
        <f t="shared" ref="D36:AD36" si="65">C60</f>
        <v>0</v>
      </c>
      <c r="E36" s="113">
        <f t="shared" si="65"/>
        <v>373150.13200000022</v>
      </c>
      <c r="F36" s="113">
        <f t="shared" si="65"/>
        <v>745000.26400000043</v>
      </c>
      <c r="G36" s="516">
        <f t="shared" si="65"/>
        <v>1116850.3960000006</v>
      </c>
      <c r="H36" s="516">
        <f t="shared" ca="1" si="65"/>
        <v>1417379.2915620008</v>
      </c>
      <c r="I36" s="516">
        <f t="shared" ca="1" si="65"/>
        <v>1896447.1783740011</v>
      </c>
      <c r="J36" s="516">
        <f t="shared" ca="1" si="65"/>
        <v>2374150.0651860014</v>
      </c>
      <c r="K36" s="113">
        <f t="shared" ca="1" si="65"/>
        <v>2851852.9519980019</v>
      </c>
      <c r="L36" s="113">
        <f t="shared" ca="1" si="65"/>
        <v>3243715.2328530019</v>
      </c>
      <c r="M36" s="113">
        <f t="shared" ca="1" si="65"/>
        <v>3825571.4680830026</v>
      </c>
      <c r="N36" s="113">
        <f t="shared" ca="1" si="65"/>
        <v>4407427.7033130033</v>
      </c>
      <c r="O36" s="113">
        <f t="shared" ca="1" si="65"/>
        <v>4989283.938543004</v>
      </c>
      <c r="P36" s="113">
        <f t="shared" ca="1" si="65"/>
        <v>5477435.7461730037</v>
      </c>
      <c r="Q36" s="113">
        <f t="shared" ca="1" si="65"/>
        <v>6173990.4288030043</v>
      </c>
      <c r="R36" s="113">
        <f t="shared" ca="1" si="65"/>
        <v>6870545.1114330031</v>
      </c>
      <c r="S36" s="113">
        <f t="shared" ca="1" si="65"/>
        <v>7567099.7940630019</v>
      </c>
      <c r="T36" s="113">
        <f t="shared" ca="1" si="65"/>
        <v>8161429.3312385995</v>
      </c>
      <c r="U36" s="113">
        <f t="shared" ca="1" si="65"/>
        <v>8984098.9517891984</v>
      </c>
      <c r="V36" s="113">
        <f t="shared" ca="1" si="65"/>
        <v>9806768.5723397974</v>
      </c>
      <c r="W36" s="113">
        <f t="shared" ca="1" si="65"/>
        <v>10629438.192890396</v>
      </c>
      <c r="X36" s="113">
        <f t="shared" ca="1" si="65"/>
        <v>11340645.265137147</v>
      </c>
      <c r="Y36" s="113">
        <f t="shared" ca="1" si="65"/>
        <v>12301796.852133898</v>
      </c>
      <c r="Z36" s="113">
        <f t="shared" ca="1" si="65"/>
        <v>13262948.439130649</v>
      </c>
      <c r="AA36" s="113">
        <f t="shared" ca="1" si="65"/>
        <v>14224100.026127402</v>
      </c>
      <c r="AB36" s="113">
        <f t="shared" ca="1" si="65"/>
        <v>15112586.791046441</v>
      </c>
      <c r="AC36" s="113">
        <f t="shared" ca="1" si="65"/>
        <v>16126601.554340482</v>
      </c>
      <c r="AD36" s="113">
        <f t="shared" ca="1" si="65"/>
        <v>17140616.317634523</v>
      </c>
    </row>
    <row r="37" spans="1:30" s="107" customFormat="1" ht="24.95" customHeight="1">
      <c r="A37" s="123" t="s">
        <v>330</v>
      </c>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row>
    <row r="38" spans="1:30" s="104" customFormat="1" ht="24.95" customHeight="1">
      <c r="A38" s="124" t="s">
        <v>331</v>
      </c>
      <c r="B38" s="109"/>
      <c r="C38" s="109">
        <f>'Cashflow Projection &amp; Investme'!C38+'Cashflow Projection &amp; Investme'!D38+'Cashflow Projection &amp; Investme'!E38</f>
        <v>1042014.375</v>
      </c>
      <c r="D38" s="109">
        <f>'Cashflow Projection &amp; Investme'!F38+'Cashflow Projection &amp; Investme'!G38+'Cashflow Projection &amp; Investme'!H38</f>
        <v>2084028.75</v>
      </c>
      <c r="E38" s="109">
        <f>'Cashflow Projection &amp; Investme'!I38+'Cashflow Projection &amp; Investme'!J38+'Cashflow Projection &amp; Investme'!K38</f>
        <v>2084028.75</v>
      </c>
      <c r="F38" s="109">
        <f>'Cashflow Projection &amp; Investme'!L38+'Cashflow Projection &amp; Investme'!M38+'Cashflow Projection &amp; Investme'!N38</f>
        <v>2084028.75</v>
      </c>
      <c r="G38" s="518">
        <f>'Cashflow Projection &amp; Investme'!P38+'Cashflow Projection &amp; Investme'!Q38+'Cashflow Projection &amp; Investme'!R38</f>
        <v>2257003.13625</v>
      </c>
      <c r="H38" s="518">
        <f>'Cashflow Projection &amp; Investme'!S38+'Cashflow Projection &amp; Investme'!T38+'Cashflow Projection &amp; Investme'!U38</f>
        <v>2429977.5225</v>
      </c>
      <c r="I38" s="518">
        <f>'Cashflow Projection &amp; Investme'!V38+'Cashflow Projection &amp; Investme'!W38+'Cashflow Projection &amp; Investme'!X38</f>
        <v>2429977.5225</v>
      </c>
      <c r="J38" s="518">
        <f>'Cashflow Projection &amp; Investme'!Y38+'Cashflow Projection &amp; Investme'!Z38+'Cashflow Projection &amp; Investme'!AA38</f>
        <v>2429977.5225</v>
      </c>
      <c r="K38" s="109">
        <f>'Cashflow Projection &amp; Investme'!AC38+'Cashflow Projection &amp; Investme'!AD38+'Cashflow Projection &amp; Investme'!AE38</f>
        <v>2619971.4768749997</v>
      </c>
      <c r="L38" s="109">
        <f>'Cashflow Projection &amp; Investme'!AF38+'Cashflow Projection &amp; Investme'!AG38+'Cashflow Projection &amp; Investme'!AH38</f>
        <v>2809965.4312500004</v>
      </c>
      <c r="M38" s="109">
        <f>'Cashflow Projection &amp; Investme'!AI38+'Cashflow Projection &amp; Investme'!AJ38+'Cashflow Projection &amp; Investme'!AK38</f>
        <v>2809965.4312500004</v>
      </c>
      <c r="N38" s="109">
        <f>'Cashflow Projection &amp; Investme'!AL38+'Cashflow Projection &amp; Investme'!AM38+'Cashflow Projection &amp; Investme'!AN38</f>
        <v>2809965.4312500004</v>
      </c>
      <c r="O38" s="109">
        <f>'Cashflow Projection &amp; Investme'!AP38+'Cashflow Projection &amp; Investme'!AQ38+'Cashflow Projection &amp; Investme'!AR38</f>
        <v>3018368.3062499999</v>
      </c>
      <c r="P38" s="109">
        <f>'Cashflow Projection &amp; Investme'!AS38+'Cashflow Projection &amp; Investme'!AT38+'Cashflow Projection &amp; Investme'!AU38</f>
        <v>3226771.1812499994</v>
      </c>
      <c r="Q38" s="109">
        <f>'Cashflow Projection &amp; Investme'!AV38+'Cashflow Projection &amp; Investme'!AW38+'Cashflow Projection &amp; Investme'!AX38</f>
        <v>3226771.1812499994</v>
      </c>
      <c r="R38" s="109">
        <f>'Cashflow Projection &amp; Investme'!AY38+'Cashflow Projection &amp; Investme'!AZ38+'Cashflow Projection &amp; Investme'!BA38</f>
        <v>3226771.1812499994</v>
      </c>
      <c r="S38" s="109">
        <f>'Cashflow Projection &amp; Investme'!BC38+'Cashflow Projection &amp; Investme'!BD38+'Cashflow Projection &amp; Investme'!BE38</f>
        <v>3455111.2646249989</v>
      </c>
      <c r="T38" s="109">
        <f>'Cashflow Projection &amp; Investme'!BF38+'Cashflow Projection &amp; Investme'!BG38+'Cashflow Projection &amp; Investme'!BH38</f>
        <v>3683451.3479999993</v>
      </c>
      <c r="U38" s="109">
        <f>'Cashflow Projection &amp; Investme'!BI38+'Cashflow Projection &amp; Investme'!BJ38+'Cashflow Projection &amp; Investme'!BK38</f>
        <v>3683451.3479999993</v>
      </c>
      <c r="V38" s="109">
        <f>'Cashflow Projection &amp; Investme'!BL38+'Cashflow Projection &amp; Investme'!BM38+'Cashflow Projection &amp; Investme'!BN38</f>
        <v>3683451.3479999993</v>
      </c>
      <c r="W38" s="109">
        <f>'Cashflow Projection &amp; Investme'!BP38+'Cashflow Projection &amp; Investme'!BQ38+'Cashflow Projection &amp; Investme'!BR38</f>
        <v>3933395.8627499999</v>
      </c>
      <c r="X38" s="109">
        <f>'Cashflow Projection &amp; Investme'!BS38+'Cashflow Projection &amp; Investme'!BT38+'Cashflow Projection &amp; Investme'!BU38</f>
        <v>4183340.3774999999</v>
      </c>
      <c r="Y38" s="109">
        <f>'Cashflow Projection &amp; Investme'!BV38+'Cashflow Projection &amp; Investme'!BW38+'Cashflow Projection &amp; Investme'!BX38</f>
        <v>4183340.3774999999</v>
      </c>
      <c r="Z38" s="109">
        <f>'Cashflow Projection &amp; Investme'!BY38+'Cashflow Projection &amp; Investme'!BZ38+'Cashflow Projection &amp; Investme'!CA38</f>
        <v>4183340.3774999999</v>
      </c>
      <c r="AA38" s="109">
        <f>'Cashflow Projection &amp; Investme'!CC38+'Cashflow Projection &amp; Investme'!CD38+'Cashflow Projection &amp; Investme'!CE38</f>
        <v>4308868.3758749999</v>
      </c>
      <c r="AB38" s="109">
        <f>'Cashflow Projection &amp; Investme'!CF38+'Cashflow Projection &amp; Investme'!CG38+'Cashflow Projection &amp; Investme'!CH38</f>
        <v>4434396.3742500003</v>
      </c>
      <c r="AC38" s="109">
        <f>'Cashflow Projection &amp; Investme'!CI38+'Cashflow Projection &amp; Investme'!CJ38+'Cashflow Projection &amp; Investme'!CK38</f>
        <v>4434396.3742500003</v>
      </c>
      <c r="AD38" s="109">
        <f>'Cashflow Projection &amp; Investme'!CL38+'Cashflow Projection &amp; Investme'!CM38+'Cashflow Projection &amp; Investme'!CN38</f>
        <v>4434396.3742500003</v>
      </c>
    </row>
    <row r="39" spans="1:30" s="112" customFormat="1" ht="24.95" customHeight="1" thickBot="1">
      <c r="A39" s="123" t="s">
        <v>332</v>
      </c>
      <c r="B39" s="110">
        <f>SUM(B38:B38)</f>
        <v>0</v>
      </c>
      <c r="C39" s="110">
        <f t="shared" ref="C39:F39" si="66">SUBTOTAL(109,C38)</f>
        <v>1042014.375</v>
      </c>
      <c r="D39" s="110">
        <f t="shared" si="66"/>
        <v>2084028.75</v>
      </c>
      <c r="E39" s="110">
        <f t="shared" si="66"/>
        <v>2084028.75</v>
      </c>
      <c r="F39" s="111">
        <f t="shared" si="66"/>
        <v>2084028.75</v>
      </c>
      <c r="G39" s="520">
        <f t="shared" ref="G39:J39" si="67">SUBTOTAL(109,G38)</f>
        <v>2257003.13625</v>
      </c>
      <c r="H39" s="520">
        <f t="shared" si="67"/>
        <v>2429977.5225</v>
      </c>
      <c r="I39" s="520">
        <f t="shared" si="67"/>
        <v>2429977.5225</v>
      </c>
      <c r="J39" s="521">
        <f t="shared" si="67"/>
        <v>2429977.5225</v>
      </c>
      <c r="K39" s="110">
        <f t="shared" ref="K39:N39" si="68">SUBTOTAL(109,K38)</f>
        <v>2619971.4768749997</v>
      </c>
      <c r="L39" s="110">
        <f t="shared" si="68"/>
        <v>2809965.4312500004</v>
      </c>
      <c r="M39" s="110">
        <f t="shared" si="68"/>
        <v>2809965.4312500004</v>
      </c>
      <c r="N39" s="111">
        <f t="shared" si="68"/>
        <v>2809965.4312500004</v>
      </c>
      <c r="O39" s="110">
        <f t="shared" ref="O39:R39" si="69">SUBTOTAL(109,O38)</f>
        <v>3018368.3062499999</v>
      </c>
      <c r="P39" s="110">
        <f t="shared" si="69"/>
        <v>3226771.1812499994</v>
      </c>
      <c r="Q39" s="110">
        <f t="shared" si="69"/>
        <v>3226771.1812499994</v>
      </c>
      <c r="R39" s="111">
        <f t="shared" si="69"/>
        <v>3226771.1812499994</v>
      </c>
      <c r="S39" s="110">
        <f t="shared" ref="S39:V39" si="70">SUBTOTAL(109,S38)</f>
        <v>3455111.2646249989</v>
      </c>
      <c r="T39" s="110">
        <f t="shared" si="70"/>
        <v>3683451.3479999993</v>
      </c>
      <c r="U39" s="110">
        <f t="shared" si="70"/>
        <v>3683451.3479999993</v>
      </c>
      <c r="V39" s="111">
        <f t="shared" si="70"/>
        <v>3683451.3479999993</v>
      </c>
      <c r="W39" s="110">
        <f t="shared" ref="W39:Z39" si="71">SUBTOTAL(109,W38)</f>
        <v>3933395.8627499999</v>
      </c>
      <c r="X39" s="110">
        <f t="shared" si="71"/>
        <v>4183340.3774999999</v>
      </c>
      <c r="Y39" s="110">
        <f t="shared" si="71"/>
        <v>4183340.3774999999</v>
      </c>
      <c r="Z39" s="111">
        <f t="shared" si="71"/>
        <v>4183340.3774999999</v>
      </c>
      <c r="AA39" s="110">
        <f t="shared" ref="AA39:AD39" si="72">SUBTOTAL(109,AA38)</f>
        <v>4308868.3758749999</v>
      </c>
      <c r="AB39" s="110">
        <f t="shared" si="72"/>
        <v>4434396.3742500003</v>
      </c>
      <c r="AC39" s="110">
        <f t="shared" si="72"/>
        <v>4434396.3742500003</v>
      </c>
      <c r="AD39" s="111">
        <f t="shared" si="72"/>
        <v>4434396.3742500003</v>
      </c>
    </row>
    <row r="40" spans="1:30" s="107" customFormat="1" ht="24.95" customHeight="1" thickBot="1">
      <c r="A40" s="122" t="s">
        <v>333</v>
      </c>
      <c r="B40" s="113">
        <f t="shared" ref="B40:U40" si="73">B36+B39</f>
        <v>0</v>
      </c>
      <c r="C40" s="113">
        <f t="shared" si="73"/>
        <v>1042014.375</v>
      </c>
      <c r="D40" s="113">
        <f t="shared" si="73"/>
        <v>2084028.75</v>
      </c>
      <c r="E40" s="113">
        <f t="shared" si="73"/>
        <v>2457178.8820000002</v>
      </c>
      <c r="F40" s="126">
        <f t="shared" si="73"/>
        <v>2829029.0140000004</v>
      </c>
      <c r="G40" s="516">
        <f t="shared" si="73"/>
        <v>3373853.5322500006</v>
      </c>
      <c r="H40" s="516">
        <f t="shared" ca="1" si="73"/>
        <v>3847356.8140620007</v>
      </c>
      <c r="I40" s="516">
        <f t="shared" ca="1" si="73"/>
        <v>4326424.7008740008</v>
      </c>
      <c r="J40" s="517">
        <f t="shared" ca="1" si="73"/>
        <v>4804127.5876860013</v>
      </c>
      <c r="K40" s="113">
        <f t="shared" ca="1" si="73"/>
        <v>5471824.4288730016</v>
      </c>
      <c r="L40" s="113">
        <f t="shared" ca="1" si="73"/>
        <v>6053680.6641030023</v>
      </c>
      <c r="M40" s="113">
        <f t="shared" ca="1" si="73"/>
        <v>6635536.899333003</v>
      </c>
      <c r="N40" s="126">
        <f t="shared" ca="1" si="73"/>
        <v>7217393.1345630037</v>
      </c>
      <c r="O40" s="113">
        <f t="shared" ca="1" si="73"/>
        <v>8007652.2447930034</v>
      </c>
      <c r="P40" s="113">
        <f t="shared" ca="1" si="73"/>
        <v>8704206.9274230041</v>
      </c>
      <c r="Q40" s="113">
        <f t="shared" ca="1" si="73"/>
        <v>9400761.6100530028</v>
      </c>
      <c r="R40" s="126">
        <f t="shared" ca="1" si="73"/>
        <v>10097316.292683002</v>
      </c>
      <c r="S40" s="113">
        <f t="shared" ca="1" si="73"/>
        <v>11022211.058688</v>
      </c>
      <c r="T40" s="113">
        <f t="shared" ca="1" si="73"/>
        <v>11844880.679238599</v>
      </c>
      <c r="U40" s="113">
        <f t="shared" ca="1" si="73"/>
        <v>12667550.299789198</v>
      </c>
      <c r="V40" s="126">
        <f t="shared" ref="V40" ca="1" si="74">V36+V39</f>
        <v>13490219.920339797</v>
      </c>
      <c r="W40" s="113">
        <f t="shared" ref="W40:AD40" ca="1" si="75">W36+W39</f>
        <v>14562834.055640396</v>
      </c>
      <c r="X40" s="113">
        <f t="shared" ca="1" si="75"/>
        <v>15523985.642637147</v>
      </c>
      <c r="Y40" s="113">
        <f t="shared" ca="1" si="75"/>
        <v>16485137.229633898</v>
      </c>
      <c r="Z40" s="126">
        <f t="shared" ca="1" si="75"/>
        <v>17446288.81663065</v>
      </c>
      <c r="AA40" s="113">
        <f t="shared" ca="1" si="75"/>
        <v>18532968.402002402</v>
      </c>
      <c r="AB40" s="113">
        <f t="shared" ca="1" si="75"/>
        <v>19546983.165296443</v>
      </c>
      <c r="AC40" s="113">
        <f t="shared" ca="1" si="75"/>
        <v>20560997.928590484</v>
      </c>
      <c r="AD40" s="126">
        <f t="shared" ca="1" si="75"/>
        <v>21575012.691884525</v>
      </c>
    </row>
    <row r="41" spans="1:30" s="107" customFormat="1" ht="24.95" customHeight="1">
      <c r="A41" s="123" t="s">
        <v>334</v>
      </c>
      <c r="B41" s="116"/>
      <c r="C41" s="116"/>
      <c r="D41" s="116"/>
      <c r="E41" s="116"/>
      <c r="F41" s="117"/>
      <c r="G41" s="116"/>
      <c r="H41" s="116"/>
      <c r="I41" s="116"/>
      <c r="J41" s="117"/>
      <c r="K41" s="116"/>
      <c r="L41" s="116"/>
      <c r="M41" s="116"/>
      <c r="N41" s="117"/>
      <c r="O41" s="116"/>
      <c r="P41" s="116"/>
      <c r="Q41" s="116"/>
      <c r="R41" s="117"/>
      <c r="S41" s="116"/>
      <c r="T41" s="116"/>
      <c r="U41" s="116"/>
      <c r="V41" s="117"/>
      <c r="W41" s="116"/>
      <c r="X41" s="116"/>
      <c r="Y41" s="116"/>
      <c r="Z41" s="117"/>
      <c r="AA41" s="116"/>
      <c r="AB41" s="116"/>
      <c r="AC41" s="116"/>
      <c r="AD41" s="117"/>
    </row>
    <row r="42" spans="1:30" s="107" customFormat="1" ht="24.95" customHeight="1">
      <c r="A42" s="124" t="s">
        <v>335</v>
      </c>
      <c r="B42" s="109">
        <f>SUMPRODUCT(Table7[Pre-Operation],'BEP. &amp; Summary Results'!$C$6:$C$35)*'Scenario Analysis'!$B$5*(1+'Scenario Analysis'!$E$5)*'Scenario Analysis'!$D$20</f>
        <v>462030.15599999996</v>
      </c>
      <c r="C42" s="109">
        <f>'Cashflow Projection &amp; Investme'!C42+'Cashflow Projection &amp; Investme'!D42+'Cashflow Projection &amp; Investme'!E42</f>
        <v>1386090.4679999999</v>
      </c>
      <c r="D42" s="109">
        <f>'Cashflow Projection &amp; Investme'!F42+'Cashflow Projection &amp; Investme'!G42+'Cashflow Projection &amp; Investme'!H42</f>
        <v>1386090.4679999999</v>
      </c>
      <c r="E42" s="109">
        <f>'Cashflow Projection &amp; Investme'!I42+'Cashflow Projection &amp; Investme'!J42+'Cashflow Projection &amp; Investme'!K42</f>
        <v>1386090.4679999999</v>
      </c>
      <c r="F42" s="109">
        <f>'Cashflow Projection &amp; Investme'!L42+'Cashflow Projection &amp; Investme'!M42+'Cashflow Projection &amp; Investme'!N42</f>
        <v>1386090.4679999999</v>
      </c>
      <c r="G42" s="518">
        <f ca="1">'Cashflow Projection &amp; Investme'!P42+'Cashflow Projection &amp; Investme'!Q42+'Cashflow Projection &amp; Investme'!R42</f>
        <v>1616181.4856879998</v>
      </c>
      <c r="H42" s="518">
        <f ca="1">'Cashflow Projection &amp; Investme'!S42+'Cashflow Projection &amp; Investme'!T42+'Cashflow Projection &amp; Investme'!U42</f>
        <v>1616181.4856879998</v>
      </c>
      <c r="I42" s="518">
        <f ca="1">'Cashflow Projection &amp; Investme'!V42+'Cashflow Projection &amp; Investme'!W42+'Cashflow Projection &amp; Investme'!X42</f>
        <v>1616181.4856879998</v>
      </c>
      <c r="J42" s="518">
        <f ca="1">'Cashflow Projection &amp; Investme'!Y42+'Cashflow Projection &amp; Investme'!Z42+'Cashflow Projection &amp; Investme'!AA42</f>
        <v>1616181.4856879998</v>
      </c>
      <c r="K42" s="109">
        <f ca="1">'Cashflow Projection &amp; Investme'!AC42+'Cashflow Projection &amp; Investme'!AD42+'Cashflow Projection &amp; Investme'!AE42</f>
        <v>1868911.9810199998</v>
      </c>
      <c r="L42" s="109">
        <f ca="1">'Cashflow Projection &amp; Investme'!AF42+'Cashflow Projection &amp; Investme'!AG42+'Cashflow Projection &amp; Investme'!AH42</f>
        <v>1868911.9810199998</v>
      </c>
      <c r="M42" s="109">
        <f ca="1">'Cashflow Projection &amp; Investme'!AI42+'Cashflow Projection &amp; Investme'!AJ42+'Cashflow Projection &amp; Investme'!AK42</f>
        <v>1868911.9810199998</v>
      </c>
      <c r="N42" s="109">
        <f ca="1">'Cashflow Projection &amp; Investme'!AL42+'Cashflow Projection &amp; Investme'!AM42+'Cashflow Projection &amp; Investme'!AN42</f>
        <v>1868911.9810199998</v>
      </c>
      <c r="O42" s="109">
        <f ca="1">'Cashflow Projection &amp; Investme'!AP42+'Cashflow Projection &amp; Investme'!AQ42+'Cashflow Projection &amp; Investme'!AR42</f>
        <v>2146130.0746199992</v>
      </c>
      <c r="P42" s="109">
        <f ca="1">'Cashflow Projection &amp; Investme'!AS42+'Cashflow Projection &amp; Investme'!AT42+'Cashflow Projection &amp; Investme'!AU42</f>
        <v>2146130.0746199992</v>
      </c>
      <c r="Q42" s="109">
        <f ca="1">'Cashflow Projection &amp; Investme'!AV42+'Cashflow Projection &amp; Investme'!AW42+'Cashflow Projection &amp; Investme'!AX42</f>
        <v>2146130.0746199992</v>
      </c>
      <c r="R42" s="109">
        <f ca="1">'Cashflow Projection &amp; Investme'!AY42+'Cashflow Projection &amp; Investme'!AZ42+'Cashflow Projection &amp; Investme'!BA42</f>
        <v>2146130.0746199992</v>
      </c>
      <c r="S42" s="109">
        <f ca="1">'Cashflow Projection &amp; Investme'!BC42+'Cashflow Projection &amp; Investme'!BD42+'Cashflow Projection &amp; Investme'!BE42</f>
        <v>2449868.6991743995</v>
      </c>
      <c r="T42" s="109">
        <f ca="1">'Cashflow Projection &amp; Investme'!BF42+'Cashflow Projection &amp; Investme'!BG42+'Cashflow Projection &amp; Investme'!BH42</f>
        <v>2449868.6991743995</v>
      </c>
      <c r="U42" s="109">
        <f ca="1">'Cashflow Projection &amp; Investme'!BI42+'Cashflow Projection &amp; Investme'!BJ42+'Cashflow Projection &amp; Investme'!BK42</f>
        <v>2449868.6991743995</v>
      </c>
      <c r="V42" s="109">
        <f ca="1">'Cashflow Projection &amp; Investme'!BL42+'Cashflow Projection &amp; Investme'!BM42+'Cashflow Projection &amp; Investme'!BN42</f>
        <v>2449868.6991743995</v>
      </c>
      <c r="W42" s="109">
        <f ca="1">'Cashflow Projection &amp; Investme'!BP42+'Cashflow Projection &amp; Investme'!BQ42+'Cashflow Projection &amp; Investme'!BR42</f>
        <v>2782345.599431999</v>
      </c>
      <c r="X42" s="109">
        <f ca="1">'Cashflow Projection &amp; Investme'!BS42+'Cashflow Projection &amp; Investme'!BT42+'Cashflow Projection &amp; Investme'!BU42</f>
        <v>2782345.599431999</v>
      </c>
      <c r="Y42" s="109">
        <f ca="1">'Cashflow Projection &amp; Investme'!BV42+'Cashflow Projection &amp; Investme'!BW42+'Cashflow Projection &amp; Investme'!BX42</f>
        <v>2782345.599431999</v>
      </c>
      <c r="Z42" s="109">
        <f ca="1">'Cashflow Projection &amp; Investme'!BY42+'Cashflow Projection &amp; Investme'!BZ42+'Cashflow Projection &amp; Investme'!CA42</f>
        <v>2782345.599431999</v>
      </c>
      <c r="AA42" s="109">
        <f ca="1">'Cashflow Projection &amp; Investme'!CC42+'Cashflow Projection &amp; Investme'!CD42+'Cashflow Projection &amp; Investme'!CE42</f>
        <v>2949323.2978103994</v>
      </c>
      <c r="AB42" s="109">
        <f ca="1">'Cashflow Projection &amp; Investme'!CF42+'Cashflow Projection &amp; Investme'!CG42+'Cashflow Projection &amp; Investme'!CH42</f>
        <v>2949323.2978103994</v>
      </c>
      <c r="AC42" s="109">
        <f ca="1">'Cashflow Projection &amp; Investme'!CI42+'Cashflow Projection &amp; Investme'!CJ42+'Cashflow Projection &amp; Investme'!CK42</f>
        <v>2949323.2978103994</v>
      </c>
      <c r="AD42" s="109">
        <f ca="1">'Cashflow Projection &amp; Investme'!CL42+'Cashflow Projection &amp; Investme'!CM42+'Cashflow Projection &amp; Investme'!CN42</f>
        <v>2949323.2978103994</v>
      </c>
    </row>
    <row r="43" spans="1:30" s="112" customFormat="1" ht="24.95" customHeight="1">
      <c r="A43" s="124" t="s">
        <v>336</v>
      </c>
      <c r="B43" s="109">
        <f>'OPEREX, PAYROL'!E29</f>
        <v>0</v>
      </c>
      <c r="C43" s="109">
        <f>'Cashflow Projection &amp; Investme'!C43+'Cashflow Projection &amp; Investme'!D43+'Cashflow Projection &amp; Investme'!E43</f>
        <v>200100</v>
      </c>
      <c r="D43" s="109">
        <f>'Cashflow Projection &amp; Investme'!F43+'Cashflow Projection &amp; Investme'!G43+'Cashflow Projection &amp; Investme'!H43</f>
        <v>198800</v>
      </c>
      <c r="E43" s="109">
        <f>'Cashflow Projection &amp; Investme'!I43+'Cashflow Projection &amp; Investme'!J43+'Cashflow Projection &amp; Investme'!K43</f>
        <v>200100</v>
      </c>
      <c r="F43" s="109">
        <f>'Cashflow Projection &amp; Investme'!L43+'Cashflow Projection &amp; Investme'!M43+'Cashflow Projection &amp; Investme'!N43</f>
        <v>200100</v>
      </c>
      <c r="G43" s="518">
        <f>'Cashflow Projection &amp; Investme'!P43+'Cashflow Projection &amp; Investme'!Q43+'Cashflow Projection &amp; Investme'!R43</f>
        <v>210105</v>
      </c>
      <c r="H43" s="518">
        <f>'Cashflow Projection &amp; Investme'!S43+'Cashflow Projection &amp; Investme'!T43+'Cashflow Projection &amp; Investme'!U43</f>
        <v>208740</v>
      </c>
      <c r="I43" s="518">
        <f>'Cashflow Projection &amp; Investme'!V43+'Cashflow Projection &amp; Investme'!W43+'Cashflow Projection &amp; Investme'!X43</f>
        <v>210105</v>
      </c>
      <c r="J43" s="518">
        <f>'Cashflow Projection &amp; Investme'!Y43+'Cashflow Projection &amp; Investme'!Z43+'Cashflow Projection &amp; Investme'!AA43</f>
        <v>210105</v>
      </c>
      <c r="K43" s="109">
        <f>'Cashflow Projection &amp; Investme'!AC43+'Cashflow Projection &amp; Investme'!AD43+'Cashflow Projection &amp; Investme'!AE43</f>
        <v>220610.25</v>
      </c>
      <c r="L43" s="109">
        <f>'Cashflow Projection &amp; Investme'!AF43+'Cashflow Projection &amp; Investme'!AG43+'Cashflow Projection &amp; Investme'!AH43</f>
        <v>220610.25</v>
      </c>
      <c r="M43" s="109">
        <f>'Cashflow Projection &amp; Investme'!AI43+'Cashflow Projection &amp; Investme'!AJ43+'Cashflow Projection &amp; Investme'!AK43</f>
        <v>220610.25</v>
      </c>
      <c r="N43" s="109">
        <f>'Cashflow Projection &amp; Investme'!AL43+'Cashflow Projection &amp; Investme'!AM43+'Cashflow Projection &amp; Investme'!AN43</f>
        <v>220610.25</v>
      </c>
      <c r="O43" s="109">
        <f>'Cashflow Projection &amp; Investme'!AP43+'Cashflow Projection &amp; Investme'!AQ43+'Cashflow Projection &amp; Investme'!AR43</f>
        <v>231640.76250000001</v>
      </c>
      <c r="P43" s="109">
        <f>'Cashflow Projection &amp; Investme'!AS43+'Cashflow Projection &amp; Investme'!AT43+'Cashflow Projection &amp; Investme'!AU43</f>
        <v>231640.76250000001</v>
      </c>
      <c r="Q43" s="109">
        <f>'Cashflow Projection &amp; Investme'!AV43+'Cashflow Projection &amp; Investme'!AW43+'Cashflow Projection &amp; Investme'!AX43</f>
        <v>231640.76250000001</v>
      </c>
      <c r="R43" s="109">
        <f>'Cashflow Projection &amp; Investme'!AY43+'Cashflow Projection &amp; Investme'!AZ43+'Cashflow Projection &amp; Investme'!BA43</f>
        <v>231640.76250000001</v>
      </c>
      <c r="S43" s="109">
        <f>'Cashflow Projection &amp; Investme'!BC43+'Cashflow Projection &amp; Investme'!BD43+'Cashflow Projection &amp; Investme'!BE43</f>
        <v>243222.80062500003</v>
      </c>
      <c r="T43" s="109">
        <f>'Cashflow Projection &amp; Investme'!BF43+'Cashflow Projection &amp; Investme'!BG43+'Cashflow Projection &amp; Investme'!BH43</f>
        <v>243222.80062500003</v>
      </c>
      <c r="U43" s="109">
        <f>'Cashflow Projection &amp; Investme'!BI43+'Cashflow Projection &amp; Investme'!BJ43+'Cashflow Projection &amp; Investme'!BK43</f>
        <v>243222.80062500003</v>
      </c>
      <c r="V43" s="109">
        <f>'Cashflow Projection &amp; Investme'!BL43+'Cashflow Projection &amp; Investme'!BM43+'Cashflow Projection &amp; Investme'!BN43</f>
        <v>243222.80062500003</v>
      </c>
      <c r="W43" s="109">
        <f>'Cashflow Projection &amp; Investme'!BP43+'Cashflow Projection &amp; Investme'!BQ43+'Cashflow Projection &amp; Investme'!BR43</f>
        <v>255383.94065625005</v>
      </c>
      <c r="X43" s="109">
        <f>'Cashflow Projection &amp; Investme'!BS43+'Cashflow Projection &amp; Investme'!BT43+'Cashflow Projection &amp; Investme'!BU43</f>
        <v>255383.94065625005</v>
      </c>
      <c r="Y43" s="109">
        <f>'Cashflow Projection &amp; Investme'!BV43+'Cashflow Projection &amp; Investme'!BW43+'Cashflow Projection &amp; Investme'!BX43</f>
        <v>255383.94065625005</v>
      </c>
      <c r="Z43" s="109">
        <f>'Cashflow Projection &amp; Investme'!BY43+'Cashflow Projection &amp; Investme'!BZ43+'Cashflow Projection &amp; Investme'!CA43</f>
        <v>255383.94065625005</v>
      </c>
      <c r="AA43" s="109">
        <f>'Cashflow Projection &amp; Investme'!CC43+'Cashflow Projection &amp; Investme'!CD43+'Cashflow Projection &amp; Investme'!CE43</f>
        <v>268153.13768906257</v>
      </c>
      <c r="AB43" s="109">
        <f>'Cashflow Projection &amp; Investme'!CF43+'Cashflow Projection &amp; Investme'!CG43+'Cashflow Projection &amp; Investme'!CH43</f>
        <v>268153.13768906257</v>
      </c>
      <c r="AC43" s="109">
        <f>'Cashflow Projection &amp; Investme'!CI43+'Cashflow Projection &amp; Investme'!CJ43+'Cashflow Projection &amp; Investme'!CK43</f>
        <v>268153.13768906257</v>
      </c>
      <c r="AD43" s="109">
        <f>'Cashflow Projection &amp; Investme'!CL43+'Cashflow Projection &amp; Investme'!CM43+'Cashflow Projection &amp; Investme'!CN43</f>
        <v>268153.13768906257</v>
      </c>
    </row>
    <row r="44" spans="1:30" s="112" customFormat="1" ht="24.95" customHeight="1">
      <c r="A44" s="124" t="s">
        <v>200</v>
      </c>
      <c r="B44" s="109">
        <f>'OPEREX, PAYROL'!E52</f>
        <v>110000</v>
      </c>
      <c r="C44" s="109">
        <f>'Cashflow Projection &amp; Investme'!C44+'Cashflow Projection &amp; Investme'!D44+'Cashflow Projection &amp; Investme'!E44</f>
        <v>125988.15000000001</v>
      </c>
      <c r="D44" s="109">
        <f>'Cashflow Projection &amp; Investme'!F44+'Cashflow Projection &amp; Investme'!G44+'Cashflow Projection &amp; Investme'!H44</f>
        <v>125988.15000000001</v>
      </c>
      <c r="E44" s="109">
        <f>'Cashflow Projection &amp; Investme'!I44+'Cashflow Projection &amp; Investme'!J44+'Cashflow Projection &amp; Investme'!K44</f>
        <v>125988.15000000001</v>
      </c>
      <c r="F44" s="109">
        <f>'Cashflow Projection &amp; Investme'!L44+'Cashflow Projection &amp; Investme'!M44+'Cashflow Projection &amp; Investme'!N44</f>
        <v>125988.15000000001</v>
      </c>
      <c r="G44" s="518">
        <f ca="1">'Cashflow Projection &amp; Investme'!P44+'Cashflow Projection &amp; Investme'!Q44+'Cashflow Projection &amp; Investme'!R44</f>
        <v>130187.75500000002</v>
      </c>
      <c r="H44" s="518">
        <f ca="1">'Cashflow Projection &amp; Investme'!S44+'Cashflow Projection &amp; Investme'!T44+'Cashflow Projection &amp; Investme'!U44</f>
        <v>125988.15000000001</v>
      </c>
      <c r="I44" s="518">
        <f ca="1">'Cashflow Projection &amp; Investme'!V44+'Cashflow Projection &amp; Investme'!W44+'Cashflow Projection &amp; Investme'!X44</f>
        <v>125988.15000000001</v>
      </c>
      <c r="J44" s="518">
        <f ca="1">'Cashflow Projection &amp; Investme'!Y44+'Cashflow Projection &amp; Investme'!Z44+'Cashflow Projection &amp; Investme'!AA44</f>
        <v>125988.15000000001</v>
      </c>
      <c r="K44" s="109">
        <f ca="1">'Cashflow Projection &amp; Investme'!AC44+'Cashflow Projection &amp; Investme'!AD44+'Cashflow Projection &amp; Investme'!AE44</f>
        <v>138586.96500000003</v>
      </c>
      <c r="L44" s="109">
        <f ca="1">'Cashflow Projection &amp; Investme'!AF44+'Cashflow Projection &amp; Investme'!AG44+'Cashflow Projection &amp; Investme'!AH44</f>
        <v>138586.96500000003</v>
      </c>
      <c r="M44" s="109">
        <f ca="1">'Cashflow Projection &amp; Investme'!AI44+'Cashflow Projection &amp; Investme'!AJ44+'Cashflow Projection &amp; Investme'!AK44</f>
        <v>138586.96500000003</v>
      </c>
      <c r="N44" s="109">
        <f ca="1">'Cashflow Projection &amp; Investme'!AL44+'Cashflow Projection &amp; Investme'!AM44+'Cashflow Projection &amp; Investme'!AN44</f>
        <v>138586.96500000003</v>
      </c>
      <c r="O44" s="109">
        <f ca="1">'Cashflow Projection &amp; Investme'!AP44+'Cashflow Projection &amp; Investme'!AQ44+'Cashflow Projection &amp; Investme'!AR44</f>
        <v>152445.66150000002</v>
      </c>
      <c r="P44" s="109">
        <f ca="1">'Cashflow Projection &amp; Investme'!AS44+'Cashflow Projection &amp; Investme'!AT44+'Cashflow Projection &amp; Investme'!AU44</f>
        <v>152445.66150000002</v>
      </c>
      <c r="Q44" s="109">
        <f ca="1">'Cashflow Projection &amp; Investme'!AV44+'Cashflow Projection &amp; Investme'!AW44+'Cashflow Projection &amp; Investme'!AX44</f>
        <v>152445.66150000002</v>
      </c>
      <c r="R44" s="109">
        <f ca="1">'Cashflow Projection &amp; Investme'!AY44+'Cashflow Projection &amp; Investme'!AZ44+'Cashflow Projection &amp; Investme'!BA44</f>
        <v>152445.66150000002</v>
      </c>
      <c r="S44" s="109">
        <f ca="1">'Cashflow Projection &amp; Investme'!BC44+'Cashflow Projection &amp; Investme'!BD44+'Cashflow Projection &amp; Investme'!BE44</f>
        <v>167690.22765000007</v>
      </c>
      <c r="T44" s="109">
        <f ca="1">'Cashflow Projection &amp; Investme'!BF44+'Cashflow Projection &amp; Investme'!BG44+'Cashflow Projection &amp; Investme'!BH44</f>
        <v>167690.22765000007</v>
      </c>
      <c r="U44" s="109">
        <f ca="1">'Cashflow Projection &amp; Investme'!BI44+'Cashflow Projection &amp; Investme'!BJ44+'Cashflow Projection &amp; Investme'!BK44</f>
        <v>167690.22765000007</v>
      </c>
      <c r="V44" s="109">
        <f ca="1">'Cashflow Projection &amp; Investme'!BL44+'Cashflow Projection &amp; Investme'!BM44+'Cashflow Projection &amp; Investme'!BN44</f>
        <v>167690.22765000007</v>
      </c>
      <c r="W44" s="109">
        <f ca="1">'Cashflow Projection &amp; Investme'!BP44+'Cashflow Projection &amp; Investme'!BQ44+'Cashflow Projection &amp; Investme'!BR44</f>
        <v>184459.25041500008</v>
      </c>
      <c r="X44" s="109">
        <f ca="1">'Cashflow Projection &amp; Investme'!BS44+'Cashflow Projection &amp; Investme'!BT44+'Cashflow Projection &amp; Investme'!BU44</f>
        <v>184459.25041500008</v>
      </c>
      <c r="Y44" s="109">
        <f ca="1">'Cashflow Projection &amp; Investme'!BV44+'Cashflow Projection &amp; Investme'!BW44+'Cashflow Projection &amp; Investme'!BX44</f>
        <v>184459.25041500008</v>
      </c>
      <c r="Z44" s="109">
        <f ca="1">'Cashflow Projection &amp; Investme'!BY44+'Cashflow Projection &amp; Investme'!BZ44+'Cashflow Projection &amp; Investme'!CA44</f>
        <v>184459.25041500008</v>
      </c>
      <c r="AA44" s="109">
        <f ca="1">'Cashflow Projection &amp; Investme'!CC44+'Cashflow Projection &amp; Investme'!CD44+'Cashflow Projection &amp; Investme'!CE44</f>
        <v>202905.17545650009</v>
      </c>
      <c r="AB44" s="109">
        <f ca="1">'Cashflow Projection &amp; Investme'!CF44+'Cashflow Projection &amp; Investme'!CG44+'Cashflow Projection &amp; Investme'!CH44</f>
        <v>202905.17545650009</v>
      </c>
      <c r="AC44" s="109">
        <f ca="1">'Cashflow Projection &amp; Investme'!CI44+'Cashflow Projection &amp; Investme'!CJ44+'Cashflow Projection &amp; Investme'!CK44</f>
        <v>202905.17545650009</v>
      </c>
      <c r="AD44" s="109">
        <f ca="1">'Cashflow Projection &amp; Investme'!CL44+'Cashflow Projection &amp; Investme'!CM44+'Cashflow Projection &amp; Investme'!CN44</f>
        <v>202905.17545650009</v>
      </c>
    </row>
    <row r="45" spans="1:30" s="112" customFormat="1" ht="24.95" customHeight="1">
      <c r="A45" s="124" t="s">
        <v>337</v>
      </c>
      <c r="B45" s="109">
        <f>'OPEREX, PAYROL'!E116</f>
        <v>0</v>
      </c>
      <c r="C45" s="109">
        <f>'Cashflow Projection &amp; Investme'!C45+'Cashflow Projection &amp; Investme'!D45+'Cashflow Projection &amp; Investme'!E45</f>
        <v>0</v>
      </c>
      <c r="D45" s="109">
        <f>'Cashflow Projection &amp; Investme'!F45+'Cashflow Projection &amp; Investme'!G45+'Cashflow Projection &amp; Investme'!H45</f>
        <v>0</v>
      </c>
      <c r="E45" s="109">
        <f>'Cashflow Projection &amp; Investme'!I45+'Cashflow Projection &amp; Investme'!J45+'Cashflow Projection &amp; Investme'!K45</f>
        <v>0</v>
      </c>
      <c r="F45" s="109">
        <f>'Cashflow Projection &amp; Investme'!L45+'Cashflow Projection &amp; Investme'!M45+'Cashflow Projection &amp; Investme'!N45</f>
        <v>0</v>
      </c>
      <c r="G45" s="518">
        <f>'Cashflow Projection &amp; Investme'!P45+'Cashflow Projection &amp; Investme'!Q45+'Cashflow Projection &amp; Investme'!R45</f>
        <v>0</v>
      </c>
      <c r="H45" s="518">
        <f>'Cashflow Projection &amp; Investme'!S45+'Cashflow Projection &amp; Investme'!T45+'Cashflow Projection &amp; Investme'!U45</f>
        <v>0</v>
      </c>
      <c r="I45" s="518">
        <f>'Cashflow Projection &amp; Investme'!V45+'Cashflow Projection &amp; Investme'!W45+'Cashflow Projection &amp; Investme'!X45</f>
        <v>0</v>
      </c>
      <c r="J45" s="518">
        <f>'Cashflow Projection &amp; Investme'!Y45+'Cashflow Projection &amp; Investme'!Z45+'Cashflow Projection &amp; Investme'!AA45</f>
        <v>0</v>
      </c>
      <c r="K45" s="109">
        <f>'Cashflow Projection &amp; Investme'!AC45+'Cashflow Projection &amp; Investme'!AD45+'Cashflow Projection &amp; Investme'!AE45</f>
        <v>0</v>
      </c>
      <c r="L45" s="109">
        <f>'Cashflow Projection &amp; Investme'!AF45+'Cashflow Projection &amp; Investme'!AG45+'Cashflow Projection &amp; Investme'!AH45</f>
        <v>0</v>
      </c>
      <c r="M45" s="109">
        <f>'Cashflow Projection &amp; Investme'!AI45+'Cashflow Projection &amp; Investme'!AJ45+'Cashflow Projection &amp; Investme'!AK45</f>
        <v>0</v>
      </c>
      <c r="N45" s="109">
        <f>'Cashflow Projection &amp; Investme'!AL45+'Cashflow Projection &amp; Investme'!AM45+'Cashflow Projection &amp; Investme'!AN45</f>
        <v>0</v>
      </c>
      <c r="O45" s="109">
        <f>'Cashflow Projection &amp; Investme'!AP45+'Cashflow Projection &amp; Investme'!AQ45+'Cashflow Projection &amp; Investme'!AR45</f>
        <v>0</v>
      </c>
      <c r="P45" s="109">
        <f>'Cashflow Projection &amp; Investme'!AS45+'Cashflow Projection &amp; Investme'!AT45+'Cashflow Projection &amp; Investme'!AU45</f>
        <v>0</v>
      </c>
      <c r="Q45" s="109">
        <f>'Cashflow Projection &amp; Investme'!AV45+'Cashflow Projection &amp; Investme'!AW45+'Cashflow Projection &amp; Investme'!AX45</f>
        <v>0</v>
      </c>
      <c r="R45" s="109">
        <f>'Cashflow Projection &amp; Investme'!AY45+'Cashflow Projection &amp; Investme'!AZ45+'Cashflow Projection &amp; Investme'!BA45</f>
        <v>0</v>
      </c>
      <c r="S45" s="109">
        <f>'Cashflow Projection &amp; Investme'!BC45+'Cashflow Projection &amp; Investme'!BD45+'Cashflow Projection &amp; Investme'!BE45</f>
        <v>0</v>
      </c>
      <c r="T45" s="109">
        <f>'Cashflow Projection &amp; Investme'!BF45+'Cashflow Projection &amp; Investme'!BG45+'Cashflow Projection &amp; Investme'!BH45</f>
        <v>0</v>
      </c>
      <c r="U45" s="109">
        <f>'Cashflow Projection &amp; Investme'!BI45+'Cashflow Projection &amp; Investme'!BJ45+'Cashflow Projection &amp; Investme'!BK45</f>
        <v>0</v>
      </c>
      <c r="V45" s="109">
        <f>'Cashflow Projection &amp; Investme'!BL45+'Cashflow Projection &amp; Investme'!BM45+'Cashflow Projection &amp; Investme'!BN45</f>
        <v>0</v>
      </c>
      <c r="W45" s="109">
        <f>'Cashflow Projection &amp; Investme'!BP45+'Cashflow Projection &amp; Investme'!BQ45+'Cashflow Projection &amp; Investme'!BR45</f>
        <v>0</v>
      </c>
      <c r="X45" s="109">
        <f>'Cashflow Projection &amp; Investme'!BS45+'Cashflow Projection &amp; Investme'!BT45+'Cashflow Projection &amp; Investme'!BU45</f>
        <v>0</v>
      </c>
      <c r="Y45" s="109">
        <f>'Cashflow Projection &amp; Investme'!BV45+'Cashflow Projection &amp; Investme'!BW45+'Cashflow Projection &amp; Investme'!BX45</f>
        <v>0</v>
      </c>
      <c r="Z45" s="109">
        <f>'Cashflow Projection &amp; Investme'!BY45+'Cashflow Projection &amp; Investme'!BZ45+'Cashflow Projection &amp; Investme'!CA45</f>
        <v>0</v>
      </c>
      <c r="AA45" s="109">
        <f>'Cashflow Projection &amp; Investme'!CC45+'Cashflow Projection &amp; Investme'!CD45+'Cashflow Projection &amp; Investme'!CE45</f>
        <v>0</v>
      </c>
      <c r="AB45" s="109">
        <f>'Cashflow Projection &amp; Investme'!CF45+'Cashflow Projection &amp; Investme'!CG45+'Cashflow Projection &amp; Investme'!CH45</f>
        <v>0</v>
      </c>
      <c r="AC45" s="109">
        <f>'Cashflow Projection &amp; Investme'!CI45+'Cashflow Projection &amp; Investme'!CJ45+'Cashflow Projection &amp; Investme'!CK45</f>
        <v>0</v>
      </c>
      <c r="AD45" s="109">
        <f>'Cashflow Projection &amp; Investme'!CL45+'Cashflow Projection &amp; Investme'!CM45+'Cashflow Projection &amp; Investme'!CN45</f>
        <v>0</v>
      </c>
    </row>
    <row r="46" spans="1:30" s="112" customFormat="1" ht="24.95" customHeight="1" thickBot="1">
      <c r="A46" s="124" t="s">
        <v>338</v>
      </c>
      <c r="B46" s="114"/>
      <c r="C46" s="114">
        <f>'Cashflow Projection &amp; Investme'!C46+'Cashflow Projection &amp; Investme'!D46+'Cashflow Projection &amp; Investme'!E46</f>
        <v>0</v>
      </c>
      <c r="D46" s="114">
        <f>'Cashflow Projection &amp; Investme'!F46+'Cashflow Projection &amp; Investme'!G46+'Cashflow Projection &amp; Investme'!H46</f>
        <v>0</v>
      </c>
      <c r="E46" s="114">
        <f>'Cashflow Projection &amp; Investme'!I46+'Cashflow Projection &amp; Investme'!J46+'Cashflow Projection &amp; Investme'!K46</f>
        <v>0</v>
      </c>
      <c r="F46" s="114">
        <f>'Cashflow Projection &amp; Investme'!L46+'Cashflow Projection &amp; Investme'!M46+'Cashflow Projection &amp; Investme'!N46</f>
        <v>0</v>
      </c>
      <c r="G46" s="514">
        <f>'Cashflow Projection &amp; Investme'!P46+'Cashflow Projection &amp; Investme'!Q46+'Cashflow Projection &amp; Investme'!R46</f>
        <v>0</v>
      </c>
      <c r="H46" s="514">
        <f>'Cashflow Projection &amp; Investme'!S46+'Cashflow Projection &amp; Investme'!T46+'Cashflow Projection &amp; Investme'!U46</f>
        <v>0</v>
      </c>
      <c r="I46" s="514">
        <f>'Cashflow Projection &amp; Investme'!V46+'Cashflow Projection &amp; Investme'!W46+'Cashflow Projection &amp; Investme'!X46</f>
        <v>0</v>
      </c>
      <c r="J46" s="514">
        <f>'Cashflow Projection &amp; Investme'!Y46+'Cashflow Projection &amp; Investme'!Z46+'Cashflow Projection &amp; Investme'!AA46</f>
        <v>0</v>
      </c>
      <c r="K46" s="114">
        <f>'Cashflow Projection &amp; Investme'!AC46+'Cashflow Projection &amp; Investme'!AD46+'Cashflow Projection &amp; Investme'!AE46</f>
        <v>0</v>
      </c>
      <c r="L46" s="114">
        <f>'Cashflow Projection &amp; Investme'!AF46+'Cashflow Projection &amp; Investme'!AG46+'Cashflow Projection &amp; Investme'!AH46</f>
        <v>0</v>
      </c>
      <c r="M46" s="114">
        <f>'Cashflow Projection &amp; Investme'!AI46+'Cashflow Projection &amp; Investme'!AJ46+'Cashflow Projection &amp; Investme'!AK46</f>
        <v>0</v>
      </c>
      <c r="N46" s="114">
        <f>'Cashflow Projection &amp; Investme'!AL46+'Cashflow Projection &amp; Investme'!AM46+'Cashflow Projection &amp; Investme'!AN46</f>
        <v>0</v>
      </c>
      <c r="O46" s="114">
        <f>'Cashflow Projection &amp; Investme'!AP46+'Cashflow Projection &amp; Investme'!AQ46+'Cashflow Projection &amp; Investme'!AR46</f>
        <v>0</v>
      </c>
      <c r="P46" s="114">
        <f>'Cashflow Projection &amp; Investme'!AS46+'Cashflow Projection &amp; Investme'!AT46+'Cashflow Projection &amp; Investme'!AU46</f>
        <v>0</v>
      </c>
      <c r="Q46" s="114">
        <f>'Cashflow Projection &amp; Investme'!AV46+'Cashflow Projection &amp; Investme'!AW46+'Cashflow Projection &amp; Investme'!AX46</f>
        <v>0</v>
      </c>
      <c r="R46" s="114">
        <f>'Cashflow Projection &amp; Investme'!AY46+'Cashflow Projection &amp; Investme'!AZ46+'Cashflow Projection &amp; Investme'!BA46</f>
        <v>0</v>
      </c>
      <c r="S46" s="114">
        <f>'Cashflow Projection &amp; Investme'!BC46+'Cashflow Projection &amp; Investme'!BD46+'Cashflow Projection &amp; Investme'!BE46</f>
        <v>0</v>
      </c>
      <c r="T46" s="114">
        <f>'Cashflow Projection &amp; Investme'!BF46+'Cashflow Projection &amp; Investme'!BG46+'Cashflow Projection &amp; Investme'!BH46</f>
        <v>0</v>
      </c>
      <c r="U46" s="114">
        <f>'Cashflow Projection &amp; Investme'!BI46+'Cashflow Projection &amp; Investme'!BJ46+'Cashflow Projection &amp; Investme'!BK46</f>
        <v>0</v>
      </c>
      <c r="V46" s="114">
        <f>'Cashflow Projection &amp; Investme'!BL46+'Cashflow Projection &amp; Investme'!BM46+'Cashflow Projection &amp; Investme'!BN46</f>
        <v>0</v>
      </c>
      <c r="W46" s="114">
        <f>'Cashflow Projection &amp; Investme'!BP46+'Cashflow Projection &amp; Investme'!BQ46+'Cashflow Projection &amp; Investme'!BR46</f>
        <v>0</v>
      </c>
      <c r="X46" s="114">
        <f>'Cashflow Projection &amp; Investme'!BS46+'Cashflow Projection &amp; Investme'!BT46+'Cashflow Projection &amp; Investme'!BU46</f>
        <v>0</v>
      </c>
      <c r="Y46" s="114">
        <f>'Cashflow Projection &amp; Investme'!BV46+'Cashflow Projection &amp; Investme'!BW46+'Cashflow Projection &amp; Investme'!BX46</f>
        <v>0</v>
      </c>
      <c r="Z46" s="114">
        <f>'Cashflow Projection &amp; Investme'!BY46+'Cashflow Projection &amp; Investme'!BZ46+'Cashflow Projection &amp; Investme'!CA46</f>
        <v>0</v>
      </c>
      <c r="AA46" s="114">
        <f>'Cashflow Projection &amp; Investme'!CC46+'Cashflow Projection &amp; Investme'!CD46+'Cashflow Projection &amp; Investme'!CE46</f>
        <v>0</v>
      </c>
      <c r="AB46" s="114">
        <f>'Cashflow Projection &amp; Investme'!CF46+'Cashflow Projection &amp; Investme'!CG46+'Cashflow Projection &amp; Investme'!CH46</f>
        <v>0</v>
      </c>
      <c r="AC46" s="114">
        <f>'Cashflow Projection &amp; Investme'!CI46+'Cashflow Projection &amp; Investme'!CJ46+'Cashflow Projection &amp; Investme'!CK46</f>
        <v>0</v>
      </c>
      <c r="AD46" s="114">
        <f>'Cashflow Projection &amp; Investme'!CL46+'Cashflow Projection &amp; Investme'!CM46+'Cashflow Projection &amp; Investme'!CN46</f>
        <v>0</v>
      </c>
    </row>
    <row r="47" spans="1:30" s="107" customFormat="1" ht="24.95" customHeight="1" thickBot="1">
      <c r="A47" s="123" t="s">
        <v>339</v>
      </c>
      <c r="B47" s="115">
        <f>SUBTOTAL(109,B42:B46)</f>
        <v>572030.15599999996</v>
      </c>
      <c r="C47" s="115">
        <f t="shared" ref="C47:V47" si="76">SUBTOTAL(109,C42:C46)</f>
        <v>1712178.6179999998</v>
      </c>
      <c r="D47" s="115">
        <f t="shared" si="76"/>
        <v>1710878.6179999998</v>
      </c>
      <c r="E47" s="115">
        <f t="shared" si="76"/>
        <v>1712178.6179999998</v>
      </c>
      <c r="F47" s="115">
        <f t="shared" si="76"/>
        <v>1712178.6179999998</v>
      </c>
      <c r="G47" s="523">
        <f t="shared" ca="1" si="76"/>
        <v>1956474.2406879999</v>
      </c>
      <c r="H47" s="523">
        <f t="shared" ca="1" si="76"/>
        <v>1950909.6356879997</v>
      </c>
      <c r="I47" s="523">
        <f t="shared" ca="1" si="76"/>
        <v>1952274.6356879997</v>
      </c>
      <c r="J47" s="523">
        <f t="shared" ca="1" si="76"/>
        <v>1952274.6356879997</v>
      </c>
      <c r="K47" s="115">
        <f t="shared" ca="1" si="76"/>
        <v>2228109.1960199997</v>
      </c>
      <c r="L47" s="115">
        <f t="shared" ca="1" si="76"/>
        <v>2228109.1960199997</v>
      </c>
      <c r="M47" s="115">
        <f t="shared" ca="1" si="76"/>
        <v>2228109.1960199997</v>
      </c>
      <c r="N47" s="115">
        <f t="shared" ca="1" si="76"/>
        <v>2228109.1960199997</v>
      </c>
      <c r="O47" s="115">
        <f t="shared" ca="1" si="76"/>
        <v>2530216.4986199993</v>
      </c>
      <c r="P47" s="115">
        <f t="shared" ca="1" si="76"/>
        <v>2530216.4986199993</v>
      </c>
      <c r="Q47" s="115">
        <f t="shared" ca="1" si="76"/>
        <v>2530216.4986199993</v>
      </c>
      <c r="R47" s="115">
        <f t="shared" ca="1" si="76"/>
        <v>2530216.4986199993</v>
      </c>
      <c r="S47" s="115">
        <f t="shared" ca="1" si="76"/>
        <v>2860781.7274493999</v>
      </c>
      <c r="T47" s="115">
        <f t="shared" ca="1" si="76"/>
        <v>2860781.7274493999</v>
      </c>
      <c r="U47" s="115">
        <f t="shared" ca="1" si="76"/>
        <v>2860781.7274493999</v>
      </c>
      <c r="V47" s="115">
        <f t="shared" ca="1" si="76"/>
        <v>2860781.7274493999</v>
      </c>
      <c r="W47" s="115">
        <f t="shared" ref="W47:AD47" ca="1" si="77">SUBTOTAL(109,W42:W46)</f>
        <v>3222188.790503249</v>
      </c>
      <c r="X47" s="115">
        <f t="shared" ca="1" si="77"/>
        <v>3222188.790503249</v>
      </c>
      <c r="Y47" s="115">
        <f t="shared" ca="1" si="77"/>
        <v>3222188.790503249</v>
      </c>
      <c r="Z47" s="115">
        <f t="shared" ca="1" si="77"/>
        <v>3222188.790503249</v>
      </c>
      <c r="AA47" s="115">
        <f t="shared" ca="1" si="77"/>
        <v>3420381.610955962</v>
      </c>
      <c r="AB47" s="115">
        <f t="shared" ca="1" si="77"/>
        <v>3420381.610955962</v>
      </c>
      <c r="AC47" s="115">
        <f t="shared" ca="1" si="77"/>
        <v>3420381.610955962</v>
      </c>
      <c r="AD47" s="115">
        <f t="shared" ca="1" si="77"/>
        <v>3420381.610955962</v>
      </c>
    </row>
    <row r="48" spans="1:30" s="112" customFormat="1" ht="24.95" customHeight="1" thickBot="1">
      <c r="A48" s="123" t="s">
        <v>340</v>
      </c>
      <c r="B48" s="108">
        <f>'Projected FS'!$B$35</f>
        <v>8416320</v>
      </c>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c r="AD48" s="118"/>
    </row>
    <row r="49" spans="1:93" s="104" customFormat="1" ht="24.95" customHeight="1" thickBot="1">
      <c r="A49" s="123" t="s">
        <v>341</v>
      </c>
      <c r="B49" s="120"/>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row>
    <row r="50" spans="1:93" s="1" customFormat="1" ht="24.95" customHeight="1" thickBot="1">
      <c r="A50" s="122" t="s">
        <v>339</v>
      </c>
      <c r="B50" s="113">
        <f t="shared" ref="B50:F50" si="78">SUM(B47:B49)</f>
        <v>8988350.1559999995</v>
      </c>
      <c r="C50" s="113">
        <f t="shared" si="78"/>
        <v>1712178.6179999998</v>
      </c>
      <c r="D50" s="113">
        <f t="shared" si="78"/>
        <v>1710878.6179999998</v>
      </c>
      <c r="E50" s="113">
        <f t="shared" si="78"/>
        <v>1712178.6179999998</v>
      </c>
      <c r="F50" s="113">
        <f t="shared" si="78"/>
        <v>1712178.6179999998</v>
      </c>
      <c r="G50" s="516">
        <f t="shared" ref="G50:J50" ca="1" si="79">SUM(G47:G49)</f>
        <v>1956474.2406879999</v>
      </c>
      <c r="H50" s="516">
        <f t="shared" ca="1" si="79"/>
        <v>1950909.6356879997</v>
      </c>
      <c r="I50" s="516">
        <f t="shared" ca="1" si="79"/>
        <v>1952274.6356879997</v>
      </c>
      <c r="J50" s="516">
        <f t="shared" ca="1" si="79"/>
        <v>1952274.6356879997</v>
      </c>
      <c r="K50" s="113">
        <f t="shared" ref="K50:N50" ca="1" si="80">SUM(K47:K49)</f>
        <v>2228109.1960199997</v>
      </c>
      <c r="L50" s="113">
        <f t="shared" ca="1" si="80"/>
        <v>2228109.1960199997</v>
      </c>
      <c r="M50" s="113">
        <f t="shared" ca="1" si="80"/>
        <v>2228109.1960199997</v>
      </c>
      <c r="N50" s="113">
        <f t="shared" ca="1" si="80"/>
        <v>2228109.1960199997</v>
      </c>
      <c r="O50" s="113">
        <f t="shared" ref="O50:R50" ca="1" si="81">SUM(O47:O49)</f>
        <v>2530216.4986199993</v>
      </c>
      <c r="P50" s="113">
        <f t="shared" ca="1" si="81"/>
        <v>2530216.4986199993</v>
      </c>
      <c r="Q50" s="113">
        <f t="shared" ca="1" si="81"/>
        <v>2530216.4986199993</v>
      </c>
      <c r="R50" s="113">
        <f t="shared" ca="1" si="81"/>
        <v>2530216.4986199993</v>
      </c>
      <c r="S50" s="113">
        <f t="shared" ref="S50:V50" ca="1" si="82">SUM(S47:S49)</f>
        <v>2860781.7274493999</v>
      </c>
      <c r="T50" s="113">
        <f t="shared" ca="1" si="82"/>
        <v>2860781.7274493999</v>
      </c>
      <c r="U50" s="113">
        <f t="shared" ca="1" si="82"/>
        <v>2860781.7274493999</v>
      </c>
      <c r="V50" s="113">
        <f t="shared" ca="1" si="82"/>
        <v>2860781.7274493999</v>
      </c>
      <c r="W50" s="113">
        <f t="shared" ref="W50:Z50" ca="1" si="83">SUM(W47:W49)</f>
        <v>3222188.790503249</v>
      </c>
      <c r="X50" s="113">
        <f t="shared" ca="1" si="83"/>
        <v>3222188.790503249</v>
      </c>
      <c r="Y50" s="113">
        <f t="shared" ca="1" si="83"/>
        <v>3222188.790503249</v>
      </c>
      <c r="Z50" s="113">
        <f t="shared" ca="1" si="83"/>
        <v>3222188.790503249</v>
      </c>
      <c r="AA50" s="113">
        <f t="shared" ref="AA50:AD50" ca="1" si="84">SUM(AA47:AA49)</f>
        <v>3420381.610955962</v>
      </c>
      <c r="AB50" s="113">
        <f t="shared" ca="1" si="84"/>
        <v>3420381.610955962</v>
      </c>
      <c r="AC50" s="113">
        <f t="shared" ca="1" si="84"/>
        <v>3420381.610955962</v>
      </c>
      <c r="AD50" s="113">
        <f t="shared" ca="1" si="84"/>
        <v>3420381.610955962</v>
      </c>
    </row>
    <row r="51" spans="1:93" s="1" customFormat="1" ht="24.95" customHeight="1" thickBot="1">
      <c r="A51" s="122" t="s">
        <v>342</v>
      </c>
      <c r="B51" s="113">
        <f t="shared" ref="B51:F51" si="85">B40-B50</f>
        <v>-8988350.1559999995</v>
      </c>
      <c r="C51" s="113">
        <f t="shared" si="85"/>
        <v>-670164.24299999978</v>
      </c>
      <c r="D51" s="113">
        <f t="shared" si="85"/>
        <v>373150.13200000022</v>
      </c>
      <c r="E51" s="113">
        <f t="shared" si="85"/>
        <v>745000.26400000043</v>
      </c>
      <c r="F51" s="113">
        <f t="shared" si="85"/>
        <v>1116850.3960000006</v>
      </c>
      <c r="G51" s="516">
        <f t="shared" ref="G51:J51" ca="1" si="86">G40-G50</f>
        <v>1417379.2915620008</v>
      </c>
      <c r="H51" s="516">
        <f t="shared" ca="1" si="86"/>
        <v>1896447.1783740011</v>
      </c>
      <c r="I51" s="516">
        <f t="shared" ca="1" si="86"/>
        <v>2374150.0651860014</v>
      </c>
      <c r="J51" s="516">
        <f t="shared" ca="1" si="86"/>
        <v>2851852.9519980019</v>
      </c>
      <c r="K51" s="113">
        <f t="shared" ref="K51:N51" ca="1" si="87">K40-K50</f>
        <v>3243715.2328530019</v>
      </c>
      <c r="L51" s="113">
        <f t="shared" ca="1" si="87"/>
        <v>3825571.4680830026</v>
      </c>
      <c r="M51" s="113">
        <f t="shared" ca="1" si="87"/>
        <v>4407427.7033130033</v>
      </c>
      <c r="N51" s="113">
        <f t="shared" ca="1" si="87"/>
        <v>4989283.938543004</v>
      </c>
      <c r="O51" s="113">
        <f t="shared" ref="O51:R51" ca="1" si="88">O40-O50</f>
        <v>5477435.7461730037</v>
      </c>
      <c r="P51" s="113">
        <f t="shared" ca="1" si="88"/>
        <v>6173990.4288030043</v>
      </c>
      <c r="Q51" s="113">
        <f t="shared" ca="1" si="88"/>
        <v>6870545.1114330031</v>
      </c>
      <c r="R51" s="113">
        <f t="shared" ca="1" si="88"/>
        <v>7567099.7940630019</v>
      </c>
      <c r="S51" s="113">
        <f t="shared" ref="S51:V51" ca="1" si="89">S40-S50</f>
        <v>8161429.3312385995</v>
      </c>
      <c r="T51" s="113">
        <f t="shared" ca="1" si="89"/>
        <v>8984098.9517891984</v>
      </c>
      <c r="U51" s="113">
        <f t="shared" ca="1" si="89"/>
        <v>9806768.5723397974</v>
      </c>
      <c r="V51" s="113">
        <f t="shared" ca="1" si="89"/>
        <v>10629438.192890396</v>
      </c>
      <c r="W51" s="113">
        <f t="shared" ref="W51:Z51" ca="1" si="90">W40-W50</f>
        <v>11340645.265137147</v>
      </c>
      <c r="X51" s="113">
        <f t="shared" ca="1" si="90"/>
        <v>12301796.852133898</v>
      </c>
      <c r="Y51" s="113">
        <f t="shared" ca="1" si="90"/>
        <v>13262948.439130649</v>
      </c>
      <c r="Z51" s="113">
        <f t="shared" ca="1" si="90"/>
        <v>14224100.026127402</v>
      </c>
      <c r="AA51" s="113">
        <f t="shared" ref="AA51:AD51" ca="1" si="91">AA40-AA50</f>
        <v>15112586.791046441</v>
      </c>
      <c r="AB51" s="113">
        <f t="shared" ca="1" si="91"/>
        <v>16126601.554340482</v>
      </c>
      <c r="AC51" s="113">
        <f t="shared" ca="1" si="91"/>
        <v>17140616.317634523</v>
      </c>
      <c r="AD51" s="113">
        <f t="shared" ca="1" si="91"/>
        <v>18154631.080928564</v>
      </c>
    </row>
    <row r="52" spans="1:93" s="1" customFormat="1" ht="24.95" customHeight="1" thickBot="1">
      <c r="A52" s="230" t="s">
        <v>343</v>
      </c>
      <c r="B52"/>
      <c r="C52"/>
      <c r="D52"/>
      <c r="E52"/>
      <c r="F52"/>
      <c r="K52"/>
      <c r="L52"/>
      <c r="M52"/>
      <c r="N52"/>
      <c r="O52"/>
      <c r="P52"/>
      <c r="Q52"/>
      <c r="R52"/>
      <c r="S52"/>
      <c r="T52"/>
      <c r="U52"/>
      <c r="V52"/>
      <c r="W52"/>
      <c r="X52"/>
      <c r="Y52"/>
      <c r="Z52"/>
      <c r="AA52"/>
      <c r="AB52"/>
      <c r="AC52"/>
      <c r="AD52"/>
    </row>
    <row r="53" spans="1:93" s="104" customFormat="1" ht="24.95" customHeight="1" thickTop="1" thickBot="1">
      <c r="A53" s="188" t="s">
        <v>55</v>
      </c>
      <c r="B53" s="195">
        <f>IF(B$51&lt;0,B$51*-1,0)-'Capital Expenditures'!H85-'Capital Expenditures'!H86-'OPEREX, PAYROL'!R116</f>
        <v>8988350.1559999995</v>
      </c>
      <c r="C53" s="195">
        <f t="shared" ref="C53:F53" si="92">IF(C$51&lt;0,C$51*-1,0)</f>
        <v>670164.24299999978</v>
      </c>
      <c r="D53" s="195">
        <f t="shared" si="92"/>
        <v>0</v>
      </c>
      <c r="E53" s="195">
        <f t="shared" si="92"/>
        <v>0</v>
      </c>
      <c r="F53" s="195">
        <f t="shared" si="92"/>
        <v>0</v>
      </c>
      <c r="G53" s="526">
        <f t="shared" ref="G53:J53" ca="1" si="93">IF(G$51&lt;0,G$51*-1,0)</f>
        <v>0</v>
      </c>
      <c r="H53" s="526">
        <f t="shared" ca="1" si="93"/>
        <v>0</v>
      </c>
      <c r="I53" s="526">
        <f t="shared" ca="1" si="93"/>
        <v>0</v>
      </c>
      <c r="J53" s="526">
        <f t="shared" ca="1" si="93"/>
        <v>0</v>
      </c>
      <c r="K53" s="195">
        <f t="shared" ref="K53:N53" ca="1" si="94">IF(K$51&lt;0,K$51*-1,0)</f>
        <v>0</v>
      </c>
      <c r="L53" s="195">
        <f t="shared" ca="1" si="94"/>
        <v>0</v>
      </c>
      <c r="M53" s="195">
        <f t="shared" ca="1" si="94"/>
        <v>0</v>
      </c>
      <c r="N53" s="195">
        <f t="shared" ca="1" si="94"/>
        <v>0</v>
      </c>
      <c r="O53" s="195">
        <f t="shared" ref="O53:R53" ca="1" si="95">IF(O$51&lt;0,O$51*-1,0)</f>
        <v>0</v>
      </c>
      <c r="P53" s="195">
        <f t="shared" ca="1" si="95"/>
        <v>0</v>
      </c>
      <c r="Q53" s="195">
        <f t="shared" ca="1" si="95"/>
        <v>0</v>
      </c>
      <c r="R53" s="195">
        <f t="shared" ca="1" si="95"/>
        <v>0</v>
      </c>
      <c r="S53" s="195">
        <f t="shared" ref="S53:V53" ca="1" si="96">IF(S$51&lt;0,S$51*-1,0)</f>
        <v>0</v>
      </c>
      <c r="T53" s="195">
        <f t="shared" ca="1" si="96"/>
        <v>0</v>
      </c>
      <c r="U53" s="195">
        <f t="shared" ca="1" si="96"/>
        <v>0</v>
      </c>
      <c r="V53" s="195">
        <f t="shared" ca="1" si="96"/>
        <v>0</v>
      </c>
      <c r="W53" s="195">
        <f t="shared" ref="W53:Z53" ca="1" si="97">IF(W$51&lt;0,W$51*-1,0)</f>
        <v>0</v>
      </c>
      <c r="X53" s="195">
        <f t="shared" ca="1" si="97"/>
        <v>0</v>
      </c>
      <c r="Y53" s="195">
        <f t="shared" ca="1" si="97"/>
        <v>0</v>
      </c>
      <c r="Z53" s="195">
        <f t="shared" ca="1" si="97"/>
        <v>0</v>
      </c>
      <c r="AA53" s="195">
        <f t="shared" ref="AA53:AD53" ca="1" si="98">IF(AA$51&lt;0,AA$51*-1,0)</f>
        <v>0</v>
      </c>
      <c r="AB53" s="195">
        <f t="shared" ca="1" si="98"/>
        <v>0</v>
      </c>
      <c r="AC53" s="195">
        <f t="shared" ca="1" si="98"/>
        <v>0</v>
      </c>
      <c r="AD53" s="195">
        <f t="shared" ca="1" si="98"/>
        <v>0</v>
      </c>
    </row>
    <row r="54" spans="1:93" s="107" customFormat="1" ht="24.95" customHeight="1" thickBot="1">
      <c r="A54" s="123" t="s">
        <v>344</v>
      </c>
      <c r="B54" s="108">
        <f t="shared" ref="B54:F54" si="99">B51+SUM(B53)</f>
        <v>0</v>
      </c>
      <c r="C54" s="108">
        <f t="shared" si="99"/>
        <v>0</v>
      </c>
      <c r="D54" s="108">
        <f t="shared" si="99"/>
        <v>373150.13200000022</v>
      </c>
      <c r="E54" s="108">
        <f t="shared" si="99"/>
        <v>745000.26400000043</v>
      </c>
      <c r="F54" s="108">
        <f t="shared" si="99"/>
        <v>1116850.3960000006</v>
      </c>
      <c r="G54" s="525">
        <f t="shared" ref="G54:J54" ca="1" si="100">G51+SUM(G53)</f>
        <v>1417379.2915620008</v>
      </c>
      <c r="H54" s="525">
        <f t="shared" ca="1" si="100"/>
        <v>1896447.1783740011</v>
      </c>
      <c r="I54" s="525">
        <f t="shared" ca="1" si="100"/>
        <v>2374150.0651860014</v>
      </c>
      <c r="J54" s="525">
        <f t="shared" ca="1" si="100"/>
        <v>2851852.9519980019</v>
      </c>
      <c r="K54" s="108">
        <f t="shared" ref="K54:N54" ca="1" si="101">K51+SUM(K53)</f>
        <v>3243715.2328530019</v>
      </c>
      <c r="L54" s="108">
        <f t="shared" ca="1" si="101"/>
        <v>3825571.4680830026</v>
      </c>
      <c r="M54" s="108">
        <f t="shared" ca="1" si="101"/>
        <v>4407427.7033130033</v>
      </c>
      <c r="N54" s="108">
        <f t="shared" ca="1" si="101"/>
        <v>4989283.938543004</v>
      </c>
      <c r="O54" s="108">
        <f t="shared" ref="O54:R54" ca="1" si="102">O51+SUM(O53)</f>
        <v>5477435.7461730037</v>
      </c>
      <c r="P54" s="108">
        <f t="shared" ca="1" si="102"/>
        <v>6173990.4288030043</v>
      </c>
      <c r="Q54" s="108">
        <f t="shared" ca="1" si="102"/>
        <v>6870545.1114330031</v>
      </c>
      <c r="R54" s="108">
        <f t="shared" ca="1" si="102"/>
        <v>7567099.7940630019</v>
      </c>
      <c r="S54" s="108">
        <f t="shared" ref="S54:V54" ca="1" si="103">S51+SUM(S53)</f>
        <v>8161429.3312385995</v>
      </c>
      <c r="T54" s="108">
        <f t="shared" ca="1" si="103"/>
        <v>8984098.9517891984</v>
      </c>
      <c r="U54" s="108">
        <f t="shared" ca="1" si="103"/>
        <v>9806768.5723397974</v>
      </c>
      <c r="V54" s="108">
        <f t="shared" ca="1" si="103"/>
        <v>10629438.192890396</v>
      </c>
      <c r="W54" s="108">
        <f t="shared" ref="W54:Z54" ca="1" si="104">W51+SUM(W53)</f>
        <v>11340645.265137147</v>
      </c>
      <c r="X54" s="108">
        <f t="shared" ca="1" si="104"/>
        <v>12301796.852133898</v>
      </c>
      <c r="Y54" s="108">
        <f t="shared" ca="1" si="104"/>
        <v>13262948.439130649</v>
      </c>
      <c r="Z54" s="108">
        <f t="shared" ca="1" si="104"/>
        <v>14224100.026127402</v>
      </c>
      <c r="AA54" s="108">
        <f t="shared" ref="AA54:AD54" ca="1" si="105">AA51+SUM(AA53)</f>
        <v>15112586.791046441</v>
      </c>
      <c r="AB54" s="108">
        <f t="shared" ca="1" si="105"/>
        <v>16126601.554340482</v>
      </c>
      <c r="AC54" s="108">
        <f t="shared" ca="1" si="105"/>
        <v>17140616.317634523</v>
      </c>
      <c r="AD54" s="108">
        <f t="shared" ca="1" si="105"/>
        <v>18154631.080928564</v>
      </c>
    </row>
    <row r="55" spans="1:93" s="104" customFormat="1" ht="24.95" customHeight="1" thickBot="1">
      <c r="A55" s="188" t="s">
        <v>57</v>
      </c>
      <c r="B55" s="196">
        <f>'Capital Expenditures'!H85</f>
        <v>0</v>
      </c>
      <c r="C55" s="196"/>
      <c r="D55" s="196"/>
      <c r="E55" s="196"/>
      <c r="F55" s="196"/>
      <c r="G55" s="529"/>
      <c r="H55" s="529"/>
      <c r="I55" s="529"/>
      <c r="J55" s="529"/>
      <c r="K55" s="196"/>
      <c r="L55" s="196"/>
      <c r="M55" s="196"/>
      <c r="N55" s="196"/>
      <c r="O55" s="196"/>
      <c r="P55" s="196"/>
      <c r="Q55" s="196"/>
      <c r="R55" s="196"/>
      <c r="S55" s="196"/>
      <c r="T55" s="196"/>
      <c r="U55" s="196"/>
      <c r="V55" s="196"/>
      <c r="W55" s="196"/>
      <c r="X55" s="196"/>
      <c r="Y55" s="196"/>
      <c r="Z55" s="196"/>
      <c r="AA55" s="196"/>
      <c r="AB55" s="196"/>
      <c r="AC55" s="196"/>
      <c r="AD55" s="196"/>
    </row>
    <row r="56" spans="1:93" s="107" customFormat="1" ht="24.95" customHeight="1" thickBot="1">
      <c r="A56" s="123" t="s">
        <v>345</v>
      </c>
      <c r="B56" s="108">
        <f t="shared" ref="B56:F56" si="106">B54+SUM(B55)</f>
        <v>0</v>
      </c>
      <c r="C56" s="108">
        <f t="shared" si="106"/>
        <v>0</v>
      </c>
      <c r="D56" s="108">
        <f t="shared" si="106"/>
        <v>373150.13200000022</v>
      </c>
      <c r="E56" s="108">
        <f t="shared" si="106"/>
        <v>745000.26400000043</v>
      </c>
      <c r="F56" s="108">
        <f t="shared" si="106"/>
        <v>1116850.3960000006</v>
      </c>
      <c r="G56" s="525">
        <f t="shared" ref="G56:J56" ca="1" si="107">G54+SUM(G55)</f>
        <v>1417379.2915620008</v>
      </c>
      <c r="H56" s="525">
        <f t="shared" ca="1" si="107"/>
        <v>1896447.1783740011</v>
      </c>
      <c r="I56" s="525">
        <f t="shared" ca="1" si="107"/>
        <v>2374150.0651860014</v>
      </c>
      <c r="J56" s="525">
        <f t="shared" ca="1" si="107"/>
        <v>2851852.9519980019</v>
      </c>
      <c r="K56" s="108">
        <f t="shared" ref="K56:N56" ca="1" si="108">K54+SUM(K55)</f>
        <v>3243715.2328530019</v>
      </c>
      <c r="L56" s="108">
        <f t="shared" ca="1" si="108"/>
        <v>3825571.4680830026</v>
      </c>
      <c r="M56" s="108">
        <f t="shared" ca="1" si="108"/>
        <v>4407427.7033130033</v>
      </c>
      <c r="N56" s="108">
        <f t="shared" ca="1" si="108"/>
        <v>4989283.938543004</v>
      </c>
      <c r="O56" s="108">
        <f t="shared" ref="O56:R56" ca="1" si="109">O54+SUM(O55)</f>
        <v>5477435.7461730037</v>
      </c>
      <c r="P56" s="108">
        <f t="shared" ca="1" si="109"/>
        <v>6173990.4288030043</v>
      </c>
      <c r="Q56" s="108">
        <f t="shared" ca="1" si="109"/>
        <v>6870545.1114330031</v>
      </c>
      <c r="R56" s="108">
        <f t="shared" ca="1" si="109"/>
        <v>7567099.7940630019</v>
      </c>
      <c r="S56" s="108">
        <f t="shared" ref="S56:V56" ca="1" si="110">S54+SUM(S55)</f>
        <v>8161429.3312385995</v>
      </c>
      <c r="T56" s="108">
        <f t="shared" ca="1" si="110"/>
        <v>8984098.9517891984</v>
      </c>
      <c r="U56" s="108">
        <f t="shared" ca="1" si="110"/>
        <v>9806768.5723397974</v>
      </c>
      <c r="V56" s="108">
        <f t="shared" ca="1" si="110"/>
        <v>10629438.192890396</v>
      </c>
      <c r="W56" s="108">
        <f t="shared" ref="W56:Z56" ca="1" si="111">W54+SUM(W55)</f>
        <v>11340645.265137147</v>
      </c>
      <c r="X56" s="108">
        <f t="shared" ca="1" si="111"/>
        <v>12301796.852133898</v>
      </c>
      <c r="Y56" s="108">
        <f t="shared" ca="1" si="111"/>
        <v>13262948.439130649</v>
      </c>
      <c r="Z56" s="108">
        <f t="shared" ca="1" si="111"/>
        <v>14224100.026127402</v>
      </c>
      <c r="AA56" s="108">
        <f t="shared" ref="AA56:AD56" ca="1" si="112">AA54+SUM(AA55)</f>
        <v>15112586.791046441</v>
      </c>
      <c r="AB56" s="108">
        <f t="shared" ca="1" si="112"/>
        <v>16126601.554340482</v>
      </c>
      <c r="AC56" s="108">
        <f t="shared" ca="1" si="112"/>
        <v>17140616.317634523</v>
      </c>
      <c r="AD56" s="108">
        <f t="shared" ca="1" si="112"/>
        <v>18154631.080928564</v>
      </c>
    </row>
    <row r="57" spans="1:93" s="104" customFormat="1" ht="24.95" customHeight="1" thickBot="1">
      <c r="A57" s="188" t="s">
        <v>83</v>
      </c>
      <c r="B57" s="197">
        <f>'Capital Expenditures'!H86</f>
        <v>0</v>
      </c>
      <c r="C57" s="197"/>
      <c r="D57" s="197"/>
      <c r="E57" s="197"/>
      <c r="F57" s="197"/>
      <c r="G57" s="532"/>
      <c r="H57" s="532"/>
      <c r="I57" s="532"/>
      <c r="J57" s="532"/>
      <c r="K57" s="197"/>
      <c r="L57" s="197"/>
      <c r="M57" s="197"/>
      <c r="N57" s="197"/>
      <c r="O57" s="197"/>
      <c r="P57" s="197"/>
      <c r="Q57" s="197"/>
      <c r="R57" s="197"/>
      <c r="S57" s="197"/>
      <c r="T57" s="197"/>
      <c r="U57" s="197"/>
      <c r="V57" s="197"/>
      <c r="W57" s="197"/>
      <c r="X57" s="197"/>
      <c r="Y57" s="197"/>
      <c r="Z57" s="197"/>
      <c r="AA57" s="197"/>
      <c r="AB57" s="197"/>
      <c r="AC57" s="197"/>
      <c r="AD57" s="197"/>
    </row>
    <row r="58" spans="1:93" s="107" customFormat="1" ht="24.95" customHeight="1" thickBot="1">
      <c r="A58" s="123" t="s">
        <v>346</v>
      </c>
      <c r="B58" s="108">
        <f t="shared" ref="B58:F58" si="113">B56+SUM(B57)</f>
        <v>0</v>
      </c>
      <c r="C58" s="108">
        <f t="shared" si="113"/>
        <v>0</v>
      </c>
      <c r="D58" s="108">
        <f t="shared" si="113"/>
        <v>373150.13200000022</v>
      </c>
      <c r="E58" s="108">
        <f t="shared" si="113"/>
        <v>745000.26400000043</v>
      </c>
      <c r="F58" s="108">
        <f t="shared" si="113"/>
        <v>1116850.3960000006</v>
      </c>
      <c r="G58" s="525">
        <f t="shared" ref="G58:J58" ca="1" si="114">G56+SUM(G57)</f>
        <v>1417379.2915620008</v>
      </c>
      <c r="H58" s="525">
        <f t="shared" ca="1" si="114"/>
        <v>1896447.1783740011</v>
      </c>
      <c r="I58" s="525">
        <f t="shared" ca="1" si="114"/>
        <v>2374150.0651860014</v>
      </c>
      <c r="J58" s="525">
        <f t="shared" ca="1" si="114"/>
        <v>2851852.9519980019</v>
      </c>
      <c r="K58" s="108">
        <f t="shared" ref="K58:N58" ca="1" si="115">K56+SUM(K57)</f>
        <v>3243715.2328530019</v>
      </c>
      <c r="L58" s="108">
        <f t="shared" ca="1" si="115"/>
        <v>3825571.4680830026</v>
      </c>
      <c r="M58" s="108">
        <f t="shared" ca="1" si="115"/>
        <v>4407427.7033130033</v>
      </c>
      <c r="N58" s="108">
        <f t="shared" ca="1" si="115"/>
        <v>4989283.938543004</v>
      </c>
      <c r="O58" s="108">
        <f t="shared" ref="O58:R58" ca="1" si="116">O56+SUM(O57)</f>
        <v>5477435.7461730037</v>
      </c>
      <c r="P58" s="108">
        <f t="shared" ca="1" si="116"/>
        <v>6173990.4288030043</v>
      </c>
      <c r="Q58" s="108">
        <f t="shared" ca="1" si="116"/>
        <v>6870545.1114330031</v>
      </c>
      <c r="R58" s="108">
        <f t="shared" ca="1" si="116"/>
        <v>7567099.7940630019</v>
      </c>
      <c r="S58" s="108">
        <f t="shared" ref="S58:V58" ca="1" si="117">S56+SUM(S57)</f>
        <v>8161429.3312385995</v>
      </c>
      <c r="T58" s="108">
        <f t="shared" ca="1" si="117"/>
        <v>8984098.9517891984</v>
      </c>
      <c r="U58" s="108">
        <f t="shared" ca="1" si="117"/>
        <v>9806768.5723397974</v>
      </c>
      <c r="V58" s="108">
        <f t="shared" ca="1" si="117"/>
        <v>10629438.192890396</v>
      </c>
      <c r="W58" s="108">
        <f t="shared" ref="W58:Z58" ca="1" si="118">W56+SUM(W57)</f>
        <v>11340645.265137147</v>
      </c>
      <c r="X58" s="108">
        <f t="shared" ca="1" si="118"/>
        <v>12301796.852133898</v>
      </c>
      <c r="Y58" s="108">
        <f t="shared" ca="1" si="118"/>
        <v>13262948.439130649</v>
      </c>
      <c r="Z58" s="108">
        <f t="shared" ca="1" si="118"/>
        <v>14224100.026127402</v>
      </c>
      <c r="AA58" s="108">
        <f t="shared" ref="AA58:AD58" ca="1" si="119">AA56+SUM(AA57)</f>
        <v>15112586.791046441</v>
      </c>
      <c r="AB58" s="108">
        <f t="shared" ca="1" si="119"/>
        <v>16126601.554340482</v>
      </c>
      <c r="AC58" s="108">
        <f t="shared" ca="1" si="119"/>
        <v>17140616.317634523</v>
      </c>
      <c r="AD58" s="108">
        <f t="shared" ca="1" si="119"/>
        <v>18154631.080928564</v>
      </c>
    </row>
    <row r="59" spans="1:93" s="104" customFormat="1" ht="24.95" customHeight="1" thickBot="1">
      <c r="A59" s="188" t="s">
        <v>86</v>
      </c>
      <c r="B59" s="197">
        <f>'OPEREX, PAYROL'!R116</f>
        <v>0</v>
      </c>
      <c r="C59" s="197"/>
      <c r="D59" s="197"/>
      <c r="E59" s="197"/>
      <c r="F59" s="197"/>
      <c r="G59" s="532"/>
      <c r="H59" s="532"/>
      <c r="I59" s="532"/>
      <c r="J59" s="532"/>
      <c r="K59" s="197"/>
      <c r="L59" s="197"/>
      <c r="M59" s="197"/>
      <c r="N59" s="197"/>
      <c r="O59" s="197"/>
      <c r="P59" s="197"/>
      <c r="Q59" s="197"/>
      <c r="R59" s="197"/>
      <c r="S59" s="197"/>
      <c r="T59" s="197"/>
      <c r="U59" s="197"/>
      <c r="V59" s="197"/>
      <c r="W59" s="197"/>
      <c r="X59" s="197"/>
      <c r="Y59" s="197"/>
      <c r="Z59" s="197"/>
      <c r="AA59" s="197"/>
      <c r="AB59" s="197"/>
      <c r="AC59" s="197"/>
      <c r="AD59" s="197"/>
    </row>
    <row r="60" spans="1:93" s="107" customFormat="1" ht="24.95" customHeight="1" thickBot="1">
      <c r="A60" s="123" t="s">
        <v>345</v>
      </c>
      <c r="B60" s="108">
        <f t="shared" ref="B60:F60" si="120">B58+SUM(B59)</f>
        <v>0</v>
      </c>
      <c r="C60" s="108">
        <f t="shared" si="120"/>
        <v>0</v>
      </c>
      <c r="D60" s="108">
        <f t="shared" si="120"/>
        <v>373150.13200000022</v>
      </c>
      <c r="E60" s="108">
        <f t="shared" si="120"/>
        <v>745000.26400000043</v>
      </c>
      <c r="F60" s="108">
        <f t="shared" si="120"/>
        <v>1116850.3960000006</v>
      </c>
      <c r="G60" s="525">
        <f t="shared" ref="G60:J60" ca="1" si="121">G58+SUM(G59)</f>
        <v>1417379.2915620008</v>
      </c>
      <c r="H60" s="525">
        <f t="shared" ca="1" si="121"/>
        <v>1896447.1783740011</v>
      </c>
      <c r="I60" s="525">
        <f t="shared" ca="1" si="121"/>
        <v>2374150.0651860014</v>
      </c>
      <c r="J60" s="525">
        <f t="shared" ca="1" si="121"/>
        <v>2851852.9519980019</v>
      </c>
      <c r="K60" s="108">
        <f t="shared" ref="K60:N60" ca="1" si="122">K58+SUM(K59)</f>
        <v>3243715.2328530019</v>
      </c>
      <c r="L60" s="108">
        <f t="shared" ca="1" si="122"/>
        <v>3825571.4680830026</v>
      </c>
      <c r="M60" s="108">
        <f t="shared" ca="1" si="122"/>
        <v>4407427.7033130033</v>
      </c>
      <c r="N60" s="108">
        <f t="shared" ca="1" si="122"/>
        <v>4989283.938543004</v>
      </c>
      <c r="O60" s="108">
        <f t="shared" ref="O60:R60" ca="1" si="123">O58+SUM(O59)</f>
        <v>5477435.7461730037</v>
      </c>
      <c r="P60" s="108">
        <f t="shared" ca="1" si="123"/>
        <v>6173990.4288030043</v>
      </c>
      <c r="Q60" s="108">
        <f t="shared" ca="1" si="123"/>
        <v>6870545.1114330031</v>
      </c>
      <c r="R60" s="108">
        <f t="shared" ca="1" si="123"/>
        <v>7567099.7940630019</v>
      </c>
      <c r="S60" s="108">
        <f t="shared" ref="S60:V60" ca="1" si="124">S58+SUM(S59)</f>
        <v>8161429.3312385995</v>
      </c>
      <c r="T60" s="108">
        <f t="shared" ca="1" si="124"/>
        <v>8984098.9517891984</v>
      </c>
      <c r="U60" s="108">
        <f t="shared" ca="1" si="124"/>
        <v>9806768.5723397974</v>
      </c>
      <c r="V60" s="108">
        <f t="shared" ca="1" si="124"/>
        <v>10629438.192890396</v>
      </c>
      <c r="W60" s="108">
        <f t="shared" ref="W60:Z60" ca="1" si="125">W58+SUM(W59)</f>
        <v>11340645.265137147</v>
      </c>
      <c r="X60" s="108">
        <f t="shared" ca="1" si="125"/>
        <v>12301796.852133898</v>
      </c>
      <c r="Y60" s="108">
        <f t="shared" ca="1" si="125"/>
        <v>13262948.439130649</v>
      </c>
      <c r="Z60" s="108">
        <f t="shared" ca="1" si="125"/>
        <v>14224100.026127402</v>
      </c>
      <c r="AA60" s="108">
        <f t="shared" ref="AA60:AD60" ca="1" si="126">AA58+SUM(AA59)</f>
        <v>15112586.791046441</v>
      </c>
      <c r="AB60" s="108">
        <f t="shared" ca="1" si="126"/>
        <v>16126601.554340482</v>
      </c>
      <c r="AC60" s="108">
        <f t="shared" ca="1" si="126"/>
        <v>17140616.317634523</v>
      </c>
      <c r="AD60" s="108">
        <f t="shared" ca="1" si="126"/>
        <v>18154631.080928564</v>
      </c>
    </row>
    <row r="62" spans="1:93" s="104" customFormat="1" ht="21" customHeight="1" thickBot="1">
      <c r="A62" s="140" t="s">
        <v>300</v>
      </c>
      <c r="B62" s="106"/>
      <c r="C62" s="106"/>
      <c r="D62" s="106"/>
      <c r="E62" s="106"/>
      <c r="F62" s="106"/>
      <c r="G62" s="106"/>
      <c r="H62" s="106"/>
      <c r="I62" s="106"/>
      <c r="J62" s="1"/>
      <c r="K62" s="1"/>
      <c r="L62" s="1"/>
      <c r="M62" s="1"/>
      <c r="N62" s="1"/>
      <c r="O62" s="1"/>
      <c r="P62" s="106"/>
      <c r="Q62" s="106"/>
      <c r="R62" s="106"/>
      <c r="S62" s="106"/>
      <c r="T62" s="106"/>
      <c r="U62" s="106"/>
      <c r="V62" s="106"/>
      <c r="W62" s="106"/>
      <c r="X62" s="106"/>
      <c r="Y62" s="1"/>
      <c r="Z62" s="1"/>
      <c r="AA62" s="1"/>
      <c r="AB62" s="1"/>
      <c r="AC62" s="106"/>
      <c r="AD62" s="106"/>
      <c r="AE62" s="106"/>
      <c r="AF62" s="106"/>
      <c r="AG62" s="106"/>
      <c r="AH62" s="106"/>
      <c r="AI62" s="106"/>
      <c r="AJ62" s="106"/>
      <c r="AK62" s="106"/>
      <c r="AL62" s="1"/>
      <c r="AM62" s="1"/>
      <c r="AN62" s="1"/>
      <c r="AO62" s="1"/>
      <c r="AP62" s="106"/>
      <c r="AQ62" s="106"/>
      <c r="AR62" s="106"/>
      <c r="AS62" s="106"/>
      <c r="AT62" s="106"/>
      <c r="AU62" s="106"/>
      <c r="AV62" s="106"/>
      <c r="AW62" s="106"/>
      <c r="AX62" s="106"/>
      <c r="AY62" s="1"/>
      <c r="AZ62" s="1"/>
      <c r="BA62" s="1"/>
      <c r="BB62" s="1"/>
      <c r="BC62" s="106"/>
      <c r="BD62" s="106"/>
      <c r="BE62" s="106"/>
      <c r="BF62" s="106"/>
      <c r="BG62" s="106"/>
      <c r="BH62" s="106"/>
      <c r="BI62" s="106"/>
      <c r="BJ62" s="106"/>
      <c r="BK62" s="106"/>
      <c r="BL62" s="1"/>
      <c r="BM62" s="1"/>
      <c r="BN62" s="1"/>
      <c r="BO62" s="1"/>
      <c r="BP62" s="106"/>
      <c r="BQ62" s="106"/>
      <c r="BR62" s="106"/>
      <c r="BS62" s="106"/>
      <c r="BT62" s="106"/>
      <c r="BU62" s="106"/>
      <c r="BV62" s="106"/>
      <c r="BW62" s="106"/>
      <c r="BX62" s="106"/>
      <c r="BY62" s="1"/>
      <c r="BZ62" s="1"/>
      <c r="CA62" s="1"/>
      <c r="CB62" s="1"/>
      <c r="CC62" s="106"/>
      <c r="CD62" s="106"/>
      <c r="CE62" s="106"/>
      <c r="CF62" s="106"/>
      <c r="CG62" s="106"/>
      <c r="CH62" s="106"/>
      <c r="CI62" s="106"/>
      <c r="CJ62" s="106"/>
      <c r="CK62" s="106"/>
      <c r="CL62" s="1"/>
      <c r="CM62" s="1"/>
      <c r="CN62" s="1"/>
      <c r="CO62" s="1"/>
    </row>
    <row r="63" spans="1:93" s="104" customFormat="1" ht="21" customHeight="1" thickBot="1">
      <c r="A63" s="331" t="s">
        <v>137</v>
      </c>
      <c r="B63" s="105"/>
      <c r="C63" s="106"/>
      <c r="D63" s="106"/>
      <c r="E63" s="106"/>
      <c r="F63" s="106"/>
      <c r="G63" s="106"/>
      <c r="H63" s="106"/>
      <c r="I63" s="106"/>
      <c r="J63" s="1"/>
      <c r="K63" s="1"/>
      <c r="L63" s="1"/>
      <c r="M63" s="1"/>
      <c r="N63" s="1"/>
      <c r="O63" s="1"/>
      <c r="P63" s="105"/>
      <c r="Q63" s="105"/>
      <c r="R63" s="106"/>
      <c r="S63" s="106"/>
      <c r="T63" s="106"/>
      <c r="U63" s="106"/>
      <c r="V63" s="106"/>
      <c r="W63" s="106"/>
      <c r="X63" s="106"/>
      <c r="Y63" s="1"/>
      <c r="Z63" s="1"/>
      <c r="AA63" s="1"/>
      <c r="AB63" s="1"/>
      <c r="AC63" s="105"/>
      <c r="AD63" s="105"/>
      <c r="AE63" s="106"/>
      <c r="AF63" s="106"/>
      <c r="AG63" s="106"/>
      <c r="AH63" s="106"/>
      <c r="AI63" s="106"/>
      <c r="AJ63" s="106"/>
      <c r="AK63" s="106"/>
      <c r="AL63" s="1"/>
      <c r="AM63" s="1"/>
      <c r="AN63" s="1"/>
      <c r="AO63" s="1"/>
      <c r="AP63" s="105"/>
      <c r="AQ63" s="105"/>
      <c r="AR63" s="106"/>
      <c r="AS63" s="106"/>
      <c r="AT63" s="106"/>
      <c r="AU63" s="106"/>
      <c r="AV63" s="106"/>
      <c r="AW63" s="106"/>
      <c r="AX63" s="106"/>
      <c r="AY63" s="1"/>
      <c r="AZ63" s="1"/>
      <c r="BA63" s="1"/>
      <c r="BB63" s="1"/>
      <c r="BC63" s="105"/>
      <c r="BD63" s="105"/>
      <c r="BE63" s="106"/>
      <c r="BF63" s="106"/>
      <c r="BG63" s="106"/>
      <c r="BH63" s="106"/>
      <c r="BI63" s="106"/>
      <c r="BJ63" s="106"/>
      <c r="BK63" s="106"/>
      <c r="BL63" s="1"/>
      <c r="BM63" s="1"/>
      <c r="BN63" s="1"/>
      <c r="BO63" s="1"/>
      <c r="BP63" s="105"/>
      <c r="BQ63" s="105"/>
      <c r="BR63" s="106"/>
      <c r="BS63" s="106"/>
      <c r="BT63" s="106"/>
      <c r="BU63" s="106"/>
      <c r="BV63" s="106"/>
      <c r="BW63" s="106"/>
      <c r="BX63" s="106"/>
      <c r="BY63" s="1"/>
      <c r="BZ63" s="1"/>
      <c r="CA63" s="1"/>
      <c r="CB63" s="1"/>
      <c r="CC63" s="105"/>
      <c r="CD63" s="105"/>
      <c r="CE63" s="106"/>
      <c r="CF63" s="106"/>
      <c r="CG63" s="106"/>
      <c r="CH63" s="106"/>
      <c r="CI63" s="106"/>
      <c r="CJ63" s="106"/>
      <c r="CK63" s="106"/>
      <c r="CL63" s="1"/>
      <c r="CM63" s="1"/>
      <c r="CN63" s="1"/>
      <c r="CO63" s="1"/>
    </row>
    <row r="64" spans="1:93" s="107" customFormat="1" ht="42.75" customHeight="1" thickBot="1">
      <c r="A64" s="127" t="s">
        <v>252</v>
      </c>
      <c r="B64" s="127" t="s">
        <v>301</v>
      </c>
      <c r="C64" s="427" t="s">
        <v>302</v>
      </c>
      <c r="D64" s="427" t="s">
        <v>303</v>
      </c>
      <c r="E64" s="427" t="s">
        <v>304</v>
      </c>
      <c r="F64" s="427" t="s">
        <v>305</v>
      </c>
      <c r="G64" s="427" t="s">
        <v>306</v>
      </c>
      <c r="H64" s="427" t="s">
        <v>307</v>
      </c>
      <c r="I64" s="427" t="s">
        <v>308</v>
      </c>
      <c r="J64" s="427" t="s">
        <v>309</v>
      </c>
      <c r="K64" s="427" t="s">
        <v>310</v>
      </c>
      <c r="L64" s="427" t="s">
        <v>311</v>
      </c>
      <c r="M64" s="427" t="s">
        <v>312</v>
      </c>
      <c r="N64" s="427" t="s">
        <v>313</v>
      </c>
      <c r="O64" s="427" t="s">
        <v>314</v>
      </c>
      <c r="P64" s="427" t="s">
        <v>315</v>
      </c>
      <c r="Q64" s="427" t="s">
        <v>316</v>
      </c>
      <c r="R64" s="427" t="s">
        <v>317</v>
      </c>
      <c r="S64" s="427" t="s">
        <v>318</v>
      </c>
      <c r="T64" s="427" t="s">
        <v>319</v>
      </c>
      <c r="U64" s="427" t="s">
        <v>320</v>
      </c>
      <c r="V64" s="427" t="s">
        <v>321</v>
      </c>
      <c r="W64" s="427" t="s">
        <v>322</v>
      </c>
      <c r="X64" s="427" t="s">
        <v>323</v>
      </c>
      <c r="Y64" s="427" t="s">
        <v>324</v>
      </c>
      <c r="Z64" s="427" t="s">
        <v>325</v>
      </c>
      <c r="AA64" s="427" t="s">
        <v>326</v>
      </c>
      <c r="AB64" s="427" t="s">
        <v>327</v>
      </c>
      <c r="AC64" s="427" t="s">
        <v>328</v>
      </c>
      <c r="AD64" s="427" t="s">
        <v>329</v>
      </c>
    </row>
    <row r="65" spans="1:30" s="107" customFormat="1" ht="24.95" customHeight="1" thickBot="1">
      <c r="A65" s="122" t="s">
        <v>245</v>
      </c>
      <c r="B65" s="125"/>
      <c r="C65" s="113">
        <f>B89</f>
        <v>0</v>
      </c>
      <c r="D65" s="113">
        <f t="shared" ref="D65:AD65" si="127">C89</f>
        <v>0</v>
      </c>
      <c r="E65" s="113">
        <f t="shared" si="127"/>
        <v>295601.43400000012</v>
      </c>
      <c r="F65" s="113">
        <f t="shared" si="127"/>
        <v>589902.86800000048</v>
      </c>
      <c r="G65" s="516">
        <f t="shared" si="127"/>
        <v>884204.30200000084</v>
      </c>
      <c r="H65" s="516">
        <f t="shared" si="127"/>
        <v>1105131.5819440011</v>
      </c>
      <c r="I65" s="516">
        <f t="shared" si="127"/>
        <v>1479813.8718880017</v>
      </c>
      <c r="J65" s="516">
        <f t="shared" si="127"/>
        <v>1854496.1618320022</v>
      </c>
      <c r="K65" s="113">
        <f t="shared" si="127"/>
        <v>2229178.4517760025</v>
      </c>
      <c r="L65" s="113">
        <f t="shared" si="127"/>
        <v>2523730.9810360032</v>
      </c>
      <c r="M65" s="113">
        <f t="shared" si="127"/>
        <v>2987167.0252960031</v>
      </c>
      <c r="N65" s="113">
        <f t="shared" si="127"/>
        <v>3450603.0695560039</v>
      </c>
      <c r="O65" s="113">
        <f t="shared" si="127"/>
        <v>3914039.1138160047</v>
      </c>
      <c r="P65" s="113">
        <f t="shared" si="127"/>
        <v>4290030.9962260053</v>
      </c>
      <c r="Q65" s="113">
        <f t="shared" si="127"/>
        <v>4851269.8786360044</v>
      </c>
      <c r="R65" s="113">
        <f t="shared" si="127"/>
        <v>5412508.7610460036</v>
      </c>
      <c r="S65" s="113">
        <f t="shared" si="127"/>
        <v>5973747.6434560027</v>
      </c>
      <c r="T65" s="113">
        <f t="shared" si="127"/>
        <v>6439614.5394832008</v>
      </c>
      <c r="U65" s="113">
        <f t="shared" si="127"/>
        <v>7108450.3985104002</v>
      </c>
      <c r="V65" s="113">
        <f t="shared" si="127"/>
        <v>7777286.2575375997</v>
      </c>
      <c r="W65" s="113">
        <f t="shared" si="127"/>
        <v>8446122.1165647991</v>
      </c>
      <c r="X65" s="113">
        <f t="shared" si="127"/>
        <v>9010988.790068049</v>
      </c>
      <c r="Y65" s="113">
        <f t="shared" si="127"/>
        <v>9798028.3655712977</v>
      </c>
      <c r="Z65" s="113">
        <f t="shared" si="127"/>
        <v>10585067.941074546</v>
      </c>
      <c r="AA65" s="113">
        <f t="shared" si="127"/>
        <v>11372107.516577795</v>
      </c>
      <c r="AB65" s="113">
        <f t="shared" si="127"/>
        <v>12089243.199721783</v>
      </c>
      <c r="AC65" s="113">
        <f t="shared" si="127"/>
        <v>12917959.325865772</v>
      </c>
      <c r="AD65" s="113">
        <f t="shared" si="127"/>
        <v>13746675.452009756</v>
      </c>
    </row>
    <row r="66" spans="1:30" s="107" customFormat="1" ht="24.95" customHeight="1">
      <c r="A66" s="123" t="s">
        <v>330</v>
      </c>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row>
    <row r="67" spans="1:30" s="104" customFormat="1" ht="24.95" customHeight="1">
      <c r="A67" s="124" t="s">
        <v>331</v>
      </c>
      <c r="B67" s="109"/>
      <c r="C67" s="109">
        <f>'Cashflow Projection &amp; Investme'!C67+'Cashflow Projection &amp; Investme'!D67+'Cashflow Projection &amp; Investme'!E67</f>
        <v>926235</v>
      </c>
      <c r="D67" s="109">
        <f>'Cashflow Projection &amp; Investme'!F67+'Cashflow Projection &amp; Investme'!G67+'Cashflow Projection &amp; Investme'!H67</f>
        <v>1852470</v>
      </c>
      <c r="E67" s="109">
        <f>'Cashflow Projection &amp; Investme'!I67+'Cashflow Projection &amp; Investme'!J67+'Cashflow Projection &amp; Investme'!K67</f>
        <v>1852470</v>
      </c>
      <c r="F67" s="109">
        <f>'Cashflow Projection &amp; Investme'!L67+'Cashflow Projection &amp; Investme'!M67+'Cashflow Projection &amp; Investme'!N67</f>
        <v>1852470</v>
      </c>
      <c r="G67" s="518">
        <f>'Cashflow Projection &amp; Investme'!P67+'Cashflow Projection &amp; Investme'!Q67+'Cashflow Projection &amp; Investme'!R67</f>
        <v>2006225.0099999998</v>
      </c>
      <c r="H67" s="518">
        <f>'Cashflow Projection &amp; Investme'!S67+'Cashflow Projection &amp; Investme'!T67+'Cashflow Projection &amp; Investme'!U67</f>
        <v>2159980.02</v>
      </c>
      <c r="I67" s="518">
        <f>'Cashflow Projection &amp; Investme'!V67+'Cashflow Projection &amp; Investme'!W67+'Cashflow Projection &amp; Investme'!X67</f>
        <v>2159980.02</v>
      </c>
      <c r="J67" s="518">
        <f>'Cashflow Projection &amp; Investme'!Y67+'Cashflow Projection &amp; Investme'!Z67+'Cashflow Projection &amp; Investme'!AA67</f>
        <v>2159980.02</v>
      </c>
      <c r="K67" s="109">
        <f>'Cashflow Projection &amp; Investme'!AC67+'Cashflow Projection &amp; Investme'!AD67+'Cashflow Projection &amp; Investme'!AE67</f>
        <v>2328863.5350000001</v>
      </c>
      <c r="L67" s="109">
        <f>'Cashflow Projection &amp; Investme'!AF67+'Cashflow Projection &amp; Investme'!AG67+'Cashflow Projection &amp; Investme'!AH67</f>
        <v>2497747.0499999998</v>
      </c>
      <c r="M67" s="109">
        <f>'Cashflow Projection &amp; Investme'!AI67+'Cashflow Projection &amp; Investme'!AJ67+'Cashflow Projection &amp; Investme'!AK67</f>
        <v>2497747.0499999998</v>
      </c>
      <c r="N67" s="109">
        <f>'Cashflow Projection &amp; Investme'!AL67+'Cashflow Projection &amp; Investme'!AM67+'Cashflow Projection &amp; Investme'!AN67</f>
        <v>2497747.0499999998</v>
      </c>
      <c r="O67" s="109">
        <f>'Cashflow Projection &amp; Investme'!AP67+'Cashflow Projection &amp; Investme'!AQ67+'Cashflow Projection &amp; Investme'!AR67</f>
        <v>2682994.0499999998</v>
      </c>
      <c r="P67" s="109">
        <f>'Cashflow Projection &amp; Investme'!AS67+'Cashflow Projection &amp; Investme'!AT67+'Cashflow Projection &amp; Investme'!AU67</f>
        <v>2868241.05</v>
      </c>
      <c r="Q67" s="109">
        <f>'Cashflow Projection &amp; Investme'!AV67+'Cashflow Projection &amp; Investme'!AW67+'Cashflow Projection &amp; Investme'!AX67</f>
        <v>2868241.05</v>
      </c>
      <c r="R67" s="109">
        <f>'Cashflow Projection &amp; Investme'!AY67+'Cashflow Projection &amp; Investme'!AZ67+'Cashflow Projection &amp; Investme'!BA67</f>
        <v>2868241.05</v>
      </c>
      <c r="S67" s="109">
        <f>'Cashflow Projection &amp; Investme'!BC67+'Cashflow Projection &amp; Investme'!BD67+'Cashflow Projection &amp; Investme'!BE67</f>
        <v>3071210.0129999993</v>
      </c>
      <c r="T67" s="109">
        <f>'Cashflow Projection &amp; Investme'!BF67+'Cashflow Projection &amp; Investme'!BG67+'Cashflow Projection &amp; Investme'!BH67</f>
        <v>3274178.9759999998</v>
      </c>
      <c r="U67" s="109">
        <f>'Cashflow Projection &amp; Investme'!BI67+'Cashflow Projection &amp; Investme'!BJ67+'Cashflow Projection &amp; Investme'!BK67</f>
        <v>3274178.9759999998</v>
      </c>
      <c r="V67" s="109">
        <f>'Cashflow Projection &amp; Investme'!BL67+'Cashflow Projection &amp; Investme'!BM67+'Cashflow Projection &amp; Investme'!BN67</f>
        <v>3274178.9759999998</v>
      </c>
      <c r="W67" s="109">
        <f>'Cashflow Projection &amp; Investme'!BP67+'Cashflow Projection &amp; Investme'!BQ67+'Cashflow Projection &amp; Investme'!BR67</f>
        <v>3496351.8779999996</v>
      </c>
      <c r="X67" s="109">
        <f>'Cashflow Projection &amp; Investme'!BS67+'Cashflow Projection &amp; Investme'!BT67+'Cashflow Projection &amp; Investme'!BU67</f>
        <v>3718524.7799999993</v>
      </c>
      <c r="Y67" s="109">
        <f>'Cashflow Projection &amp; Investme'!BV67+'Cashflow Projection &amp; Investme'!BW67+'Cashflow Projection &amp; Investme'!BX67</f>
        <v>3718524.7799999993</v>
      </c>
      <c r="Z67" s="109">
        <f>'Cashflow Projection &amp; Investme'!BY67+'Cashflow Projection &amp; Investme'!BZ67+'Cashflow Projection &amp; Investme'!CA67</f>
        <v>3718524.7799999993</v>
      </c>
      <c r="AA67" s="109">
        <f>'Cashflow Projection &amp; Investme'!CC67+'Cashflow Projection &amp; Investme'!CD67+'Cashflow Projection &amp; Investme'!CE67</f>
        <v>3830105.2229999993</v>
      </c>
      <c r="AB67" s="109">
        <f>'Cashflow Projection &amp; Investme'!CF67+'Cashflow Projection &amp; Investme'!CG67+'Cashflow Projection &amp; Investme'!CH67</f>
        <v>3941685.6659999993</v>
      </c>
      <c r="AC67" s="109">
        <f>'Cashflow Projection &amp; Investme'!CI67+'Cashflow Projection &amp; Investme'!CJ67+'Cashflow Projection &amp; Investme'!CK67</f>
        <v>3941685.6659999993</v>
      </c>
      <c r="AD67" s="109">
        <f>'Cashflow Projection &amp; Investme'!CL67+'Cashflow Projection &amp; Investme'!CM67+'Cashflow Projection &amp; Investme'!CN67</f>
        <v>3941685.6659999993</v>
      </c>
    </row>
    <row r="68" spans="1:30" s="112" customFormat="1" ht="24.95" customHeight="1" thickBot="1">
      <c r="A68" s="123" t="s">
        <v>332</v>
      </c>
      <c r="B68" s="110">
        <f>SUM(B67:B67)</f>
        <v>0</v>
      </c>
      <c r="C68" s="110">
        <f t="shared" ref="C68:F68" si="128">SUBTOTAL(109,C67)</f>
        <v>926235</v>
      </c>
      <c r="D68" s="110">
        <f t="shared" si="128"/>
        <v>1852470</v>
      </c>
      <c r="E68" s="110">
        <f t="shared" si="128"/>
        <v>1852470</v>
      </c>
      <c r="F68" s="111">
        <f t="shared" si="128"/>
        <v>1852470</v>
      </c>
      <c r="G68" s="520">
        <f t="shared" ref="G68:J68" si="129">SUBTOTAL(109,G67)</f>
        <v>2006225.0099999998</v>
      </c>
      <c r="H68" s="520">
        <f t="shared" si="129"/>
        <v>2159980.02</v>
      </c>
      <c r="I68" s="520">
        <f t="shared" si="129"/>
        <v>2159980.02</v>
      </c>
      <c r="J68" s="521">
        <f t="shared" si="129"/>
        <v>2159980.02</v>
      </c>
      <c r="K68" s="110">
        <f t="shared" ref="K68:N68" si="130">SUBTOTAL(109,K67)</f>
        <v>2328863.5350000001</v>
      </c>
      <c r="L68" s="110">
        <f t="shared" si="130"/>
        <v>2497747.0499999998</v>
      </c>
      <c r="M68" s="110">
        <f t="shared" si="130"/>
        <v>2497747.0499999998</v>
      </c>
      <c r="N68" s="111">
        <f t="shared" si="130"/>
        <v>2497747.0499999998</v>
      </c>
      <c r="O68" s="110">
        <f t="shared" ref="O68:R68" si="131">SUBTOTAL(109,O67)</f>
        <v>2682994.0499999998</v>
      </c>
      <c r="P68" s="110">
        <f t="shared" si="131"/>
        <v>2868241.05</v>
      </c>
      <c r="Q68" s="110">
        <f t="shared" si="131"/>
        <v>2868241.05</v>
      </c>
      <c r="R68" s="111">
        <f t="shared" si="131"/>
        <v>2868241.05</v>
      </c>
      <c r="S68" s="110">
        <f t="shared" ref="S68:V68" si="132">SUBTOTAL(109,S67)</f>
        <v>3071210.0129999993</v>
      </c>
      <c r="T68" s="110">
        <f t="shared" si="132"/>
        <v>3274178.9759999998</v>
      </c>
      <c r="U68" s="110">
        <f t="shared" si="132"/>
        <v>3274178.9759999998</v>
      </c>
      <c r="V68" s="111">
        <f t="shared" si="132"/>
        <v>3274178.9759999998</v>
      </c>
      <c r="W68" s="110">
        <f t="shared" ref="W68:Z68" si="133">SUBTOTAL(109,W67)</f>
        <v>3496351.8779999996</v>
      </c>
      <c r="X68" s="110">
        <f t="shared" si="133"/>
        <v>3718524.7799999993</v>
      </c>
      <c r="Y68" s="110">
        <f t="shared" si="133"/>
        <v>3718524.7799999993</v>
      </c>
      <c r="Z68" s="111">
        <f t="shared" si="133"/>
        <v>3718524.7799999993</v>
      </c>
      <c r="AA68" s="110">
        <f t="shared" ref="AA68:AD68" si="134">SUBTOTAL(109,AA67)</f>
        <v>3830105.2229999993</v>
      </c>
      <c r="AB68" s="110">
        <f t="shared" si="134"/>
        <v>3941685.6659999993</v>
      </c>
      <c r="AC68" s="110">
        <f t="shared" si="134"/>
        <v>3941685.6659999993</v>
      </c>
      <c r="AD68" s="111">
        <f t="shared" si="134"/>
        <v>3941685.6659999993</v>
      </c>
    </row>
    <row r="69" spans="1:30" s="107" customFormat="1" ht="24.95" customHeight="1" thickBot="1">
      <c r="A69" s="122" t="s">
        <v>333</v>
      </c>
      <c r="B69" s="113">
        <f t="shared" ref="B69:U69" si="135">B65+B68</f>
        <v>0</v>
      </c>
      <c r="C69" s="113">
        <f t="shared" si="135"/>
        <v>926235</v>
      </c>
      <c r="D69" s="113">
        <f t="shared" si="135"/>
        <v>1852470</v>
      </c>
      <c r="E69" s="113">
        <f t="shared" si="135"/>
        <v>2148071.4340000004</v>
      </c>
      <c r="F69" s="126">
        <f t="shared" si="135"/>
        <v>2442372.8680000007</v>
      </c>
      <c r="G69" s="516">
        <f t="shared" si="135"/>
        <v>2890429.3120000008</v>
      </c>
      <c r="H69" s="516">
        <f t="shared" si="135"/>
        <v>3265111.6019440014</v>
      </c>
      <c r="I69" s="516">
        <f t="shared" si="135"/>
        <v>3639793.8918880019</v>
      </c>
      <c r="J69" s="517">
        <f t="shared" si="135"/>
        <v>4014476.1818320025</v>
      </c>
      <c r="K69" s="113">
        <f t="shared" si="135"/>
        <v>4558041.9867760027</v>
      </c>
      <c r="L69" s="113">
        <f t="shared" si="135"/>
        <v>5021478.0310360026</v>
      </c>
      <c r="M69" s="113">
        <f t="shared" si="135"/>
        <v>5484914.0752960034</v>
      </c>
      <c r="N69" s="126">
        <f t="shared" si="135"/>
        <v>5948350.1195560042</v>
      </c>
      <c r="O69" s="113">
        <f t="shared" si="135"/>
        <v>6597033.163816005</v>
      </c>
      <c r="P69" s="113">
        <f t="shared" si="135"/>
        <v>7158272.0462260051</v>
      </c>
      <c r="Q69" s="113">
        <f t="shared" si="135"/>
        <v>7719510.9286360042</v>
      </c>
      <c r="R69" s="126">
        <f t="shared" si="135"/>
        <v>8280749.8110460034</v>
      </c>
      <c r="S69" s="113">
        <f t="shared" si="135"/>
        <v>9044957.6564560011</v>
      </c>
      <c r="T69" s="113">
        <f t="shared" si="135"/>
        <v>9713793.5154832006</v>
      </c>
      <c r="U69" s="113">
        <f t="shared" si="135"/>
        <v>10382629.3745104</v>
      </c>
      <c r="V69" s="126">
        <f t="shared" ref="V69" si="136">V65+V68</f>
        <v>11051465.233537599</v>
      </c>
      <c r="W69" s="113">
        <f t="shared" ref="W69:AD69" si="137">W65+W68</f>
        <v>11942473.994564798</v>
      </c>
      <c r="X69" s="113">
        <f t="shared" si="137"/>
        <v>12729513.570068048</v>
      </c>
      <c r="Y69" s="113">
        <f t="shared" si="137"/>
        <v>13516553.145571297</v>
      </c>
      <c r="Z69" s="126">
        <f t="shared" si="137"/>
        <v>14303592.721074546</v>
      </c>
      <c r="AA69" s="113">
        <f t="shared" si="137"/>
        <v>15202212.739577794</v>
      </c>
      <c r="AB69" s="113">
        <f t="shared" si="137"/>
        <v>16030928.865721783</v>
      </c>
      <c r="AC69" s="113">
        <f t="shared" si="137"/>
        <v>16859644.991865769</v>
      </c>
      <c r="AD69" s="126">
        <f t="shared" si="137"/>
        <v>17688361.118009754</v>
      </c>
    </row>
    <row r="70" spans="1:30" s="107" customFormat="1" ht="24.95" customHeight="1">
      <c r="A70" s="123" t="s">
        <v>334</v>
      </c>
      <c r="B70" s="116"/>
      <c r="C70" s="116"/>
      <c r="D70" s="116"/>
      <c r="E70" s="116"/>
      <c r="F70" s="117"/>
      <c r="G70" s="116"/>
      <c r="H70" s="116"/>
      <c r="I70" s="116"/>
      <c r="J70" s="117"/>
      <c r="K70" s="116"/>
      <c r="L70" s="116"/>
      <c r="M70" s="116"/>
      <c r="N70" s="117"/>
      <c r="O70" s="116"/>
      <c r="P70" s="116"/>
      <c r="Q70" s="116"/>
      <c r="R70" s="117"/>
      <c r="S70" s="116"/>
      <c r="T70" s="116"/>
      <c r="U70" s="116"/>
      <c r="V70" s="117"/>
      <c r="W70" s="116"/>
      <c r="X70" s="116"/>
      <c r="Y70" s="116"/>
      <c r="Z70" s="117"/>
      <c r="AA70" s="116"/>
      <c r="AB70" s="116"/>
      <c r="AC70" s="116"/>
      <c r="AD70" s="117"/>
    </row>
    <row r="71" spans="1:30" s="107" customFormat="1" ht="24.95" customHeight="1">
      <c r="A71" s="124" t="s">
        <v>335</v>
      </c>
      <c r="B71" s="109">
        <f>SUMPRODUCT(Table7[Pre-Operation],'BEP. &amp; Summary Results'!$C$6:$C$35)*'Scenario Analysis'!$B$6*(1+'Scenario Analysis'!$E$6)*'Scenario Analysis'!$E$20</f>
        <v>410693.47200000001</v>
      </c>
      <c r="C71" s="109">
        <f>'Cashflow Projection &amp; Investme'!C71+'Cashflow Projection &amp; Investme'!D71+'Cashflow Projection &amp; Investme'!E71</f>
        <v>1232080.416</v>
      </c>
      <c r="D71" s="109">
        <f>'Cashflow Projection &amp; Investme'!F71+'Cashflow Projection &amp; Investme'!G71+'Cashflow Projection &amp; Investme'!H71</f>
        <v>1232080.416</v>
      </c>
      <c r="E71" s="109">
        <f>'Cashflow Projection &amp; Investme'!I71+'Cashflow Projection &amp; Investme'!J71+'Cashflow Projection &amp; Investme'!K71</f>
        <v>1232080.416</v>
      </c>
      <c r="F71" s="109">
        <f>'Cashflow Projection &amp; Investme'!L71+'Cashflow Projection &amp; Investme'!M71+'Cashflow Projection &amp; Investme'!N71</f>
        <v>1232080.416</v>
      </c>
      <c r="G71" s="518">
        <f>'Cashflow Projection &amp; Investme'!P71+'Cashflow Projection &amp; Investme'!Q71+'Cashflow Projection &amp; Investme'!R71</f>
        <v>1436605.7650559996</v>
      </c>
      <c r="H71" s="518">
        <f>'Cashflow Projection &amp; Investme'!S71+'Cashflow Projection &amp; Investme'!T71+'Cashflow Projection &amp; Investme'!U71</f>
        <v>1436605.7650559996</v>
      </c>
      <c r="I71" s="518">
        <f>'Cashflow Projection &amp; Investme'!V71+'Cashflow Projection &amp; Investme'!W71+'Cashflow Projection &amp; Investme'!X71</f>
        <v>1436605.7650559996</v>
      </c>
      <c r="J71" s="518">
        <f>'Cashflow Projection &amp; Investme'!Y71+'Cashflow Projection &amp; Investme'!Z71+'Cashflow Projection &amp; Investme'!AA71</f>
        <v>1436605.7650559996</v>
      </c>
      <c r="K71" s="109">
        <f>'Cashflow Projection &amp; Investme'!AC71+'Cashflow Projection &amp; Investme'!AD71+'Cashflow Projection &amp; Investme'!AE71</f>
        <v>1661255.0942399995</v>
      </c>
      <c r="L71" s="109">
        <f>'Cashflow Projection &amp; Investme'!AF71+'Cashflow Projection &amp; Investme'!AG71+'Cashflow Projection &amp; Investme'!AH71</f>
        <v>1661255.0942399995</v>
      </c>
      <c r="M71" s="109">
        <f>'Cashflow Projection &amp; Investme'!AI71+'Cashflow Projection &amp; Investme'!AJ71+'Cashflow Projection &amp; Investme'!AK71</f>
        <v>1661255.0942399995</v>
      </c>
      <c r="N71" s="109">
        <f>'Cashflow Projection &amp; Investme'!AL71+'Cashflow Projection &amp; Investme'!AM71+'Cashflow Projection &amp; Investme'!AN71</f>
        <v>1661255.0942399995</v>
      </c>
      <c r="O71" s="109">
        <f>'Cashflow Projection &amp; Investme'!AP71+'Cashflow Projection &amp; Investme'!AQ71+'Cashflow Projection &amp; Investme'!AR71</f>
        <v>1907671.1774399998</v>
      </c>
      <c r="P71" s="109">
        <f>'Cashflow Projection &amp; Investme'!AS71+'Cashflow Projection &amp; Investme'!AT71+'Cashflow Projection &amp; Investme'!AU71</f>
        <v>1907671.1774399998</v>
      </c>
      <c r="Q71" s="109">
        <f>'Cashflow Projection &amp; Investme'!AV71+'Cashflow Projection &amp; Investme'!AW71+'Cashflow Projection &amp; Investme'!AX71</f>
        <v>1907671.1774399998</v>
      </c>
      <c r="R71" s="109">
        <f>'Cashflow Projection &amp; Investme'!AY71+'Cashflow Projection &amp; Investme'!AZ71+'Cashflow Projection &amp; Investme'!BA71</f>
        <v>1907671.1774399998</v>
      </c>
      <c r="S71" s="109">
        <f>'Cashflow Projection &amp; Investme'!BC71+'Cashflow Projection &amp; Investme'!BD71+'Cashflow Projection &amp; Investme'!BE71</f>
        <v>2177661.0659327996</v>
      </c>
      <c r="T71" s="109">
        <f>'Cashflow Projection &amp; Investme'!BF71+'Cashflow Projection &amp; Investme'!BG71+'Cashflow Projection &amp; Investme'!BH71</f>
        <v>2177661.0659327996</v>
      </c>
      <c r="U71" s="109">
        <f>'Cashflow Projection &amp; Investme'!BI71+'Cashflow Projection &amp; Investme'!BJ71+'Cashflow Projection &amp; Investme'!BK71</f>
        <v>2177661.0659327996</v>
      </c>
      <c r="V71" s="109">
        <f>'Cashflow Projection &amp; Investme'!BL71+'Cashflow Projection &amp; Investme'!BM71+'Cashflow Projection &amp; Investme'!BN71</f>
        <v>2177661.0659327996</v>
      </c>
      <c r="W71" s="109">
        <f>'Cashflow Projection &amp; Investme'!BP71+'Cashflow Projection &amp; Investme'!BQ71+'Cashflow Projection &amp; Investme'!BR71</f>
        <v>2473196.0883839997</v>
      </c>
      <c r="X71" s="109">
        <f>'Cashflow Projection &amp; Investme'!BS71+'Cashflow Projection &amp; Investme'!BT71+'Cashflow Projection &amp; Investme'!BU71</f>
        <v>2473196.0883839997</v>
      </c>
      <c r="Y71" s="109">
        <f>'Cashflow Projection &amp; Investme'!BV71+'Cashflow Projection &amp; Investme'!BW71+'Cashflow Projection &amp; Investme'!BX71</f>
        <v>2473196.0883839997</v>
      </c>
      <c r="Z71" s="109">
        <f>'Cashflow Projection &amp; Investme'!BY71+'Cashflow Projection &amp; Investme'!BZ71+'Cashflow Projection &amp; Investme'!CA71</f>
        <v>2473196.0883839997</v>
      </c>
      <c r="AA71" s="109">
        <f>'Cashflow Projection &amp; Investme'!CC71+'Cashflow Projection &amp; Investme'!CD71+'Cashflow Projection &amp; Investme'!CE71</f>
        <v>2621620.7091647997</v>
      </c>
      <c r="AB71" s="109">
        <f>'Cashflow Projection &amp; Investme'!CF71+'Cashflow Projection &amp; Investme'!CG71+'Cashflow Projection &amp; Investme'!CH71</f>
        <v>2621620.7091647997</v>
      </c>
      <c r="AC71" s="109">
        <f>'Cashflow Projection &amp; Investme'!CI71+'Cashflow Projection &amp; Investme'!CJ71+'Cashflow Projection &amp; Investme'!CK71</f>
        <v>2621620.7091647997</v>
      </c>
      <c r="AD71" s="109">
        <f>'Cashflow Projection &amp; Investme'!CL71+'Cashflow Projection &amp; Investme'!CM71+'Cashflow Projection &amp; Investme'!CN71</f>
        <v>2621620.7091647997</v>
      </c>
    </row>
    <row r="72" spans="1:30" s="112" customFormat="1" ht="24.95" customHeight="1">
      <c r="A72" s="124" t="s">
        <v>336</v>
      </c>
      <c r="B72" s="109">
        <f>'OPEREX, PAYROL'!E29</f>
        <v>0</v>
      </c>
      <c r="C72" s="109">
        <f>'Cashflow Projection &amp; Investme'!C72+'Cashflow Projection &amp; Investme'!D72+'Cashflow Projection &amp; Investme'!E72</f>
        <v>200100</v>
      </c>
      <c r="D72" s="109">
        <f>'Cashflow Projection &amp; Investme'!F72+'Cashflow Projection &amp; Investme'!G72+'Cashflow Projection &amp; Investme'!H72</f>
        <v>198800</v>
      </c>
      <c r="E72" s="109">
        <f>'Cashflow Projection &amp; Investme'!I72+'Cashflow Projection &amp; Investme'!J72+'Cashflow Projection &amp; Investme'!K72</f>
        <v>200100</v>
      </c>
      <c r="F72" s="109">
        <f>'Cashflow Projection &amp; Investme'!L72+'Cashflow Projection &amp; Investme'!M72+'Cashflow Projection &amp; Investme'!N72</f>
        <v>200100</v>
      </c>
      <c r="G72" s="518">
        <f>'Cashflow Projection &amp; Investme'!P72+'Cashflow Projection &amp; Investme'!Q72+'Cashflow Projection &amp; Investme'!R72</f>
        <v>210105</v>
      </c>
      <c r="H72" s="518">
        <f>'Cashflow Projection &amp; Investme'!S72+'Cashflow Projection &amp; Investme'!T72+'Cashflow Projection &amp; Investme'!U72</f>
        <v>210105</v>
      </c>
      <c r="I72" s="518">
        <f>'Cashflow Projection &amp; Investme'!V72+'Cashflow Projection &amp; Investme'!W72+'Cashflow Projection &amp; Investme'!X72</f>
        <v>210105</v>
      </c>
      <c r="J72" s="518">
        <f>'Cashflow Projection &amp; Investme'!Y72+'Cashflow Projection &amp; Investme'!Z72+'Cashflow Projection &amp; Investme'!AA72</f>
        <v>210105</v>
      </c>
      <c r="K72" s="109">
        <f>'Cashflow Projection &amp; Investme'!AC72+'Cashflow Projection &amp; Investme'!AD72+'Cashflow Projection &amp; Investme'!AE72</f>
        <v>220610.25</v>
      </c>
      <c r="L72" s="109">
        <f>'Cashflow Projection &amp; Investme'!AF72+'Cashflow Projection &amp; Investme'!AG72+'Cashflow Projection &amp; Investme'!AH72</f>
        <v>220610.25</v>
      </c>
      <c r="M72" s="109">
        <f>'Cashflow Projection &amp; Investme'!AI72+'Cashflow Projection &amp; Investme'!AJ72+'Cashflow Projection &amp; Investme'!AK72</f>
        <v>220610.25</v>
      </c>
      <c r="N72" s="109">
        <f>'Cashflow Projection &amp; Investme'!AL72+'Cashflow Projection &amp; Investme'!AM72+'Cashflow Projection &amp; Investme'!AN72</f>
        <v>220610.25</v>
      </c>
      <c r="O72" s="109">
        <f>'Cashflow Projection &amp; Investme'!AP72+'Cashflow Projection &amp; Investme'!AQ72+'Cashflow Projection &amp; Investme'!AR72</f>
        <v>231640.76250000001</v>
      </c>
      <c r="P72" s="109">
        <f>'Cashflow Projection &amp; Investme'!AS72+'Cashflow Projection &amp; Investme'!AT72+'Cashflow Projection &amp; Investme'!AU72</f>
        <v>231640.76250000001</v>
      </c>
      <c r="Q72" s="109">
        <f>'Cashflow Projection &amp; Investme'!AV72+'Cashflow Projection &amp; Investme'!AW72+'Cashflow Projection &amp; Investme'!AX72</f>
        <v>231640.76250000001</v>
      </c>
      <c r="R72" s="109">
        <f>'Cashflow Projection &amp; Investme'!AY72+'Cashflow Projection &amp; Investme'!AZ72+'Cashflow Projection &amp; Investme'!BA72</f>
        <v>231640.76250000001</v>
      </c>
      <c r="S72" s="109">
        <f>'Cashflow Projection &amp; Investme'!BC72+'Cashflow Projection &amp; Investme'!BD72+'Cashflow Projection &amp; Investme'!BE72</f>
        <v>243222.80062500003</v>
      </c>
      <c r="T72" s="109">
        <f>'Cashflow Projection &amp; Investme'!BF72+'Cashflow Projection &amp; Investme'!BG72+'Cashflow Projection &amp; Investme'!BH72</f>
        <v>243222.80062500003</v>
      </c>
      <c r="U72" s="109">
        <f>'Cashflow Projection &amp; Investme'!BI72+'Cashflow Projection &amp; Investme'!BJ72+'Cashflow Projection &amp; Investme'!BK72</f>
        <v>243222.80062500003</v>
      </c>
      <c r="V72" s="109">
        <f>'Cashflow Projection &amp; Investme'!BL72+'Cashflow Projection &amp; Investme'!BM72+'Cashflow Projection &amp; Investme'!BN72</f>
        <v>243222.80062500003</v>
      </c>
      <c r="W72" s="109">
        <f>'Cashflow Projection &amp; Investme'!BP72+'Cashflow Projection &amp; Investme'!BQ72+'Cashflow Projection &amp; Investme'!BR72</f>
        <v>255383.94065625005</v>
      </c>
      <c r="X72" s="109">
        <f>'Cashflow Projection &amp; Investme'!BS72+'Cashflow Projection &amp; Investme'!BT72+'Cashflow Projection &amp; Investme'!BU72</f>
        <v>255383.94065625005</v>
      </c>
      <c r="Y72" s="109">
        <f>'Cashflow Projection &amp; Investme'!BV72+'Cashflow Projection &amp; Investme'!BW72+'Cashflow Projection &amp; Investme'!BX72</f>
        <v>255383.94065625005</v>
      </c>
      <c r="Z72" s="109">
        <f>'Cashflow Projection &amp; Investme'!BY72+'Cashflow Projection &amp; Investme'!BZ72+'Cashflow Projection &amp; Investme'!CA72</f>
        <v>255383.94065625005</v>
      </c>
      <c r="AA72" s="109">
        <f>'Cashflow Projection &amp; Investme'!CC72+'Cashflow Projection &amp; Investme'!CD72+'Cashflow Projection &amp; Investme'!CE72</f>
        <v>268153.13768906257</v>
      </c>
      <c r="AB72" s="109">
        <f>'Cashflow Projection &amp; Investme'!CF72+'Cashflow Projection &amp; Investme'!CG72+'Cashflow Projection &amp; Investme'!CH72</f>
        <v>268153.13768906257</v>
      </c>
      <c r="AC72" s="109">
        <f>'Cashflow Projection &amp; Investme'!CI72+'Cashflow Projection &amp; Investme'!CJ72+'Cashflow Projection &amp; Investme'!CK72</f>
        <v>268153.13768906257</v>
      </c>
      <c r="AD72" s="109">
        <f>'Cashflow Projection &amp; Investme'!CL72+'Cashflow Projection &amp; Investme'!CM72+'Cashflow Projection &amp; Investme'!CN72</f>
        <v>268153.13768906257</v>
      </c>
    </row>
    <row r="73" spans="1:30" s="112" customFormat="1" ht="24.95" customHeight="1">
      <c r="A73" s="124" t="s">
        <v>200</v>
      </c>
      <c r="B73" s="109">
        <f>'OPEREX, PAYROL'!E52</f>
        <v>110000</v>
      </c>
      <c r="C73" s="109">
        <f>'Cashflow Projection &amp; Investme'!C73+'Cashflow Projection &amp; Investme'!D73+'Cashflow Projection &amp; Investme'!E73</f>
        <v>125988.15000000001</v>
      </c>
      <c r="D73" s="109">
        <f>'Cashflow Projection &amp; Investme'!F73+'Cashflow Projection &amp; Investme'!G73+'Cashflow Projection &amp; Investme'!H73</f>
        <v>125988.15000000001</v>
      </c>
      <c r="E73" s="109">
        <f>'Cashflow Projection &amp; Investme'!I73+'Cashflow Projection &amp; Investme'!J73+'Cashflow Projection &amp; Investme'!K73</f>
        <v>125988.15000000001</v>
      </c>
      <c r="F73" s="109">
        <f>'Cashflow Projection &amp; Investme'!L73+'Cashflow Projection &amp; Investme'!M73+'Cashflow Projection &amp; Investme'!N73</f>
        <v>125988.15000000001</v>
      </c>
      <c r="G73" s="518">
        <f>'Cashflow Projection &amp; Investme'!P73+'Cashflow Projection &amp; Investme'!Q73+'Cashflow Projection &amp; Investme'!R73</f>
        <v>138586.96500000003</v>
      </c>
      <c r="H73" s="518">
        <f>'Cashflow Projection &amp; Investme'!S73+'Cashflow Projection &amp; Investme'!T73+'Cashflow Projection &amp; Investme'!U73</f>
        <v>138586.96500000003</v>
      </c>
      <c r="I73" s="518">
        <f>'Cashflow Projection &amp; Investme'!V73+'Cashflow Projection &amp; Investme'!W73+'Cashflow Projection &amp; Investme'!X73</f>
        <v>138586.96500000003</v>
      </c>
      <c r="J73" s="518">
        <f>'Cashflow Projection &amp; Investme'!Y73+'Cashflow Projection &amp; Investme'!Z73+'Cashflow Projection &amp; Investme'!AA73</f>
        <v>138586.96500000003</v>
      </c>
      <c r="K73" s="109">
        <f>'Cashflow Projection &amp; Investme'!AC73+'Cashflow Projection &amp; Investme'!AD73+'Cashflow Projection &amp; Investme'!AE73</f>
        <v>152445.66150000005</v>
      </c>
      <c r="L73" s="109">
        <f>'Cashflow Projection &amp; Investme'!AF73+'Cashflow Projection &amp; Investme'!AG73+'Cashflow Projection &amp; Investme'!AH73</f>
        <v>152445.66150000005</v>
      </c>
      <c r="M73" s="109">
        <f>'Cashflow Projection &amp; Investme'!AI73+'Cashflow Projection &amp; Investme'!AJ73+'Cashflow Projection &amp; Investme'!AK73</f>
        <v>152445.66150000005</v>
      </c>
      <c r="N73" s="109">
        <f>'Cashflow Projection &amp; Investme'!AL73+'Cashflow Projection &amp; Investme'!AM73+'Cashflow Projection &amp; Investme'!AN73</f>
        <v>152445.66150000005</v>
      </c>
      <c r="O73" s="109">
        <f>'Cashflow Projection &amp; Investme'!AP73+'Cashflow Projection &amp; Investme'!AQ73+'Cashflow Projection &amp; Investme'!AR73</f>
        <v>167690.22765000004</v>
      </c>
      <c r="P73" s="109">
        <f>'Cashflow Projection &amp; Investme'!AS73+'Cashflow Projection &amp; Investme'!AT73+'Cashflow Projection &amp; Investme'!AU73</f>
        <v>167690.22765000004</v>
      </c>
      <c r="Q73" s="109">
        <f>'Cashflow Projection &amp; Investme'!AV73+'Cashflow Projection &amp; Investme'!AW73+'Cashflow Projection &amp; Investme'!AX73</f>
        <v>167690.22765000004</v>
      </c>
      <c r="R73" s="109">
        <f>'Cashflow Projection &amp; Investme'!AY73+'Cashflow Projection &amp; Investme'!AZ73+'Cashflow Projection &amp; Investme'!BA73</f>
        <v>167690.22765000004</v>
      </c>
      <c r="S73" s="109">
        <f>'Cashflow Projection &amp; Investme'!BC73+'Cashflow Projection &amp; Investme'!BD73+'Cashflow Projection &amp; Investme'!BE73</f>
        <v>184459.25041500008</v>
      </c>
      <c r="T73" s="109">
        <f>'Cashflow Projection &amp; Investme'!BF73+'Cashflow Projection &amp; Investme'!BG73+'Cashflow Projection &amp; Investme'!BH73</f>
        <v>184459.25041500008</v>
      </c>
      <c r="U73" s="109">
        <f>'Cashflow Projection &amp; Investme'!BI73+'Cashflow Projection &amp; Investme'!BJ73+'Cashflow Projection &amp; Investme'!BK73</f>
        <v>184459.25041500008</v>
      </c>
      <c r="V73" s="109">
        <f>'Cashflow Projection &amp; Investme'!BL73+'Cashflow Projection &amp; Investme'!BM73+'Cashflow Projection &amp; Investme'!BN73</f>
        <v>184459.25041500008</v>
      </c>
      <c r="W73" s="109">
        <f>'Cashflow Projection &amp; Investme'!BP73+'Cashflow Projection &amp; Investme'!BQ73+'Cashflow Projection &amp; Investme'!BR73</f>
        <v>202905.17545650009</v>
      </c>
      <c r="X73" s="109">
        <f>'Cashflow Projection &amp; Investme'!BS73+'Cashflow Projection &amp; Investme'!BT73+'Cashflow Projection &amp; Investme'!BU73</f>
        <v>202905.17545650009</v>
      </c>
      <c r="Y73" s="109">
        <f>'Cashflow Projection &amp; Investme'!BV73+'Cashflow Projection &amp; Investme'!BW73+'Cashflow Projection &amp; Investme'!BX73</f>
        <v>202905.17545650009</v>
      </c>
      <c r="Z73" s="109">
        <f>'Cashflow Projection &amp; Investme'!BY73+'Cashflow Projection &amp; Investme'!BZ73+'Cashflow Projection &amp; Investme'!CA73</f>
        <v>202905.17545650009</v>
      </c>
      <c r="AA73" s="109">
        <f>'Cashflow Projection &amp; Investme'!CC73+'Cashflow Projection &amp; Investme'!CD73+'Cashflow Projection &amp; Investme'!CE73</f>
        <v>223195.6930021501</v>
      </c>
      <c r="AB73" s="109">
        <f>'Cashflow Projection &amp; Investme'!CF73+'Cashflow Projection &amp; Investme'!CG73+'Cashflow Projection &amp; Investme'!CH73</f>
        <v>223195.6930021501</v>
      </c>
      <c r="AC73" s="109">
        <f>'Cashflow Projection &amp; Investme'!CI73+'Cashflow Projection &amp; Investme'!CJ73+'Cashflow Projection &amp; Investme'!CK73</f>
        <v>223195.6930021501</v>
      </c>
      <c r="AD73" s="109">
        <f>'Cashflow Projection &amp; Investme'!CL73+'Cashflow Projection &amp; Investme'!CM73+'Cashflow Projection &amp; Investme'!CN73</f>
        <v>223195.6930021501</v>
      </c>
    </row>
    <row r="74" spans="1:30" s="112" customFormat="1" ht="24.95" customHeight="1">
      <c r="A74" s="124" t="s">
        <v>337</v>
      </c>
      <c r="B74" s="109">
        <f>'OPEREX, PAYROL'!E142</f>
        <v>0</v>
      </c>
      <c r="C74" s="109">
        <f>'Cashflow Projection &amp; Investme'!C74+'Cashflow Projection &amp; Investme'!D74+'Cashflow Projection &amp; Investme'!E74</f>
        <v>0</v>
      </c>
      <c r="D74" s="109">
        <f>'Cashflow Projection &amp; Investme'!F74+'Cashflow Projection &amp; Investme'!G74+'Cashflow Projection &amp; Investme'!H74</f>
        <v>0</v>
      </c>
      <c r="E74" s="109">
        <f>'Cashflow Projection &amp; Investme'!I74+'Cashflow Projection &amp; Investme'!J74+'Cashflow Projection &amp; Investme'!K74</f>
        <v>0</v>
      </c>
      <c r="F74" s="109">
        <f>'Cashflow Projection &amp; Investme'!L74+'Cashflow Projection &amp; Investme'!M74+'Cashflow Projection &amp; Investme'!N74</f>
        <v>0</v>
      </c>
      <c r="G74" s="518">
        <f>'Cashflow Projection &amp; Investme'!P74+'Cashflow Projection &amp; Investme'!Q74+'Cashflow Projection &amp; Investme'!R74</f>
        <v>0</v>
      </c>
      <c r="H74" s="518">
        <f>'Cashflow Projection &amp; Investme'!S74+'Cashflow Projection &amp; Investme'!T74+'Cashflow Projection &amp; Investme'!U74</f>
        <v>0</v>
      </c>
      <c r="I74" s="518">
        <f>'Cashflow Projection &amp; Investme'!V74+'Cashflow Projection &amp; Investme'!W74+'Cashflow Projection &amp; Investme'!X74</f>
        <v>0</v>
      </c>
      <c r="J74" s="518">
        <f>'Cashflow Projection &amp; Investme'!Y74+'Cashflow Projection &amp; Investme'!Z74+'Cashflow Projection &amp; Investme'!AA74</f>
        <v>0</v>
      </c>
      <c r="K74" s="109">
        <f>'Cashflow Projection &amp; Investme'!AC74+'Cashflow Projection &amp; Investme'!AD74+'Cashflow Projection &amp; Investme'!AE74</f>
        <v>0</v>
      </c>
      <c r="L74" s="109">
        <f>'Cashflow Projection &amp; Investme'!AF74+'Cashflow Projection &amp; Investme'!AG74+'Cashflow Projection &amp; Investme'!AH74</f>
        <v>0</v>
      </c>
      <c r="M74" s="109">
        <f>'Cashflow Projection &amp; Investme'!AI74+'Cashflow Projection &amp; Investme'!AJ74+'Cashflow Projection &amp; Investme'!AK74</f>
        <v>0</v>
      </c>
      <c r="N74" s="109">
        <f>'Cashflow Projection &amp; Investme'!AL74+'Cashflow Projection &amp; Investme'!AM74+'Cashflow Projection &amp; Investme'!AN74</f>
        <v>0</v>
      </c>
      <c r="O74" s="109">
        <f>'Cashflow Projection &amp; Investme'!AP74+'Cashflow Projection &amp; Investme'!AQ74+'Cashflow Projection &amp; Investme'!AR74</f>
        <v>0</v>
      </c>
      <c r="P74" s="109">
        <f>'Cashflow Projection &amp; Investme'!AS74+'Cashflow Projection &amp; Investme'!AT74+'Cashflow Projection &amp; Investme'!AU74</f>
        <v>0</v>
      </c>
      <c r="Q74" s="109">
        <f>'Cashflow Projection &amp; Investme'!AV74+'Cashflow Projection &amp; Investme'!AW74+'Cashflow Projection &amp; Investme'!AX74</f>
        <v>0</v>
      </c>
      <c r="R74" s="109">
        <f>'Cashflow Projection &amp; Investme'!AY74+'Cashflow Projection &amp; Investme'!AZ74+'Cashflow Projection &amp; Investme'!BA74</f>
        <v>0</v>
      </c>
      <c r="S74" s="109">
        <f>'Cashflow Projection &amp; Investme'!BC74+'Cashflow Projection &amp; Investme'!BD74+'Cashflow Projection &amp; Investme'!BE74</f>
        <v>0</v>
      </c>
      <c r="T74" s="109">
        <f>'Cashflow Projection &amp; Investme'!BF74+'Cashflow Projection &amp; Investme'!BG74+'Cashflow Projection &amp; Investme'!BH74</f>
        <v>0</v>
      </c>
      <c r="U74" s="109">
        <f>'Cashflow Projection &amp; Investme'!BI74+'Cashflow Projection &amp; Investme'!BJ74+'Cashflow Projection &amp; Investme'!BK74</f>
        <v>0</v>
      </c>
      <c r="V74" s="109">
        <f>'Cashflow Projection &amp; Investme'!BL74+'Cashflow Projection &amp; Investme'!BM74+'Cashflow Projection &amp; Investme'!BN74</f>
        <v>0</v>
      </c>
      <c r="W74" s="109">
        <f>'Cashflow Projection &amp; Investme'!BP74+'Cashflow Projection &amp; Investme'!BQ74+'Cashflow Projection &amp; Investme'!BR74</f>
        <v>0</v>
      </c>
      <c r="X74" s="109">
        <f>'Cashflow Projection &amp; Investme'!BS74+'Cashflow Projection &amp; Investme'!BT74+'Cashflow Projection &amp; Investme'!BU74</f>
        <v>0</v>
      </c>
      <c r="Y74" s="109">
        <f>'Cashflow Projection &amp; Investme'!BV74+'Cashflow Projection &amp; Investme'!BW74+'Cashflow Projection &amp; Investme'!BX74</f>
        <v>0</v>
      </c>
      <c r="Z74" s="109">
        <f>'Cashflow Projection &amp; Investme'!BY74+'Cashflow Projection &amp; Investme'!BZ74+'Cashflow Projection &amp; Investme'!CA74</f>
        <v>0</v>
      </c>
      <c r="AA74" s="109">
        <f>'Cashflow Projection &amp; Investme'!CC74+'Cashflow Projection &amp; Investme'!CD74+'Cashflow Projection &amp; Investme'!CE74</f>
        <v>0</v>
      </c>
      <c r="AB74" s="109">
        <f>'Cashflow Projection &amp; Investme'!CF74+'Cashflow Projection &amp; Investme'!CG74+'Cashflow Projection &amp; Investme'!CH74</f>
        <v>0</v>
      </c>
      <c r="AC74" s="109">
        <f>'Cashflow Projection &amp; Investme'!CI74+'Cashflow Projection &amp; Investme'!CJ74+'Cashflow Projection &amp; Investme'!CK74</f>
        <v>0</v>
      </c>
      <c r="AD74" s="109">
        <f>'Cashflow Projection &amp; Investme'!CL74+'Cashflow Projection &amp; Investme'!CM74+'Cashflow Projection &amp; Investme'!CN74</f>
        <v>0</v>
      </c>
    </row>
    <row r="75" spans="1:30" s="112" customFormat="1" ht="24.95" customHeight="1" thickBot="1">
      <c r="A75" s="124" t="s">
        <v>338</v>
      </c>
      <c r="B75" s="114"/>
      <c r="C75" s="114">
        <f>'Cashflow Projection &amp; Investme'!C75+'Cashflow Projection &amp; Investme'!D75+'Cashflow Projection &amp; Investme'!E75</f>
        <v>0</v>
      </c>
      <c r="D75" s="114">
        <f>'Cashflow Projection &amp; Investme'!F75+'Cashflow Projection &amp; Investme'!G75+'Cashflow Projection &amp; Investme'!H75</f>
        <v>0</v>
      </c>
      <c r="E75" s="114">
        <f>'Cashflow Projection &amp; Investme'!I75+'Cashflow Projection &amp; Investme'!J75+'Cashflow Projection &amp; Investme'!K75</f>
        <v>0</v>
      </c>
      <c r="F75" s="114">
        <f>'Cashflow Projection &amp; Investme'!L75+'Cashflow Projection &amp; Investme'!M75+'Cashflow Projection &amp; Investme'!N75</f>
        <v>0</v>
      </c>
      <c r="G75" s="514">
        <f>'Cashflow Projection &amp; Investme'!P75+'Cashflow Projection &amp; Investme'!Q75+'Cashflow Projection &amp; Investme'!R75</f>
        <v>0</v>
      </c>
      <c r="H75" s="514">
        <f>'Cashflow Projection &amp; Investme'!S75+'Cashflow Projection &amp; Investme'!T75+'Cashflow Projection &amp; Investme'!U75</f>
        <v>0</v>
      </c>
      <c r="I75" s="514">
        <f>'Cashflow Projection &amp; Investme'!V75+'Cashflow Projection &amp; Investme'!W75+'Cashflow Projection &amp; Investme'!X75</f>
        <v>0</v>
      </c>
      <c r="J75" s="514">
        <f>'Cashflow Projection &amp; Investme'!Y75+'Cashflow Projection &amp; Investme'!Z75+'Cashflow Projection &amp; Investme'!AA75</f>
        <v>0</v>
      </c>
      <c r="K75" s="114">
        <f>'Cashflow Projection &amp; Investme'!AC75+'Cashflow Projection &amp; Investme'!AD75+'Cashflow Projection &amp; Investme'!AE75</f>
        <v>0</v>
      </c>
      <c r="L75" s="114">
        <f>'Cashflow Projection &amp; Investme'!AF75+'Cashflow Projection &amp; Investme'!AG75+'Cashflow Projection &amp; Investme'!AH75</f>
        <v>0</v>
      </c>
      <c r="M75" s="114">
        <f>'Cashflow Projection &amp; Investme'!AI75+'Cashflow Projection &amp; Investme'!AJ75+'Cashflow Projection &amp; Investme'!AK75</f>
        <v>0</v>
      </c>
      <c r="N75" s="114">
        <f>'Cashflow Projection &amp; Investme'!AL75+'Cashflow Projection &amp; Investme'!AM75+'Cashflow Projection &amp; Investme'!AN75</f>
        <v>0</v>
      </c>
      <c r="O75" s="114">
        <f>'Cashflow Projection &amp; Investme'!AP75+'Cashflow Projection &amp; Investme'!AQ75+'Cashflow Projection &amp; Investme'!AR75</f>
        <v>0</v>
      </c>
      <c r="P75" s="114">
        <f>'Cashflow Projection &amp; Investme'!AS75+'Cashflow Projection &amp; Investme'!AT75+'Cashflow Projection &amp; Investme'!AU75</f>
        <v>0</v>
      </c>
      <c r="Q75" s="114">
        <f>'Cashflow Projection &amp; Investme'!AV75+'Cashflow Projection &amp; Investme'!AW75+'Cashflow Projection &amp; Investme'!AX75</f>
        <v>0</v>
      </c>
      <c r="R75" s="114">
        <f>'Cashflow Projection &amp; Investme'!AY75+'Cashflow Projection &amp; Investme'!AZ75+'Cashflow Projection &amp; Investme'!BA75</f>
        <v>0</v>
      </c>
      <c r="S75" s="114">
        <f>'Cashflow Projection &amp; Investme'!BC75+'Cashflow Projection &amp; Investme'!BD75+'Cashflow Projection &amp; Investme'!BE75</f>
        <v>0</v>
      </c>
      <c r="T75" s="114">
        <f>'Cashflow Projection &amp; Investme'!BF75+'Cashflow Projection &amp; Investme'!BG75+'Cashflow Projection &amp; Investme'!BH75</f>
        <v>0</v>
      </c>
      <c r="U75" s="114">
        <f>'Cashflow Projection &amp; Investme'!BI75+'Cashflow Projection &amp; Investme'!BJ75+'Cashflow Projection &amp; Investme'!BK75</f>
        <v>0</v>
      </c>
      <c r="V75" s="114">
        <f>'Cashflow Projection &amp; Investme'!BL75+'Cashflow Projection &amp; Investme'!BM75+'Cashflow Projection &amp; Investme'!BN75</f>
        <v>0</v>
      </c>
      <c r="W75" s="114">
        <f>'Cashflow Projection &amp; Investme'!BP75+'Cashflow Projection &amp; Investme'!BQ75+'Cashflow Projection &amp; Investme'!BR75</f>
        <v>0</v>
      </c>
      <c r="X75" s="114">
        <f>'Cashflow Projection &amp; Investme'!BS75+'Cashflow Projection &amp; Investme'!BT75+'Cashflow Projection &amp; Investme'!BU75</f>
        <v>0</v>
      </c>
      <c r="Y75" s="114">
        <f>'Cashflow Projection &amp; Investme'!BV75+'Cashflow Projection &amp; Investme'!BW75+'Cashflow Projection &amp; Investme'!BX75</f>
        <v>0</v>
      </c>
      <c r="Z75" s="114">
        <f>'Cashflow Projection &amp; Investme'!BY75+'Cashflow Projection &amp; Investme'!BZ75+'Cashflow Projection &amp; Investme'!CA75</f>
        <v>0</v>
      </c>
      <c r="AA75" s="114">
        <f>'Cashflow Projection &amp; Investme'!CC75+'Cashflow Projection &amp; Investme'!CD75+'Cashflow Projection &amp; Investme'!CE75</f>
        <v>0</v>
      </c>
      <c r="AB75" s="114">
        <f>'Cashflow Projection &amp; Investme'!CF75+'Cashflow Projection &amp; Investme'!CG75+'Cashflow Projection &amp; Investme'!CH75</f>
        <v>0</v>
      </c>
      <c r="AC75" s="114">
        <f>'Cashflow Projection &amp; Investme'!CI75+'Cashflow Projection &amp; Investme'!CJ75+'Cashflow Projection &amp; Investme'!CK75</f>
        <v>0</v>
      </c>
      <c r="AD75" s="114">
        <f>'Cashflow Projection &amp; Investme'!CL75+'Cashflow Projection &amp; Investme'!CM75+'Cashflow Projection &amp; Investme'!CN75</f>
        <v>0</v>
      </c>
    </row>
    <row r="76" spans="1:30" s="107" customFormat="1" ht="24.95" customHeight="1" thickBot="1">
      <c r="A76" s="123" t="s">
        <v>339</v>
      </c>
      <c r="B76" s="115">
        <f>SUBTOTAL(109,B71:B75)</f>
        <v>520693.47200000001</v>
      </c>
      <c r="C76" s="115">
        <f t="shared" ref="C76:V76" si="138">SUBTOTAL(109,C71:C75)</f>
        <v>1558168.5659999999</v>
      </c>
      <c r="D76" s="115">
        <f t="shared" si="138"/>
        <v>1556868.5659999999</v>
      </c>
      <c r="E76" s="115">
        <f t="shared" si="138"/>
        <v>1558168.5659999999</v>
      </c>
      <c r="F76" s="115">
        <f t="shared" si="138"/>
        <v>1558168.5659999999</v>
      </c>
      <c r="G76" s="523">
        <f t="shared" si="138"/>
        <v>1785297.7300559997</v>
      </c>
      <c r="H76" s="523">
        <f t="shared" si="138"/>
        <v>1785297.7300559997</v>
      </c>
      <c r="I76" s="523">
        <f t="shared" si="138"/>
        <v>1785297.7300559997</v>
      </c>
      <c r="J76" s="523">
        <f t="shared" si="138"/>
        <v>1785297.7300559997</v>
      </c>
      <c r="K76" s="115">
        <f t="shared" si="138"/>
        <v>2034311.0057399995</v>
      </c>
      <c r="L76" s="115">
        <f t="shared" si="138"/>
        <v>2034311.0057399995</v>
      </c>
      <c r="M76" s="115">
        <f t="shared" si="138"/>
        <v>2034311.0057399995</v>
      </c>
      <c r="N76" s="115">
        <f t="shared" si="138"/>
        <v>2034311.0057399995</v>
      </c>
      <c r="O76" s="115">
        <f t="shared" si="138"/>
        <v>2307002.1675900002</v>
      </c>
      <c r="P76" s="115">
        <f t="shared" si="138"/>
        <v>2307002.1675900002</v>
      </c>
      <c r="Q76" s="115">
        <f t="shared" si="138"/>
        <v>2307002.1675900002</v>
      </c>
      <c r="R76" s="115">
        <f t="shared" si="138"/>
        <v>2307002.1675900002</v>
      </c>
      <c r="S76" s="115">
        <f t="shared" si="138"/>
        <v>2605343.1169727999</v>
      </c>
      <c r="T76" s="115">
        <f t="shared" si="138"/>
        <v>2605343.1169727999</v>
      </c>
      <c r="U76" s="115">
        <f t="shared" si="138"/>
        <v>2605343.1169727999</v>
      </c>
      <c r="V76" s="115">
        <f t="shared" si="138"/>
        <v>2605343.1169727999</v>
      </c>
      <c r="W76" s="115">
        <f t="shared" ref="W76:AD76" si="139">SUBTOTAL(109,W71:W75)</f>
        <v>2931485.2044967497</v>
      </c>
      <c r="X76" s="115">
        <f t="shared" si="139"/>
        <v>2931485.2044967497</v>
      </c>
      <c r="Y76" s="115">
        <f t="shared" si="139"/>
        <v>2931485.2044967497</v>
      </c>
      <c r="Z76" s="115">
        <f t="shared" si="139"/>
        <v>2931485.2044967497</v>
      </c>
      <c r="AA76" s="115">
        <f t="shared" si="139"/>
        <v>3112969.539856012</v>
      </c>
      <c r="AB76" s="115">
        <f t="shared" si="139"/>
        <v>3112969.539856012</v>
      </c>
      <c r="AC76" s="115">
        <f t="shared" si="139"/>
        <v>3112969.539856012</v>
      </c>
      <c r="AD76" s="115">
        <f t="shared" si="139"/>
        <v>3112969.539856012</v>
      </c>
    </row>
    <row r="77" spans="1:30" s="112" customFormat="1" ht="24.95" customHeight="1" thickBot="1">
      <c r="A77" s="123" t="s">
        <v>340</v>
      </c>
      <c r="B77" s="108">
        <f>'Projected FS'!$B$35</f>
        <v>8416320</v>
      </c>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row>
    <row r="78" spans="1:30" s="104" customFormat="1" ht="24.95" customHeight="1" thickBot="1">
      <c r="A78" s="123" t="s">
        <v>341</v>
      </c>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row>
    <row r="79" spans="1:30" s="1" customFormat="1" ht="24.95" customHeight="1" thickBot="1">
      <c r="A79" s="122" t="s">
        <v>339</v>
      </c>
      <c r="B79" s="113">
        <f t="shared" ref="B79:F79" si="140">SUM(B76:B78)</f>
        <v>8937013.4719999991</v>
      </c>
      <c r="C79" s="113">
        <f t="shared" si="140"/>
        <v>1558168.5659999999</v>
      </c>
      <c r="D79" s="113">
        <f t="shared" si="140"/>
        <v>1556868.5659999999</v>
      </c>
      <c r="E79" s="113">
        <f t="shared" si="140"/>
        <v>1558168.5659999999</v>
      </c>
      <c r="F79" s="113">
        <f t="shared" si="140"/>
        <v>1558168.5659999999</v>
      </c>
      <c r="G79" s="516">
        <f t="shared" ref="G79:J79" si="141">SUM(G76:G78)</f>
        <v>1785297.7300559997</v>
      </c>
      <c r="H79" s="516">
        <f t="shared" si="141"/>
        <v>1785297.7300559997</v>
      </c>
      <c r="I79" s="516">
        <f t="shared" si="141"/>
        <v>1785297.7300559997</v>
      </c>
      <c r="J79" s="516">
        <f t="shared" si="141"/>
        <v>1785297.7300559997</v>
      </c>
      <c r="K79" s="113">
        <f t="shared" ref="K79:N79" si="142">SUM(K76:K78)</f>
        <v>2034311.0057399995</v>
      </c>
      <c r="L79" s="113">
        <f t="shared" si="142"/>
        <v>2034311.0057399995</v>
      </c>
      <c r="M79" s="113">
        <f t="shared" si="142"/>
        <v>2034311.0057399995</v>
      </c>
      <c r="N79" s="113">
        <f t="shared" si="142"/>
        <v>2034311.0057399995</v>
      </c>
      <c r="O79" s="113">
        <f t="shared" ref="O79:R79" si="143">SUM(O76:O78)</f>
        <v>2307002.1675900002</v>
      </c>
      <c r="P79" s="113">
        <f t="shared" si="143"/>
        <v>2307002.1675900002</v>
      </c>
      <c r="Q79" s="113">
        <f t="shared" si="143"/>
        <v>2307002.1675900002</v>
      </c>
      <c r="R79" s="113">
        <f t="shared" si="143"/>
        <v>2307002.1675900002</v>
      </c>
      <c r="S79" s="113">
        <f t="shared" ref="S79:V79" si="144">SUM(S76:S78)</f>
        <v>2605343.1169727999</v>
      </c>
      <c r="T79" s="113">
        <f t="shared" si="144"/>
        <v>2605343.1169727999</v>
      </c>
      <c r="U79" s="113">
        <f t="shared" si="144"/>
        <v>2605343.1169727999</v>
      </c>
      <c r="V79" s="113">
        <f t="shared" si="144"/>
        <v>2605343.1169727999</v>
      </c>
      <c r="W79" s="113">
        <f t="shared" ref="W79:Z79" si="145">SUM(W76:W78)</f>
        <v>2931485.2044967497</v>
      </c>
      <c r="X79" s="113">
        <f t="shared" si="145"/>
        <v>2931485.2044967497</v>
      </c>
      <c r="Y79" s="113">
        <f t="shared" si="145"/>
        <v>2931485.2044967497</v>
      </c>
      <c r="Z79" s="113">
        <f t="shared" si="145"/>
        <v>2931485.2044967497</v>
      </c>
      <c r="AA79" s="113">
        <f t="shared" ref="AA79:AD79" si="146">SUM(AA76:AA78)</f>
        <v>3112969.539856012</v>
      </c>
      <c r="AB79" s="113">
        <f t="shared" si="146"/>
        <v>3112969.539856012</v>
      </c>
      <c r="AC79" s="113">
        <f t="shared" si="146"/>
        <v>3112969.539856012</v>
      </c>
      <c r="AD79" s="113">
        <f t="shared" si="146"/>
        <v>3112969.539856012</v>
      </c>
    </row>
    <row r="80" spans="1:30" s="1" customFormat="1" ht="24.95" customHeight="1" thickBot="1">
      <c r="A80" s="122" t="s">
        <v>342</v>
      </c>
      <c r="B80" s="113">
        <f t="shared" ref="B80:F80" si="147">B69-B79</f>
        <v>-8937013.4719999991</v>
      </c>
      <c r="C80" s="113">
        <f t="shared" si="147"/>
        <v>-631933.56599999988</v>
      </c>
      <c r="D80" s="113">
        <f t="shared" si="147"/>
        <v>295601.43400000012</v>
      </c>
      <c r="E80" s="113">
        <f t="shared" si="147"/>
        <v>589902.86800000048</v>
      </c>
      <c r="F80" s="113">
        <f t="shared" si="147"/>
        <v>884204.30200000084</v>
      </c>
      <c r="G80" s="516">
        <f t="shared" ref="G80:J80" si="148">G69-G79</f>
        <v>1105131.5819440011</v>
      </c>
      <c r="H80" s="516">
        <f t="shared" si="148"/>
        <v>1479813.8718880017</v>
      </c>
      <c r="I80" s="516">
        <f t="shared" si="148"/>
        <v>1854496.1618320022</v>
      </c>
      <c r="J80" s="516">
        <f t="shared" si="148"/>
        <v>2229178.4517760025</v>
      </c>
      <c r="K80" s="113">
        <f t="shared" ref="K80:N80" si="149">K69-K79</f>
        <v>2523730.9810360032</v>
      </c>
      <c r="L80" s="113">
        <f t="shared" si="149"/>
        <v>2987167.0252960031</v>
      </c>
      <c r="M80" s="113">
        <f t="shared" si="149"/>
        <v>3450603.0695560039</v>
      </c>
      <c r="N80" s="113">
        <f t="shared" si="149"/>
        <v>3914039.1138160047</v>
      </c>
      <c r="O80" s="113">
        <f t="shared" ref="O80:R80" si="150">O69-O79</f>
        <v>4290030.9962260053</v>
      </c>
      <c r="P80" s="113">
        <f t="shared" si="150"/>
        <v>4851269.8786360044</v>
      </c>
      <c r="Q80" s="113">
        <f t="shared" si="150"/>
        <v>5412508.7610460036</v>
      </c>
      <c r="R80" s="113">
        <f t="shared" si="150"/>
        <v>5973747.6434560027</v>
      </c>
      <c r="S80" s="113">
        <f t="shared" ref="S80:V80" si="151">S69-S79</f>
        <v>6439614.5394832008</v>
      </c>
      <c r="T80" s="113">
        <f t="shared" si="151"/>
        <v>7108450.3985104002</v>
      </c>
      <c r="U80" s="113">
        <f t="shared" si="151"/>
        <v>7777286.2575375997</v>
      </c>
      <c r="V80" s="113">
        <f t="shared" si="151"/>
        <v>8446122.1165647991</v>
      </c>
      <c r="W80" s="113">
        <f t="shared" ref="W80:Z80" si="152">W69-W79</f>
        <v>9010988.790068049</v>
      </c>
      <c r="X80" s="113">
        <f t="shared" si="152"/>
        <v>9798028.3655712977</v>
      </c>
      <c r="Y80" s="113">
        <f t="shared" si="152"/>
        <v>10585067.941074546</v>
      </c>
      <c r="Z80" s="113">
        <f t="shared" si="152"/>
        <v>11372107.516577795</v>
      </c>
      <c r="AA80" s="113">
        <f t="shared" ref="AA80:AD80" si="153">AA69-AA79</f>
        <v>12089243.199721783</v>
      </c>
      <c r="AB80" s="113">
        <f t="shared" si="153"/>
        <v>12917959.325865772</v>
      </c>
      <c r="AC80" s="113">
        <f t="shared" si="153"/>
        <v>13746675.452009756</v>
      </c>
      <c r="AD80" s="113">
        <f t="shared" si="153"/>
        <v>14575391.578153741</v>
      </c>
    </row>
    <row r="81" spans="1:30" s="1" customFormat="1" ht="24.95" customHeight="1" thickBot="1">
      <c r="A81" s="230" t="s">
        <v>343</v>
      </c>
      <c r="B81"/>
      <c r="C81"/>
      <c r="D81"/>
      <c r="E81"/>
      <c r="F81"/>
      <c r="K81"/>
      <c r="L81"/>
      <c r="M81"/>
      <c r="N81"/>
      <c r="O81"/>
      <c r="P81"/>
      <c r="Q81"/>
      <c r="R81"/>
      <c r="S81"/>
      <c r="T81"/>
      <c r="U81"/>
      <c r="V81"/>
      <c r="W81"/>
      <c r="X81"/>
      <c r="Y81"/>
      <c r="Z81"/>
      <c r="AA81"/>
      <c r="AB81"/>
      <c r="AC81"/>
      <c r="AD81"/>
    </row>
    <row r="82" spans="1:30" s="104" customFormat="1" ht="24.95" customHeight="1" thickTop="1" thickBot="1">
      <c r="A82" s="188" t="s">
        <v>55</v>
      </c>
      <c r="B82" s="195">
        <f>IF(B$80&lt;0,B$80*-1,0)-'OPEREX, PAYROL'!R142-'Capital Expenditures'!H128-'Capital Expenditures'!H129</f>
        <v>8937013.4719999991</v>
      </c>
      <c r="C82" s="195">
        <f t="shared" ref="C82:F82" si="154">IF(C$80&lt;0,C$80*-1,0)</f>
        <v>631933.56599999988</v>
      </c>
      <c r="D82" s="195">
        <f t="shared" si="154"/>
        <v>0</v>
      </c>
      <c r="E82" s="195">
        <f t="shared" si="154"/>
        <v>0</v>
      </c>
      <c r="F82" s="195">
        <f t="shared" si="154"/>
        <v>0</v>
      </c>
      <c r="G82" s="526">
        <f t="shared" ref="G82:J82" si="155">IF(G$80&lt;0,G$80*-1,0)</f>
        <v>0</v>
      </c>
      <c r="H82" s="526">
        <f t="shared" si="155"/>
        <v>0</v>
      </c>
      <c r="I82" s="526">
        <f t="shared" si="155"/>
        <v>0</v>
      </c>
      <c r="J82" s="526">
        <f t="shared" si="155"/>
        <v>0</v>
      </c>
      <c r="K82" s="195">
        <f t="shared" ref="K82:N82" si="156">IF(K$80&lt;0,K$80*-1,0)</f>
        <v>0</v>
      </c>
      <c r="L82" s="195">
        <f t="shared" si="156"/>
        <v>0</v>
      </c>
      <c r="M82" s="195">
        <f t="shared" si="156"/>
        <v>0</v>
      </c>
      <c r="N82" s="195">
        <f t="shared" si="156"/>
        <v>0</v>
      </c>
      <c r="O82" s="195">
        <f t="shared" ref="O82:R82" si="157">IF(O$80&lt;0,O$80*-1,0)</f>
        <v>0</v>
      </c>
      <c r="P82" s="195">
        <f t="shared" si="157"/>
        <v>0</v>
      </c>
      <c r="Q82" s="195">
        <f t="shared" si="157"/>
        <v>0</v>
      </c>
      <c r="R82" s="195">
        <f t="shared" si="157"/>
        <v>0</v>
      </c>
      <c r="S82" s="195">
        <f t="shared" ref="S82:V82" si="158">IF(S$80&lt;0,S$80*-1,0)</f>
        <v>0</v>
      </c>
      <c r="T82" s="195">
        <f t="shared" si="158"/>
        <v>0</v>
      </c>
      <c r="U82" s="195">
        <f t="shared" si="158"/>
        <v>0</v>
      </c>
      <c r="V82" s="195">
        <f t="shared" si="158"/>
        <v>0</v>
      </c>
      <c r="W82" s="195">
        <f t="shared" ref="W82:Z82" si="159">IF(W$80&lt;0,W$80*-1,0)</f>
        <v>0</v>
      </c>
      <c r="X82" s="195">
        <f t="shared" si="159"/>
        <v>0</v>
      </c>
      <c r="Y82" s="195">
        <f t="shared" si="159"/>
        <v>0</v>
      </c>
      <c r="Z82" s="195">
        <f t="shared" si="159"/>
        <v>0</v>
      </c>
      <c r="AA82" s="195">
        <f t="shared" ref="AA82:AD82" si="160">IF(AA$80&lt;0,AA$80*-1,0)</f>
        <v>0</v>
      </c>
      <c r="AB82" s="195">
        <f t="shared" si="160"/>
        <v>0</v>
      </c>
      <c r="AC82" s="195">
        <f t="shared" si="160"/>
        <v>0</v>
      </c>
      <c r="AD82" s="195">
        <f t="shared" si="160"/>
        <v>0</v>
      </c>
    </row>
    <row r="83" spans="1:30" s="107" customFormat="1" ht="24.95" customHeight="1" thickBot="1">
      <c r="A83" s="123" t="s">
        <v>344</v>
      </c>
      <c r="B83" s="108">
        <f t="shared" ref="B83:F83" si="161">B80+SUM(B82)</f>
        <v>0</v>
      </c>
      <c r="C83" s="108">
        <f t="shared" si="161"/>
        <v>0</v>
      </c>
      <c r="D83" s="108">
        <f t="shared" si="161"/>
        <v>295601.43400000012</v>
      </c>
      <c r="E83" s="108">
        <f t="shared" si="161"/>
        <v>589902.86800000048</v>
      </c>
      <c r="F83" s="108">
        <f t="shared" si="161"/>
        <v>884204.30200000084</v>
      </c>
      <c r="G83" s="525">
        <f t="shared" ref="G83:J83" si="162">G80+SUM(G82)</f>
        <v>1105131.5819440011</v>
      </c>
      <c r="H83" s="525">
        <f t="shared" si="162"/>
        <v>1479813.8718880017</v>
      </c>
      <c r="I83" s="525">
        <f t="shared" si="162"/>
        <v>1854496.1618320022</v>
      </c>
      <c r="J83" s="525">
        <f t="shared" si="162"/>
        <v>2229178.4517760025</v>
      </c>
      <c r="K83" s="108">
        <f t="shared" ref="K83:N83" si="163">K80+SUM(K82)</f>
        <v>2523730.9810360032</v>
      </c>
      <c r="L83" s="108">
        <f t="shared" si="163"/>
        <v>2987167.0252960031</v>
      </c>
      <c r="M83" s="108">
        <f t="shared" si="163"/>
        <v>3450603.0695560039</v>
      </c>
      <c r="N83" s="108">
        <f t="shared" si="163"/>
        <v>3914039.1138160047</v>
      </c>
      <c r="O83" s="108">
        <f t="shared" ref="O83:R83" si="164">O80+SUM(O82)</f>
        <v>4290030.9962260053</v>
      </c>
      <c r="P83" s="108">
        <f t="shared" si="164"/>
        <v>4851269.8786360044</v>
      </c>
      <c r="Q83" s="108">
        <f t="shared" si="164"/>
        <v>5412508.7610460036</v>
      </c>
      <c r="R83" s="108">
        <f t="shared" si="164"/>
        <v>5973747.6434560027</v>
      </c>
      <c r="S83" s="108">
        <f t="shared" ref="S83:V83" si="165">S80+SUM(S82)</f>
        <v>6439614.5394832008</v>
      </c>
      <c r="T83" s="108">
        <f t="shared" si="165"/>
        <v>7108450.3985104002</v>
      </c>
      <c r="U83" s="108">
        <f t="shared" si="165"/>
        <v>7777286.2575375997</v>
      </c>
      <c r="V83" s="108">
        <f t="shared" si="165"/>
        <v>8446122.1165647991</v>
      </c>
      <c r="W83" s="108">
        <f t="shared" ref="W83:Z83" si="166">W80+SUM(W82)</f>
        <v>9010988.790068049</v>
      </c>
      <c r="X83" s="108">
        <f t="shared" si="166"/>
        <v>9798028.3655712977</v>
      </c>
      <c r="Y83" s="108">
        <f t="shared" si="166"/>
        <v>10585067.941074546</v>
      </c>
      <c r="Z83" s="108">
        <f t="shared" si="166"/>
        <v>11372107.516577795</v>
      </c>
      <c r="AA83" s="108">
        <f t="shared" ref="AA83:AD83" si="167">AA80+SUM(AA82)</f>
        <v>12089243.199721783</v>
      </c>
      <c r="AB83" s="108">
        <f t="shared" si="167"/>
        <v>12917959.325865772</v>
      </c>
      <c r="AC83" s="108">
        <f t="shared" si="167"/>
        <v>13746675.452009756</v>
      </c>
      <c r="AD83" s="108">
        <f t="shared" si="167"/>
        <v>14575391.578153741</v>
      </c>
    </row>
    <row r="84" spans="1:30" s="104" customFormat="1" ht="24.95" customHeight="1" thickBot="1">
      <c r="A84" s="188" t="s">
        <v>57</v>
      </c>
      <c r="B84" s="196">
        <f>'Capital Expenditures'!H128</f>
        <v>0</v>
      </c>
      <c r="C84" s="198"/>
      <c r="D84" s="198"/>
      <c r="E84" s="198"/>
      <c r="F84" s="198"/>
      <c r="G84" s="530"/>
      <c r="H84" s="530"/>
      <c r="I84" s="530"/>
      <c r="J84" s="530"/>
      <c r="K84" s="198"/>
      <c r="L84" s="198"/>
      <c r="M84" s="198"/>
      <c r="N84" s="198"/>
      <c r="O84" s="198"/>
      <c r="P84" s="198"/>
      <c r="Q84" s="198"/>
      <c r="R84" s="198"/>
      <c r="S84" s="198"/>
      <c r="T84" s="198"/>
      <c r="U84" s="198"/>
      <c r="V84" s="198"/>
      <c r="W84" s="198"/>
      <c r="X84" s="198"/>
      <c r="Y84" s="198"/>
      <c r="Z84" s="198"/>
      <c r="AA84" s="198"/>
      <c r="AB84" s="198"/>
      <c r="AC84" s="198"/>
      <c r="AD84" s="198"/>
    </row>
    <row r="85" spans="1:30" s="107" customFormat="1" ht="24.95" customHeight="1" thickBot="1">
      <c r="A85" s="123" t="s">
        <v>345</v>
      </c>
      <c r="B85" s="108">
        <f t="shared" ref="B85:F85" si="168">B83+SUM(B84)</f>
        <v>0</v>
      </c>
      <c r="C85" s="108">
        <f t="shared" si="168"/>
        <v>0</v>
      </c>
      <c r="D85" s="108">
        <f t="shared" si="168"/>
        <v>295601.43400000012</v>
      </c>
      <c r="E85" s="108">
        <f t="shared" si="168"/>
        <v>589902.86800000048</v>
      </c>
      <c r="F85" s="108">
        <f t="shared" si="168"/>
        <v>884204.30200000084</v>
      </c>
      <c r="G85" s="525">
        <f t="shared" ref="G85:J85" si="169">G83+SUM(G84)</f>
        <v>1105131.5819440011</v>
      </c>
      <c r="H85" s="525">
        <f t="shared" si="169"/>
        <v>1479813.8718880017</v>
      </c>
      <c r="I85" s="525">
        <f t="shared" si="169"/>
        <v>1854496.1618320022</v>
      </c>
      <c r="J85" s="525">
        <f t="shared" si="169"/>
        <v>2229178.4517760025</v>
      </c>
      <c r="K85" s="108">
        <f t="shared" ref="K85:N85" si="170">K83+SUM(K84)</f>
        <v>2523730.9810360032</v>
      </c>
      <c r="L85" s="108">
        <f t="shared" si="170"/>
        <v>2987167.0252960031</v>
      </c>
      <c r="M85" s="108">
        <f t="shared" si="170"/>
        <v>3450603.0695560039</v>
      </c>
      <c r="N85" s="108">
        <f t="shared" si="170"/>
        <v>3914039.1138160047</v>
      </c>
      <c r="O85" s="108">
        <f t="shared" ref="O85:R85" si="171">O83+SUM(O84)</f>
        <v>4290030.9962260053</v>
      </c>
      <c r="P85" s="108">
        <f t="shared" si="171"/>
        <v>4851269.8786360044</v>
      </c>
      <c r="Q85" s="108">
        <f t="shared" si="171"/>
        <v>5412508.7610460036</v>
      </c>
      <c r="R85" s="108">
        <f t="shared" si="171"/>
        <v>5973747.6434560027</v>
      </c>
      <c r="S85" s="108">
        <f t="shared" ref="S85:V85" si="172">S83+SUM(S84)</f>
        <v>6439614.5394832008</v>
      </c>
      <c r="T85" s="108">
        <f t="shared" si="172"/>
        <v>7108450.3985104002</v>
      </c>
      <c r="U85" s="108">
        <f t="shared" si="172"/>
        <v>7777286.2575375997</v>
      </c>
      <c r="V85" s="108">
        <f t="shared" si="172"/>
        <v>8446122.1165647991</v>
      </c>
      <c r="W85" s="108">
        <f t="shared" ref="W85:Z85" si="173">W83+SUM(W84)</f>
        <v>9010988.790068049</v>
      </c>
      <c r="X85" s="108">
        <f t="shared" si="173"/>
        <v>9798028.3655712977</v>
      </c>
      <c r="Y85" s="108">
        <f t="shared" si="173"/>
        <v>10585067.941074546</v>
      </c>
      <c r="Z85" s="108">
        <f t="shared" si="173"/>
        <v>11372107.516577795</v>
      </c>
      <c r="AA85" s="108">
        <f t="shared" ref="AA85:AD85" si="174">AA83+SUM(AA84)</f>
        <v>12089243.199721783</v>
      </c>
      <c r="AB85" s="108">
        <f t="shared" si="174"/>
        <v>12917959.325865772</v>
      </c>
      <c r="AC85" s="108">
        <f t="shared" si="174"/>
        <v>13746675.452009756</v>
      </c>
      <c r="AD85" s="108">
        <f t="shared" si="174"/>
        <v>14575391.578153741</v>
      </c>
    </row>
    <row r="86" spans="1:30" s="104" customFormat="1" ht="24.95" customHeight="1" thickBot="1">
      <c r="A86" s="188" t="s">
        <v>83</v>
      </c>
      <c r="B86" s="197">
        <f>'Capital Expenditures'!H129</f>
        <v>0</v>
      </c>
      <c r="C86" s="197"/>
      <c r="D86" s="197"/>
      <c r="E86" s="197"/>
      <c r="F86" s="197"/>
      <c r="G86" s="532"/>
      <c r="H86" s="532"/>
      <c r="I86" s="532"/>
      <c r="J86" s="532"/>
      <c r="K86" s="197"/>
      <c r="L86" s="197"/>
      <c r="M86" s="197"/>
      <c r="N86" s="197"/>
      <c r="O86" s="197"/>
      <c r="P86" s="197"/>
      <c r="Q86" s="197"/>
      <c r="R86" s="197"/>
      <c r="S86" s="197"/>
      <c r="T86" s="197"/>
      <c r="U86" s="197"/>
      <c r="V86" s="197"/>
      <c r="W86" s="197"/>
      <c r="X86" s="197"/>
      <c r="Y86" s="197"/>
      <c r="Z86" s="197"/>
      <c r="AA86" s="197"/>
      <c r="AB86" s="197"/>
      <c r="AC86" s="197"/>
      <c r="AD86" s="197"/>
    </row>
    <row r="87" spans="1:30" s="107" customFormat="1" ht="24.95" customHeight="1" thickBot="1">
      <c r="A87" s="123" t="s">
        <v>346</v>
      </c>
      <c r="B87" s="108">
        <f t="shared" ref="B87:F87" si="175">B85+SUM(B86)</f>
        <v>0</v>
      </c>
      <c r="C87" s="108">
        <f t="shared" si="175"/>
        <v>0</v>
      </c>
      <c r="D87" s="108">
        <f t="shared" si="175"/>
        <v>295601.43400000012</v>
      </c>
      <c r="E87" s="108">
        <f t="shared" si="175"/>
        <v>589902.86800000048</v>
      </c>
      <c r="F87" s="108">
        <f t="shared" si="175"/>
        <v>884204.30200000084</v>
      </c>
      <c r="G87" s="525">
        <f t="shared" ref="G87:J87" si="176">G85+SUM(G86)</f>
        <v>1105131.5819440011</v>
      </c>
      <c r="H87" s="525">
        <f t="shared" si="176"/>
        <v>1479813.8718880017</v>
      </c>
      <c r="I87" s="525">
        <f t="shared" si="176"/>
        <v>1854496.1618320022</v>
      </c>
      <c r="J87" s="525">
        <f t="shared" si="176"/>
        <v>2229178.4517760025</v>
      </c>
      <c r="K87" s="108">
        <f t="shared" ref="K87:N87" si="177">K85+SUM(K86)</f>
        <v>2523730.9810360032</v>
      </c>
      <c r="L87" s="108">
        <f t="shared" si="177"/>
        <v>2987167.0252960031</v>
      </c>
      <c r="M87" s="108">
        <f t="shared" si="177"/>
        <v>3450603.0695560039</v>
      </c>
      <c r="N87" s="108">
        <f t="shared" si="177"/>
        <v>3914039.1138160047</v>
      </c>
      <c r="O87" s="108">
        <f t="shared" ref="O87:R87" si="178">O85+SUM(O86)</f>
        <v>4290030.9962260053</v>
      </c>
      <c r="P87" s="108">
        <f t="shared" si="178"/>
        <v>4851269.8786360044</v>
      </c>
      <c r="Q87" s="108">
        <f t="shared" si="178"/>
        <v>5412508.7610460036</v>
      </c>
      <c r="R87" s="108">
        <f t="shared" si="178"/>
        <v>5973747.6434560027</v>
      </c>
      <c r="S87" s="108">
        <f t="shared" ref="S87:V87" si="179">S85+SUM(S86)</f>
        <v>6439614.5394832008</v>
      </c>
      <c r="T87" s="108">
        <f t="shared" si="179"/>
        <v>7108450.3985104002</v>
      </c>
      <c r="U87" s="108">
        <f t="shared" si="179"/>
        <v>7777286.2575375997</v>
      </c>
      <c r="V87" s="108">
        <f t="shared" si="179"/>
        <v>8446122.1165647991</v>
      </c>
      <c r="W87" s="108">
        <f t="shared" ref="W87:Z87" si="180">W85+SUM(W86)</f>
        <v>9010988.790068049</v>
      </c>
      <c r="X87" s="108">
        <f t="shared" si="180"/>
        <v>9798028.3655712977</v>
      </c>
      <c r="Y87" s="108">
        <f t="shared" si="180"/>
        <v>10585067.941074546</v>
      </c>
      <c r="Z87" s="108">
        <f t="shared" si="180"/>
        <v>11372107.516577795</v>
      </c>
      <c r="AA87" s="108">
        <f t="shared" ref="AA87:AD87" si="181">AA85+SUM(AA86)</f>
        <v>12089243.199721783</v>
      </c>
      <c r="AB87" s="108">
        <f t="shared" si="181"/>
        <v>12917959.325865772</v>
      </c>
      <c r="AC87" s="108">
        <f t="shared" si="181"/>
        <v>13746675.452009756</v>
      </c>
      <c r="AD87" s="108">
        <f t="shared" si="181"/>
        <v>14575391.578153741</v>
      </c>
    </row>
    <row r="88" spans="1:30" s="104" customFormat="1" ht="24.95" customHeight="1" thickBot="1">
      <c r="A88" s="188" t="s">
        <v>86</v>
      </c>
      <c r="B88" s="197">
        <f>'OPEREX, PAYROL'!R142</f>
        <v>0</v>
      </c>
      <c r="C88" s="197"/>
      <c r="D88" s="197"/>
      <c r="E88" s="197"/>
      <c r="F88" s="197"/>
      <c r="G88" s="532"/>
      <c r="H88" s="532"/>
      <c r="I88" s="532"/>
      <c r="J88" s="532"/>
      <c r="K88" s="197"/>
      <c r="L88" s="197"/>
      <c r="M88" s="197"/>
      <c r="N88" s="197"/>
      <c r="O88" s="197"/>
      <c r="P88" s="197"/>
      <c r="Q88" s="197"/>
      <c r="R88" s="197"/>
      <c r="S88" s="197"/>
      <c r="T88" s="197"/>
      <c r="U88" s="197"/>
      <c r="V88" s="197"/>
      <c r="W88" s="197"/>
      <c r="X88" s="197"/>
      <c r="Y88" s="197"/>
      <c r="Z88" s="197"/>
      <c r="AA88" s="197"/>
      <c r="AB88" s="197"/>
      <c r="AC88" s="197"/>
      <c r="AD88" s="197"/>
    </row>
    <row r="89" spans="1:30" s="107" customFormat="1" ht="24.95" customHeight="1" thickBot="1">
      <c r="A89" s="123" t="s">
        <v>345</v>
      </c>
      <c r="B89" s="108">
        <f t="shared" ref="B89:F89" si="182">B87+SUM(B88)</f>
        <v>0</v>
      </c>
      <c r="C89" s="108">
        <f t="shared" si="182"/>
        <v>0</v>
      </c>
      <c r="D89" s="108">
        <f t="shared" si="182"/>
        <v>295601.43400000012</v>
      </c>
      <c r="E89" s="108">
        <f t="shared" si="182"/>
        <v>589902.86800000048</v>
      </c>
      <c r="F89" s="108">
        <f t="shared" si="182"/>
        <v>884204.30200000084</v>
      </c>
      <c r="G89" s="525">
        <f t="shared" ref="G89:J89" si="183">G87+SUM(G88)</f>
        <v>1105131.5819440011</v>
      </c>
      <c r="H89" s="525">
        <f t="shared" si="183"/>
        <v>1479813.8718880017</v>
      </c>
      <c r="I89" s="525">
        <f t="shared" si="183"/>
        <v>1854496.1618320022</v>
      </c>
      <c r="J89" s="525">
        <f t="shared" si="183"/>
        <v>2229178.4517760025</v>
      </c>
      <c r="K89" s="108">
        <f t="shared" ref="K89:N89" si="184">K87+SUM(K88)</f>
        <v>2523730.9810360032</v>
      </c>
      <c r="L89" s="108">
        <f t="shared" si="184"/>
        <v>2987167.0252960031</v>
      </c>
      <c r="M89" s="108">
        <f t="shared" si="184"/>
        <v>3450603.0695560039</v>
      </c>
      <c r="N89" s="108">
        <f t="shared" si="184"/>
        <v>3914039.1138160047</v>
      </c>
      <c r="O89" s="108">
        <f t="shared" ref="O89:R89" si="185">O87+SUM(O88)</f>
        <v>4290030.9962260053</v>
      </c>
      <c r="P89" s="108">
        <f t="shared" si="185"/>
        <v>4851269.8786360044</v>
      </c>
      <c r="Q89" s="108">
        <f t="shared" si="185"/>
        <v>5412508.7610460036</v>
      </c>
      <c r="R89" s="108">
        <f t="shared" si="185"/>
        <v>5973747.6434560027</v>
      </c>
      <c r="S89" s="108">
        <f t="shared" ref="S89:V89" si="186">S87+SUM(S88)</f>
        <v>6439614.5394832008</v>
      </c>
      <c r="T89" s="108">
        <f t="shared" si="186"/>
        <v>7108450.3985104002</v>
      </c>
      <c r="U89" s="108">
        <f t="shared" si="186"/>
        <v>7777286.2575375997</v>
      </c>
      <c r="V89" s="108">
        <f t="shared" si="186"/>
        <v>8446122.1165647991</v>
      </c>
      <c r="W89" s="108">
        <f t="shared" ref="W89:Z89" si="187">W87+SUM(W88)</f>
        <v>9010988.790068049</v>
      </c>
      <c r="X89" s="108">
        <f t="shared" si="187"/>
        <v>9798028.3655712977</v>
      </c>
      <c r="Y89" s="108">
        <f t="shared" si="187"/>
        <v>10585067.941074546</v>
      </c>
      <c r="Z89" s="108">
        <f t="shared" si="187"/>
        <v>11372107.516577795</v>
      </c>
      <c r="AA89" s="108">
        <f t="shared" ref="AA89:AD89" si="188">AA87+SUM(AA88)</f>
        <v>12089243.199721783</v>
      </c>
      <c r="AB89" s="108">
        <f t="shared" si="188"/>
        <v>12917959.325865772</v>
      </c>
      <c r="AC89" s="108">
        <f t="shared" si="188"/>
        <v>13746675.452009756</v>
      </c>
      <c r="AD89" s="108">
        <f t="shared" si="188"/>
        <v>14575391.578153741</v>
      </c>
    </row>
  </sheetData>
  <pageMargins left="0.7" right="0.7" top="0.75" bottom="0.75" header="0.3" footer="0.3"/>
  <drawing r:id="rId1"/>
  <tableParts count="2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DA414-8BD5-4254-984F-3485EA0D148A}">
  <sheetPr codeName="Sheet9">
    <tabColor rgb="FFDD1809"/>
    <pageSetUpPr fitToPage="1"/>
  </sheetPr>
  <dimension ref="A1:Q108"/>
  <sheetViews>
    <sheetView showZeros="0" topLeftCell="A3" zoomScaleNormal="100" workbookViewId="0">
      <selection activeCell="F36" sqref="F36"/>
    </sheetView>
  </sheetViews>
  <sheetFormatPr defaultColWidth="9.33203125" defaultRowHeight="15" outlineLevelRow="1"/>
  <cols>
    <col min="1" max="1" width="25.77734375" style="1" customWidth="1"/>
    <col min="2" max="5" width="8.77734375" style="1" customWidth="1"/>
    <col min="6" max="6" width="9.77734375" style="1" customWidth="1"/>
    <col min="7" max="7" width="11" style="1" bestFit="1" customWidth="1"/>
    <col min="8" max="8" width="14.77734375" style="1" bestFit="1" customWidth="1"/>
    <col min="9" max="9" width="17.77734375" style="1" bestFit="1" customWidth="1"/>
    <col min="10" max="10" width="8.77734375" style="1" customWidth="1"/>
    <col min="11" max="11" width="15.21875" style="1" bestFit="1" customWidth="1"/>
    <col min="12" max="12" width="13.6640625" style="1" customWidth="1"/>
    <col min="13" max="15" width="12.77734375" style="1" customWidth="1"/>
    <col min="16" max="16" width="11" style="1" bestFit="1" customWidth="1"/>
    <col min="17" max="17" width="13.33203125" style="1" customWidth="1"/>
    <col min="18" max="16384" width="9.33203125" style="1"/>
  </cols>
  <sheetData>
    <row r="1" spans="1:17" ht="61.5" customHeight="1"/>
    <row r="2" spans="1:17" ht="20.25">
      <c r="A2" s="782" t="s">
        <v>280</v>
      </c>
      <c r="B2" s="783"/>
      <c r="C2" s="783"/>
      <c r="D2" s="783"/>
      <c r="E2" s="783"/>
      <c r="F2" s="783"/>
      <c r="G2" s="783"/>
      <c r="H2" s="783"/>
      <c r="I2" s="783"/>
      <c r="J2" s="783"/>
      <c r="K2" s="783"/>
      <c r="L2" s="783"/>
      <c r="M2" s="784"/>
      <c r="N2" s="782" t="s">
        <v>281</v>
      </c>
      <c r="O2" s="783"/>
      <c r="P2" s="783"/>
      <c r="Q2" s="784"/>
    </row>
    <row r="3" spans="1:17" ht="18">
      <c r="A3" s="785" t="str">
        <f>CONCATENATE("Currency"," ",'Summary. Assumptions. Inputs'!$J$7)</f>
        <v>Currency USD</v>
      </c>
      <c r="B3" s="786"/>
      <c r="C3" s="786"/>
      <c r="D3" s="786"/>
      <c r="E3" s="786"/>
      <c r="F3" s="786"/>
      <c r="G3" s="786"/>
      <c r="H3" s="786"/>
      <c r="I3" s="786"/>
      <c r="J3" s="786"/>
      <c r="K3" s="786"/>
      <c r="L3" s="786"/>
      <c r="M3" s="786"/>
      <c r="N3" s="786"/>
      <c r="O3" s="786"/>
      <c r="P3" s="786"/>
      <c r="Q3" s="787"/>
    </row>
    <row r="4" spans="1:17" ht="20.25">
      <c r="A4" s="788" t="str">
        <f>'Scenario Analysis'!A4</f>
        <v>Scenario 1</v>
      </c>
      <c r="B4" s="788"/>
      <c r="C4" s="788"/>
      <c r="D4" s="788"/>
      <c r="E4" s="788"/>
      <c r="F4" s="788"/>
      <c r="G4" s="788"/>
      <c r="H4" s="788"/>
      <c r="I4" s="788"/>
      <c r="J4" s="788"/>
      <c r="K4" s="788"/>
      <c r="L4" s="788"/>
      <c r="M4" s="788"/>
      <c r="N4" s="782"/>
      <c r="O4" s="783"/>
      <c r="P4" s="783"/>
      <c r="Q4" s="784"/>
    </row>
    <row r="5" spans="1:17" ht="69.75" customHeight="1">
      <c r="A5" s="99" t="s">
        <v>282</v>
      </c>
      <c r="B5" s="99" t="s">
        <v>283</v>
      </c>
      <c r="C5" s="99" t="s">
        <v>284</v>
      </c>
      <c r="D5" s="99" t="s">
        <v>285</v>
      </c>
      <c r="E5" s="99" t="s">
        <v>286</v>
      </c>
      <c r="F5" s="99" t="s">
        <v>287</v>
      </c>
      <c r="G5" s="100" t="s">
        <v>288</v>
      </c>
      <c r="H5" s="99" t="s">
        <v>289</v>
      </c>
      <c r="I5" s="99" t="s">
        <v>290</v>
      </c>
      <c r="J5" s="99" t="s">
        <v>291</v>
      </c>
      <c r="K5" s="99" t="s">
        <v>292</v>
      </c>
      <c r="L5" s="99" t="s">
        <v>293</v>
      </c>
      <c r="M5" s="99" t="s">
        <v>294</v>
      </c>
      <c r="N5" s="81" t="s">
        <v>295</v>
      </c>
      <c r="O5" s="82" t="s">
        <v>296</v>
      </c>
      <c r="P5" s="83" t="s">
        <v>297</v>
      </c>
      <c r="Q5" s="82" t="s">
        <v>298</v>
      </c>
    </row>
    <row r="6" spans="1:17">
      <c r="A6" s="1" t="str">
        <f>'Summary. Assumptions. Inputs'!A46</f>
        <v>Greenhouse cover films</v>
      </c>
      <c r="B6" s="80">
        <f>'Summary. Assumptions. Inputs'!F46</f>
        <v>3.28125</v>
      </c>
      <c r="C6" s="15">
        <f>IFERROR(VLOOKUP(Table8[[#This Row],[Item Name]],'Production Matrix'!_xlnm.Print_Area,8,0),"0")</f>
        <v>2.2403999999999997</v>
      </c>
      <c r="D6" s="15">
        <f>IFERROR('BEP. &amp; Summary Results'!$B6-'BEP. &amp; Summary Results'!$C6,"")</f>
        <v>1.0408500000000003</v>
      </c>
      <c r="E6" s="232">
        <f>IFERROR('BEP. &amp; Summary Results'!$D6/'BEP. &amp; Summary Results'!$B6,"")</f>
        <v>0.31721142857142864</v>
      </c>
      <c r="F6" s="7">
        <f>'Sales, Production, &amp; Other Assu'!P19</f>
        <v>1915200</v>
      </c>
      <c r="G6" s="5" t="str">
        <f>'Summary. Assumptions. Inputs'!B46</f>
        <v>KG</v>
      </c>
      <c r="H6" s="16">
        <f>B6*F6</f>
        <v>6284250</v>
      </c>
      <c r="I6" s="15">
        <f>F6*C6</f>
        <v>4290814.0799999991</v>
      </c>
      <c r="J6" s="6">
        <f t="shared" ref="J6:J36" si="0">IFERROR(H6/$H$36,0)</f>
        <v>0.67847252587086426</v>
      </c>
      <c r="K6" s="15">
        <f>'BEP. &amp; Summary Results'!$D6*'BEP. &amp; Summary Results'!$F6</f>
        <v>1993435.9200000006</v>
      </c>
      <c r="L6" s="15">
        <f t="shared" ref="L6:L35" si="1">J6*$L$37</f>
        <v>1669244.2069071163</v>
      </c>
      <c r="M6" s="15">
        <f>K6-L6</f>
        <v>324191.71309288428</v>
      </c>
      <c r="N6" s="84">
        <f>IFERROR(Table8[[#This Row],[Item Allocated fixed costs (based on % of sales mix)]]/Table8[[#This Row],[% of profit Margin]],0)</f>
        <v>5262244.8517211648</v>
      </c>
      <c r="O6" s="85">
        <f>IFERROR(Table8[[#This Row],[BEP In Amounts]]/Table8[[#This Row],[Unit Sales Price]],0)</f>
        <v>1603731.7643340693</v>
      </c>
      <c r="P6" s="85" t="str">
        <f>'Summary. Assumptions. Inputs'!B46</f>
        <v>KG</v>
      </c>
      <c r="Q6" s="86" t="b">
        <f>IFERROR(Table8[[#This Row],[BEP Quantity]]*Table8[[#This Row],[Unit Profit Margin]]=Table8[[#This Row],[Item Allocated fixed costs (based on % of sales mix)]],FALSE)</f>
        <v>1</v>
      </c>
    </row>
    <row r="7" spans="1:17">
      <c r="A7" s="1" t="str">
        <f>'Summary. Assumptions. Inputs'!A47</f>
        <v>Thermal shaders</v>
      </c>
      <c r="B7" s="80">
        <f>'Summary. Assumptions. Inputs'!F47</f>
        <v>3.28125</v>
      </c>
      <c r="C7" s="15">
        <f>IFERROR(VLOOKUP(Table8[[#This Row],[Item Name]],'Production Matrix'!_xlnm.Print_Area,8,0),"0")</f>
        <v>2.2403999999999997</v>
      </c>
      <c r="D7" s="15">
        <f>IFERROR('BEP. &amp; Summary Results'!$B7-'BEP. &amp; Summary Results'!$C7,"")</f>
        <v>1.0408500000000003</v>
      </c>
      <c r="E7" s="232">
        <f>IFERROR('BEP. &amp; Summary Results'!$D7/'BEP. &amp; Summary Results'!$B7,"")</f>
        <v>0.31721142857142864</v>
      </c>
      <c r="F7" s="7">
        <f>'Sales, Production, &amp; Other Assu'!P20</f>
        <v>720000</v>
      </c>
      <c r="G7" s="5" t="str">
        <f>'Summary. Assumptions. Inputs'!B47</f>
        <v>KG</v>
      </c>
      <c r="H7" s="16">
        <f>B7*F7</f>
        <v>2362500</v>
      </c>
      <c r="I7" s="15">
        <f>F7*C7</f>
        <v>1613087.9999999998</v>
      </c>
      <c r="J7" s="6">
        <f t="shared" si="0"/>
        <v>0.25506485934994899</v>
      </c>
      <c r="K7" s="15">
        <f>'BEP. &amp; Summary Results'!$D7*'BEP. &amp; Summary Results'!$F7</f>
        <v>749412.00000000023</v>
      </c>
      <c r="L7" s="15">
        <f t="shared" si="1"/>
        <v>627535.41613049491</v>
      </c>
      <c r="M7" s="15">
        <f t="shared" ref="M7:M35" si="2">K7-L7</f>
        <v>121876.58386950532</v>
      </c>
      <c r="N7" s="84">
        <f>IFERROR(Table8[[#This Row],[Item Allocated fixed costs (based on % of sales mix)]]/Table8[[#This Row],[% of profit Margin]],0)</f>
        <v>1978287.5382410395</v>
      </c>
      <c r="O7" s="85">
        <f>IFERROR(Table8[[#This Row],[BEP In Amounts]]/Table8[[#This Row],[Unit Sales Price]],0)</f>
        <v>602906.67832107865</v>
      </c>
      <c r="P7" s="85" t="str">
        <f>'Summary. Assumptions. Inputs'!B47</f>
        <v>KG</v>
      </c>
      <c r="Q7" s="86" t="b">
        <f>IFERROR(Table8[[#This Row],[BEP Quantity]]*Table8[[#This Row],[Unit Profit Margin]]=Table8[[#This Row],[Item Allocated fixed costs (based on % of sales mix)]],FALSE)</f>
        <v>1</v>
      </c>
    </row>
    <row r="8" spans="1:17">
      <c r="A8" s="1" t="str">
        <f>'Summary. Assumptions. Inputs'!A48</f>
        <v>Recycled plastic</v>
      </c>
      <c r="B8" s="80">
        <f>'Summary. Assumptions. Inputs'!F48</f>
        <v>0.74999999999999989</v>
      </c>
      <c r="C8" s="15">
        <f>IFERROR(VLOOKUP(Table8[[#This Row],[Item Name]],'Production Matrix'!_xlnm.Print_Area,8,0),"0")</f>
        <v>0.3125</v>
      </c>
      <c r="D8" s="15">
        <f>IFERROR('BEP. &amp; Summary Results'!$B8-'BEP. &amp; Summary Results'!$C8,"")</f>
        <v>0.43749999999999989</v>
      </c>
      <c r="E8" s="232">
        <f>IFERROR('BEP. &amp; Summary Results'!$D8/'BEP. &amp; Summary Results'!$B8,"")</f>
        <v>0.58333333333333326</v>
      </c>
      <c r="F8" s="7">
        <f>'Sales, Production, &amp; Other Assu'!P21</f>
        <v>820800</v>
      </c>
      <c r="G8" s="5" t="str">
        <f>'Summary. Assumptions. Inputs'!B48</f>
        <v>KG</v>
      </c>
      <c r="H8" s="16">
        <f t="shared" ref="H8:H15" si="3">B8*F8</f>
        <v>615599.99999999988</v>
      </c>
      <c r="I8" s="15">
        <f t="shared" ref="I8:I15" si="4">F8*C8</f>
        <v>256500</v>
      </c>
      <c r="J8" s="6">
        <f t="shared" si="0"/>
        <v>6.6462614779186691E-2</v>
      </c>
      <c r="K8" s="15">
        <f>'BEP. &amp; Summary Results'!$D8*'BEP. &amp; Summary Results'!$F8</f>
        <v>359099.99999999988</v>
      </c>
      <c r="L8" s="15">
        <f t="shared" si="1"/>
        <v>163517.79986028891</v>
      </c>
      <c r="M8" s="15">
        <f t="shared" si="2"/>
        <v>195582.20013971097</v>
      </c>
      <c r="N8" s="84">
        <f>IFERROR(Table8[[#This Row],[Item Allocated fixed costs (based on % of sales mix)]]/Table8[[#This Row],[% of profit Margin]],0)</f>
        <v>280316.22833192389</v>
      </c>
      <c r="O8" s="85">
        <f>IFERROR(Table8[[#This Row],[BEP In Amounts]]/Table8[[#This Row],[Unit Sales Price]],0)</f>
        <v>373754.97110923193</v>
      </c>
      <c r="P8" s="85" t="str">
        <f>'Summary. Assumptions. Inputs'!B48</f>
        <v>KG</v>
      </c>
      <c r="Q8" s="86" t="b">
        <f>IFERROR(Table8[[#This Row],[BEP Quantity]]*Table8[[#This Row],[Unit Profit Margin]]=Table8[[#This Row],[Item Allocated fixed costs (based on % of sales mix)]],FALSE)</f>
        <v>1</v>
      </c>
    </row>
    <row r="9" spans="1:17" hidden="1">
      <c r="A9" s="1">
        <f>'Summary. Assumptions. Inputs'!A49</f>
        <v>0</v>
      </c>
      <c r="B9" s="80">
        <f>'Summary. Assumptions. Inputs'!F49</f>
        <v>0</v>
      </c>
      <c r="C9" s="15">
        <f>IFERROR(VLOOKUP(Table8[[#This Row],[Item Name]],'Production Matrix'!_xlnm.Print_Area,8,0),"0")</f>
        <v>0</v>
      </c>
      <c r="D9" s="15">
        <f>IFERROR('BEP. &amp; Summary Results'!$B9-'BEP. &amp; Summary Results'!$C9,"")</f>
        <v>0</v>
      </c>
      <c r="E9" s="232" t="str">
        <f>IFERROR('BEP. &amp; Summary Results'!$D9/'BEP. &amp; Summary Results'!$B9,"")</f>
        <v/>
      </c>
      <c r="F9" s="7">
        <f>'Sales, Production, &amp; Other Assu'!P22</f>
        <v>0</v>
      </c>
      <c r="G9" s="5">
        <f>'Summary. Assumptions. Inputs'!B49</f>
        <v>0</v>
      </c>
      <c r="H9" s="16">
        <f t="shared" si="3"/>
        <v>0</v>
      </c>
      <c r="I9" s="15">
        <f t="shared" si="4"/>
        <v>0</v>
      </c>
      <c r="J9" s="6">
        <f t="shared" si="0"/>
        <v>0</v>
      </c>
      <c r="K9" s="15">
        <f>'BEP. &amp; Summary Results'!$D9*'BEP. &amp; Summary Results'!$F9</f>
        <v>0</v>
      </c>
      <c r="L9" s="15">
        <f t="shared" si="1"/>
        <v>0</v>
      </c>
      <c r="M9" s="15">
        <f t="shared" si="2"/>
        <v>0</v>
      </c>
      <c r="N9" s="84">
        <f>IFERROR(Table8[[#This Row],[Item Allocated fixed costs (based on % of sales mix)]]/Table8[[#This Row],[% of profit Margin]],0)</f>
        <v>0</v>
      </c>
      <c r="O9" s="85">
        <f>IFERROR(Table8[[#This Row],[BEP In Amounts]]/Table8[[#This Row],[Unit Sales Price]],0)</f>
        <v>0</v>
      </c>
      <c r="P9" s="85">
        <f>'Summary. Assumptions. Inputs'!B49</f>
        <v>0</v>
      </c>
      <c r="Q9" s="86" t="b">
        <f>IFERROR(Table8[[#This Row],[BEP Quantity]]*Table8[[#This Row],[Unit Profit Margin]]=Table8[[#This Row],[Item Allocated fixed costs (based on % of sales mix)]],FALSE)</f>
        <v>1</v>
      </c>
    </row>
    <row r="10" spans="1:17" hidden="1">
      <c r="A10" s="1">
        <f>'Summary. Assumptions. Inputs'!A50</f>
        <v>0</v>
      </c>
      <c r="B10" s="80">
        <f>'Summary. Assumptions. Inputs'!F50</f>
        <v>0</v>
      </c>
      <c r="C10" s="15">
        <f>IFERROR(VLOOKUP(Table8[[#This Row],[Item Name]],'Production Matrix'!_xlnm.Print_Area,8,0),"0")</f>
        <v>0</v>
      </c>
      <c r="D10" s="15">
        <f>IFERROR('BEP. &amp; Summary Results'!$B10-'BEP. &amp; Summary Results'!$C10,"")</f>
        <v>0</v>
      </c>
      <c r="E10" s="232" t="str">
        <f>IFERROR('BEP. &amp; Summary Results'!$D10/'BEP. &amp; Summary Results'!$B10,"")</f>
        <v/>
      </c>
      <c r="F10" s="7">
        <f>'Sales, Production, &amp; Other Assu'!P23</f>
        <v>0</v>
      </c>
      <c r="G10" s="5">
        <f>'Summary. Assumptions. Inputs'!B50</f>
        <v>0</v>
      </c>
      <c r="H10" s="16">
        <f t="shared" si="3"/>
        <v>0</v>
      </c>
      <c r="I10" s="15">
        <f t="shared" si="4"/>
        <v>0</v>
      </c>
      <c r="J10" s="6">
        <f t="shared" si="0"/>
        <v>0</v>
      </c>
      <c r="K10" s="15">
        <f>'BEP. &amp; Summary Results'!$D10*'BEP. &amp; Summary Results'!$F10</f>
        <v>0</v>
      </c>
      <c r="L10" s="15">
        <f t="shared" si="1"/>
        <v>0</v>
      </c>
      <c r="M10" s="15">
        <f t="shared" si="2"/>
        <v>0</v>
      </c>
      <c r="N10" s="84">
        <f>IFERROR(Table8[[#This Row],[Item Allocated fixed costs (based on % of sales mix)]]/Table8[[#This Row],[% of profit Margin]],0)</f>
        <v>0</v>
      </c>
      <c r="O10" s="85">
        <f>IFERROR(Table8[[#This Row],[BEP In Amounts]]/Table8[[#This Row],[Unit Sales Price]],0)</f>
        <v>0</v>
      </c>
      <c r="P10" s="85">
        <f>'Summary. Assumptions. Inputs'!B50</f>
        <v>0</v>
      </c>
      <c r="Q10" s="86" t="b">
        <f>IFERROR(Table8[[#This Row],[BEP Quantity]]*Table8[[#This Row],[Unit Profit Margin]]=Table8[[#This Row],[Item Allocated fixed costs (based on % of sales mix)]],FALSE)</f>
        <v>1</v>
      </c>
    </row>
    <row r="11" spans="1:17" hidden="1">
      <c r="A11" s="1">
        <f>'Summary. Assumptions. Inputs'!A51</f>
        <v>0</v>
      </c>
      <c r="B11" s="80">
        <f>'Summary. Assumptions. Inputs'!F51</f>
        <v>0</v>
      </c>
      <c r="C11" s="15">
        <f>IFERROR(VLOOKUP(Table8[[#This Row],[Item Name]],'Production Matrix'!_xlnm.Print_Area,8,0),"0")</f>
        <v>0</v>
      </c>
      <c r="D11" s="15">
        <f>IFERROR('BEP. &amp; Summary Results'!$B11-'BEP. &amp; Summary Results'!$C11,"")</f>
        <v>0</v>
      </c>
      <c r="E11" s="232" t="str">
        <f>IFERROR('BEP. &amp; Summary Results'!$D11/'BEP. &amp; Summary Results'!$B11,"")</f>
        <v/>
      </c>
      <c r="F11" s="7">
        <f>'Sales, Production, &amp; Other Assu'!P24</f>
        <v>0</v>
      </c>
      <c r="G11" s="5">
        <f>'Summary. Assumptions. Inputs'!B51</f>
        <v>0</v>
      </c>
      <c r="H11" s="16">
        <f t="shared" si="3"/>
        <v>0</v>
      </c>
      <c r="I11" s="15">
        <f t="shared" si="4"/>
        <v>0</v>
      </c>
      <c r="J11" s="6">
        <f t="shared" si="0"/>
        <v>0</v>
      </c>
      <c r="K11" s="15">
        <f>'BEP. &amp; Summary Results'!$D11*'BEP. &amp; Summary Results'!$F11</f>
        <v>0</v>
      </c>
      <c r="L11" s="15">
        <f t="shared" si="1"/>
        <v>0</v>
      </c>
      <c r="M11" s="15">
        <f t="shared" si="2"/>
        <v>0</v>
      </c>
      <c r="N11" s="84">
        <f>IFERROR(Table8[[#This Row],[Item Allocated fixed costs (based on % of sales mix)]]/Table8[[#This Row],[% of profit Margin]],0)</f>
        <v>0</v>
      </c>
      <c r="O11" s="85">
        <f>IFERROR(Table8[[#This Row],[BEP In Amounts]]/Table8[[#This Row],[Unit Sales Price]],0)</f>
        <v>0</v>
      </c>
      <c r="P11" s="85">
        <f>'Summary. Assumptions. Inputs'!B51</f>
        <v>0</v>
      </c>
      <c r="Q11" s="86" t="b">
        <f>IFERROR(Table8[[#This Row],[BEP Quantity]]*Table8[[#This Row],[Unit Profit Margin]]=Table8[[#This Row],[Item Allocated fixed costs (based on % of sales mix)]],FALSE)</f>
        <v>1</v>
      </c>
    </row>
    <row r="12" spans="1:17" hidden="1">
      <c r="A12" s="1">
        <f>'Summary. Assumptions. Inputs'!A52</f>
        <v>0</v>
      </c>
      <c r="B12" s="80">
        <f>'Summary. Assumptions. Inputs'!F52</f>
        <v>0</v>
      </c>
      <c r="C12" s="15">
        <f>IFERROR(VLOOKUP(Table8[[#This Row],[Item Name]],'Production Matrix'!_xlnm.Print_Area,8,0),"0")</f>
        <v>0</v>
      </c>
      <c r="D12" s="15">
        <f>IFERROR('BEP. &amp; Summary Results'!$B12-'BEP. &amp; Summary Results'!$C12,"")</f>
        <v>0</v>
      </c>
      <c r="E12" s="232" t="str">
        <f>IFERROR('BEP. &amp; Summary Results'!$D12/'BEP. &amp; Summary Results'!$B12,"")</f>
        <v/>
      </c>
      <c r="F12" s="7">
        <f>'Sales, Production, &amp; Other Assu'!P25</f>
        <v>0</v>
      </c>
      <c r="G12" s="5">
        <f>'Summary. Assumptions. Inputs'!B52</f>
        <v>0</v>
      </c>
      <c r="H12" s="16">
        <f t="shared" si="3"/>
        <v>0</v>
      </c>
      <c r="I12" s="15">
        <f t="shared" si="4"/>
        <v>0</v>
      </c>
      <c r="J12" s="6">
        <f t="shared" si="0"/>
        <v>0</v>
      </c>
      <c r="K12" s="15">
        <f>'BEP. &amp; Summary Results'!$D12*'BEP. &amp; Summary Results'!$F12</f>
        <v>0</v>
      </c>
      <c r="L12" s="15">
        <f t="shared" si="1"/>
        <v>0</v>
      </c>
      <c r="M12" s="15">
        <f t="shared" si="2"/>
        <v>0</v>
      </c>
      <c r="N12" s="84">
        <f>IFERROR(Table8[[#This Row],[Item Allocated fixed costs (based on % of sales mix)]]/Table8[[#This Row],[% of profit Margin]],0)</f>
        <v>0</v>
      </c>
      <c r="O12" s="85">
        <f>IFERROR(Table8[[#This Row],[BEP In Amounts]]/Table8[[#This Row],[Unit Sales Price]],0)</f>
        <v>0</v>
      </c>
      <c r="P12" s="85">
        <f>'Summary. Assumptions. Inputs'!B52</f>
        <v>0</v>
      </c>
      <c r="Q12" s="86" t="b">
        <f>IFERROR(Table8[[#This Row],[BEP Quantity]]*Table8[[#This Row],[Unit Profit Margin]]=Table8[[#This Row],[Item Allocated fixed costs (based on % of sales mix)]],FALSE)</f>
        <v>1</v>
      </c>
    </row>
    <row r="13" spans="1:17" hidden="1">
      <c r="A13" s="1">
        <f>'Summary. Assumptions. Inputs'!A53</f>
        <v>0</v>
      </c>
      <c r="B13" s="80">
        <f>'Summary. Assumptions. Inputs'!F53</f>
        <v>0</v>
      </c>
      <c r="C13" s="15">
        <f>IFERROR(VLOOKUP(Table8[[#This Row],[Item Name]],'Production Matrix'!_xlnm.Print_Area,8,0),"0")</f>
        <v>0</v>
      </c>
      <c r="D13" s="15">
        <f>IFERROR('BEP. &amp; Summary Results'!$B13-'BEP. &amp; Summary Results'!$C13,"")</f>
        <v>0</v>
      </c>
      <c r="E13" s="232" t="str">
        <f>IFERROR('BEP. &amp; Summary Results'!$D13/'BEP. &amp; Summary Results'!$B13,"")</f>
        <v/>
      </c>
      <c r="F13" s="7">
        <f>'Sales, Production, &amp; Other Assu'!P26</f>
        <v>0</v>
      </c>
      <c r="G13" s="5">
        <f>'Summary. Assumptions. Inputs'!B53</f>
        <v>0</v>
      </c>
      <c r="H13" s="16">
        <f t="shared" si="3"/>
        <v>0</v>
      </c>
      <c r="I13" s="15">
        <f t="shared" si="4"/>
        <v>0</v>
      </c>
      <c r="J13" s="6">
        <f t="shared" si="0"/>
        <v>0</v>
      </c>
      <c r="K13" s="15">
        <f>'BEP. &amp; Summary Results'!$D13*'BEP. &amp; Summary Results'!$F13</f>
        <v>0</v>
      </c>
      <c r="L13" s="15">
        <f t="shared" si="1"/>
        <v>0</v>
      </c>
      <c r="M13" s="15">
        <f t="shared" si="2"/>
        <v>0</v>
      </c>
      <c r="N13" s="84">
        <f>IFERROR(Table8[[#This Row],[Item Allocated fixed costs (based on % of sales mix)]]/Table8[[#This Row],[% of profit Margin]],0)</f>
        <v>0</v>
      </c>
      <c r="O13" s="85">
        <f>IFERROR(Table8[[#This Row],[BEP In Amounts]]/Table8[[#This Row],[Unit Sales Price]],0)</f>
        <v>0</v>
      </c>
      <c r="P13" s="85">
        <f>'Summary. Assumptions. Inputs'!B53</f>
        <v>0</v>
      </c>
      <c r="Q13" s="86" t="b">
        <f>IFERROR(Table8[[#This Row],[BEP Quantity]]*Table8[[#This Row],[Unit Profit Margin]]=Table8[[#This Row],[Item Allocated fixed costs (based on % of sales mix)]],FALSE)</f>
        <v>1</v>
      </c>
    </row>
    <row r="14" spans="1:17" hidden="1">
      <c r="A14" s="1">
        <f>'Summary. Assumptions. Inputs'!A54</f>
        <v>0</v>
      </c>
      <c r="B14" s="80">
        <f>'Summary. Assumptions. Inputs'!F54</f>
        <v>0</v>
      </c>
      <c r="C14" s="15">
        <f>IFERROR(VLOOKUP(Table8[[#This Row],[Item Name]],'Production Matrix'!_xlnm.Print_Area,8,0),"0")</f>
        <v>0</v>
      </c>
      <c r="D14" s="15">
        <f>IFERROR('BEP. &amp; Summary Results'!$B14-'BEP. &amp; Summary Results'!$C14,"")</f>
        <v>0</v>
      </c>
      <c r="E14" s="232" t="str">
        <f>IFERROR('BEP. &amp; Summary Results'!$D14/'BEP. &amp; Summary Results'!$B14,"")</f>
        <v/>
      </c>
      <c r="F14" s="7">
        <f>'Sales, Production, &amp; Other Assu'!P27</f>
        <v>0</v>
      </c>
      <c r="G14" s="5">
        <f>'Summary. Assumptions. Inputs'!B54</f>
        <v>0</v>
      </c>
      <c r="H14" s="16">
        <f t="shared" si="3"/>
        <v>0</v>
      </c>
      <c r="I14" s="15">
        <f t="shared" si="4"/>
        <v>0</v>
      </c>
      <c r="J14" s="6">
        <f t="shared" si="0"/>
        <v>0</v>
      </c>
      <c r="K14" s="15">
        <f>'BEP. &amp; Summary Results'!$D14*'BEP. &amp; Summary Results'!$F14</f>
        <v>0</v>
      </c>
      <c r="L14" s="15">
        <f t="shared" si="1"/>
        <v>0</v>
      </c>
      <c r="M14" s="15">
        <f t="shared" si="2"/>
        <v>0</v>
      </c>
      <c r="N14" s="84">
        <f>IFERROR(Table8[[#This Row],[Item Allocated fixed costs (based on % of sales mix)]]/Table8[[#This Row],[% of profit Margin]],0)</f>
        <v>0</v>
      </c>
      <c r="O14" s="85">
        <f>IFERROR(Table8[[#This Row],[BEP In Amounts]]/Table8[[#This Row],[Unit Sales Price]],0)</f>
        <v>0</v>
      </c>
      <c r="P14" s="85">
        <f>'Summary. Assumptions. Inputs'!B54</f>
        <v>0</v>
      </c>
      <c r="Q14" s="86" t="b">
        <f>IFERROR(Table8[[#This Row],[BEP Quantity]]*Table8[[#This Row],[Unit Profit Margin]]=Table8[[#This Row],[Item Allocated fixed costs (based on % of sales mix)]],FALSE)</f>
        <v>1</v>
      </c>
    </row>
    <row r="15" spans="1:17" hidden="1">
      <c r="A15" s="1">
        <f>'Summary. Assumptions. Inputs'!A55</f>
        <v>0</v>
      </c>
      <c r="B15" s="80">
        <f>'Summary. Assumptions. Inputs'!F55</f>
        <v>0</v>
      </c>
      <c r="C15" s="15">
        <f>IFERROR(VLOOKUP(Table8[[#This Row],[Item Name]],'Production Matrix'!_xlnm.Print_Area,8,0),"0")</f>
        <v>0</v>
      </c>
      <c r="D15" s="15">
        <f>IFERROR('BEP. &amp; Summary Results'!$B15-'BEP. &amp; Summary Results'!$C15,"")</f>
        <v>0</v>
      </c>
      <c r="E15" s="232" t="str">
        <f>IFERROR('BEP. &amp; Summary Results'!$D15/'BEP. &amp; Summary Results'!$B15,"")</f>
        <v/>
      </c>
      <c r="F15" s="7">
        <f>'Sales, Production, &amp; Other Assu'!P28</f>
        <v>0</v>
      </c>
      <c r="G15" s="5">
        <f>'Summary. Assumptions. Inputs'!B55</f>
        <v>0</v>
      </c>
      <c r="H15" s="16">
        <f t="shared" si="3"/>
        <v>0</v>
      </c>
      <c r="I15" s="15">
        <f t="shared" si="4"/>
        <v>0</v>
      </c>
      <c r="J15" s="6">
        <f t="shared" si="0"/>
        <v>0</v>
      </c>
      <c r="K15" s="15">
        <f>'BEP. &amp; Summary Results'!$D15*'BEP. &amp; Summary Results'!$F15</f>
        <v>0</v>
      </c>
      <c r="L15" s="15">
        <f t="shared" si="1"/>
        <v>0</v>
      </c>
      <c r="M15" s="15">
        <f t="shared" si="2"/>
        <v>0</v>
      </c>
      <c r="N15" s="84">
        <f>IFERROR(Table8[[#This Row],[Item Allocated fixed costs (based on % of sales mix)]]/Table8[[#This Row],[% of profit Margin]],0)</f>
        <v>0</v>
      </c>
      <c r="O15" s="85">
        <f>IFERROR(Table8[[#This Row],[BEP In Amounts]]/Table8[[#This Row],[Unit Sales Price]],0)</f>
        <v>0</v>
      </c>
      <c r="P15" s="85">
        <f>'Summary. Assumptions. Inputs'!B55</f>
        <v>0</v>
      </c>
      <c r="Q15" s="86" t="b">
        <f>IFERROR(Table8[[#This Row],[BEP Quantity]]*Table8[[#This Row],[Unit Profit Margin]]=Table8[[#This Row],[Item Allocated fixed costs (based on % of sales mix)]],FALSE)</f>
        <v>1</v>
      </c>
    </row>
    <row r="16" spans="1:17" hidden="1">
      <c r="A16" s="1">
        <f>'Summary. Assumptions. Inputs'!A56</f>
        <v>0</v>
      </c>
      <c r="B16" s="80">
        <f>'Summary. Assumptions. Inputs'!F56</f>
        <v>0</v>
      </c>
      <c r="C16" s="15">
        <f>IFERROR(VLOOKUP(Table8[[#This Row],[Item Name]],'Production Matrix'!_xlnm.Print_Area,8,0),"0")</f>
        <v>0</v>
      </c>
      <c r="D16" s="15">
        <f>IFERROR('BEP. &amp; Summary Results'!$B16-'BEP. &amp; Summary Results'!$C16,"")</f>
        <v>0</v>
      </c>
      <c r="E16" s="232" t="str">
        <f>IFERROR('BEP. &amp; Summary Results'!$D16/'BEP. &amp; Summary Results'!$B16,"")</f>
        <v/>
      </c>
      <c r="F16" s="7">
        <f>'Sales, Production, &amp; Other Assu'!P29</f>
        <v>0</v>
      </c>
      <c r="G16" s="5">
        <f>'Summary. Assumptions. Inputs'!B56</f>
        <v>0</v>
      </c>
      <c r="H16" s="16">
        <f>B16*F16</f>
        <v>0</v>
      </c>
      <c r="I16" s="15">
        <f>F16*C16</f>
        <v>0</v>
      </c>
      <c r="J16" s="6">
        <f t="shared" si="0"/>
        <v>0</v>
      </c>
      <c r="K16" s="15">
        <f>'BEP. &amp; Summary Results'!$D16*'BEP. &amp; Summary Results'!$F16</f>
        <v>0</v>
      </c>
      <c r="L16" s="15">
        <f t="shared" si="1"/>
        <v>0</v>
      </c>
      <c r="M16" s="15">
        <f t="shared" si="2"/>
        <v>0</v>
      </c>
      <c r="N16" s="84">
        <f>IFERROR(Table8[[#This Row],[Item Allocated fixed costs (based on % of sales mix)]]/Table8[[#This Row],[% of profit Margin]],0)</f>
        <v>0</v>
      </c>
      <c r="O16" s="85">
        <f>IFERROR(Table8[[#This Row],[BEP In Amounts]]/Table8[[#This Row],[Unit Sales Price]],0)</f>
        <v>0</v>
      </c>
      <c r="P16" s="85">
        <f>'Summary. Assumptions. Inputs'!B56</f>
        <v>0</v>
      </c>
      <c r="Q16" s="86" t="b">
        <f>IFERROR(Table8[[#This Row],[BEP Quantity]]*Table8[[#This Row],[Unit Profit Margin]]=Table8[[#This Row],[Item Allocated fixed costs (based on % of sales mix)]],FALSE)</f>
        <v>1</v>
      </c>
    </row>
    <row r="17" spans="1:17" hidden="1">
      <c r="A17" s="1">
        <f>'Summary. Assumptions. Inputs'!A57</f>
        <v>0</v>
      </c>
      <c r="B17" s="80">
        <f>'Summary. Assumptions. Inputs'!F57</f>
        <v>0</v>
      </c>
      <c r="C17" s="15">
        <f>IFERROR(VLOOKUP(Table8[[#This Row],[Item Name]],'Production Matrix'!_xlnm.Print_Area,8,0),"0")</f>
        <v>0</v>
      </c>
      <c r="D17" s="15">
        <f>IFERROR('BEP. &amp; Summary Results'!$B17-'BEP. &amp; Summary Results'!$C17,"")</f>
        <v>0</v>
      </c>
      <c r="E17" s="232" t="str">
        <f>IFERROR('BEP. &amp; Summary Results'!$D17/'BEP. &amp; Summary Results'!$B17,"")</f>
        <v/>
      </c>
      <c r="F17" s="7">
        <f>'Sales, Production, &amp; Other Assu'!P30</f>
        <v>0</v>
      </c>
      <c r="G17" s="5">
        <f>'Summary. Assumptions. Inputs'!B57</f>
        <v>0</v>
      </c>
      <c r="H17" s="16">
        <f>B17*F17</f>
        <v>0</v>
      </c>
      <c r="I17" s="15">
        <f>F17*C17</f>
        <v>0</v>
      </c>
      <c r="J17" s="6">
        <f t="shared" si="0"/>
        <v>0</v>
      </c>
      <c r="K17" s="15">
        <f>'BEP. &amp; Summary Results'!$D17*'BEP. &amp; Summary Results'!$F17</f>
        <v>0</v>
      </c>
      <c r="L17" s="15">
        <f t="shared" si="1"/>
        <v>0</v>
      </c>
      <c r="M17" s="15">
        <f t="shared" si="2"/>
        <v>0</v>
      </c>
      <c r="N17" s="84">
        <f>IFERROR(Table8[[#This Row],[Item Allocated fixed costs (based on % of sales mix)]]/Table8[[#This Row],[% of profit Margin]],0)</f>
        <v>0</v>
      </c>
      <c r="O17" s="85">
        <f>IFERROR(Table8[[#This Row],[BEP In Amounts]]/Table8[[#This Row],[Unit Sales Price]],0)</f>
        <v>0</v>
      </c>
      <c r="P17" s="85">
        <f>'Summary. Assumptions. Inputs'!B57</f>
        <v>0</v>
      </c>
      <c r="Q17" s="86" t="b">
        <f>IFERROR(Table8[[#This Row],[BEP Quantity]]*Table8[[#This Row],[Unit Profit Margin]]=Table8[[#This Row],[Item Allocated fixed costs (based on % of sales mix)]],FALSE)</f>
        <v>1</v>
      </c>
    </row>
    <row r="18" spans="1:17" hidden="1">
      <c r="A18" s="1">
        <f>'Summary. Assumptions. Inputs'!A58</f>
        <v>0</v>
      </c>
      <c r="B18" s="80">
        <f>'Summary. Assumptions. Inputs'!F58</f>
        <v>0</v>
      </c>
      <c r="C18" s="15">
        <f>IFERROR(VLOOKUP(Table8[[#This Row],[Item Name]],'Production Matrix'!_xlnm.Print_Area,8,0),"0")</f>
        <v>0</v>
      </c>
      <c r="D18" s="15">
        <f>IFERROR('BEP. &amp; Summary Results'!$B18-'BEP. &amp; Summary Results'!$C18,"")</f>
        <v>0</v>
      </c>
      <c r="E18" s="232" t="str">
        <f>IFERROR('BEP. &amp; Summary Results'!$D18/'BEP. &amp; Summary Results'!$B18,"")</f>
        <v/>
      </c>
      <c r="F18" s="7">
        <f>'Sales, Production, &amp; Other Assu'!P31</f>
        <v>0</v>
      </c>
      <c r="G18" s="5">
        <f>'Summary. Assumptions. Inputs'!B58</f>
        <v>0</v>
      </c>
      <c r="H18" s="16">
        <f t="shared" ref="H18:H34" si="5">B18*F18</f>
        <v>0</v>
      </c>
      <c r="I18" s="15">
        <f t="shared" ref="I18:I34" si="6">F18*C18</f>
        <v>0</v>
      </c>
      <c r="J18" s="6">
        <f t="shared" si="0"/>
        <v>0</v>
      </c>
      <c r="K18" s="15">
        <f>'BEP. &amp; Summary Results'!$D18*'BEP. &amp; Summary Results'!$F18</f>
        <v>0</v>
      </c>
      <c r="L18" s="15">
        <f t="shared" si="1"/>
        <v>0</v>
      </c>
      <c r="M18" s="15">
        <f t="shared" si="2"/>
        <v>0</v>
      </c>
      <c r="N18" s="84">
        <f>IFERROR(Table8[[#This Row],[Item Allocated fixed costs (based on % of sales mix)]]/Table8[[#This Row],[% of profit Margin]],0)</f>
        <v>0</v>
      </c>
      <c r="O18" s="85">
        <f>IFERROR(Table8[[#This Row],[BEP In Amounts]]/Table8[[#This Row],[Unit Sales Price]],0)</f>
        <v>0</v>
      </c>
      <c r="P18" s="85">
        <f>'Summary. Assumptions. Inputs'!B58</f>
        <v>0</v>
      </c>
      <c r="Q18" s="86" t="b">
        <f>IFERROR(Table8[[#This Row],[BEP Quantity]]*Table8[[#This Row],[Unit Profit Margin]]=Table8[[#This Row],[Item Allocated fixed costs (based on % of sales mix)]],FALSE)</f>
        <v>1</v>
      </c>
    </row>
    <row r="19" spans="1:17" hidden="1">
      <c r="A19" s="1">
        <f>'Summary. Assumptions. Inputs'!A59</f>
        <v>0</v>
      </c>
      <c r="B19" s="80">
        <f>'Summary. Assumptions. Inputs'!F59</f>
        <v>0</v>
      </c>
      <c r="C19" s="15">
        <f>IFERROR(VLOOKUP(Table8[[#This Row],[Item Name]],'Production Matrix'!_xlnm.Print_Area,8,0),"0")</f>
        <v>0</v>
      </c>
      <c r="D19" s="15">
        <f>IFERROR('BEP. &amp; Summary Results'!$B19-'BEP. &amp; Summary Results'!$C19,"")</f>
        <v>0</v>
      </c>
      <c r="E19" s="232" t="str">
        <f>IFERROR('BEP. &amp; Summary Results'!$D19/'BEP. &amp; Summary Results'!$B19,"")</f>
        <v/>
      </c>
      <c r="F19" s="7">
        <f>'Sales, Production, &amp; Other Assu'!P32</f>
        <v>0</v>
      </c>
      <c r="G19" s="5">
        <f>'Summary. Assumptions. Inputs'!B59</f>
        <v>0</v>
      </c>
      <c r="H19" s="16">
        <f t="shared" si="5"/>
        <v>0</v>
      </c>
      <c r="I19" s="15">
        <f t="shared" si="6"/>
        <v>0</v>
      </c>
      <c r="J19" s="6">
        <f t="shared" si="0"/>
        <v>0</v>
      </c>
      <c r="K19" s="15">
        <f>'BEP. &amp; Summary Results'!$D19*'BEP. &amp; Summary Results'!$F19</f>
        <v>0</v>
      </c>
      <c r="L19" s="15">
        <f t="shared" si="1"/>
        <v>0</v>
      </c>
      <c r="M19" s="15">
        <f t="shared" si="2"/>
        <v>0</v>
      </c>
      <c r="N19" s="84">
        <f>IFERROR(Table8[[#This Row],[Item Allocated fixed costs (based on % of sales mix)]]/Table8[[#This Row],[% of profit Margin]],0)</f>
        <v>0</v>
      </c>
      <c r="O19" s="85">
        <f>IFERROR(Table8[[#This Row],[BEP In Amounts]]/Table8[[#This Row],[Unit Sales Price]],0)</f>
        <v>0</v>
      </c>
      <c r="P19" s="85">
        <f>'Summary. Assumptions. Inputs'!B59</f>
        <v>0</v>
      </c>
      <c r="Q19" s="86" t="b">
        <f>IFERROR(Table8[[#This Row],[BEP Quantity]]*Table8[[#This Row],[Unit Profit Margin]]=Table8[[#This Row],[Item Allocated fixed costs (based on % of sales mix)]],FALSE)</f>
        <v>1</v>
      </c>
    </row>
    <row r="20" spans="1:17" hidden="1">
      <c r="A20" s="1">
        <f>'Summary. Assumptions. Inputs'!A60</f>
        <v>0</v>
      </c>
      <c r="B20" s="80">
        <f>'Summary. Assumptions. Inputs'!F60</f>
        <v>0</v>
      </c>
      <c r="C20" s="15">
        <f>IFERROR(VLOOKUP(Table8[[#This Row],[Item Name]],'Production Matrix'!_xlnm.Print_Area,8,0),"0")</f>
        <v>0</v>
      </c>
      <c r="D20" s="15">
        <f>IFERROR('BEP. &amp; Summary Results'!$B20-'BEP. &amp; Summary Results'!$C20,"")</f>
        <v>0</v>
      </c>
      <c r="E20" s="232" t="str">
        <f>IFERROR('BEP. &amp; Summary Results'!$D20/'BEP. &amp; Summary Results'!$B20,"")</f>
        <v/>
      </c>
      <c r="F20" s="7">
        <f>'Sales, Production, &amp; Other Assu'!P33</f>
        <v>0</v>
      </c>
      <c r="G20" s="5">
        <f>'Summary. Assumptions. Inputs'!B60</f>
        <v>0</v>
      </c>
      <c r="H20" s="16">
        <f t="shared" si="5"/>
        <v>0</v>
      </c>
      <c r="I20" s="15">
        <f t="shared" si="6"/>
        <v>0</v>
      </c>
      <c r="J20" s="6">
        <f t="shared" si="0"/>
        <v>0</v>
      </c>
      <c r="K20" s="15">
        <f>'BEP. &amp; Summary Results'!$D20*'BEP. &amp; Summary Results'!$F20</f>
        <v>0</v>
      </c>
      <c r="L20" s="15">
        <f t="shared" si="1"/>
        <v>0</v>
      </c>
      <c r="M20" s="15">
        <f t="shared" si="2"/>
        <v>0</v>
      </c>
      <c r="N20" s="84">
        <f>IFERROR(Table8[[#This Row],[Item Allocated fixed costs (based on % of sales mix)]]/Table8[[#This Row],[% of profit Margin]],0)</f>
        <v>0</v>
      </c>
      <c r="O20" s="85">
        <f>IFERROR(Table8[[#This Row],[BEP In Amounts]]/Table8[[#This Row],[Unit Sales Price]],0)</f>
        <v>0</v>
      </c>
      <c r="P20" s="85">
        <f>'Summary. Assumptions. Inputs'!B60</f>
        <v>0</v>
      </c>
      <c r="Q20" s="86" t="b">
        <f>IFERROR(Table8[[#This Row],[BEP Quantity]]*Table8[[#This Row],[Unit Profit Margin]]=Table8[[#This Row],[Item Allocated fixed costs (based on % of sales mix)]],FALSE)</f>
        <v>1</v>
      </c>
    </row>
    <row r="21" spans="1:17" hidden="1">
      <c r="A21" s="1">
        <f>'Summary. Assumptions. Inputs'!A61</f>
        <v>0</v>
      </c>
      <c r="B21" s="80">
        <f>'Summary. Assumptions. Inputs'!F61</f>
        <v>0</v>
      </c>
      <c r="C21" s="15">
        <f>IFERROR(VLOOKUP(Table8[[#This Row],[Item Name]],'Production Matrix'!_xlnm.Print_Area,8,0),"0")</f>
        <v>0</v>
      </c>
      <c r="D21" s="15">
        <f>IFERROR('BEP. &amp; Summary Results'!$B21-'BEP. &amp; Summary Results'!$C21,"")</f>
        <v>0</v>
      </c>
      <c r="E21" s="232" t="str">
        <f>IFERROR('BEP. &amp; Summary Results'!$D21/'BEP. &amp; Summary Results'!$B21,"")</f>
        <v/>
      </c>
      <c r="F21" s="7">
        <f>'Sales, Production, &amp; Other Assu'!P34</f>
        <v>0</v>
      </c>
      <c r="G21" s="5">
        <f>'Summary. Assumptions. Inputs'!B61</f>
        <v>0</v>
      </c>
      <c r="H21" s="16">
        <f t="shared" si="5"/>
        <v>0</v>
      </c>
      <c r="I21" s="15">
        <f t="shared" si="6"/>
        <v>0</v>
      </c>
      <c r="J21" s="6">
        <f t="shared" si="0"/>
        <v>0</v>
      </c>
      <c r="K21" s="15">
        <f>'BEP. &amp; Summary Results'!$D21*'BEP. &amp; Summary Results'!$F21</f>
        <v>0</v>
      </c>
      <c r="L21" s="15">
        <f t="shared" si="1"/>
        <v>0</v>
      </c>
      <c r="M21" s="15">
        <f t="shared" si="2"/>
        <v>0</v>
      </c>
      <c r="N21" s="84">
        <f>IFERROR(Table8[[#This Row],[Item Allocated fixed costs (based on % of sales mix)]]/Table8[[#This Row],[% of profit Margin]],0)</f>
        <v>0</v>
      </c>
      <c r="O21" s="85">
        <f>IFERROR(Table8[[#This Row],[BEP In Amounts]]/Table8[[#This Row],[Unit Sales Price]],0)</f>
        <v>0</v>
      </c>
      <c r="P21" s="85">
        <f>'Summary. Assumptions. Inputs'!B61</f>
        <v>0</v>
      </c>
      <c r="Q21" s="86" t="b">
        <f>IFERROR(Table8[[#This Row],[BEP Quantity]]*Table8[[#This Row],[Unit Profit Margin]]=Table8[[#This Row],[Item Allocated fixed costs (based on % of sales mix)]],FALSE)</f>
        <v>1</v>
      </c>
    </row>
    <row r="22" spans="1:17" hidden="1">
      <c r="A22" s="1">
        <f>'Summary. Assumptions. Inputs'!A62</f>
        <v>0</v>
      </c>
      <c r="B22" s="80">
        <f>'Summary. Assumptions. Inputs'!F62</f>
        <v>0</v>
      </c>
      <c r="C22" s="15">
        <f>IFERROR(VLOOKUP(Table8[[#This Row],[Item Name]],'Production Matrix'!_xlnm.Print_Area,8,0),"0")</f>
        <v>0</v>
      </c>
      <c r="D22" s="15">
        <f>IFERROR('BEP. &amp; Summary Results'!$B22-'BEP. &amp; Summary Results'!$C22,"")</f>
        <v>0</v>
      </c>
      <c r="E22" s="232" t="str">
        <f>IFERROR('BEP. &amp; Summary Results'!$D22/'BEP. &amp; Summary Results'!$B22,"")</f>
        <v/>
      </c>
      <c r="F22" s="7">
        <f>'Sales, Production, &amp; Other Assu'!P35</f>
        <v>0</v>
      </c>
      <c r="G22" s="5">
        <f>'Summary. Assumptions. Inputs'!B62</f>
        <v>0</v>
      </c>
      <c r="H22" s="16">
        <f t="shared" si="5"/>
        <v>0</v>
      </c>
      <c r="I22" s="15">
        <f t="shared" si="6"/>
        <v>0</v>
      </c>
      <c r="J22" s="6">
        <f t="shared" si="0"/>
        <v>0</v>
      </c>
      <c r="K22" s="15">
        <f>'BEP. &amp; Summary Results'!$D22*'BEP. &amp; Summary Results'!$F22</f>
        <v>0</v>
      </c>
      <c r="L22" s="15">
        <f t="shared" si="1"/>
        <v>0</v>
      </c>
      <c r="M22" s="15">
        <f t="shared" si="2"/>
        <v>0</v>
      </c>
      <c r="N22" s="84">
        <f>IFERROR(Table8[[#This Row],[Item Allocated fixed costs (based on % of sales mix)]]/Table8[[#This Row],[% of profit Margin]],0)</f>
        <v>0</v>
      </c>
      <c r="O22" s="85">
        <f>IFERROR(Table8[[#This Row],[BEP In Amounts]]/Table8[[#This Row],[Unit Sales Price]],0)</f>
        <v>0</v>
      </c>
      <c r="P22" s="85">
        <f>'Summary. Assumptions. Inputs'!B62</f>
        <v>0</v>
      </c>
      <c r="Q22" s="86" t="b">
        <f>IFERROR(Table8[[#This Row],[BEP Quantity]]*Table8[[#This Row],[Unit Profit Margin]]=Table8[[#This Row],[Item Allocated fixed costs (based on % of sales mix)]],FALSE)</f>
        <v>1</v>
      </c>
    </row>
    <row r="23" spans="1:17" hidden="1">
      <c r="A23" s="1">
        <f>'Summary. Assumptions. Inputs'!A63</f>
        <v>0</v>
      </c>
      <c r="B23" s="80">
        <f>'Summary. Assumptions. Inputs'!F63</f>
        <v>0</v>
      </c>
      <c r="C23" s="15">
        <f>IFERROR(VLOOKUP(Table8[[#This Row],[Item Name]],'Production Matrix'!_xlnm.Print_Area,8,0),"0")</f>
        <v>0</v>
      </c>
      <c r="D23" s="15">
        <f>IFERROR('BEP. &amp; Summary Results'!$B23-'BEP. &amp; Summary Results'!$C23,"")</f>
        <v>0</v>
      </c>
      <c r="E23" s="232" t="str">
        <f>IFERROR('BEP. &amp; Summary Results'!$D23/'BEP. &amp; Summary Results'!$B23,"")</f>
        <v/>
      </c>
      <c r="F23" s="7">
        <f>'Sales, Production, &amp; Other Assu'!P36</f>
        <v>0</v>
      </c>
      <c r="G23" s="5">
        <f>'Summary. Assumptions. Inputs'!B63</f>
        <v>0</v>
      </c>
      <c r="H23" s="16">
        <f t="shared" si="5"/>
        <v>0</v>
      </c>
      <c r="I23" s="15">
        <f t="shared" si="6"/>
        <v>0</v>
      </c>
      <c r="J23" s="6">
        <f t="shared" si="0"/>
        <v>0</v>
      </c>
      <c r="K23" s="15">
        <f>'BEP. &amp; Summary Results'!$D23*'BEP. &amp; Summary Results'!$F23</f>
        <v>0</v>
      </c>
      <c r="L23" s="15">
        <f t="shared" si="1"/>
        <v>0</v>
      </c>
      <c r="M23" s="15">
        <f t="shared" si="2"/>
        <v>0</v>
      </c>
      <c r="N23" s="84">
        <f>IFERROR(Table8[[#This Row],[Item Allocated fixed costs (based on % of sales mix)]]/Table8[[#This Row],[% of profit Margin]],0)</f>
        <v>0</v>
      </c>
      <c r="O23" s="85">
        <f>IFERROR(Table8[[#This Row],[BEP In Amounts]]/Table8[[#This Row],[Unit Sales Price]],0)</f>
        <v>0</v>
      </c>
      <c r="P23" s="85">
        <f>'Summary. Assumptions. Inputs'!B63</f>
        <v>0</v>
      </c>
      <c r="Q23" s="86" t="b">
        <f>IFERROR(Table8[[#This Row],[BEP Quantity]]*Table8[[#This Row],[Unit Profit Margin]]=Table8[[#This Row],[Item Allocated fixed costs (based on % of sales mix)]],FALSE)</f>
        <v>1</v>
      </c>
    </row>
    <row r="24" spans="1:17" hidden="1">
      <c r="A24" s="1">
        <f>'Summary. Assumptions. Inputs'!A64</f>
        <v>0</v>
      </c>
      <c r="B24" s="80">
        <f>'Summary. Assumptions. Inputs'!F64</f>
        <v>0</v>
      </c>
      <c r="C24" s="15">
        <f>IFERROR(VLOOKUP(Table8[[#This Row],[Item Name]],'Production Matrix'!_xlnm.Print_Area,8,0),"0")</f>
        <v>0</v>
      </c>
      <c r="D24" s="15">
        <f>IFERROR('BEP. &amp; Summary Results'!$B24-'BEP. &amp; Summary Results'!$C24,"")</f>
        <v>0</v>
      </c>
      <c r="E24" s="232" t="str">
        <f>IFERROR('BEP. &amp; Summary Results'!$D24/'BEP. &amp; Summary Results'!$B24,"")</f>
        <v/>
      </c>
      <c r="F24" s="7">
        <f>'Sales, Production, &amp; Other Assu'!P37</f>
        <v>0</v>
      </c>
      <c r="G24" s="5">
        <f>'Summary. Assumptions. Inputs'!B64</f>
        <v>0</v>
      </c>
      <c r="H24" s="16">
        <f t="shared" si="5"/>
        <v>0</v>
      </c>
      <c r="I24" s="15">
        <f t="shared" si="6"/>
        <v>0</v>
      </c>
      <c r="J24" s="6">
        <f t="shared" si="0"/>
        <v>0</v>
      </c>
      <c r="K24" s="15">
        <f>'BEP. &amp; Summary Results'!$D24*'BEP. &amp; Summary Results'!$F24</f>
        <v>0</v>
      </c>
      <c r="L24" s="15">
        <f t="shared" si="1"/>
        <v>0</v>
      </c>
      <c r="M24" s="15">
        <f t="shared" si="2"/>
        <v>0</v>
      </c>
      <c r="N24" s="84">
        <f>IFERROR(Table8[[#This Row],[Item Allocated fixed costs (based on % of sales mix)]]/Table8[[#This Row],[% of profit Margin]],0)</f>
        <v>0</v>
      </c>
      <c r="O24" s="85">
        <f>IFERROR(Table8[[#This Row],[BEP In Amounts]]/Table8[[#This Row],[Unit Sales Price]],0)</f>
        <v>0</v>
      </c>
      <c r="P24" s="85">
        <f>'Summary. Assumptions. Inputs'!B64</f>
        <v>0</v>
      </c>
      <c r="Q24" s="86" t="b">
        <f>IFERROR(Table8[[#This Row],[BEP Quantity]]*Table8[[#This Row],[Unit Profit Margin]]=Table8[[#This Row],[Item Allocated fixed costs (based on % of sales mix)]],FALSE)</f>
        <v>1</v>
      </c>
    </row>
    <row r="25" spans="1:17" hidden="1">
      <c r="A25" s="1">
        <f>'Summary. Assumptions. Inputs'!A65</f>
        <v>0</v>
      </c>
      <c r="B25" s="80">
        <f>'Summary. Assumptions. Inputs'!F65</f>
        <v>0</v>
      </c>
      <c r="C25" s="15">
        <f>IFERROR(VLOOKUP(Table8[[#This Row],[Item Name]],'Production Matrix'!_xlnm.Print_Area,8,0),"0")</f>
        <v>0</v>
      </c>
      <c r="D25" s="15">
        <f>IFERROR('BEP. &amp; Summary Results'!$B25-'BEP. &amp; Summary Results'!$C25,"")</f>
        <v>0</v>
      </c>
      <c r="E25" s="232" t="str">
        <f>IFERROR('BEP. &amp; Summary Results'!$D25/'BEP. &amp; Summary Results'!$B25,"")</f>
        <v/>
      </c>
      <c r="F25" s="7">
        <f>'Sales, Production, &amp; Other Assu'!P38</f>
        <v>0</v>
      </c>
      <c r="G25" s="5">
        <f>'Summary. Assumptions. Inputs'!B65</f>
        <v>0</v>
      </c>
      <c r="H25" s="16">
        <f t="shared" si="5"/>
        <v>0</v>
      </c>
      <c r="I25" s="15">
        <f t="shared" si="6"/>
        <v>0</v>
      </c>
      <c r="J25" s="6">
        <f t="shared" si="0"/>
        <v>0</v>
      </c>
      <c r="K25" s="15">
        <f>'BEP. &amp; Summary Results'!$D25*'BEP. &amp; Summary Results'!$F25</f>
        <v>0</v>
      </c>
      <c r="L25" s="15">
        <f t="shared" si="1"/>
        <v>0</v>
      </c>
      <c r="M25" s="15">
        <f t="shared" si="2"/>
        <v>0</v>
      </c>
      <c r="N25" s="84">
        <f>IFERROR(Table8[[#This Row],[Item Allocated fixed costs (based on % of sales mix)]]/Table8[[#This Row],[% of profit Margin]],0)</f>
        <v>0</v>
      </c>
      <c r="O25" s="85">
        <f>IFERROR(Table8[[#This Row],[BEP In Amounts]]/Table8[[#This Row],[Unit Sales Price]],0)</f>
        <v>0</v>
      </c>
      <c r="P25" s="85">
        <f>'Summary. Assumptions. Inputs'!B65</f>
        <v>0</v>
      </c>
      <c r="Q25" s="86" t="b">
        <f>IFERROR(Table8[[#This Row],[BEP Quantity]]*Table8[[#This Row],[Unit Profit Margin]]=Table8[[#This Row],[Item Allocated fixed costs (based on % of sales mix)]],FALSE)</f>
        <v>1</v>
      </c>
    </row>
    <row r="26" spans="1:17" hidden="1">
      <c r="A26" s="1">
        <f>'Summary. Assumptions. Inputs'!A66</f>
        <v>0</v>
      </c>
      <c r="B26" s="80">
        <f>'Summary. Assumptions. Inputs'!F66</f>
        <v>0</v>
      </c>
      <c r="C26" s="15">
        <f>IFERROR(VLOOKUP(Table8[[#This Row],[Item Name]],'Production Matrix'!_xlnm.Print_Area,8,0),"0")</f>
        <v>0</v>
      </c>
      <c r="D26" s="15">
        <f>IFERROR('BEP. &amp; Summary Results'!$B26-'BEP. &amp; Summary Results'!$C26,"")</f>
        <v>0</v>
      </c>
      <c r="E26" s="232" t="str">
        <f>IFERROR('BEP. &amp; Summary Results'!$D26/'BEP. &amp; Summary Results'!$B26,"")</f>
        <v/>
      </c>
      <c r="F26" s="7">
        <f>'Sales, Production, &amp; Other Assu'!P39</f>
        <v>0</v>
      </c>
      <c r="G26" s="5">
        <f>'Summary. Assumptions. Inputs'!B66</f>
        <v>0</v>
      </c>
      <c r="H26" s="16">
        <f t="shared" si="5"/>
        <v>0</v>
      </c>
      <c r="I26" s="15">
        <f t="shared" si="6"/>
        <v>0</v>
      </c>
      <c r="J26" s="6">
        <f t="shared" si="0"/>
        <v>0</v>
      </c>
      <c r="K26" s="15">
        <f>'BEP. &amp; Summary Results'!$D26*'BEP. &amp; Summary Results'!$F26</f>
        <v>0</v>
      </c>
      <c r="L26" s="15">
        <f t="shared" si="1"/>
        <v>0</v>
      </c>
      <c r="M26" s="15">
        <f t="shared" si="2"/>
        <v>0</v>
      </c>
      <c r="N26" s="84">
        <f>IFERROR(Table8[[#This Row],[Item Allocated fixed costs (based on % of sales mix)]]/Table8[[#This Row],[% of profit Margin]],0)</f>
        <v>0</v>
      </c>
      <c r="O26" s="85">
        <f>IFERROR(Table8[[#This Row],[BEP In Amounts]]/Table8[[#This Row],[Unit Sales Price]],0)</f>
        <v>0</v>
      </c>
      <c r="P26" s="85">
        <f>'Summary. Assumptions. Inputs'!B66</f>
        <v>0</v>
      </c>
      <c r="Q26" s="86" t="b">
        <f>IFERROR(Table8[[#This Row],[BEP Quantity]]*Table8[[#This Row],[Unit Profit Margin]]=Table8[[#This Row],[Item Allocated fixed costs (based on % of sales mix)]],FALSE)</f>
        <v>1</v>
      </c>
    </row>
    <row r="27" spans="1:17" hidden="1">
      <c r="A27" s="1">
        <f>'Summary. Assumptions. Inputs'!A67</f>
        <v>0</v>
      </c>
      <c r="B27" s="80">
        <f>'Summary. Assumptions. Inputs'!F67</f>
        <v>0</v>
      </c>
      <c r="C27" s="15">
        <f>IFERROR(VLOOKUP(Table8[[#This Row],[Item Name]],'Production Matrix'!_xlnm.Print_Area,8,0),"0")</f>
        <v>0</v>
      </c>
      <c r="D27" s="15">
        <f>IFERROR('BEP. &amp; Summary Results'!$B27-'BEP. &amp; Summary Results'!$C27,"")</f>
        <v>0</v>
      </c>
      <c r="E27" s="232" t="str">
        <f>IFERROR('BEP. &amp; Summary Results'!$D27/'BEP. &amp; Summary Results'!$B27,"")</f>
        <v/>
      </c>
      <c r="F27" s="7">
        <f>'Sales, Production, &amp; Other Assu'!P40</f>
        <v>0</v>
      </c>
      <c r="G27" s="5">
        <f>'Summary. Assumptions. Inputs'!B67</f>
        <v>0</v>
      </c>
      <c r="H27" s="16">
        <f t="shared" si="5"/>
        <v>0</v>
      </c>
      <c r="I27" s="15">
        <f t="shared" si="6"/>
        <v>0</v>
      </c>
      <c r="J27" s="6">
        <f t="shared" si="0"/>
        <v>0</v>
      </c>
      <c r="K27" s="15">
        <f>'BEP. &amp; Summary Results'!$D27*'BEP. &amp; Summary Results'!$F27</f>
        <v>0</v>
      </c>
      <c r="L27" s="15">
        <f t="shared" si="1"/>
        <v>0</v>
      </c>
      <c r="M27" s="15">
        <f t="shared" si="2"/>
        <v>0</v>
      </c>
      <c r="N27" s="84">
        <f>IFERROR(Table8[[#This Row],[Item Allocated fixed costs (based on % of sales mix)]]/Table8[[#This Row],[% of profit Margin]],0)</f>
        <v>0</v>
      </c>
      <c r="O27" s="85">
        <f>IFERROR(Table8[[#This Row],[BEP In Amounts]]/Table8[[#This Row],[Unit Sales Price]],0)</f>
        <v>0</v>
      </c>
      <c r="P27" s="85">
        <f>'Summary. Assumptions. Inputs'!B67</f>
        <v>0</v>
      </c>
      <c r="Q27" s="86" t="b">
        <f>IFERROR(Table8[[#This Row],[BEP Quantity]]*Table8[[#This Row],[Unit Profit Margin]]=Table8[[#This Row],[Item Allocated fixed costs (based on % of sales mix)]],FALSE)</f>
        <v>1</v>
      </c>
    </row>
    <row r="28" spans="1:17" hidden="1">
      <c r="A28" s="1">
        <f>'Summary. Assumptions. Inputs'!A68</f>
        <v>0</v>
      </c>
      <c r="B28" s="80">
        <f>'Summary. Assumptions. Inputs'!F68</f>
        <v>0</v>
      </c>
      <c r="C28" s="15">
        <f>IFERROR(VLOOKUP(Table8[[#This Row],[Item Name]],'Production Matrix'!_xlnm.Print_Area,8,0),"0")</f>
        <v>0</v>
      </c>
      <c r="D28" s="15">
        <f>IFERROR('BEP. &amp; Summary Results'!$B28-'BEP. &amp; Summary Results'!$C28,"")</f>
        <v>0</v>
      </c>
      <c r="E28" s="232" t="str">
        <f>IFERROR('BEP. &amp; Summary Results'!$D28/'BEP. &amp; Summary Results'!$B28,"")</f>
        <v/>
      </c>
      <c r="F28" s="7">
        <f>'Sales, Production, &amp; Other Assu'!P41</f>
        <v>0</v>
      </c>
      <c r="G28" s="5">
        <f>'Summary. Assumptions. Inputs'!B68</f>
        <v>0</v>
      </c>
      <c r="H28" s="16">
        <f t="shared" si="5"/>
        <v>0</v>
      </c>
      <c r="I28" s="15">
        <f t="shared" si="6"/>
        <v>0</v>
      </c>
      <c r="J28" s="6">
        <f t="shared" si="0"/>
        <v>0</v>
      </c>
      <c r="K28" s="15">
        <f>'BEP. &amp; Summary Results'!$D28*'BEP. &amp; Summary Results'!$F28</f>
        <v>0</v>
      </c>
      <c r="L28" s="15">
        <f t="shared" si="1"/>
        <v>0</v>
      </c>
      <c r="M28" s="15">
        <f t="shared" si="2"/>
        <v>0</v>
      </c>
      <c r="N28" s="84">
        <f>IFERROR(Table8[[#This Row],[Item Allocated fixed costs (based on % of sales mix)]]/Table8[[#This Row],[% of profit Margin]],0)</f>
        <v>0</v>
      </c>
      <c r="O28" s="85">
        <f>IFERROR(Table8[[#This Row],[BEP In Amounts]]/Table8[[#This Row],[Unit Sales Price]],0)</f>
        <v>0</v>
      </c>
      <c r="P28" s="85">
        <f>'Summary. Assumptions. Inputs'!B68</f>
        <v>0</v>
      </c>
      <c r="Q28" s="86" t="b">
        <f>IFERROR(Table8[[#This Row],[BEP Quantity]]*Table8[[#This Row],[Unit Profit Margin]]=Table8[[#This Row],[Item Allocated fixed costs (based on % of sales mix)]],FALSE)</f>
        <v>1</v>
      </c>
    </row>
    <row r="29" spans="1:17" hidden="1">
      <c r="A29" s="1">
        <f>'Summary. Assumptions. Inputs'!A69</f>
        <v>0</v>
      </c>
      <c r="B29" s="80">
        <f>'Summary. Assumptions. Inputs'!F69</f>
        <v>0</v>
      </c>
      <c r="C29" s="15">
        <f>IFERROR(VLOOKUP(Table8[[#This Row],[Item Name]],'Production Matrix'!_xlnm.Print_Area,8,0),"0")</f>
        <v>0</v>
      </c>
      <c r="D29" s="15">
        <f>IFERROR('BEP. &amp; Summary Results'!$B29-'BEP. &amp; Summary Results'!$C29,"")</f>
        <v>0</v>
      </c>
      <c r="E29" s="232" t="str">
        <f>IFERROR('BEP. &amp; Summary Results'!$D29/'BEP. &amp; Summary Results'!$B29,"")</f>
        <v/>
      </c>
      <c r="F29" s="7">
        <f>'Sales, Production, &amp; Other Assu'!P42</f>
        <v>0</v>
      </c>
      <c r="G29" s="5">
        <f>'Summary. Assumptions. Inputs'!B69</f>
        <v>0</v>
      </c>
      <c r="H29" s="16">
        <f t="shared" si="5"/>
        <v>0</v>
      </c>
      <c r="I29" s="15">
        <f t="shared" si="6"/>
        <v>0</v>
      </c>
      <c r="J29" s="6">
        <f t="shared" si="0"/>
        <v>0</v>
      </c>
      <c r="K29" s="15">
        <f>'BEP. &amp; Summary Results'!$D29*'BEP. &amp; Summary Results'!$F29</f>
        <v>0</v>
      </c>
      <c r="L29" s="15">
        <f t="shared" si="1"/>
        <v>0</v>
      </c>
      <c r="M29" s="15">
        <f t="shared" si="2"/>
        <v>0</v>
      </c>
      <c r="N29" s="84">
        <f>IFERROR(Table8[[#This Row],[Item Allocated fixed costs (based on % of sales mix)]]/Table8[[#This Row],[% of profit Margin]],0)</f>
        <v>0</v>
      </c>
      <c r="O29" s="85">
        <f>IFERROR(Table8[[#This Row],[BEP In Amounts]]/Table8[[#This Row],[Unit Sales Price]],0)</f>
        <v>0</v>
      </c>
      <c r="P29" s="85">
        <f>'Summary. Assumptions. Inputs'!B69</f>
        <v>0</v>
      </c>
      <c r="Q29" s="86" t="b">
        <f>IFERROR(Table8[[#This Row],[BEP Quantity]]*Table8[[#This Row],[Unit Profit Margin]]=Table8[[#This Row],[Item Allocated fixed costs (based on % of sales mix)]],FALSE)</f>
        <v>1</v>
      </c>
    </row>
    <row r="30" spans="1:17" hidden="1">
      <c r="A30" s="1">
        <f>'Summary. Assumptions. Inputs'!A70</f>
        <v>0</v>
      </c>
      <c r="B30" s="80">
        <f>'Summary. Assumptions. Inputs'!F70</f>
        <v>0</v>
      </c>
      <c r="C30" s="15">
        <f>IFERROR(VLOOKUP(Table8[[#This Row],[Item Name]],'Production Matrix'!_xlnm.Print_Area,8,0),"0")</f>
        <v>0</v>
      </c>
      <c r="D30" s="15">
        <f>IFERROR('BEP. &amp; Summary Results'!$B30-'BEP. &amp; Summary Results'!$C30,"")</f>
        <v>0</v>
      </c>
      <c r="E30" s="232" t="str">
        <f>IFERROR('BEP. &amp; Summary Results'!$D30/'BEP. &amp; Summary Results'!$B30,"")</f>
        <v/>
      </c>
      <c r="F30" s="7">
        <f>'Sales, Production, &amp; Other Assu'!P43</f>
        <v>0</v>
      </c>
      <c r="G30" s="5">
        <f>'Summary. Assumptions. Inputs'!B70</f>
        <v>0</v>
      </c>
      <c r="H30" s="16">
        <f t="shared" si="5"/>
        <v>0</v>
      </c>
      <c r="I30" s="15">
        <f t="shared" si="6"/>
        <v>0</v>
      </c>
      <c r="J30" s="6">
        <f t="shared" si="0"/>
        <v>0</v>
      </c>
      <c r="K30" s="15">
        <f>'BEP. &amp; Summary Results'!$D30*'BEP. &amp; Summary Results'!$F30</f>
        <v>0</v>
      </c>
      <c r="L30" s="15">
        <f t="shared" si="1"/>
        <v>0</v>
      </c>
      <c r="M30" s="15">
        <f t="shared" si="2"/>
        <v>0</v>
      </c>
      <c r="N30" s="84">
        <f>IFERROR(Table8[[#This Row],[Item Allocated fixed costs (based on % of sales mix)]]/Table8[[#This Row],[% of profit Margin]],0)</f>
        <v>0</v>
      </c>
      <c r="O30" s="85">
        <f>IFERROR(Table8[[#This Row],[BEP In Amounts]]/Table8[[#This Row],[Unit Sales Price]],0)</f>
        <v>0</v>
      </c>
      <c r="P30" s="85">
        <f>'Summary. Assumptions. Inputs'!B70</f>
        <v>0</v>
      </c>
      <c r="Q30" s="86" t="b">
        <f>IFERROR(Table8[[#This Row],[BEP Quantity]]*Table8[[#This Row],[Unit Profit Margin]]=Table8[[#This Row],[Item Allocated fixed costs (based on % of sales mix)]],FALSE)</f>
        <v>1</v>
      </c>
    </row>
    <row r="31" spans="1:17" hidden="1">
      <c r="A31" s="1">
        <f>'Summary. Assumptions. Inputs'!A71</f>
        <v>0</v>
      </c>
      <c r="B31" s="80">
        <f>'Summary. Assumptions. Inputs'!F71</f>
        <v>0</v>
      </c>
      <c r="C31" s="15">
        <f>IFERROR(VLOOKUP(Table8[[#This Row],[Item Name]],'Production Matrix'!_xlnm.Print_Area,8,0),"0")</f>
        <v>0</v>
      </c>
      <c r="D31" s="15">
        <f>IFERROR('BEP. &amp; Summary Results'!$B31-'BEP. &amp; Summary Results'!$C31,"")</f>
        <v>0</v>
      </c>
      <c r="E31" s="232" t="str">
        <f>IFERROR('BEP. &amp; Summary Results'!$D31/'BEP. &amp; Summary Results'!$B31,"")</f>
        <v/>
      </c>
      <c r="F31" s="7">
        <f>'Sales, Production, &amp; Other Assu'!P44</f>
        <v>0</v>
      </c>
      <c r="G31" s="5">
        <f>'Summary. Assumptions. Inputs'!B71</f>
        <v>0</v>
      </c>
      <c r="H31" s="16">
        <f t="shared" si="5"/>
        <v>0</v>
      </c>
      <c r="I31" s="15">
        <f t="shared" si="6"/>
        <v>0</v>
      </c>
      <c r="J31" s="6">
        <f t="shared" si="0"/>
        <v>0</v>
      </c>
      <c r="K31" s="15">
        <f>'BEP. &amp; Summary Results'!$D31*'BEP. &amp; Summary Results'!$F31</f>
        <v>0</v>
      </c>
      <c r="L31" s="15">
        <f t="shared" si="1"/>
        <v>0</v>
      </c>
      <c r="M31" s="15">
        <f t="shared" si="2"/>
        <v>0</v>
      </c>
      <c r="N31" s="84">
        <f>IFERROR(Table8[[#This Row],[Item Allocated fixed costs (based on % of sales mix)]]/Table8[[#This Row],[% of profit Margin]],0)</f>
        <v>0</v>
      </c>
      <c r="O31" s="85">
        <f>IFERROR(Table8[[#This Row],[BEP In Amounts]]/Table8[[#This Row],[Unit Sales Price]],0)</f>
        <v>0</v>
      </c>
      <c r="P31" s="85">
        <f>'Summary. Assumptions. Inputs'!B71</f>
        <v>0</v>
      </c>
      <c r="Q31" s="86" t="b">
        <f>IFERROR(Table8[[#This Row],[BEP Quantity]]*Table8[[#This Row],[Unit Profit Margin]]=Table8[[#This Row],[Item Allocated fixed costs (based on % of sales mix)]],FALSE)</f>
        <v>1</v>
      </c>
    </row>
    <row r="32" spans="1:17" hidden="1">
      <c r="A32" s="1">
        <f>'Summary. Assumptions. Inputs'!A72</f>
        <v>0</v>
      </c>
      <c r="B32" s="80">
        <f>'Summary. Assumptions. Inputs'!F72</f>
        <v>0</v>
      </c>
      <c r="C32" s="15">
        <f>IFERROR(VLOOKUP(Table8[[#This Row],[Item Name]],'Production Matrix'!_xlnm.Print_Area,8,0),"0")</f>
        <v>0</v>
      </c>
      <c r="D32" s="15">
        <f>IFERROR('BEP. &amp; Summary Results'!$B32-'BEP. &amp; Summary Results'!$C32,"")</f>
        <v>0</v>
      </c>
      <c r="E32" s="232" t="str">
        <f>IFERROR('BEP. &amp; Summary Results'!$D32/'BEP. &amp; Summary Results'!$B32,"")</f>
        <v/>
      </c>
      <c r="F32" s="7">
        <f>'Sales, Production, &amp; Other Assu'!P45</f>
        <v>0</v>
      </c>
      <c r="G32" s="5">
        <f>'Summary. Assumptions. Inputs'!B72</f>
        <v>0</v>
      </c>
      <c r="H32" s="16">
        <f t="shared" si="5"/>
        <v>0</v>
      </c>
      <c r="I32" s="15">
        <f t="shared" si="6"/>
        <v>0</v>
      </c>
      <c r="J32" s="6">
        <f t="shared" si="0"/>
        <v>0</v>
      </c>
      <c r="K32" s="15">
        <f>'BEP. &amp; Summary Results'!$D32*'BEP. &amp; Summary Results'!$F32</f>
        <v>0</v>
      </c>
      <c r="L32" s="15">
        <f t="shared" si="1"/>
        <v>0</v>
      </c>
      <c r="M32" s="15">
        <f t="shared" si="2"/>
        <v>0</v>
      </c>
      <c r="N32" s="84">
        <f>IFERROR(Table8[[#This Row],[Item Allocated fixed costs (based on % of sales mix)]]/Table8[[#This Row],[% of profit Margin]],0)</f>
        <v>0</v>
      </c>
      <c r="O32" s="85">
        <f>IFERROR(Table8[[#This Row],[BEP In Amounts]]/Table8[[#This Row],[Unit Sales Price]],0)</f>
        <v>0</v>
      </c>
      <c r="P32" s="85">
        <f>'Summary. Assumptions. Inputs'!B72</f>
        <v>0</v>
      </c>
      <c r="Q32" s="86" t="b">
        <f>IFERROR(Table8[[#This Row],[BEP Quantity]]*Table8[[#This Row],[Unit Profit Margin]]=Table8[[#This Row],[Item Allocated fixed costs (based on % of sales mix)]],FALSE)</f>
        <v>1</v>
      </c>
    </row>
    <row r="33" spans="1:17" hidden="1">
      <c r="A33" s="1">
        <f>'Summary. Assumptions. Inputs'!A73</f>
        <v>0</v>
      </c>
      <c r="B33" s="80">
        <f>'Summary. Assumptions. Inputs'!F73</f>
        <v>0</v>
      </c>
      <c r="C33" s="15">
        <f>IFERROR(VLOOKUP(Table8[[#This Row],[Item Name]],'Production Matrix'!_xlnm.Print_Area,8,0),"0")</f>
        <v>0</v>
      </c>
      <c r="D33" s="15">
        <f>IFERROR('BEP. &amp; Summary Results'!$B33-'BEP. &amp; Summary Results'!$C33,"")</f>
        <v>0</v>
      </c>
      <c r="E33" s="232" t="str">
        <f>IFERROR('BEP. &amp; Summary Results'!$D33/'BEP. &amp; Summary Results'!$B33,"")</f>
        <v/>
      </c>
      <c r="F33" s="7">
        <f>'Sales, Production, &amp; Other Assu'!P46</f>
        <v>0</v>
      </c>
      <c r="G33" s="5">
        <f>'Summary. Assumptions. Inputs'!B73</f>
        <v>0</v>
      </c>
      <c r="H33" s="16">
        <f t="shared" si="5"/>
        <v>0</v>
      </c>
      <c r="I33" s="15">
        <f t="shared" si="6"/>
        <v>0</v>
      </c>
      <c r="J33" s="6">
        <f t="shared" si="0"/>
        <v>0</v>
      </c>
      <c r="K33" s="15">
        <f>'BEP. &amp; Summary Results'!$D33*'BEP. &amp; Summary Results'!$F33</f>
        <v>0</v>
      </c>
      <c r="L33" s="15">
        <f t="shared" si="1"/>
        <v>0</v>
      </c>
      <c r="M33" s="15">
        <f t="shared" si="2"/>
        <v>0</v>
      </c>
      <c r="N33" s="84">
        <f>IFERROR(Table8[[#This Row],[Item Allocated fixed costs (based on % of sales mix)]]/Table8[[#This Row],[% of profit Margin]],0)</f>
        <v>0</v>
      </c>
      <c r="O33" s="85">
        <f>IFERROR(Table8[[#This Row],[BEP In Amounts]]/Table8[[#This Row],[Unit Sales Price]],0)</f>
        <v>0</v>
      </c>
      <c r="P33" s="85">
        <f>'Summary. Assumptions. Inputs'!B73</f>
        <v>0</v>
      </c>
      <c r="Q33" s="86" t="b">
        <f>IFERROR(Table8[[#This Row],[BEP Quantity]]*Table8[[#This Row],[Unit Profit Margin]]=Table8[[#This Row],[Item Allocated fixed costs (based on % of sales mix)]],FALSE)</f>
        <v>1</v>
      </c>
    </row>
    <row r="34" spans="1:17" hidden="1">
      <c r="A34" s="1">
        <f>'Summary. Assumptions. Inputs'!A74</f>
        <v>0</v>
      </c>
      <c r="B34" s="80">
        <f>'Summary. Assumptions. Inputs'!F74</f>
        <v>0</v>
      </c>
      <c r="C34" s="15">
        <f>IFERROR(VLOOKUP(Table8[[#This Row],[Item Name]],'Production Matrix'!_xlnm.Print_Area,8,0),"0")</f>
        <v>0</v>
      </c>
      <c r="D34" s="15">
        <f>IFERROR('BEP. &amp; Summary Results'!$B34-'BEP. &amp; Summary Results'!$C34,"")</f>
        <v>0</v>
      </c>
      <c r="E34" s="232" t="str">
        <f>IFERROR('BEP. &amp; Summary Results'!$D34/'BEP. &amp; Summary Results'!$B34,"")</f>
        <v/>
      </c>
      <c r="F34" s="7">
        <f>'Sales, Production, &amp; Other Assu'!P47</f>
        <v>0</v>
      </c>
      <c r="G34" s="5">
        <f>'Summary. Assumptions. Inputs'!B74</f>
        <v>0</v>
      </c>
      <c r="H34" s="16">
        <f t="shared" si="5"/>
        <v>0</v>
      </c>
      <c r="I34" s="15">
        <f t="shared" si="6"/>
        <v>0</v>
      </c>
      <c r="J34" s="6">
        <f t="shared" si="0"/>
        <v>0</v>
      </c>
      <c r="K34" s="15">
        <f>'BEP. &amp; Summary Results'!$D34*'BEP. &amp; Summary Results'!$F34</f>
        <v>0</v>
      </c>
      <c r="L34" s="15">
        <f t="shared" si="1"/>
        <v>0</v>
      </c>
      <c r="M34" s="15">
        <f t="shared" si="2"/>
        <v>0</v>
      </c>
      <c r="N34" s="84">
        <f>IFERROR(Table8[[#This Row],[Item Allocated fixed costs (based on % of sales mix)]]/Table8[[#This Row],[% of profit Margin]],0)</f>
        <v>0</v>
      </c>
      <c r="O34" s="85">
        <f>IFERROR(Table8[[#This Row],[BEP In Amounts]]/Table8[[#This Row],[Unit Sales Price]],0)</f>
        <v>0</v>
      </c>
      <c r="P34" s="85">
        <f>'Summary. Assumptions. Inputs'!B74</f>
        <v>0</v>
      </c>
      <c r="Q34" s="86" t="b">
        <f>IFERROR(Table8[[#This Row],[BEP Quantity]]*Table8[[#This Row],[Unit Profit Margin]]=Table8[[#This Row],[Item Allocated fixed costs (based on % of sales mix)]],FALSE)</f>
        <v>1</v>
      </c>
    </row>
    <row r="35" spans="1:17" hidden="1">
      <c r="A35" s="1">
        <f>'Summary. Assumptions. Inputs'!A75</f>
        <v>0</v>
      </c>
      <c r="B35" s="80">
        <f>'Summary. Assumptions. Inputs'!F75</f>
        <v>0</v>
      </c>
      <c r="C35" s="15">
        <f>IFERROR(VLOOKUP(Table8[[#This Row],[Item Name]],'Production Matrix'!_xlnm.Print_Area,8,0),"0")</f>
        <v>0</v>
      </c>
      <c r="D35" s="15">
        <f>IFERROR('BEP. &amp; Summary Results'!$B35-'BEP. &amp; Summary Results'!$C35,"")</f>
        <v>0</v>
      </c>
      <c r="E35" s="232" t="str">
        <f>IFERROR('BEP. &amp; Summary Results'!$D35/'BEP. &amp; Summary Results'!$B35,"")</f>
        <v/>
      </c>
      <c r="F35" s="7">
        <f>'Sales, Production, &amp; Other Assu'!P48</f>
        <v>0</v>
      </c>
      <c r="G35" s="5">
        <f>'Summary. Assumptions. Inputs'!B75</f>
        <v>0</v>
      </c>
      <c r="H35" s="16">
        <f>B35*F35</f>
        <v>0</v>
      </c>
      <c r="I35" s="15">
        <f>F35*C35</f>
        <v>0</v>
      </c>
      <c r="J35" s="6">
        <f t="shared" si="0"/>
        <v>0</v>
      </c>
      <c r="K35" s="15">
        <f>'BEP. &amp; Summary Results'!$D35*'BEP. &amp; Summary Results'!$F35</f>
        <v>0</v>
      </c>
      <c r="L35" s="15">
        <f t="shared" si="1"/>
        <v>0</v>
      </c>
      <c r="M35" s="15">
        <f t="shared" si="2"/>
        <v>0</v>
      </c>
      <c r="N35" s="84">
        <f>IFERROR(Table8[[#This Row],[Item Allocated fixed costs (based on % of sales mix)]]/Table8[[#This Row],[% of profit Margin]],0)</f>
        <v>0</v>
      </c>
      <c r="O35" s="85">
        <f>IFERROR(Table8[[#This Row],[BEP In Amounts]]/Table8[[#This Row],[Unit Sales Price]],0)</f>
        <v>0</v>
      </c>
      <c r="P35" s="85">
        <f>'Summary. Assumptions. Inputs'!B75</f>
        <v>0</v>
      </c>
      <c r="Q35" s="86" t="b">
        <f>IFERROR(Table8[[#This Row],[BEP Quantity]]*Table8[[#This Row],[Unit Profit Margin]]=Table8[[#This Row],[Item Allocated fixed costs (based on % of sales mix)]],FALSE)</f>
        <v>1</v>
      </c>
    </row>
    <row r="36" spans="1:17" ht="21.95" customHeight="1">
      <c r="A36" s="87" t="s">
        <v>110</v>
      </c>
      <c r="B36" s="87"/>
      <c r="C36" s="87"/>
      <c r="D36" s="87"/>
      <c r="E36" s="232">
        <f>AVERAGE(E6:E35)</f>
        <v>0.40591873015873015</v>
      </c>
      <c r="F36" s="89"/>
      <c r="G36" s="89"/>
      <c r="H36" s="90">
        <f>SUM(H6:H35)</f>
        <v>9262350</v>
      </c>
      <c r="I36" s="90">
        <f>SUM(I6:I35)</f>
        <v>6160402.0799999991</v>
      </c>
      <c r="J36" s="88">
        <f t="shared" si="0"/>
        <v>1</v>
      </c>
      <c r="K36" s="90">
        <f>SUM(K6:K35)</f>
        <v>3101947.9200000009</v>
      </c>
      <c r="L36" s="90">
        <f>SUM(L6:L35)</f>
        <v>2460297.4228979</v>
      </c>
      <c r="M36" s="90">
        <f>SUM(M6:M35)</f>
        <v>641650.49710210063</v>
      </c>
      <c r="N36" s="91">
        <f>SUM(N6:N35)</f>
        <v>7520848.6182941273</v>
      </c>
      <c r="O36" s="92"/>
      <c r="P36" s="92"/>
      <c r="Q36" s="93">
        <f>SUMPRODUCT(O6:O35,B6:B35)</f>
        <v>7520848.6182941273</v>
      </c>
    </row>
    <row r="37" spans="1:17">
      <c r="L37" s="101">
        <f>SUM('Projected FS'!C17,'Projected FS'!C18,'Projected FS'!C19,'Projected FS'!C21,'Projected FS'!C22+'Projected FS'!C24)</f>
        <v>2460297.4228979005</v>
      </c>
      <c r="M37" s="94"/>
      <c r="N37" s="95"/>
      <c r="O37" s="96"/>
      <c r="P37" s="96"/>
      <c r="Q37" s="97" t="b">
        <f>SUMPRODUCT(O6:O35,B6:B35)=N36</f>
        <v>1</v>
      </c>
    </row>
    <row r="39" spans="1:17">
      <c r="K39" s="98"/>
    </row>
    <row r="40" spans="1:17" ht="20.25">
      <c r="A40" s="780" t="str">
        <f>'Scenario Analysis'!A5</f>
        <v>Scenario 2</v>
      </c>
      <c r="B40" s="780"/>
      <c r="C40" s="780"/>
      <c r="D40" s="780"/>
      <c r="E40" s="780"/>
      <c r="F40" s="780"/>
      <c r="G40" s="780"/>
      <c r="H40" s="780"/>
      <c r="I40" s="780"/>
      <c r="J40" s="780"/>
      <c r="K40" s="780"/>
      <c r="L40" s="780"/>
      <c r="M40" s="780"/>
      <c r="N40" s="781"/>
      <c r="O40" s="781"/>
      <c r="P40" s="781"/>
      <c r="Q40" s="781"/>
    </row>
    <row r="41" spans="1:17" ht="75" outlineLevel="1">
      <c r="A41" s="99" t="s">
        <v>282</v>
      </c>
      <c r="B41" s="99" t="s">
        <v>283</v>
      </c>
      <c r="C41" s="99" t="s">
        <v>284</v>
      </c>
      <c r="D41" s="99" t="s">
        <v>285</v>
      </c>
      <c r="E41" s="99" t="s">
        <v>286</v>
      </c>
      <c r="F41" s="99" t="s">
        <v>287</v>
      </c>
      <c r="G41" s="100" t="s">
        <v>288</v>
      </c>
      <c r="H41" s="99" t="s">
        <v>289</v>
      </c>
      <c r="I41" s="99" t="s">
        <v>290</v>
      </c>
      <c r="J41" s="99" t="s">
        <v>291</v>
      </c>
      <c r="K41" s="99" t="s">
        <v>292</v>
      </c>
      <c r="L41" s="99" t="s">
        <v>293</v>
      </c>
      <c r="M41" s="99" t="s">
        <v>294</v>
      </c>
      <c r="N41" s="81" t="s">
        <v>295</v>
      </c>
      <c r="O41" s="82" t="s">
        <v>296</v>
      </c>
      <c r="P41" s="83" t="s">
        <v>297</v>
      </c>
      <c r="Q41" s="82" t="s">
        <v>298</v>
      </c>
    </row>
    <row r="42" spans="1:17" outlineLevel="1">
      <c r="A42" s="1" t="str">
        <f>'Summary. Assumptions. Inputs'!A46</f>
        <v>Greenhouse cover films</v>
      </c>
      <c r="B42" s="80">
        <f>'Summary. Assumptions. Inputs'!F46*(1+'Scenario Analysis'!$C$5)</f>
        <v>3.28125</v>
      </c>
      <c r="C42" s="15">
        <f>IFERROR(VLOOKUP(Table82[[#This Row],[Item Name]],'Production Matrix'!_xlnm.Print_Area,8,0),"0")*(1+'Scenario Analysis'!$E$5)</f>
        <v>2.2403999999999997</v>
      </c>
      <c r="D42" s="15">
        <f>IFERROR('BEP. &amp; Summary Results'!$B42-'BEP. &amp; Summary Results'!$C42,"")</f>
        <v>1.0408500000000003</v>
      </c>
      <c r="E42" s="232">
        <f>IFERROR('BEP. &amp; Summary Results'!$D42/'BEP. &amp; Summary Results'!$B42,"")</f>
        <v>0.31721142857142864</v>
      </c>
      <c r="F42" s="7">
        <f>'Sales, Production, &amp; Other Assu'!P19*'Scenario Analysis'!$B$5*(1+'Scenario Analysis'!$D$5)</f>
        <v>1723680</v>
      </c>
      <c r="G42" s="5" t="str">
        <f>'Summary. Assumptions. Inputs'!B46</f>
        <v>KG</v>
      </c>
      <c r="H42" s="16">
        <f>B42*F42</f>
        <v>5655825</v>
      </c>
      <c r="I42" s="15">
        <f>F42*C42</f>
        <v>3861732.6719999993</v>
      </c>
      <c r="J42" s="6">
        <f t="shared" ref="J42:J72" si="7">IFERROR(H42/$H$72,0)</f>
        <v>0.67847252587086426</v>
      </c>
      <c r="K42" s="15">
        <f>'BEP. &amp; Summary Results'!$D42*'BEP. &amp; Summary Results'!$F42</f>
        <v>1794092.3280000004</v>
      </c>
      <c r="L42" s="15">
        <f>J42*$L$73</f>
        <v>958717.36671039194</v>
      </c>
      <c r="M42" s="15">
        <f>K42-L42</f>
        <v>835374.9612896085</v>
      </c>
      <c r="N42" s="84">
        <f>IFERROR(Table82[[#This Row],[Item Allocated fixed costs (based on % of sales mix)]]/Table82[[#This Row],[% of profit Margin]],0)</f>
        <v>3022329.2112393454</v>
      </c>
      <c r="O42" s="85">
        <f>IFERROR(Table82[[#This Row],[BEP In Amounts]]/Table82[[#This Row],[Unit Sales Price]],0)</f>
        <v>921090.80723484815</v>
      </c>
      <c r="P42" s="85" t="str">
        <f>'Summary. Assumptions. Inputs'!B46</f>
        <v>KG</v>
      </c>
      <c r="Q42" s="86" t="b">
        <f>IFERROR(Table82[[#This Row],[BEP Quantity]]*Table82[[#This Row],[Unit Profit Margin]]=Table82[[#This Row],[Item Allocated fixed costs (based on % of sales mix)]],FALSE)</f>
        <v>1</v>
      </c>
    </row>
    <row r="43" spans="1:17" outlineLevel="1">
      <c r="A43" s="1" t="str">
        <f>'Summary. Assumptions. Inputs'!A47</f>
        <v>Thermal shaders</v>
      </c>
      <c r="B43" s="80">
        <f>'Summary. Assumptions. Inputs'!F47*(1+'Scenario Analysis'!$C$5)</f>
        <v>3.28125</v>
      </c>
      <c r="C43" s="15">
        <f>IFERROR(VLOOKUP(Table82[[#This Row],[Item Name]],'Production Matrix'!_xlnm.Print_Area,8,0),"0")*(1+'Scenario Analysis'!$E$5)</f>
        <v>2.2403999999999997</v>
      </c>
      <c r="D43" s="15">
        <f>IFERROR('BEP. &amp; Summary Results'!$B43-'BEP. &amp; Summary Results'!$C43,"")</f>
        <v>1.0408500000000003</v>
      </c>
      <c r="E43" s="232">
        <f>IFERROR('BEP. &amp; Summary Results'!$D43/'BEP. &amp; Summary Results'!$B43,"")</f>
        <v>0.31721142857142864</v>
      </c>
      <c r="F43" s="7">
        <f>'Sales, Production, &amp; Other Assu'!P20*'Scenario Analysis'!$B$5*(1+'Scenario Analysis'!$D$5)</f>
        <v>648000</v>
      </c>
      <c r="G43" s="5" t="str">
        <f>'Summary. Assumptions. Inputs'!B47</f>
        <v>KG</v>
      </c>
      <c r="H43" s="16">
        <f>B43*F43</f>
        <v>2126250</v>
      </c>
      <c r="I43" s="15">
        <f>F43*C43</f>
        <v>1451779.1999999997</v>
      </c>
      <c r="J43" s="6">
        <f t="shared" si="7"/>
        <v>0.25506485934994899</v>
      </c>
      <c r="K43" s="15">
        <f>'BEP. &amp; Summary Results'!$D43*'BEP. &amp; Summary Results'!$F43</f>
        <v>674470.80000000016</v>
      </c>
      <c r="L43" s="15">
        <f t="shared" ref="L43:L71" si="8">J43*$L$73</f>
        <v>360420.06267307972</v>
      </c>
      <c r="M43" s="15">
        <f t="shared" ref="M43:M71" si="9">K43-L43</f>
        <v>314050.73732692044</v>
      </c>
      <c r="N43" s="84">
        <f>IFERROR(Table82[[#This Row],[Item Allocated fixed costs (based on % of sales mix)]]/Table82[[#This Row],[% of profit Margin]],0)</f>
        <v>1136213.989187724</v>
      </c>
      <c r="O43" s="85">
        <f>IFERROR(Table82[[#This Row],[BEP In Amounts]]/Table82[[#This Row],[Unit Sales Price]],0)</f>
        <v>346274.73956197302</v>
      </c>
      <c r="P43" s="85" t="str">
        <f>'Summary. Assumptions. Inputs'!B47</f>
        <v>KG</v>
      </c>
      <c r="Q43" s="86" t="b">
        <f>IFERROR(Table82[[#This Row],[BEP Quantity]]*Table82[[#This Row],[Unit Profit Margin]]=Table82[[#This Row],[Item Allocated fixed costs (based on % of sales mix)]],FALSE)</f>
        <v>1</v>
      </c>
    </row>
    <row r="44" spans="1:17" outlineLevel="1">
      <c r="A44" s="1" t="str">
        <f>'Summary. Assumptions. Inputs'!A48</f>
        <v>Recycled plastic</v>
      </c>
      <c r="B44" s="80">
        <f>'Summary. Assumptions. Inputs'!F48*(1+'Scenario Analysis'!$C$5)</f>
        <v>0.74999999999999989</v>
      </c>
      <c r="C44" s="15">
        <f>IFERROR(VLOOKUP(Table82[[#This Row],[Item Name]],'Production Matrix'!_xlnm.Print_Area,8,0),"0")*(1+'Scenario Analysis'!$E$5)</f>
        <v>0.3125</v>
      </c>
      <c r="D44" s="15">
        <f>IFERROR('BEP. &amp; Summary Results'!$B44-'BEP. &amp; Summary Results'!$C44,"")</f>
        <v>0.43749999999999989</v>
      </c>
      <c r="E44" s="232">
        <f>IFERROR('BEP. &amp; Summary Results'!$D44/'BEP. &amp; Summary Results'!$B44,"")</f>
        <v>0.58333333333333326</v>
      </c>
      <c r="F44" s="7">
        <f>'Sales, Production, &amp; Other Assu'!P21*'Scenario Analysis'!$B$5*(1+'Scenario Analysis'!$D$5)</f>
        <v>738720</v>
      </c>
      <c r="G44" s="5" t="str">
        <f>'Summary. Assumptions. Inputs'!B48</f>
        <v>KG</v>
      </c>
      <c r="H44" s="16">
        <f t="shared" ref="H44:H51" si="10">B44*F44</f>
        <v>554039.99999999988</v>
      </c>
      <c r="I44" s="15">
        <f t="shared" ref="I44:I51" si="11">F44*C44</f>
        <v>230850</v>
      </c>
      <c r="J44" s="6">
        <f t="shared" si="7"/>
        <v>6.6462614779186691E-2</v>
      </c>
      <c r="K44" s="15">
        <f>'BEP. &amp; Summary Results'!$D44*'BEP. &amp; Summary Results'!$F44</f>
        <v>323189.99999999994</v>
      </c>
      <c r="L44" s="15">
        <f t="shared" si="8"/>
        <v>93915.170616528165</v>
      </c>
      <c r="M44" s="15">
        <f t="shared" si="9"/>
        <v>229274.82938347178</v>
      </c>
      <c r="N44" s="84">
        <f>IFERROR(Table82[[#This Row],[Item Allocated fixed costs (based on % of sales mix)]]/Table82[[#This Row],[% of profit Margin]],0)</f>
        <v>160997.43534261972</v>
      </c>
      <c r="O44" s="85">
        <f>IFERROR(Table82[[#This Row],[BEP In Amounts]]/Table82[[#This Row],[Unit Sales Price]],0)</f>
        <v>214663.247123493</v>
      </c>
      <c r="P44" s="85" t="str">
        <f>'Summary. Assumptions. Inputs'!B48</f>
        <v>KG</v>
      </c>
      <c r="Q44" s="86" t="b">
        <f>IFERROR(Table82[[#This Row],[BEP Quantity]]*Table82[[#This Row],[Unit Profit Margin]]=Table82[[#This Row],[Item Allocated fixed costs (based on % of sales mix)]],FALSE)</f>
        <v>1</v>
      </c>
    </row>
    <row r="45" spans="1:17" hidden="1" outlineLevel="1">
      <c r="A45" s="1">
        <f>'Summary. Assumptions. Inputs'!A49</f>
        <v>0</v>
      </c>
      <c r="B45" s="80">
        <f>'Summary. Assumptions. Inputs'!F49*(1+'Scenario Analysis'!$C$5)</f>
        <v>0</v>
      </c>
      <c r="C45" s="15">
        <f>IFERROR(VLOOKUP(Table82[[#This Row],[Item Name]],'Production Matrix'!_xlnm.Print_Area,8,0),"0")*(1+'Scenario Analysis'!$E$5)</f>
        <v>0</v>
      </c>
      <c r="D45" s="15">
        <f>IFERROR('BEP. &amp; Summary Results'!$B45-'BEP. &amp; Summary Results'!$C45,"")</f>
        <v>0</v>
      </c>
      <c r="E45" s="232" t="str">
        <f>IFERROR('BEP. &amp; Summary Results'!$D45/'BEP. &amp; Summary Results'!$B45,"")</f>
        <v/>
      </c>
      <c r="F45" s="7">
        <f>'Sales, Production, &amp; Other Assu'!P22*'Scenario Analysis'!$B$5*(1+'Scenario Analysis'!$D$5)</f>
        <v>0</v>
      </c>
      <c r="G45" s="5">
        <f>'Summary. Assumptions. Inputs'!B49</f>
        <v>0</v>
      </c>
      <c r="H45" s="16">
        <f t="shared" si="10"/>
        <v>0</v>
      </c>
      <c r="I45" s="15">
        <f t="shared" si="11"/>
        <v>0</v>
      </c>
      <c r="J45" s="6">
        <f t="shared" si="7"/>
        <v>0</v>
      </c>
      <c r="K45" s="15">
        <f>'BEP. &amp; Summary Results'!$D45*'BEP. &amp; Summary Results'!$F45</f>
        <v>0</v>
      </c>
      <c r="L45" s="15">
        <f t="shared" si="8"/>
        <v>0</v>
      </c>
      <c r="M45" s="15">
        <f t="shared" si="9"/>
        <v>0</v>
      </c>
      <c r="N45" s="84">
        <f>IFERROR(Table82[[#This Row],[Item Allocated fixed costs (based on % of sales mix)]]/Table82[[#This Row],[% of profit Margin]],0)</f>
        <v>0</v>
      </c>
      <c r="O45" s="85">
        <f>IFERROR(Table82[[#This Row],[BEP In Amounts]]/Table82[[#This Row],[Unit Sales Price]],0)</f>
        <v>0</v>
      </c>
      <c r="P45" s="85">
        <f>'Summary. Assumptions. Inputs'!B49</f>
        <v>0</v>
      </c>
      <c r="Q45" s="86" t="b">
        <f>IFERROR(Table82[[#This Row],[BEP Quantity]]*Table82[[#This Row],[Unit Profit Margin]]=Table82[[#This Row],[Item Allocated fixed costs (based on % of sales mix)]],FALSE)</f>
        <v>1</v>
      </c>
    </row>
    <row r="46" spans="1:17" hidden="1" outlineLevel="1">
      <c r="A46" s="1">
        <f>'Summary. Assumptions. Inputs'!A50</f>
        <v>0</v>
      </c>
      <c r="B46" s="80">
        <f>'Summary. Assumptions. Inputs'!F50*(1+'Scenario Analysis'!$C$5)</f>
        <v>0</v>
      </c>
      <c r="C46" s="15">
        <f>IFERROR(VLOOKUP(Table82[[#This Row],[Item Name]],'Production Matrix'!_xlnm.Print_Area,8,0),"0")*(1+'Scenario Analysis'!$E$5)</f>
        <v>0</v>
      </c>
      <c r="D46" s="15">
        <f>IFERROR('BEP. &amp; Summary Results'!$B46-'BEP. &amp; Summary Results'!$C46,"")</f>
        <v>0</v>
      </c>
      <c r="E46" s="232" t="str">
        <f>IFERROR('BEP. &amp; Summary Results'!$D46/'BEP. &amp; Summary Results'!$B46,"")</f>
        <v/>
      </c>
      <c r="F46" s="7">
        <f>'Sales, Production, &amp; Other Assu'!P23*'Scenario Analysis'!$B$5*(1+'Scenario Analysis'!$D$5)</f>
        <v>0</v>
      </c>
      <c r="G46" s="5">
        <f>'Summary. Assumptions. Inputs'!B50</f>
        <v>0</v>
      </c>
      <c r="H46" s="16">
        <f t="shared" si="10"/>
        <v>0</v>
      </c>
      <c r="I46" s="15">
        <f t="shared" si="11"/>
        <v>0</v>
      </c>
      <c r="J46" s="6">
        <f t="shared" si="7"/>
        <v>0</v>
      </c>
      <c r="K46" s="15">
        <f>'BEP. &amp; Summary Results'!$D46*'BEP. &amp; Summary Results'!$F46</f>
        <v>0</v>
      </c>
      <c r="L46" s="15">
        <f t="shared" si="8"/>
        <v>0</v>
      </c>
      <c r="M46" s="15">
        <f t="shared" si="9"/>
        <v>0</v>
      </c>
      <c r="N46" s="84">
        <f>IFERROR(Table82[[#This Row],[Item Allocated fixed costs (based on % of sales mix)]]/Table82[[#This Row],[% of profit Margin]],0)</f>
        <v>0</v>
      </c>
      <c r="O46" s="85">
        <f>IFERROR(Table82[[#This Row],[BEP In Amounts]]/Table82[[#This Row],[Unit Sales Price]],0)</f>
        <v>0</v>
      </c>
      <c r="P46" s="85">
        <f>'Summary. Assumptions. Inputs'!B50</f>
        <v>0</v>
      </c>
      <c r="Q46" s="86" t="b">
        <f>IFERROR(Table82[[#This Row],[BEP Quantity]]*Table82[[#This Row],[Unit Profit Margin]]=Table82[[#This Row],[Item Allocated fixed costs (based on % of sales mix)]],FALSE)</f>
        <v>1</v>
      </c>
    </row>
    <row r="47" spans="1:17" hidden="1" outlineLevel="1">
      <c r="A47" s="1">
        <f>'Summary. Assumptions. Inputs'!A51</f>
        <v>0</v>
      </c>
      <c r="B47" s="80">
        <f>'Summary. Assumptions. Inputs'!F51*(1+'Scenario Analysis'!$C$5)</f>
        <v>0</v>
      </c>
      <c r="C47" s="15">
        <f>IFERROR(VLOOKUP(Table82[[#This Row],[Item Name]],'Production Matrix'!_xlnm.Print_Area,8,0),"0")*(1+'Scenario Analysis'!$E$5)</f>
        <v>0</v>
      </c>
      <c r="D47" s="15">
        <f>IFERROR('BEP. &amp; Summary Results'!$B47-'BEP. &amp; Summary Results'!$C47,"")</f>
        <v>0</v>
      </c>
      <c r="E47" s="232" t="str">
        <f>IFERROR('BEP. &amp; Summary Results'!$D47/'BEP. &amp; Summary Results'!$B47,"")</f>
        <v/>
      </c>
      <c r="F47" s="7">
        <f>'Sales, Production, &amp; Other Assu'!P24*'Scenario Analysis'!$B$5*(1+'Scenario Analysis'!$D$5)</f>
        <v>0</v>
      </c>
      <c r="G47" s="5">
        <f>'Summary. Assumptions. Inputs'!B51</f>
        <v>0</v>
      </c>
      <c r="H47" s="16">
        <f t="shared" si="10"/>
        <v>0</v>
      </c>
      <c r="I47" s="15">
        <f t="shared" si="11"/>
        <v>0</v>
      </c>
      <c r="J47" s="6">
        <f t="shared" si="7"/>
        <v>0</v>
      </c>
      <c r="K47" s="15">
        <f>'BEP. &amp; Summary Results'!$D47*'BEP. &amp; Summary Results'!$F47</f>
        <v>0</v>
      </c>
      <c r="L47" s="15">
        <f t="shared" si="8"/>
        <v>0</v>
      </c>
      <c r="M47" s="15">
        <f t="shared" si="9"/>
        <v>0</v>
      </c>
      <c r="N47" s="84">
        <f>IFERROR(Table82[[#This Row],[Item Allocated fixed costs (based on % of sales mix)]]/Table82[[#This Row],[% of profit Margin]],0)</f>
        <v>0</v>
      </c>
      <c r="O47" s="85">
        <f>IFERROR(Table82[[#This Row],[BEP In Amounts]]/Table82[[#This Row],[Unit Sales Price]],0)</f>
        <v>0</v>
      </c>
      <c r="P47" s="85">
        <f>'Summary. Assumptions. Inputs'!B51</f>
        <v>0</v>
      </c>
      <c r="Q47" s="86" t="b">
        <f>IFERROR(Table82[[#This Row],[BEP Quantity]]*Table82[[#This Row],[Unit Profit Margin]]=Table82[[#This Row],[Item Allocated fixed costs (based on % of sales mix)]],FALSE)</f>
        <v>1</v>
      </c>
    </row>
    <row r="48" spans="1:17" ht="16.899999999999999" hidden="1" customHeight="1" outlineLevel="1">
      <c r="A48" s="1">
        <f>'Summary. Assumptions. Inputs'!A52</f>
        <v>0</v>
      </c>
      <c r="B48" s="80">
        <f>'Summary. Assumptions. Inputs'!F52*(1+'Scenario Analysis'!$C$5)</f>
        <v>0</v>
      </c>
      <c r="C48" s="15">
        <f>IFERROR(VLOOKUP(Table82[[#This Row],[Item Name]],'Production Matrix'!_xlnm.Print_Area,8,0),"0")*(1+'Scenario Analysis'!$E$5)</f>
        <v>0</v>
      </c>
      <c r="D48" s="15">
        <f>IFERROR('BEP. &amp; Summary Results'!$B48-'BEP. &amp; Summary Results'!$C48,"")</f>
        <v>0</v>
      </c>
      <c r="E48" s="232" t="str">
        <f>IFERROR('BEP. &amp; Summary Results'!$D48/'BEP. &amp; Summary Results'!$B48,"")</f>
        <v/>
      </c>
      <c r="F48" s="7">
        <f>'Sales, Production, &amp; Other Assu'!P25*'Scenario Analysis'!$B$5*(1+'Scenario Analysis'!$D$5)</f>
        <v>0</v>
      </c>
      <c r="G48" s="5">
        <f>'Summary. Assumptions. Inputs'!B52</f>
        <v>0</v>
      </c>
      <c r="H48" s="16">
        <f t="shared" si="10"/>
        <v>0</v>
      </c>
      <c r="I48" s="15">
        <f t="shared" si="11"/>
        <v>0</v>
      </c>
      <c r="J48" s="6">
        <f t="shared" si="7"/>
        <v>0</v>
      </c>
      <c r="K48" s="15">
        <f>'BEP. &amp; Summary Results'!$D48*'BEP. &amp; Summary Results'!$F48</f>
        <v>0</v>
      </c>
      <c r="L48" s="15">
        <f t="shared" si="8"/>
        <v>0</v>
      </c>
      <c r="M48" s="15">
        <f t="shared" si="9"/>
        <v>0</v>
      </c>
      <c r="N48" s="84">
        <f>IFERROR(Table82[[#This Row],[Item Allocated fixed costs (based on % of sales mix)]]/Table82[[#This Row],[% of profit Margin]],0)</f>
        <v>0</v>
      </c>
      <c r="O48" s="85">
        <f>IFERROR(Table82[[#This Row],[BEP In Amounts]]/Table82[[#This Row],[Unit Sales Price]],0)</f>
        <v>0</v>
      </c>
      <c r="P48" s="85">
        <f>'Summary. Assumptions. Inputs'!B52</f>
        <v>0</v>
      </c>
      <c r="Q48" s="86" t="b">
        <f>IFERROR(Table82[[#This Row],[BEP Quantity]]*Table82[[#This Row],[Unit Profit Margin]]=Table82[[#This Row],[Item Allocated fixed costs (based on % of sales mix)]],FALSE)</f>
        <v>1</v>
      </c>
    </row>
    <row r="49" spans="1:17" hidden="1" outlineLevel="1">
      <c r="A49" s="1">
        <f>'Summary. Assumptions. Inputs'!A53</f>
        <v>0</v>
      </c>
      <c r="B49" s="80">
        <f>'Summary. Assumptions. Inputs'!F53*(1+'Scenario Analysis'!$C$5)</f>
        <v>0</v>
      </c>
      <c r="C49" s="15">
        <f>IFERROR(VLOOKUP(Table82[[#This Row],[Item Name]],'Production Matrix'!_xlnm.Print_Area,8,0),"0")*(1+'Scenario Analysis'!$E$5)</f>
        <v>0</v>
      </c>
      <c r="D49" s="15">
        <f>IFERROR('BEP. &amp; Summary Results'!$B49-'BEP. &amp; Summary Results'!$C49,"")</f>
        <v>0</v>
      </c>
      <c r="E49" s="232" t="str">
        <f>IFERROR('BEP. &amp; Summary Results'!$D49/'BEP. &amp; Summary Results'!$B49,"")</f>
        <v/>
      </c>
      <c r="F49" s="7">
        <f>'Sales, Production, &amp; Other Assu'!P26*'Scenario Analysis'!$B$5*(1+'Scenario Analysis'!$D$5)</f>
        <v>0</v>
      </c>
      <c r="G49" s="5">
        <f>'Summary. Assumptions. Inputs'!B53</f>
        <v>0</v>
      </c>
      <c r="H49" s="16">
        <f t="shared" si="10"/>
        <v>0</v>
      </c>
      <c r="I49" s="15">
        <f t="shared" si="11"/>
        <v>0</v>
      </c>
      <c r="J49" s="6">
        <f t="shared" si="7"/>
        <v>0</v>
      </c>
      <c r="K49" s="15">
        <f>'BEP. &amp; Summary Results'!$D49*'BEP. &amp; Summary Results'!$F49</f>
        <v>0</v>
      </c>
      <c r="L49" s="15">
        <f t="shared" si="8"/>
        <v>0</v>
      </c>
      <c r="M49" s="15">
        <f t="shared" si="9"/>
        <v>0</v>
      </c>
      <c r="N49" s="84">
        <f>IFERROR(Table82[[#This Row],[Item Allocated fixed costs (based on % of sales mix)]]/Table82[[#This Row],[% of profit Margin]],0)</f>
        <v>0</v>
      </c>
      <c r="O49" s="85">
        <f>IFERROR(Table82[[#This Row],[BEP In Amounts]]/Table82[[#This Row],[Unit Sales Price]],0)</f>
        <v>0</v>
      </c>
      <c r="P49" s="85">
        <f>'Summary. Assumptions. Inputs'!B53</f>
        <v>0</v>
      </c>
      <c r="Q49" s="86" t="b">
        <f>IFERROR(Table82[[#This Row],[BEP Quantity]]*Table82[[#This Row],[Unit Profit Margin]]=Table82[[#This Row],[Item Allocated fixed costs (based on % of sales mix)]],FALSE)</f>
        <v>1</v>
      </c>
    </row>
    <row r="50" spans="1:17" hidden="1" outlineLevel="1">
      <c r="A50" s="1">
        <f>'Summary. Assumptions. Inputs'!A54</f>
        <v>0</v>
      </c>
      <c r="B50" s="80">
        <f>'Summary. Assumptions. Inputs'!F54*(1+'Scenario Analysis'!$C$5)</f>
        <v>0</v>
      </c>
      <c r="C50" s="15">
        <f>IFERROR(VLOOKUP(Table82[[#This Row],[Item Name]],'Production Matrix'!_xlnm.Print_Area,8,0),"0")*(1+'Scenario Analysis'!$E$5)</f>
        <v>0</v>
      </c>
      <c r="D50" s="15">
        <f>IFERROR('BEP. &amp; Summary Results'!$B50-'BEP. &amp; Summary Results'!$C50,"")</f>
        <v>0</v>
      </c>
      <c r="E50" s="232" t="str">
        <f>IFERROR('BEP. &amp; Summary Results'!$D50/'BEP. &amp; Summary Results'!$B50,"")</f>
        <v/>
      </c>
      <c r="F50" s="7">
        <f>'Sales, Production, &amp; Other Assu'!P27*'Scenario Analysis'!$B$5*(1+'Scenario Analysis'!$D$5)</f>
        <v>0</v>
      </c>
      <c r="G50" s="5">
        <f>'Summary. Assumptions. Inputs'!B54</f>
        <v>0</v>
      </c>
      <c r="H50" s="16">
        <f t="shared" si="10"/>
        <v>0</v>
      </c>
      <c r="I50" s="15">
        <f t="shared" si="11"/>
        <v>0</v>
      </c>
      <c r="J50" s="6">
        <f t="shared" si="7"/>
        <v>0</v>
      </c>
      <c r="K50" s="15">
        <f>'BEP. &amp; Summary Results'!$D50*'BEP. &amp; Summary Results'!$F50</f>
        <v>0</v>
      </c>
      <c r="L50" s="15">
        <f t="shared" si="8"/>
        <v>0</v>
      </c>
      <c r="M50" s="15">
        <f t="shared" si="9"/>
        <v>0</v>
      </c>
      <c r="N50" s="84">
        <f>IFERROR(Table82[[#This Row],[Item Allocated fixed costs (based on % of sales mix)]]/Table82[[#This Row],[% of profit Margin]],0)</f>
        <v>0</v>
      </c>
      <c r="O50" s="85">
        <f>IFERROR(Table82[[#This Row],[BEP In Amounts]]/Table82[[#This Row],[Unit Sales Price]],0)</f>
        <v>0</v>
      </c>
      <c r="P50" s="85">
        <f>'Summary. Assumptions. Inputs'!B54</f>
        <v>0</v>
      </c>
      <c r="Q50" s="86" t="b">
        <f>IFERROR(Table82[[#This Row],[BEP Quantity]]*Table82[[#This Row],[Unit Profit Margin]]=Table82[[#This Row],[Item Allocated fixed costs (based on % of sales mix)]],FALSE)</f>
        <v>1</v>
      </c>
    </row>
    <row r="51" spans="1:17" hidden="1" outlineLevel="1">
      <c r="A51" s="1">
        <f>'Summary. Assumptions. Inputs'!A55</f>
        <v>0</v>
      </c>
      <c r="B51" s="80">
        <f>'Summary. Assumptions. Inputs'!F55*(1+'Scenario Analysis'!$C$5)</f>
        <v>0</v>
      </c>
      <c r="C51" s="15">
        <f>IFERROR(VLOOKUP(Table82[[#This Row],[Item Name]],'Production Matrix'!_xlnm.Print_Area,8,0),"0")*(1+'Scenario Analysis'!$E$5)</f>
        <v>0</v>
      </c>
      <c r="D51" s="15">
        <f>IFERROR('BEP. &amp; Summary Results'!$B51-'BEP. &amp; Summary Results'!$C51,"")</f>
        <v>0</v>
      </c>
      <c r="E51" s="232" t="str">
        <f>IFERROR('BEP. &amp; Summary Results'!$D51/'BEP. &amp; Summary Results'!$B51,"")</f>
        <v/>
      </c>
      <c r="F51" s="7">
        <f>'Sales, Production, &amp; Other Assu'!P28*'Scenario Analysis'!$B$5*(1+'Scenario Analysis'!$D$5)</f>
        <v>0</v>
      </c>
      <c r="G51" s="5">
        <f>'Summary. Assumptions. Inputs'!B55</f>
        <v>0</v>
      </c>
      <c r="H51" s="16">
        <f t="shared" si="10"/>
        <v>0</v>
      </c>
      <c r="I51" s="15">
        <f t="shared" si="11"/>
        <v>0</v>
      </c>
      <c r="J51" s="6">
        <f t="shared" si="7"/>
        <v>0</v>
      </c>
      <c r="K51" s="15">
        <f>'BEP. &amp; Summary Results'!$D51*'BEP. &amp; Summary Results'!$F51</f>
        <v>0</v>
      </c>
      <c r="L51" s="15">
        <f t="shared" si="8"/>
        <v>0</v>
      </c>
      <c r="M51" s="15">
        <f t="shared" si="9"/>
        <v>0</v>
      </c>
      <c r="N51" s="84">
        <f>IFERROR(Table82[[#This Row],[Item Allocated fixed costs (based on % of sales mix)]]/Table82[[#This Row],[% of profit Margin]],0)</f>
        <v>0</v>
      </c>
      <c r="O51" s="85">
        <f>IFERROR(Table82[[#This Row],[BEP In Amounts]]/Table82[[#This Row],[Unit Sales Price]],0)</f>
        <v>0</v>
      </c>
      <c r="P51" s="85">
        <f>'Summary. Assumptions. Inputs'!B55</f>
        <v>0</v>
      </c>
      <c r="Q51" s="86" t="b">
        <f>IFERROR(Table82[[#This Row],[BEP Quantity]]*Table82[[#This Row],[Unit Profit Margin]]=Table82[[#This Row],[Item Allocated fixed costs (based on % of sales mix)]],FALSE)</f>
        <v>1</v>
      </c>
    </row>
    <row r="52" spans="1:17" hidden="1" outlineLevel="1">
      <c r="A52" s="1">
        <f>'Summary. Assumptions. Inputs'!A56</f>
        <v>0</v>
      </c>
      <c r="B52" s="80">
        <f>'Summary. Assumptions. Inputs'!F56*(1+'Scenario Analysis'!$C$5)</f>
        <v>0</v>
      </c>
      <c r="C52" s="15">
        <f>IFERROR(VLOOKUP(Table82[[#This Row],[Item Name]],'Production Matrix'!_xlnm.Print_Area,8,0),"0")*(1+'Scenario Analysis'!$E$5)</f>
        <v>0</v>
      </c>
      <c r="D52" s="15">
        <f>IFERROR('BEP. &amp; Summary Results'!$B52-'BEP. &amp; Summary Results'!$C52,"")</f>
        <v>0</v>
      </c>
      <c r="E52" s="232" t="str">
        <f>IFERROR('BEP. &amp; Summary Results'!$D52/'BEP. &amp; Summary Results'!$B52,"")</f>
        <v/>
      </c>
      <c r="F52" s="7">
        <f>'Sales, Production, &amp; Other Assu'!P29*'Scenario Analysis'!$B$5*(1+'Scenario Analysis'!$D$5)</f>
        <v>0</v>
      </c>
      <c r="G52" s="5">
        <f>'Summary. Assumptions. Inputs'!B56</f>
        <v>0</v>
      </c>
      <c r="H52" s="16">
        <f>B52*F52</f>
        <v>0</v>
      </c>
      <c r="I52" s="15">
        <f>F52*C52</f>
        <v>0</v>
      </c>
      <c r="J52" s="6">
        <f t="shared" si="7"/>
        <v>0</v>
      </c>
      <c r="K52" s="15">
        <f>'BEP. &amp; Summary Results'!$D52*'BEP. &amp; Summary Results'!$F52</f>
        <v>0</v>
      </c>
      <c r="L52" s="15">
        <f t="shared" si="8"/>
        <v>0</v>
      </c>
      <c r="M52" s="15">
        <f t="shared" si="9"/>
        <v>0</v>
      </c>
      <c r="N52" s="84">
        <f>IFERROR(Table82[[#This Row],[Item Allocated fixed costs (based on % of sales mix)]]/Table82[[#This Row],[% of profit Margin]],0)</f>
        <v>0</v>
      </c>
      <c r="O52" s="85">
        <f>IFERROR(Table82[[#This Row],[BEP In Amounts]]/Table82[[#This Row],[Unit Sales Price]],0)</f>
        <v>0</v>
      </c>
      <c r="P52" s="85">
        <f>'Summary. Assumptions. Inputs'!B56</f>
        <v>0</v>
      </c>
      <c r="Q52" s="86" t="b">
        <f>IFERROR(Table82[[#This Row],[BEP Quantity]]*Table82[[#This Row],[Unit Profit Margin]]=Table82[[#This Row],[Item Allocated fixed costs (based on % of sales mix)]],FALSE)</f>
        <v>1</v>
      </c>
    </row>
    <row r="53" spans="1:17" hidden="1" outlineLevel="1">
      <c r="A53" s="1">
        <f>'Summary. Assumptions. Inputs'!A57</f>
        <v>0</v>
      </c>
      <c r="B53" s="80">
        <f>'Summary. Assumptions. Inputs'!F57*(1+'Scenario Analysis'!$C$5)</f>
        <v>0</v>
      </c>
      <c r="C53" s="15">
        <f>IFERROR(VLOOKUP(Table82[[#This Row],[Item Name]],'Production Matrix'!_xlnm.Print_Area,8,0),"0")*(1+'Scenario Analysis'!$E$5)</f>
        <v>0</v>
      </c>
      <c r="D53" s="15">
        <f>IFERROR('BEP. &amp; Summary Results'!$B53-'BEP. &amp; Summary Results'!$C53,"")</f>
        <v>0</v>
      </c>
      <c r="E53" s="232" t="str">
        <f>IFERROR('BEP. &amp; Summary Results'!$D53/'BEP. &amp; Summary Results'!$B53,"")</f>
        <v/>
      </c>
      <c r="F53" s="7">
        <f>'Sales, Production, &amp; Other Assu'!P30*'Scenario Analysis'!$B$5*(1+'Scenario Analysis'!$D$5)</f>
        <v>0</v>
      </c>
      <c r="G53" s="5">
        <f>'Summary. Assumptions. Inputs'!B57</f>
        <v>0</v>
      </c>
      <c r="H53" s="16">
        <f>B53*F53</f>
        <v>0</v>
      </c>
      <c r="I53" s="15">
        <f>F53*C53</f>
        <v>0</v>
      </c>
      <c r="J53" s="6">
        <f t="shared" si="7"/>
        <v>0</v>
      </c>
      <c r="K53" s="15">
        <f>'BEP. &amp; Summary Results'!$D53*'BEP. &amp; Summary Results'!$F53</f>
        <v>0</v>
      </c>
      <c r="L53" s="15">
        <f t="shared" si="8"/>
        <v>0</v>
      </c>
      <c r="M53" s="15">
        <f t="shared" si="9"/>
        <v>0</v>
      </c>
      <c r="N53" s="84">
        <f>IFERROR(Table82[[#This Row],[Item Allocated fixed costs (based on % of sales mix)]]/Table82[[#This Row],[% of profit Margin]],0)</f>
        <v>0</v>
      </c>
      <c r="O53" s="85">
        <f>IFERROR(Table82[[#This Row],[BEP In Amounts]]/Table82[[#This Row],[Unit Sales Price]],0)</f>
        <v>0</v>
      </c>
      <c r="P53" s="85">
        <f>'Summary. Assumptions. Inputs'!B57</f>
        <v>0</v>
      </c>
      <c r="Q53" s="86" t="b">
        <f>IFERROR(Table82[[#This Row],[BEP Quantity]]*Table82[[#This Row],[Unit Profit Margin]]=Table82[[#This Row],[Item Allocated fixed costs (based on % of sales mix)]],FALSE)</f>
        <v>1</v>
      </c>
    </row>
    <row r="54" spans="1:17" hidden="1" outlineLevel="1">
      <c r="A54" s="1">
        <f>'Summary. Assumptions. Inputs'!A58</f>
        <v>0</v>
      </c>
      <c r="B54" s="80">
        <f>'Summary. Assumptions. Inputs'!F58*(1+'Scenario Analysis'!$C$5)</f>
        <v>0</v>
      </c>
      <c r="C54" s="15">
        <f>IFERROR(VLOOKUP(Table82[[#This Row],[Item Name]],'Production Matrix'!_xlnm.Print_Area,8,0),"0")*(1+'Scenario Analysis'!$E$5)</f>
        <v>0</v>
      </c>
      <c r="D54" s="15">
        <f>IFERROR('BEP. &amp; Summary Results'!$B54-'BEP. &amp; Summary Results'!$C54,"")</f>
        <v>0</v>
      </c>
      <c r="E54" s="232" t="str">
        <f>IFERROR('BEP. &amp; Summary Results'!$D54/'BEP. &amp; Summary Results'!$B54,"")</f>
        <v/>
      </c>
      <c r="F54" s="7">
        <f>'Sales, Production, &amp; Other Assu'!P31*'Scenario Analysis'!$B$5*(1+'Scenario Analysis'!$D$5)</f>
        <v>0</v>
      </c>
      <c r="G54" s="5">
        <f>'Summary. Assumptions. Inputs'!B58</f>
        <v>0</v>
      </c>
      <c r="H54" s="16">
        <f t="shared" ref="H54:H70" si="12">B54*F54</f>
        <v>0</v>
      </c>
      <c r="I54" s="15">
        <f t="shared" ref="I54:I70" si="13">F54*C54</f>
        <v>0</v>
      </c>
      <c r="J54" s="6">
        <f t="shared" si="7"/>
        <v>0</v>
      </c>
      <c r="K54" s="15">
        <f>'BEP. &amp; Summary Results'!$D54*'BEP. &amp; Summary Results'!$F54</f>
        <v>0</v>
      </c>
      <c r="L54" s="15">
        <f t="shared" si="8"/>
        <v>0</v>
      </c>
      <c r="M54" s="15">
        <f t="shared" si="9"/>
        <v>0</v>
      </c>
      <c r="N54" s="84">
        <f>IFERROR(Table82[[#This Row],[Item Allocated fixed costs (based on % of sales mix)]]/Table82[[#This Row],[% of profit Margin]],0)</f>
        <v>0</v>
      </c>
      <c r="O54" s="85">
        <f>IFERROR(Table82[[#This Row],[BEP In Amounts]]/Table82[[#This Row],[Unit Sales Price]],0)</f>
        <v>0</v>
      </c>
      <c r="P54" s="85">
        <f>'Summary. Assumptions. Inputs'!B58</f>
        <v>0</v>
      </c>
      <c r="Q54" s="86" t="b">
        <f>IFERROR(Table82[[#This Row],[BEP Quantity]]*Table82[[#This Row],[Unit Profit Margin]]=Table82[[#This Row],[Item Allocated fixed costs (based on % of sales mix)]],FALSE)</f>
        <v>1</v>
      </c>
    </row>
    <row r="55" spans="1:17" hidden="1" outlineLevel="1">
      <c r="A55" s="1">
        <f>'Summary. Assumptions. Inputs'!A59</f>
        <v>0</v>
      </c>
      <c r="B55" s="80">
        <f>'Summary. Assumptions. Inputs'!F59*(1+'Scenario Analysis'!$C$5)</f>
        <v>0</v>
      </c>
      <c r="C55" s="15">
        <f>IFERROR(VLOOKUP(Table82[[#This Row],[Item Name]],'Production Matrix'!_xlnm.Print_Area,8,0),"0")*(1+'Scenario Analysis'!$E$5)</f>
        <v>0</v>
      </c>
      <c r="D55" s="15">
        <f>IFERROR('BEP. &amp; Summary Results'!$B55-'BEP. &amp; Summary Results'!$C55,"")</f>
        <v>0</v>
      </c>
      <c r="E55" s="232" t="str">
        <f>IFERROR('BEP. &amp; Summary Results'!$D55/'BEP. &amp; Summary Results'!$B55,"")</f>
        <v/>
      </c>
      <c r="F55" s="7">
        <f>'Sales, Production, &amp; Other Assu'!P32*'Scenario Analysis'!$B$5*(1+'Scenario Analysis'!$D$5)</f>
        <v>0</v>
      </c>
      <c r="G55" s="5">
        <f>'Summary. Assumptions. Inputs'!B59</f>
        <v>0</v>
      </c>
      <c r="H55" s="16">
        <f t="shared" si="12"/>
        <v>0</v>
      </c>
      <c r="I55" s="15">
        <f t="shared" si="13"/>
        <v>0</v>
      </c>
      <c r="J55" s="6">
        <f t="shared" si="7"/>
        <v>0</v>
      </c>
      <c r="K55" s="15">
        <f>'BEP. &amp; Summary Results'!$D55*'BEP. &amp; Summary Results'!$F55</f>
        <v>0</v>
      </c>
      <c r="L55" s="15">
        <f t="shared" si="8"/>
        <v>0</v>
      </c>
      <c r="M55" s="15">
        <f t="shared" si="9"/>
        <v>0</v>
      </c>
      <c r="N55" s="84">
        <f>IFERROR(Table82[[#This Row],[Item Allocated fixed costs (based on % of sales mix)]]/Table82[[#This Row],[% of profit Margin]],0)</f>
        <v>0</v>
      </c>
      <c r="O55" s="85">
        <f>IFERROR(Table82[[#This Row],[BEP In Amounts]]/Table82[[#This Row],[Unit Sales Price]],0)</f>
        <v>0</v>
      </c>
      <c r="P55" s="85">
        <f>'Summary. Assumptions. Inputs'!B59</f>
        <v>0</v>
      </c>
      <c r="Q55" s="86" t="b">
        <f>IFERROR(Table82[[#This Row],[BEP Quantity]]*Table82[[#This Row],[Unit Profit Margin]]=Table82[[#This Row],[Item Allocated fixed costs (based on % of sales mix)]],FALSE)</f>
        <v>1</v>
      </c>
    </row>
    <row r="56" spans="1:17" hidden="1" outlineLevel="1">
      <c r="A56" s="1">
        <f>'Summary. Assumptions. Inputs'!A60</f>
        <v>0</v>
      </c>
      <c r="B56" s="80">
        <f>'Summary. Assumptions. Inputs'!F60*(1+'Scenario Analysis'!$C$5)</f>
        <v>0</v>
      </c>
      <c r="C56" s="15">
        <f>IFERROR(VLOOKUP(Table82[[#This Row],[Item Name]],'Production Matrix'!_xlnm.Print_Area,8,0),"0")*(1+'Scenario Analysis'!$E$5)</f>
        <v>0</v>
      </c>
      <c r="D56" s="15">
        <f>IFERROR('BEP. &amp; Summary Results'!$B56-'BEP. &amp; Summary Results'!$C56,"")</f>
        <v>0</v>
      </c>
      <c r="E56" s="232" t="str">
        <f>IFERROR('BEP. &amp; Summary Results'!$D56/'BEP. &amp; Summary Results'!$B56,"")</f>
        <v/>
      </c>
      <c r="F56" s="7">
        <f>'Sales, Production, &amp; Other Assu'!P33*'Scenario Analysis'!$B$5*(1+'Scenario Analysis'!$D$5)</f>
        <v>0</v>
      </c>
      <c r="G56" s="5">
        <f>'Summary. Assumptions. Inputs'!B60</f>
        <v>0</v>
      </c>
      <c r="H56" s="16">
        <f t="shared" si="12"/>
        <v>0</v>
      </c>
      <c r="I56" s="15">
        <f t="shared" si="13"/>
        <v>0</v>
      </c>
      <c r="J56" s="6">
        <f t="shared" si="7"/>
        <v>0</v>
      </c>
      <c r="K56" s="15">
        <f>'BEP. &amp; Summary Results'!$D56*'BEP. &amp; Summary Results'!$F56</f>
        <v>0</v>
      </c>
      <c r="L56" s="15">
        <f t="shared" si="8"/>
        <v>0</v>
      </c>
      <c r="M56" s="15">
        <f t="shared" si="9"/>
        <v>0</v>
      </c>
      <c r="N56" s="84">
        <f>IFERROR(Table82[[#This Row],[Item Allocated fixed costs (based on % of sales mix)]]/Table82[[#This Row],[% of profit Margin]],0)</f>
        <v>0</v>
      </c>
      <c r="O56" s="85">
        <f>IFERROR(Table82[[#This Row],[BEP In Amounts]]/Table82[[#This Row],[Unit Sales Price]],0)</f>
        <v>0</v>
      </c>
      <c r="P56" s="85">
        <f>'Summary. Assumptions. Inputs'!B60</f>
        <v>0</v>
      </c>
      <c r="Q56" s="86" t="b">
        <f>IFERROR(Table82[[#This Row],[BEP Quantity]]*Table82[[#This Row],[Unit Profit Margin]]=Table82[[#This Row],[Item Allocated fixed costs (based on % of sales mix)]],FALSE)</f>
        <v>1</v>
      </c>
    </row>
    <row r="57" spans="1:17" hidden="1" outlineLevel="1">
      <c r="A57" s="1">
        <f>'Summary. Assumptions. Inputs'!A61</f>
        <v>0</v>
      </c>
      <c r="B57" s="80">
        <f>'Summary. Assumptions. Inputs'!F61*(1+'Scenario Analysis'!$C$5)</f>
        <v>0</v>
      </c>
      <c r="C57" s="15">
        <f>IFERROR(VLOOKUP(Table82[[#This Row],[Item Name]],'Production Matrix'!_xlnm.Print_Area,8,0),"0")*(1+'Scenario Analysis'!$E$5)</f>
        <v>0</v>
      </c>
      <c r="D57" s="15">
        <f>IFERROR('BEP. &amp; Summary Results'!$B57-'BEP. &amp; Summary Results'!$C57,"")</f>
        <v>0</v>
      </c>
      <c r="E57" s="232" t="str">
        <f>IFERROR('BEP. &amp; Summary Results'!$D57/'BEP. &amp; Summary Results'!$B57,"")</f>
        <v/>
      </c>
      <c r="F57" s="7">
        <f>'Sales, Production, &amp; Other Assu'!P34*'Scenario Analysis'!$B$5*(1+'Scenario Analysis'!$D$5)</f>
        <v>0</v>
      </c>
      <c r="G57" s="5">
        <f>'Summary. Assumptions. Inputs'!B61</f>
        <v>0</v>
      </c>
      <c r="H57" s="16">
        <f t="shared" si="12"/>
        <v>0</v>
      </c>
      <c r="I57" s="15">
        <f t="shared" si="13"/>
        <v>0</v>
      </c>
      <c r="J57" s="6">
        <f t="shared" si="7"/>
        <v>0</v>
      </c>
      <c r="K57" s="15">
        <f>'BEP. &amp; Summary Results'!$D57*'BEP. &amp; Summary Results'!$F57</f>
        <v>0</v>
      </c>
      <c r="L57" s="15">
        <f t="shared" si="8"/>
        <v>0</v>
      </c>
      <c r="M57" s="15">
        <f t="shared" si="9"/>
        <v>0</v>
      </c>
      <c r="N57" s="84">
        <f>IFERROR(Table82[[#This Row],[Item Allocated fixed costs (based on % of sales mix)]]/Table82[[#This Row],[% of profit Margin]],0)</f>
        <v>0</v>
      </c>
      <c r="O57" s="85">
        <f>IFERROR(Table82[[#This Row],[BEP In Amounts]]/Table82[[#This Row],[Unit Sales Price]],0)</f>
        <v>0</v>
      </c>
      <c r="P57" s="85">
        <f>'Summary. Assumptions. Inputs'!B61</f>
        <v>0</v>
      </c>
      <c r="Q57" s="86" t="b">
        <f>IFERROR(Table82[[#This Row],[BEP Quantity]]*Table82[[#This Row],[Unit Profit Margin]]=Table82[[#This Row],[Item Allocated fixed costs (based on % of sales mix)]],FALSE)</f>
        <v>1</v>
      </c>
    </row>
    <row r="58" spans="1:17" hidden="1" outlineLevel="1">
      <c r="A58" s="1">
        <f>'Summary. Assumptions. Inputs'!A62</f>
        <v>0</v>
      </c>
      <c r="B58" s="80">
        <f>'Summary. Assumptions. Inputs'!F62*(1+'Scenario Analysis'!$C$5)</f>
        <v>0</v>
      </c>
      <c r="C58" s="15">
        <f>IFERROR(VLOOKUP(Table82[[#This Row],[Item Name]],'Production Matrix'!_xlnm.Print_Area,8,0),"0")*(1+'Scenario Analysis'!$E$5)</f>
        <v>0</v>
      </c>
      <c r="D58" s="15">
        <f>IFERROR('BEP. &amp; Summary Results'!$B58-'BEP. &amp; Summary Results'!$C58,"")</f>
        <v>0</v>
      </c>
      <c r="E58" s="232" t="str">
        <f>IFERROR('BEP. &amp; Summary Results'!$D58/'BEP. &amp; Summary Results'!$B58,"")</f>
        <v/>
      </c>
      <c r="F58" s="7">
        <f>'Sales, Production, &amp; Other Assu'!P35*'Scenario Analysis'!$B$5*(1+'Scenario Analysis'!$D$5)</f>
        <v>0</v>
      </c>
      <c r="G58" s="5">
        <f>'Summary. Assumptions. Inputs'!B62</f>
        <v>0</v>
      </c>
      <c r="H58" s="16">
        <f t="shared" si="12"/>
        <v>0</v>
      </c>
      <c r="I58" s="15">
        <f t="shared" si="13"/>
        <v>0</v>
      </c>
      <c r="J58" s="6">
        <f t="shared" si="7"/>
        <v>0</v>
      </c>
      <c r="K58" s="15">
        <f>'BEP. &amp; Summary Results'!$D58*'BEP. &amp; Summary Results'!$F58</f>
        <v>0</v>
      </c>
      <c r="L58" s="15">
        <f t="shared" si="8"/>
        <v>0</v>
      </c>
      <c r="M58" s="15">
        <f t="shared" si="9"/>
        <v>0</v>
      </c>
      <c r="N58" s="84">
        <f>IFERROR(Table82[[#This Row],[Item Allocated fixed costs (based on % of sales mix)]]/Table82[[#This Row],[% of profit Margin]],0)</f>
        <v>0</v>
      </c>
      <c r="O58" s="85">
        <f>IFERROR(Table82[[#This Row],[BEP In Amounts]]/Table82[[#This Row],[Unit Sales Price]],0)</f>
        <v>0</v>
      </c>
      <c r="P58" s="85">
        <f>'Summary. Assumptions. Inputs'!B62</f>
        <v>0</v>
      </c>
      <c r="Q58" s="86" t="b">
        <f>IFERROR(Table82[[#This Row],[BEP Quantity]]*Table82[[#This Row],[Unit Profit Margin]]=Table82[[#This Row],[Item Allocated fixed costs (based on % of sales mix)]],FALSE)</f>
        <v>1</v>
      </c>
    </row>
    <row r="59" spans="1:17" hidden="1" outlineLevel="1">
      <c r="A59" s="1">
        <f>'Summary. Assumptions. Inputs'!A63</f>
        <v>0</v>
      </c>
      <c r="B59" s="80">
        <f>'Summary. Assumptions. Inputs'!F63*(1+'Scenario Analysis'!$C$5)</f>
        <v>0</v>
      </c>
      <c r="C59" s="15">
        <f>IFERROR(VLOOKUP(Table82[[#This Row],[Item Name]],'Production Matrix'!_xlnm.Print_Area,8,0),"0")*(1+'Scenario Analysis'!$E$5)</f>
        <v>0</v>
      </c>
      <c r="D59" s="15">
        <f>IFERROR('BEP. &amp; Summary Results'!$B59-'BEP. &amp; Summary Results'!$C59,"")</f>
        <v>0</v>
      </c>
      <c r="E59" s="232" t="str">
        <f>IFERROR('BEP. &amp; Summary Results'!$D59/'BEP. &amp; Summary Results'!$B59,"")</f>
        <v/>
      </c>
      <c r="F59" s="7">
        <f>'Sales, Production, &amp; Other Assu'!P36*'Scenario Analysis'!$B$5*(1+'Scenario Analysis'!$D$5)</f>
        <v>0</v>
      </c>
      <c r="G59" s="5">
        <f>'Summary. Assumptions. Inputs'!B63</f>
        <v>0</v>
      </c>
      <c r="H59" s="16">
        <f t="shared" si="12"/>
        <v>0</v>
      </c>
      <c r="I59" s="15">
        <f t="shared" si="13"/>
        <v>0</v>
      </c>
      <c r="J59" s="6">
        <f t="shared" si="7"/>
        <v>0</v>
      </c>
      <c r="K59" s="15">
        <f>'BEP. &amp; Summary Results'!$D59*'BEP. &amp; Summary Results'!$F59</f>
        <v>0</v>
      </c>
      <c r="L59" s="15">
        <f t="shared" si="8"/>
        <v>0</v>
      </c>
      <c r="M59" s="15">
        <f t="shared" si="9"/>
        <v>0</v>
      </c>
      <c r="N59" s="84">
        <f>IFERROR(Table82[[#This Row],[Item Allocated fixed costs (based on % of sales mix)]]/Table82[[#This Row],[% of profit Margin]],0)</f>
        <v>0</v>
      </c>
      <c r="O59" s="85">
        <f>IFERROR(Table82[[#This Row],[BEP In Amounts]]/Table82[[#This Row],[Unit Sales Price]],0)</f>
        <v>0</v>
      </c>
      <c r="P59" s="85">
        <f>'Summary. Assumptions. Inputs'!B63</f>
        <v>0</v>
      </c>
      <c r="Q59" s="86" t="b">
        <f>IFERROR(Table82[[#This Row],[BEP Quantity]]*Table82[[#This Row],[Unit Profit Margin]]=Table82[[#This Row],[Item Allocated fixed costs (based on % of sales mix)]],FALSE)</f>
        <v>1</v>
      </c>
    </row>
    <row r="60" spans="1:17" hidden="1" outlineLevel="1">
      <c r="A60" s="1">
        <f>'Summary. Assumptions. Inputs'!A64</f>
        <v>0</v>
      </c>
      <c r="B60" s="80">
        <f>'Summary. Assumptions. Inputs'!F64*(1+'Scenario Analysis'!$C$5)</f>
        <v>0</v>
      </c>
      <c r="C60" s="15">
        <f>IFERROR(VLOOKUP(Table82[[#This Row],[Item Name]],'Production Matrix'!_xlnm.Print_Area,8,0),"0")*(1+'Scenario Analysis'!$E$5)</f>
        <v>0</v>
      </c>
      <c r="D60" s="15">
        <f>IFERROR('BEP. &amp; Summary Results'!$B60-'BEP. &amp; Summary Results'!$C60,"")</f>
        <v>0</v>
      </c>
      <c r="E60" s="232" t="str">
        <f>IFERROR('BEP. &amp; Summary Results'!$D60/'BEP. &amp; Summary Results'!$B60,"")</f>
        <v/>
      </c>
      <c r="F60" s="7">
        <f>'Sales, Production, &amp; Other Assu'!P37*'Scenario Analysis'!$B$5*(1+'Scenario Analysis'!$D$5)</f>
        <v>0</v>
      </c>
      <c r="G60" s="5">
        <f>'Summary. Assumptions. Inputs'!B64</f>
        <v>0</v>
      </c>
      <c r="H60" s="16">
        <f t="shared" si="12"/>
        <v>0</v>
      </c>
      <c r="I60" s="15">
        <f t="shared" si="13"/>
        <v>0</v>
      </c>
      <c r="J60" s="6">
        <f t="shared" si="7"/>
        <v>0</v>
      </c>
      <c r="K60" s="15">
        <f>'BEP. &amp; Summary Results'!$D60*'BEP. &amp; Summary Results'!$F60</f>
        <v>0</v>
      </c>
      <c r="L60" s="15">
        <f t="shared" si="8"/>
        <v>0</v>
      </c>
      <c r="M60" s="15">
        <f t="shared" si="9"/>
        <v>0</v>
      </c>
      <c r="N60" s="84">
        <f>IFERROR(Table82[[#This Row],[Item Allocated fixed costs (based on % of sales mix)]]/Table82[[#This Row],[% of profit Margin]],0)</f>
        <v>0</v>
      </c>
      <c r="O60" s="85">
        <f>IFERROR(Table82[[#This Row],[BEP In Amounts]]/Table82[[#This Row],[Unit Sales Price]],0)</f>
        <v>0</v>
      </c>
      <c r="P60" s="85">
        <f>'Summary. Assumptions. Inputs'!B64</f>
        <v>0</v>
      </c>
      <c r="Q60" s="86" t="b">
        <f>IFERROR(Table82[[#This Row],[BEP Quantity]]*Table82[[#This Row],[Unit Profit Margin]]=Table82[[#This Row],[Item Allocated fixed costs (based on % of sales mix)]],FALSE)</f>
        <v>1</v>
      </c>
    </row>
    <row r="61" spans="1:17" hidden="1" outlineLevel="1">
      <c r="A61" s="1">
        <f>'Summary. Assumptions. Inputs'!A65</f>
        <v>0</v>
      </c>
      <c r="B61" s="80">
        <f>'Summary. Assumptions. Inputs'!F65*(1+'Scenario Analysis'!$C$5)</f>
        <v>0</v>
      </c>
      <c r="C61" s="15">
        <f>IFERROR(VLOOKUP(Table82[[#This Row],[Item Name]],'Production Matrix'!_xlnm.Print_Area,8,0),"0")*(1+'Scenario Analysis'!$E$5)</f>
        <v>0</v>
      </c>
      <c r="D61" s="15">
        <f>IFERROR('BEP. &amp; Summary Results'!$B61-'BEP. &amp; Summary Results'!$C61,"")</f>
        <v>0</v>
      </c>
      <c r="E61" s="232" t="str">
        <f>IFERROR('BEP. &amp; Summary Results'!$D61/'BEP. &amp; Summary Results'!$B61,"")</f>
        <v/>
      </c>
      <c r="F61" s="7">
        <f>'Sales, Production, &amp; Other Assu'!P38*'Scenario Analysis'!$B$5*(1+'Scenario Analysis'!$D$5)</f>
        <v>0</v>
      </c>
      <c r="G61" s="5">
        <f>'Summary. Assumptions. Inputs'!B65</f>
        <v>0</v>
      </c>
      <c r="H61" s="16">
        <f t="shared" si="12"/>
        <v>0</v>
      </c>
      <c r="I61" s="15">
        <f t="shared" si="13"/>
        <v>0</v>
      </c>
      <c r="J61" s="6">
        <f t="shared" si="7"/>
        <v>0</v>
      </c>
      <c r="K61" s="15">
        <f>'BEP. &amp; Summary Results'!$D61*'BEP. &amp; Summary Results'!$F61</f>
        <v>0</v>
      </c>
      <c r="L61" s="15">
        <f t="shared" si="8"/>
        <v>0</v>
      </c>
      <c r="M61" s="15">
        <f t="shared" si="9"/>
        <v>0</v>
      </c>
      <c r="N61" s="84">
        <f>IFERROR(Table82[[#This Row],[Item Allocated fixed costs (based on % of sales mix)]]/Table82[[#This Row],[% of profit Margin]],0)</f>
        <v>0</v>
      </c>
      <c r="O61" s="85">
        <f>IFERROR(Table82[[#This Row],[BEP In Amounts]]/Table82[[#This Row],[Unit Sales Price]],0)</f>
        <v>0</v>
      </c>
      <c r="P61" s="85">
        <f>'Summary. Assumptions. Inputs'!B65</f>
        <v>0</v>
      </c>
      <c r="Q61" s="86" t="b">
        <f>IFERROR(Table82[[#This Row],[BEP Quantity]]*Table82[[#This Row],[Unit Profit Margin]]=Table82[[#This Row],[Item Allocated fixed costs (based on % of sales mix)]],FALSE)</f>
        <v>1</v>
      </c>
    </row>
    <row r="62" spans="1:17" hidden="1" outlineLevel="1">
      <c r="A62" s="1">
        <f>'Summary. Assumptions. Inputs'!A66</f>
        <v>0</v>
      </c>
      <c r="B62" s="80">
        <f>'Summary. Assumptions. Inputs'!F66*(1+'Scenario Analysis'!$C$5)</f>
        <v>0</v>
      </c>
      <c r="C62" s="15">
        <f>IFERROR(VLOOKUP(Table82[[#This Row],[Item Name]],'Production Matrix'!_xlnm.Print_Area,8,0),"0")*(1+'Scenario Analysis'!$E$5)</f>
        <v>0</v>
      </c>
      <c r="D62" s="15">
        <f>IFERROR('BEP. &amp; Summary Results'!$B62-'BEP. &amp; Summary Results'!$C62,"")</f>
        <v>0</v>
      </c>
      <c r="E62" s="232" t="str">
        <f>IFERROR('BEP. &amp; Summary Results'!$D62/'BEP. &amp; Summary Results'!$B62,"")</f>
        <v/>
      </c>
      <c r="F62" s="7">
        <f>'Sales, Production, &amp; Other Assu'!P39*'Scenario Analysis'!$B$5*(1+'Scenario Analysis'!$D$5)</f>
        <v>0</v>
      </c>
      <c r="G62" s="5">
        <f>'Summary. Assumptions. Inputs'!B66</f>
        <v>0</v>
      </c>
      <c r="H62" s="16">
        <f t="shared" si="12"/>
        <v>0</v>
      </c>
      <c r="I62" s="15">
        <f t="shared" si="13"/>
        <v>0</v>
      </c>
      <c r="J62" s="6">
        <f t="shared" si="7"/>
        <v>0</v>
      </c>
      <c r="K62" s="15">
        <f>'BEP. &amp; Summary Results'!$D62*'BEP. &amp; Summary Results'!$F62</f>
        <v>0</v>
      </c>
      <c r="L62" s="15">
        <f t="shared" si="8"/>
        <v>0</v>
      </c>
      <c r="M62" s="15">
        <f t="shared" si="9"/>
        <v>0</v>
      </c>
      <c r="N62" s="84">
        <f>IFERROR(Table82[[#This Row],[Item Allocated fixed costs (based on % of sales mix)]]/Table82[[#This Row],[% of profit Margin]],0)</f>
        <v>0</v>
      </c>
      <c r="O62" s="85">
        <f>IFERROR(Table82[[#This Row],[BEP In Amounts]]/Table82[[#This Row],[Unit Sales Price]],0)</f>
        <v>0</v>
      </c>
      <c r="P62" s="85">
        <f>'Summary. Assumptions. Inputs'!B66</f>
        <v>0</v>
      </c>
      <c r="Q62" s="86" t="b">
        <f>IFERROR(Table82[[#This Row],[BEP Quantity]]*Table82[[#This Row],[Unit Profit Margin]]=Table82[[#This Row],[Item Allocated fixed costs (based on % of sales mix)]],FALSE)</f>
        <v>1</v>
      </c>
    </row>
    <row r="63" spans="1:17" hidden="1" outlineLevel="1">
      <c r="A63" s="1">
        <f>'Summary. Assumptions. Inputs'!A67</f>
        <v>0</v>
      </c>
      <c r="B63" s="80">
        <f>'Summary. Assumptions. Inputs'!F67*(1+'Scenario Analysis'!$C$5)</f>
        <v>0</v>
      </c>
      <c r="C63" s="15">
        <f>IFERROR(VLOOKUP(Table82[[#This Row],[Item Name]],'Production Matrix'!_xlnm.Print_Area,8,0),"0")*(1+'Scenario Analysis'!$E$5)</f>
        <v>0</v>
      </c>
      <c r="D63" s="15">
        <f>IFERROR('BEP. &amp; Summary Results'!$B63-'BEP. &amp; Summary Results'!$C63,"")</f>
        <v>0</v>
      </c>
      <c r="E63" s="232" t="str">
        <f>IFERROR('BEP. &amp; Summary Results'!$D63/'BEP. &amp; Summary Results'!$B63,"")</f>
        <v/>
      </c>
      <c r="F63" s="7">
        <f>'Sales, Production, &amp; Other Assu'!P40*'Scenario Analysis'!$B$5*(1+'Scenario Analysis'!$D$5)</f>
        <v>0</v>
      </c>
      <c r="G63" s="5">
        <f>'Summary. Assumptions. Inputs'!B67</f>
        <v>0</v>
      </c>
      <c r="H63" s="16">
        <f t="shared" si="12"/>
        <v>0</v>
      </c>
      <c r="I63" s="15">
        <f t="shared" si="13"/>
        <v>0</v>
      </c>
      <c r="J63" s="6">
        <f t="shared" si="7"/>
        <v>0</v>
      </c>
      <c r="K63" s="15">
        <f>'BEP. &amp; Summary Results'!$D63*'BEP. &amp; Summary Results'!$F63</f>
        <v>0</v>
      </c>
      <c r="L63" s="15">
        <f t="shared" si="8"/>
        <v>0</v>
      </c>
      <c r="M63" s="15">
        <f t="shared" si="9"/>
        <v>0</v>
      </c>
      <c r="N63" s="84">
        <f>IFERROR(Table82[[#This Row],[Item Allocated fixed costs (based on % of sales mix)]]/Table82[[#This Row],[% of profit Margin]],0)</f>
        <v>0</v>
      </c>
      <c r="O63" s="85">
        <f>IFERROR(Table82[[#This Row],[BEP In Amounts]]/Table82[[#This Row],[Unit Sales Price]],0)</f>
        <v>0</v>
      </c>
      <c r="P63" s="85">
        <f>'Summary. Assumptions. Inputs'!B67</f>
        <v>0</v>
      </c>
      <c r="Q63" s="86" t="b">
        <f>IFERROR(Table82[[#This Row],[BEP Quantity]]*Table82[[#This Row],[Unit Profit Margin]]=Table82[[#This Row],[Item Allocated fixed costs (based on % of sales mix)]],FALSE)</f>
        <v>1</v>
      </c>
    </row>
    <row r="64" spans="1:17" hidden="1" outlineLevel="1">
      <c r="A64" s="1">
        <f>'Summary. Assumptions. Inputs'!A68</f>
        <v>0</v>
      </c>
      <c r="B64" s="80">
        <f>'Summary. Assumptions. Inputs'!F68*(1+'Scenario Analysis'!$C$5)</f>
        <v>0</v>
      </c>
      <c r="C64" s="15">
        <f>IFERROR(VLOOKUP(Table82[[#This Row],[Item Name]],'Production Matrix'!_xlnm.Print_Area,8,0),"0")*(1+'Scenario Analysis'!$E$5)</f>
        <v>0</v>
      </c>
      <c r="D64" s="15">
        <f>IFERROR('BEP. &amp; Summary Results'!$B64-'BEP. &amp; Summary Results'!$C64,"")</f>
        <v>0</v>
      </c>
      <c r="E64" s="232" t="str">
        <f>IFERROR('BEP. &amp; Summary Results'!$D64/'BEP. &amp; Summary Results'!$B64,"")</f>
        <v/>
      </c>
      <c r="F64" s="7">
        <f>'Sales, Production, &amp; Other Assu'!P41*'Scenario Analysis'!$B$5*(1+'Scenario Analysis'!$D$5)</f>
        <v>0</v>
      </c>
      <c r="G64" s="5">
        <f>'Summary. Assumptions. Inputs'!B68</f>
        <v>0</v>
      </c>
      <c r="H64" s="16">
        <f t="shared" si="12"/>
        <v>0</v>
      </c>
      <c r="I64" s="15">
        <f t="shared" si="13"/>
        <v>0</v>
      </c>
      <c r="J64" s="6">
        <f t="shared" si="7"/>
        <v>0</v>
      </c>
      <c r="K64" s="15">
        <f>'BEP. &amp; Summary Results'!$D64*'BEP. &amp; Summary Results'!$F64</f>
        <v>0</v>
      </c>
      <c r="L64" s="15">
        <f t="shared" si="8"/>
        <v>0</v>
      </c>
      <c r="M64" s="15">
        <f t="shared" si="9"/>
        <v>0</v>
      </c>
      <c r="N64" s="84">
        <f>IFERROR(Table82[[#This Row],[Item Allocated fixed costs (based on % of sales mix)]]/Table82[[#This Row],[% of profit Margin]],0)</f>
        <v>0</v>
      </c>
      <c r="O64" s="85">
        <f>IFERROR(Table82[[#This Row],[BEP In Amounts]]/Table82[[#This Row],[Unit Sales Price]],0)</f>
        <v>0</v>
      </c>
      <c r="P64" s="85">
        <f>'Summary. Assumptions. Inputs'!B68</f>
        <v>0</v>
      </c>
      <c r="Q64" s="86" t="b">
        <f>IFERROR(Table82[[#This Row],[BEP Quantity]]*Table82[[#This Row],[Unit Profit Margin]]=Table82[[#This Row],[Item Allocated fixed costs (based on % of sales mix)]],FALSE)</f>
        <v>1</v>
      </c>
    </row>
    <row r="65" spans="1:17" hidden="1" outlineLevel="1">
      <c r="A65" s="1">
        <f>'Summary. Assumptions. Inputs'!A69</f>
        <v>0</v>
      </c>
      <c r="B65" s="80">
        <f>'Summary. Assumptions. Inputs'!F69*(1+'Scenario Analysis'!$C$5)</f>
        <v>0</v>
      </c>
      <c r="C65" s="15">
        <f>IFERROR(VLOOKUP(Table82[[#This Row],[Item Name]],'Production Matrix'!_xlnm.Print_Area,8,0),"0")*(1+'Scenario Analysis'!$E$5)</f>
        <v>0</v>
      </c>
      <c r="D65" s="15">
        <f>IFERROR('BEP. &amp; Summary Results'!$B65-'BEP. &amp; Summary Results'!$C65,"")</f>
        <v>0</v>
      </c>
      <c r="E65" s="232" t="str">
        <f>IFERROR('BEP. &amp; Summary Results'!$D65/'BEP. &amp; Summary Results'!$B65,"")</f>
        <v/>
      </c>
      <c r="F65" s="7">
        <f>'Sales, Production, &amp; Other Assu'!P42*'Scenario Analysis'!$B$5*(1+'Scenario Analysis'!$D$5)</f>
        <v>0</v>
      </c>
      <c r="G65" s="5">
        <f>'Summary. Assumptions. Inputs'!B69</f>
        <v>0</v>
      </c>
      <c r="H65" s="16">
        <f t="shared" si="12"/>
        <v>0</v>
      </c>
      <c r="I65" s="15">
        <f t="shared" si="13"/>
        <v>0</v>
      </c>
      <c r="J65" s="6">
        <f t="shared" si="7"/>
        <v>0</v>
      </c>
      <c r="K65" s="15">
        <f>'BEP. &amp; Summary Results'!$D65*'BEP. &amp; Summary Results'!$F65</f>
        <v>0</v>
      </c>
      <c r="L65" s="15">
        <f t="shared" si="8"/>
        <v>0</v>
      </c>
      <c r="M65" s="15">
        <f t="shared" si="9"/>
        <v>0</v>
      </c>
      <c r="N65" s="84">
        <f>IFERROR(Table82[[#This Row],[Item Allocated fixed costs (based on % of sales mix)]]/Table82[[#This Row],[% of profit Margin]],0)</f>
        <v>0</v>
      </c>
      <c r="O65" s="85">
        <f>IFERROR(Table82[[#This Row],[BEP In Amounts]]/Table82[[#This Row],[Unit Sales Price]],0)</f>
        <v>0</v>
      </c>
      <c r="P65" s="85">
        <f>'Summary. Assumptions. Inputs'!B69</f>
        <v>0</v>
      </c>
      <c r="Q65" s="86" t="b">
        <f>IFERROR(Table82[[#This Row],[BEP Quantity]]*Table82[[#This Row],[Unit Profit Margin]]=Table82[[#This Row],[Item Allocated fixed costs (based on % of sales mix)]],FALSE)</f>
        <v>1</v>
      </c>
    </row>
    <row r="66" spans="1:17" hidden="1" outlineLevel="1">
      <c r="A66" s="1">
        <f>'Summary. Assumptions. Inputs'!A70</f>
        <v>0</v>
      </c>
      <c r="B66" s="80">
        <f>'Summary. Assumptions. Inputs'!F70*(1+'Scenario Analysis'!$C$5)</f>
        <v>0</v>
      </c>
      <c r="C66" s="15">
        <f>IFERROR(VLOOKUP(Table82[[#This Row],[Item Name]],'Production Matrix'!_xlnm.Print_Area,8,0),"0")*(1+'Scenario Analysis'!$E$5)</f>
        <v>0</v>
      </c>
      <c r="D66" s="15">
        <f>IFERROR('BEP. &amp; Summary Results'!$B66-'BEP. &amp; Summary Results'!$C66,"")</f>
        <v>0</v>
      </c>
      <c r="E66" s="232" t="str">
        <f>IFERROR('BEP. &amp; Summary Results'!$D66/'BEP. &amp; Summary Results'!$B66,"")</f>
        <v/>
      </c>
      <c r="F66" s="7">
        <f>'Sales, Production, &amp; Other Assu'!P43*'Scenario Analysis'!$B$5*(1+'Scenario Analysis'!$D$5)</f>
        <v>0</v>
      </c>
      <c r="G66" s="5">
        <f>'Summary. Assumptions. Inputs'!B70</f>
        <v>0</v>
      </c>
      <c r="H66" s="16">
        <f t="shared" si="12"/>
        <v>0</v>
      </c>
      <c r="I66" s="15">
        <f t="shared" si="13"/>
        <v>0</v>
      </c>
      <c r="J66" s="6">
        <f t="shared" si="7"/>
        <v>0</v>
      </c>
      <c r="K66" s="15">
        <f>'BEP. &amp; Summary Results'!$D66*'BEP. &amp; Summary Results'!$F66</f>
        <v>0</v>
      </c>
      <c r="L66" s="15">
        <f t="shared" si="8"/>
        <v>0</v>
      </c>
      <c r="M66" s="15">
        <f t="shared" si="9"/>
        <v>0</v>
      </c>
      <c r="N66" s="84">
        <f>IFERROR(Table82[[#This Row],[Item Allocated fixed costs (based on % of sales mix)]]/Table82[[#This Row],[% of profit Margin]],0)</f>
        <v>0</v>
      </c>
      <c r="O66" s="85">
        <f>IFERROR(Table82[[#This Row],[BEP In Amounts]]/Table82[[#This Row],[Unit Sales Price]],0)</f>
        <v>0</v>
      </c>
      <c r="P66" s="85">
        <f>'Summary. Assumptions. Inputs'!B70</f>
        <v>0</v>
      </c>
      <c r="Q66" s="86" t="b">
        <f>IFERROR(Table82[[#This Row],[BEP Quantity]]*Table82[[#This Row],[Unit Profit Margin]]=Table82[[#This Row],[Item Allocated fixed costs (based on % of sales mix)]],FALSE)</f>
        <v>1</v>
      </c>
    </row>
    <row r="67" spans="1:17" hidden="1" outlineLevel="1">
      <c r="A67" s="1">
        <f>'Summary. Assumptions. Inputs'!A71</f>
        <v>0</v>
      </c>
      <c r="B67" s="80">
        <f>'Summary. Assumptions. Inputs'!F71*(1+'Scenario Analysis'!$C$5)</f>
        <v>0</v>
      </c>
      <c r="C67" s="15">
        <f>IFERROR(VLOOKUP(Table82[[#This Row],[Item Name]],'Production Matrix'!_xlnm.Print_Area,8,0),"0")*(1+'Scenario Analysis'!$E$5)</f>
        <v>0</v>
      </c>
      <c r="D67" s="15">
        <f>IFERROR('BEP. &amp; Summary Results'!$B67-'BEP. &amp; Summary Results'!$C67,"")</f>
        <v>0</v>
      </c>
      <c r="E67" s="232" t="str">
        <f>IFERROR('BEP. &amp; Summary Results'!$D67/'BEP. &amp; Summary Results'!$B67,"")</f>
        <v/>
      </c>
      <c r="F67" s="7">
        <f>'Sales, Production, &amp; Other Assu'!P44*'Scenario Analysis'!$B$5*(1+'Scenario Analysis'!$D$5)</f>
        <v>0</v>
      </c>
      <c r="G67" s="5">
        <f>'Summary. Assumptions. Inputs'!B71</f>
        <v>0</v>
      </c>
      <c r="H67" s="16">
        <f t="shared" si="12"/>
        <v>0</v>
      </c>
      <c r="I67" s="15">
        <f t="shared" si="13"/>
        <v>0</v>
      </c>
      <c r="J67" s="6">
        <f t="shared" si="7"/>
        <v>0</v>
      </c>
      <c r="K67" s="15">
        <f>'BEP. &amp; Summary Results'!$D67*'BEP. &amp; Summary Results'!$F67</f>
        <v>0</v>
      </c>
      <c r="L67" s="15">
        <f t="shared" si="8"/>
        <v>0</v>
      </c>
      <c r="M67" s="15">
        <f t="shared" si="9"/>
        <v>0</v>
      </c>
      <c r="N67" s="84">
        <f>IFERROR(Table82[[#This Row],[Item Allocated fixed costs (based on % of sales mix)]]/Table82[[#This Row],[% of profit Margin]],0)</f>
        <v>0</v>
      </c>
      <c r="O67" s="85">
        <f>IFERROR(Table82[[#This Row],[BEP In Amounts]]/Table82[[#This Row],[Unit Sales Price]],0)</f>
        <v>0</v>
      </c>
      <c r="P67" s="85">
        <f>'Summary. Assumptions. Inputs'!B71</f>
        <v>0</v>
      </c>
      <c r="Q67" s="86" t="b">
        <f>IFERROR(Table82[[#This Row],[BEP Quantity]]*Table82[[#This Row],[Unit Profit Margin]]=Table82[[#This Row],[Item Allocated fixed costs (based on % of sales mix)]],FALSE)</f>
        <v>1</v>
      </c>
    </row>
    <row r="68" spans="1:17" hidden="1" outlineLevel="1">
      <c r="A68" s="1">
        <f>'Summary. Assumptions. Inputs'!A72</f>
        <v>0</v>
      </c>
      <c r="B68" s="80">
        <f>'Summary. Assumptions. Inputs'!F72*(1+'Scenario Analysis'!$C$5)</f>
        <v>0</v>
      </c>
      <c r="C68" s="15">
        <f>IFERROR(VLOOKUP(Table82[[#This Row],[Item Name]],'Production Matrix'!_xlnm.Print_Area,8,0),"0")*(1+'Scenario Analysis'!$E$5)</f>
        <v>0</v>
      </c>
      <c r="D68" s="15">
        <f>IFERROR('BEP. &amp; Summary Results'!$B68-'BEP. &amp; Summary Results'!$C68,"")</f>
        <v>0</v>
      </c>
      <c r="E68" s="232" t="str">
        <f>IFERROR('BEP. &amp; Summary Results'!$D68/'BEP. &amp; Summary Results'!$B68,"")</f>
        <v/>
      </c>
      <c r="F68" s="7">
        <f>'Sales, Production, &amp; Other Assu'!P45*'Scenario Analysis'!$B$5*(1+'Scenario Analysis'!$D$5)</f>
        <v>0</v>
      </c>
      <c r="G68" s="5">
        <f>'Summary. Assumptions. Inputs'!B72</f>
        <v>0</v>
      </c>
      <c r="H68" s="16">
        <f t="shared" si="12"/>
        <v>0</v>
      </c>
      <c r="I68" s="15">
        <f t="shared" si="13"/>
        <v>0</v>
      </c>
      <c r="J68" s="6">
        <f t="shared" si="7"/>
        <v>0</v>
      </c>
      <c r="K68" s="15">
        <f>'BEP. &amp; Summary Results'!$D68*'BEP. &amp; Summary Results'!$F68</f>
        <v>0</v>
      </c>
      <c r="L68" s="15">
        <f t="shared" si="8"/>
        <v>0</v>
      </c>
      <c r="M68" s="15">
        <f t="shared" si="9"/>
        <v>0</v>
      </c>
      <c r="N68" s="84">
        <f>IFERROR(Table82[[#This Row],[Item Allocated fixed costs (based on % of sales mix)]]/Table82[[#This Row],[% of profit Margin]],0)</f>
        <v>0</v>
      </c>
      <c r="O68" s="85">
        <f>IFERROR(Table82[[#This Row],[BEP In Amounts]]/Table82[[#This Row],[Unit Sales Price]],0)</f>
        <v>0</v>
      </c>
      <c r="P68" s="85">
        <f>'Summary. Assumptions. Inputs'!B72</f>
        <v>0</v>
      </c>
      <c r="Q68" s="86" t="b">
        <f>IFERROR(Table82[[#This Row],[BEP Quantity]]*Table82[[#This Row],[Unit Profit Margin]]=Table82[[#This Row],[Item Allocated fixed costs (based on % of sales mix)]],FALSE)</f>
        <v>1</v>
      </c>
    </row>
    <row r="69" spans="1:17" hidden="1" outlineLevel="1">
      <c r="A69" s="1">
        <f>'Summary. Assumptions. Inputs'!A73</f>
        <v>0</v>
      </c>
      <c r="B69" s="80">
        <f>'Summary. Assumptions. Inputs'!F73*(1+'Scenario Analysis'!$C$5)</f>
        <v>0</v>
      </c>
      <c r="C69" s="15">
        <f>IFERROR(VLOOKUP(Table82[[#This Row],[Item Name]],'Production Matrix'!_xlnm.Print_Area,8,0),"0")*(1+'Scenario Analysis'!$E$5)</f>
        <v>0</v>
      </c>
      <c r="D69" s="15">
        <f>IFERROR('BEP. &amp; Summary Results'!$B69-'BEP. &amp; Summary Results'!$C69,"")</f>
        <v>0</v>
      </c>
      <c r="E69" s="232" t="str">
        <f>IFERROR('BEP. &amp; Summary Results'!$D69/'BEP. &amp; Summary Results'!$B69,"")</f>
        <v/>
      </c>
      <c r="F69" s="7">
        <f>'Sales, Production, &amp; Other Assu'!P46*'Scenario Analysis'!$B$5*(1+'Scenario Analysis'!$D$5)</f>
        <v>0</v>
      </c>
      <c r="G69" s="5">
        <f>'Summary. Assumptions. Inputs'!B73</f>
        <v>0</v>
      </c>
      <c r="H69" s="16">
        <f t="shared" si="12"/>
        <v>0</v>
      </c>
      <c r="I69" s="15">
        <f t="shared" si="13"/>
        <v>0</v>
      </c>
      <c r="J69" s="6">
        <f t="shared" si="7"/>
        <v>0</v>
      </c>
      <c r="K69" s="15">
        <f>'BEP. &amp; Summary Results'!$D69*'BEP. &amp; Summary Results'!$F69</f>
        <v>0</v>
      </c>
      <c r="L69" s="15">
        <f t="shared" si="8"/>
        <v>0</v>
      </c>
      <c r="M69" s="15">
        <f t="shared" si="9"/>
        <v>0</v>
      </c>
      <c r="N69" s="84">
        <f>IFERROR(Table82[[#This Row],[Item Allocated fixed costs (based on % of sales mix)]]/Table82[[#This Row],[% of profit Margin]],0)</f>
        <v>0</v>
      </c>
      <c r="O69" s="85">
        <f>IFERROR(Table82[[#This Row],[BEP In Amounts]]/Table82[[#This Row],[Unit Sales Price]],0)</f>
        <v>0</v>
      </c>
      <c r="P69" s="85">
        <f>'Summary. Assumptions. Inputs'!B73</f>
        <v>0</v>
      </c>
      <c r="Q69" s="86" t="b">
        <f>IFERROR(Table82[[#This Row],[BEP Quantity]]*Table82[[#This Row],[Unit Profit Margin]]=Table82[[#This Row],[Item Allocated fixed costs (based on % of sales mix)]],FALSE)</f>
        <v>1</v>
      </c>
    </row>
    <row r="70" spans="1:17" hidden="1" outlineLevel="1">
      <c r="A70" s="1">
        <f>'Summary. Assumptions. Inputs'!A74</f>
        <v>0</v>
      </c>
      <c r="B70" s="80">
        <f>'Summary. Assumptions. Inputs'!F74*(1+'Scenario Analysis'!$C$5)</f>
        <v>0</v>
      </c>
      <c r="C70" s="15">
        <f>IFERROR(VLOOKUP(Table82[[#This Row],[Item Name]],'Production Matrix'!_xlnm.Print_Area,8,0),"0")*(1+'Scenario Analysis'!$E$5)</f>
        <v>0</v>
      </c>
      <c r="D70" s="15">
        <f>IFERROR('BEP. &amp; Summary Results'!$B70-'BEP. &amp; Summary Results'!$C70,"")</f>
        <v>0</v>
      </c>
      <c r="E70" s="232" t="str">
        <f>IFERROR('BEP. &amp; Summary Results'!$D70/'BEP. &amp; Summary Results'!$B70,"")</f>
        <v/>
      </c>
      <c r="F70" s="7">
        <f>'Sales, Production, &amp; Other Assu'!P47*'Scenario Analysis'!$B$5*(1+'Scenario Analysis'!$D$5)</f>
        <v>0</v>
      </c>
      <c r="G70" s="5">
        <f>'Summary. Assumptions. Inputs'!B74</f>
        <v>0</v>
      </c>
      <c r="H70" s="16">
        <f t="shared" si="12"/>
        <v>0</v>
      </c>
      <c r="I70" s="15">
        <f t="shared" si="13"/>
        <v>0</v>
      </c>
      <c r="J70" s="6">
        <f t="shared" si="7"/>
        <v>0</v>
      </c>
      <c r="K70" s="15">
        <f>'BEP. &amp; Summary Results'!$D70*'BEP. &amp; Summary Results'!$F70</f>
        <v>0</v>
      </c>
      <c r="L70" s="15">
        <f t="shared" si="8"/>
        <v>0</v>
      </c>
      <c r="M70" s="15">
        <f t="shared" si="9"/>
        <v>0</v>
      </c>
      <c r="N70" s="84">
        <f>IFERROR(Table82[[#This Row],[Item Allocated fixed costs (based on % of sales mix)]]/Table82[[#This Row],[% of profit Margin]],0)</f>
        <v>0</v>
      </c>
      <c r="O70" s="85">
        <f>IFERROR(Table82[[#This Row],[BEP In Amounts]]/Table82[[#This Row],[Unit Sales Price]],0)</f>
        <v>0</v>
      </c>
      <c r="P70" s="85">
        <f>'Summary. Assumptions. Inputs'!B74</f>
        <v>0</v>
      </c>
      <c r="Q70" s="86" t="b">
        <f>IFERROR(Table82[[#This Row],[BEP Quantity]]*Table82[[#This Row],[Unit Profit Margin]]=Table82[[#This Row],[Item Allocated fixed costs (based on % of sales mix)]],FALSE)</f>
        <v>1</v>
      </c>
    </row>
    <row r="71" spans="1:17" hidden="1" outlineLevel="1">
      <c r="A71" s="1">
        <f>'Summary. Assumptions. Inputs'!A75</f>
        <v>0</v>
      </c>
      <c r="B71" s="80">
        <f>'Summary. Assumptions. Inputs'!F75*(1+'Scenario Analysis'!$C$5)</f>
        <v>0</v>
      </c>
      <c r="C71" s="15">
        <f>IFERROR(VLOOKUP(Table82[[#This Row],[Item Name]],'Production Matrix'!_xlnm.Print_Area,8,0),"0")*(1+'Scenario Analysis'!$E$5)</f>
        <v>0</v>
      </c>
      <c r="D71" s="15">
        <f>IFERROR('BEP. &amp; Summary Results'!$B71-'BEP. &amp; Summary Results'!$C71,"")</f>
        <v>0</v>
      </c>
      <c r="E71" s="232" t="str">
        <f>IFERROR('BEP. &amp; Summary Results'!$D71/'BEP. &amp; Summary Results'!$B71,"")</f>
        <v/>
      </c>
      <c r="F71" s="7">
        <f>'Sales, Production, &amp; Other Assu'!P48*'Scenario Analysis'!$B$5*(1+'Scenario Analysis'!$D$5)</f>
        <v>0</v>
      </c>
      <c r="G71" s="5">
        <f>'Summary. Assumptions. Inputs'!B75</f>
        <v>0</v>
      </c>
      <c r="H71" s="16">
        <f>B71*F71</f>
        <v>0</v>
      </c>
      <c r="I71" s="15">
        <f>F71*C71</f>
        <v>0</v>
      </c>
      <c r="J71" s="6">
        <f t="shared" si="7"/>
        <v>0</v>
      </c>
      <c r="K71" s="15">
        <f>'BEP. &amp; Summary Results'!$D71*'BEP. &amp; Summary Results'!$F71</f>
        <v>0</v>
      </c>
      <c r="L71" s="15">
        <f t="shared" si="8"/>
        <v>0</v>
      </c>
      <c r="M71" s="15">
        <f t="shared" si="9"/>
        <v>0</v>
      </c>
      <c r="N71" s="84">
        <f>IFERROR(Table82[[#This Row],[Item Allocated fixed costs (based on % of sales mix)]]/Table82[[#This Row],[% of profit Margin]],0)</f>
        <v>0</v>
      </c>
      <c r="O71" s="85">
        <f>IFERROR(Table82[[#This Row],[BEP In Amounts]]/Table82[[#This Row],[Unit Sales Price]],0)</f>
        <v>0</v>
      </c>
      <c r="P71" s="85">
        <f>'Summary. Assumptions. Inputs'!B75</f>
        <v>0</v>
      </c>
      <c r="Q71" s="86" t="b">
        <f>IFERROR(Table82[[#This Row],[BEP Quantity]]*Table82[[#This Row],[Unit Profit Margin]]=Table82[[#This Row],[Item Allocated fixed costs (based on % of sales mix)]],FALSE)</f>
        <v>1</v>
      </c>
    </row>
    <row r="72" spans="1:17" outlineLevel="1">
      <c r="A72" s="1" t="str">
        <f>'Summary. Assumptions. Inputs'!A76</f>
        <v>Total</v>
      </c>
      <c r="B72" s="87"/>
      <c r="C72" s="87"/>
      <c r="D72" s="87"/>
      <c r="E72" s="232">
        <f>AVERAGE(E42:E71)</f>
        <v>0.40591873015873015</v>
      </c>
      <c r="F72" s="89"/>
      <c r="G72" s="89"/>
      <c r="H72" s="90">
        <f>SUM(H42:H71)</f>
        <v>8336115</v>
      </c>
      <c r="I72" s="90">
        <f>SUM(I42:I71)</f>
        <v>5544361.8719999995</v>
      </c>
      <c r="J72" s="88">
        <f t="shared" si="7"/>
        <v>1</v>
      </c>
      <c r="K72" s="90">
        <f>SUM(K42:K71)</f>
        <v>2791753.1280000005</v>
      </c>
      <c r="L72" s="90">
        <f>SUM(L42:L71)</f>
        <v>1413052.5999999999</v>
      </c>
      <c r="M72" s="90">
        <f>SUM(M42:M71)</f>
        <v>1378700.5280000006</v>
      </c>
      <c r="N72" s="91">
        <f>SUM(N42:N71)</f>
        <v>4319540.6357696895</v>
      </c>
      <c r="O72" s="92"/>
      <c r="P72" s="92"/>
      <c r="Q72" s="93">
        <f>SUMPRODUCT(O42:O71,B42:B71)</f>
        <v>4319540.6357696895</v>
      </c>
    </row>
    <row r="73" spans="1:17" outlineLevel="1">
      <c r="L73" s="101">
        <f>'Projected FS'!C109+'Projected FS'!C110+'Projected FS'!C111+'Projected FS'!C113+'Projected FS'!C114+'Projected FS'!C116</f>
        <v>1413052.5999999999</v>
      </c>
      <c r="M73" s="94"/>
      <c r="N73" s="95"/>
      <c r="O73" s="96"/>
      <c r="P73" s="96"/>
      <c r="Q73" s="97" t="b">
        <f>SUMPRODUCT(O42:O71,B42:B71)=N72</f>
        <v>1</v>
      </c>
    </row>
    <row r="75" spans="1:17" ht="20.25">
      <c r="A75" s="780" t="str">
        <f>'Scenario Analysis'!A6</f>
        <v>Scenario 3</v>
      </c>
      <c r="B75" s="780"/>
      <c r="C75" s="780"/>
      <c r="D75" s="780"/>
      <c r="E75" s="780"/>
      <c r="F75" s="780"/>
      <c r="G75" s="780"/>
      <c r="H75" s="780"/>
      <c r="I75" s="780"/>
      <c r="J75" s="780"/>
      <c r="K75" s="780"/>
      <c r="L75" s="780"/>
      <c r="M75" s="780"/>
      <c r="N75" s="781"/>
      <c r="O75" s="781"/>
      <c r="P75" s="781"/>
      <c r="Q75" s="781"/>
    </row>
    <row r="76" spans="1:17" ht="75" outlineLevel="1">
      <c r="A76" s="99" t="s">
        <v>282</v>
      </c>
      <c r="B76" s="99" t="s">
        <v>283</v>
      </c>
      <c r="C76" s="99" t="s">
        <v>284</v>
      </c>
      <c r="D76" s="99" t="s">
        <v>285</v>
      </c>
      <c r="E76" s="99" t="s">
        <v>286</v>
      </c>
      <c r="F76" s="99" t="s">
        <v>287</v>
      </c>
      <c r="G76" s="100" t="s">
        <v>288</v>
      </c>
      <c r="H76" s="99" t="s">
        <v>289</v>
      </c>
      <c r="I76" s="99" t="s">
        <v>290</v>
      </c>
      <c r="J76" s="99" t="s">
        <v>291</v>
      </c>
      <c r="K76" s="99" t="s">
        <v>292</v>
      </c>
      <c r="L76" s="99" t="s">
        <v>293</v>
      </c>
      <c r="M76" s="99" t="s">
        <v>294</v>
      </c>
      <c r="N76" s="81" t="s">
        <v>295</v>
      </c>
      <c r="O76" s="82" t="s">
        <v>296</v>
      </c>
      <c r="P76" s="83" t="s">
        <v>297</v>
      </c>
      <c r="Q76" s="82" t="s">
        <v>298</v>
      </c>
    </row>
    <row r="77" spans="1:17" outlineLevel="1">
      <c r="A77" s="1" t="str">
        <f>'Summary. Assumptions. Inputs'!A46</f>
        <v>Greenhouse cover films</v>
      </c>
      <c r="B77" s="80">
        <f>'Summary. Assumptions. Inputs'!F46*(1+'Scenario Analysis'!$C$6)</f>
        <v>3.28125</v>
      </c>
      <c r="C77" s="15">
        <f>IFERROR(VLOOKUP(Table823[[#This Row],[Item Name]],'Production Matrix'!_xlnm.Print_Area,8,0),"0")*(1+'Scenario Analysis'!$E$6)</f>
        <v>2.2403999999999997</v>
      </c>
      <c r="D77" s="15">
        <f>IFERROR('BEP. &amp; Summary Results'!$B77-'BEP. &amp; Summary Results'!$C77,"")</f>
        <v>1.0408500000000003</v>
      </c>
      <c r="E77" s="232">
        <f>IFERROR('BEP. &amp; Summary Results'!$D77/'BEP. &amp; Summary Results'!$B77,"")</f>
        <v>0.31721142857142864</v>
      </c>
      <c r="F77" s="7">
        <f>'Sales, Production, &amp; Other Assu'!P19*'Scenario Analysis'!$B$6*(1+'Scenario Analysis'!$D$6)</f>
        <v>1532160</v>
      </c>
      <c r="G77" s="5" t="str">
        <f>'Summary. Assumptions. Inputs'!B46</f>
        <v>KG</v>
      </c>
      <c r="H77" s="16">
        <f>B77*F77</f>
        <v>5027400</v>
      </c>
      <c r="I77" s="15">
        <f>F77*C77</f>
        <v>3432651.2639999995</v>
      </c>
      <c r="J77" s="6">
        <f t="shared" ref="J77:J107" si="14">IFERROR(H77/$H$107,0)</f>
        <v>0.66076793867846417</v>
      </c>
      <c r="K77" s="15">
        <f>'BEP. &amp; Summary Results'!$D77*'BEP. &amp; Summary Results'!$F77</f>
        <v>1594748.7360000005</v>
      </c>
      <c r="L77" s="15">
        <f>J77*$L$108</f>
        <v>944893.2626274575</v>
      </c>
      <c r="M77" s="15">
        <f>K77-L77</f>
        <v>649855.473372543</v>
      </c>
      <c r="N77" s="84">
        <f>IFERROR(Table823[[#This Row],[Item Allocated fixed costs (based on % of sales mix)]]/Table823[[#This Row],[% of profit Margin]],0)</f>
        <v>2978749.1165838921</v>
      </c>
      <c r="O77" s="85">
        <f>IFERROR(Table823[[#This Row],[BEP In Amounts]]/Table823[[#This Row],[Unit Sales Price]],0)</f>
        <v>907809.25457794813</v>
      </c>
      <c r="P77" s="85" t="str">
        <f>'Summary. Assumptions. Inputs'!B80</f>
        <v>Kilo</v>
      </c>
      <c r="Q77" s="86" t="b">
        <f>IFERROR(Table823[[#This Row],[BEP Quantity]]*Table823[[#This Row],[Unit Profit Margin]]=Table823[[#This Row],[Item Allocated fixed costs (based on % of sales mix)]],FALSE)</f>
        <v>1</v>
      </c>
    </row>
    <row r="78" spans="1:17" outlineLevel="1">
      <c r="A78" s="1" t="str">
        <f>'Summary. Assumptions. Inputs'!A47</f>
        <v>Thermal shaders</v>
      </c>
      <c r="B78" s="80">
        <f>'Summary. Assumptions. Inputs'!F47*(1+'Scenario Analysis'!$C$5)</f>
        <v>3.28125</v>
      </c>
      <c r="C78" s="15">
        <f>IFERROR(VLOOKUP(Table823[[#This Row],[Item Name]],'Production Matrix'!_xlnm.Print_Area,8,0),"0")*(1+'Scenario Analysis'!$E$5)</f>
        <v>2.2403999999999997</v>
      </c>
      <c r="D78" s="15">
        <f>IFERROR('BEP. &amp; Summary Results'!$B78-'BEP. &amp; Summary Results'!$C78,"")</f>
        <v>1.0408500000000003</v>
      </c>
      <c r="E78" s="232">
        <f>IFERROR('BEP. &amp; Summary Results'!$D78/'BEP. &amp; Summary Results'!$B78,"")</f>
        <v>0.31721142857142864</v>
      </c>
      <c r="F78" s="7">
        <f>'Sales, Production, &amp; Other Assu'!P56*'Scenario Analysis'!$B$6*(1+'Scenario Analysis'!$D$6)</f>
        <v>624000</v>
      </c>
      <c r="G78" s="5" t="str">
        <f>'Summary. Assumptions. Inputs'!B47</f>
        <v>KG</v>
      </c>
      <c r="H78" s="16">
        <f>B78*F78</f>
        <v>2047500</v>
      </c>
      <c r="I78" s="15">
        <f>F78*C78</f>
        <v>1398009.5999999999</v>
      </c>
      <c r="J78" s="6">
        <f t="shared" si="14"/>
        <v>0.26910974946178051</v>
      </c>
      <c r="K78" s="15">
        <f>'BEP. &amp; Summary Results'!$D78*'BEP. &amp; Summary Results'!$F78</f>
        <v>649490.40000000014</v>
      </c>
      <c r="L78" s="15">
        <f t="shared" ref="L78:L106" si="15">J78*$L$108</f>
        <v>384824.95031820011</v>
      </c>
      <c r="M78" s="15">
        <f t="shared" ref="M78:M106" si="16">K78-L78</f>
        <v>264665.44968180003</v>
      </c>
      <c r="N78" s="84">
        <f>IFERROR(Table823[[#This Row],[Item Allocated fixed costs (based on % of sales mix)]]/Table823[[#This Row],[% of profit Margin]],0)</f>
        <v>1213149.7028693797</v>
      </c>
      <c r="O78" s="85">
        <f>IFERROR(Table823[[#This Row],[BEP In Amounts]]/Table823[[#This Row],[Unit Sales Price]],0)</f>
        <v>369721.81420781097</v>
      </c>
      <c r="P78" s="85" t="str">
        <f>'Summary. Assumptions. Inputs'!B81</f>
        <v>Kilo</v>
      </c>
      <c r="Q78" s="86" t="b">
        <f>IFERROR(Table823[[#This Row],[BEP Quantity]]*Table823[[#This Row],[Unit Profit Margin]]=Table823[[#This Row],[Item Allocated fixed costs (based on % of sales mix)]],FALSE)</f>
        <v>1</v>
      </c>
    </row>
    <row r="79" spans="1:17" outlineLevel="1">
      <c r="A79" s="1" t="str">
        <f>'Summary. Assumptions. Inputs'!A48</f>
        <v>Recycled plastic</v>
      </c>
      <c r="B79" s="80">
        <f>'Summary. Assumptions. Inputs'!F48*(1+'Scenario Analysis'!$C$5)</f>
        <v>0.74999999999999989</v>
      </c>
      <c r="C79" s="15">
        <f>IFERROR(VLOOKUP(Table823[[#This Row],[Item Name]],'Production Matrix'!_xlnm.Print_Area,8,0),"0")*(1+'Scenario Analysis'!$E$5)</f>
        <v>0.3125</v>
      </c>
      <c r="D79" s="15">
        <f>IFERROR('BEP. &amp; Summary Results'!$B79-'BEP. &amp; Summary Results'!$C79,"")</f>
        <v>0.43749999999999989</v>
      </c>
      <c r="E79" s="232">
        <f>IFERROR('BEP. &amp; Summary Results'!$D79/'BEP. &amp; Summary Results'!$B79,"")</f>
        <v>0.58333333333333326</v>
      </c>
      <c r="F79" s="7">
        <f>'Sales, Production, &amp; Other Assu'!P57*'Scenario Analysis'!$B$6*(1+'Scenario Analysis'!$D$6)</f>
        <v>711360</v>
      </c>
      <c r="G79" s="5" t="str">
        <f>'Summary. Assumptions. Inputs'!B48</f>
        <v>KG</v>
      </c>
      <c r="H79" s="16">
        <f t="shared" ref="H79:H86" si="17">B79*F79</f>
        <v>533519.99999999988</v>
      </c>
      <c r="I79" s="15">
        <f t="shared" ref="I79:I86" si="18">F79*C79</f>
        <v>222300</v>
      </c>
      <c r="J79" s="6">
        <f t="shared" si="14"/>
        <v>7.0122311859755357E-2</v>
      </c>
      <c r="K79" s="15">
        <f>'BEP. &amp; Summary Results'!$D79*'BEP. &amp; Summary Results'!$F79</f>
        <v>311219.99999999994</v>
      </c>
      <c r="L79" s="15">
        <f t="shared" si="15"/>
        <v>100274.38705434238</v>
      </c>
      <c r="M79" s="15">
        <f t="shared" si="16"/>
        <v>210945.61294565757</v>
      </c>
      <c r="N79" s="84">
        <f>IFERROR(Table823[[#This Row],[Item Allocated fixed costs (based on % of sales mix)]]/Table823[[#This Row],[% of profit Margin]],0)</f>
        <v>171898.94923601553</v>
      </c>
      <c r="O79" s="85">
        <f>IFERROR(Table823[[#This Row],[BEP In Amounts]]/Table823[[#This Row],[Unit Sales Price]],0)</f>
        <v>229198.59898135407</v>
      </c>
      <c r="P79" s="85" t="str">
        <f>'Summary. Assumptions. Inputs'!B82</f>
        <v>Kilo</v>
      </c>
      <c r="Q79" s="86" t="b">
        <f>IFERROR(Table823[[#This Row],[BEP Quantity]]*Table823[[#This Row],[Unit Profit Margin]]=Table823[[#This Row],[Item Allocated fixed costs (based on % of sales mix)]],FALSE)</f>
        <v>1</v>
      </c>
    </row>
    <row r="80" spans="1:17" hidden="1" outlineLevel="1">
      <c r="A80" s="1">
        <f>'Summary. Assumptions. Inputs'!A49</f>
        <v>0</v>
      </c>
      <c r="B80" s="80">
        <f>'Summary. Assumptions. Inputs'!F49*(1+'Scenario Analysis'!$C$5)</f>
        <v>0</v>
      </c>
      <c r="C80" s="15">
        <f>IFERROR(VLOOKUP(Table823[[#This Row],[Item Name]],'Production Matrix'!_xlnm.Print_Area,8,0),"0")*(1+'Scenario Analysis'!$E$5)</f>
        <v>0</v>
      </c>
      <c r="D80" s="15">
        <f>IFERROR('BEP. &amp; Summary Results'!$B80-'BEP. &amp; Summary Results'!$C80,"")</f>
        <v>0</v>
      </c>
      <c r="E80" s="232" t="str">
        <f>IFERROR('BEP. &amp; Summary Results'!$D80/'BEP. &amp; Summary Results'!$B80,"")</f>
        <v/>
      </c>
      <c r="F80" s="7">
        <f>'Sales, Production, &amp; Other Assu'!P58*'Scenario Analysis'!$B$6*(1+'Scenario Analysis'!$D$6)</f>
        <v>0</v>
      </c>
      <c r="G80" s="5">
        <f>'Summary. Assumptions. Inputs'!B49</f>
        <v>0</v>
      </c>
      <c r="H80" s="16">
        <f t="shared" si="17"/>
        <v>0</v>
      </c>
      <c r="I80" s="15">
        <f t="shared" si="18"/>
        <v>0</v>
      </c>
      <c r="J80" s="6">
        <f t="shared" si="14"/>
        <v>0</v>
      </c>
      <c r="K80" s="15">
        <f>'BEP. &amp; Summary Results'!$D80*'BEP. &amp; Summary Results'!$F80</f>
        <v>0</v>
      </c>
      <c r="L80" s="15">
        <f t="shared" si="15"/>
        <v>0</v>
      </c>
      <c r="M80" s="15">
        <f t="shared" si="16"/>
        <v>0</v>
      </c>
      <c r="N80" s="84">
        <f>IFERROR(Table823[[#This Row],[Item Allocated fixed costs (based on % of sales mix)]]/Table823[[#This Row],[% of profit Margin]],0)</f>
        <v>0</v>
      </c>
      <c r="O80" s="85">
        <f>IFERROR(Table823[[#This Row],[BEP In Amounts]]/Table823[[#This Row],[Unit Sales Price]],0)</f>
        <v>0</v>
      </c>
      <c r="P80" s="85" t="str">
        <f>'Summary. Assumptions. Inputs'!B83</f>
        <v>Kilo</v>
      </c>
      <c r="Q80" s="86" t="b">
        <f>IFERROR(Table823[[#This Row],[BEP Quantity]]*Table823[[#This Row],[Unit Profit Margin]]=Table823[[#This Row],[Item Allocated fixed costs (based on % of sales mix)]],FALSE)</f>
        <v>1</v>
      </c>
    </row>
    <row r="81" spans="1:17" hidden="1" outlineLevel="1">
      <c r="A81" s="1">
        <f>'Summary. Assumptions. Inputs'!A50</f>
        <v>0</v>
      </c>
      <c r="B81" s="80">
        <f>'Summary. Assumptions. Inputs'!F50*(1+'Scenario Analysis'!$C$5)</f>
        <v>0</v>
      </c>
      <c r="C81" s="15">
        <f>IFERROR(VLOOKUP(Table823[[#This Row],[Item Name]],'Production Matrix'!_xlnm.Print_Area,8,0),"0")*(1+'Scenario Analysis'!$E$5)</f>
        <v>0</v>
      </c>
      <c r="D81" s="15">
        <f>IFERROR('BEP. &amp; Summary Results'!$B81-'BEP. &amp; Summary Results'!$C81,"")</f>
        <v>0</v>
      </c>
      <c r="E81" s="232" t="str">
        <f>IFERROR('BEP. &amp; Summary Results'!$D81/'BEP. &amp; Summary Results'!$B81,"")</f>
        <v/>
      </c>
      <c r="F81" s="7">
        <f>'Sales, Production, &amp; Other Assu'!P59*'Scenario Analysis'!$B$6*(1+'Scenario Analysis'!$D$6)</f>
        <v>0</v>
      </c>
      <c r="G81" s="5">
        <f>'Summary. Assumptions. Inputs'!B50</f>
        <v>0</v>
      </c>
      <c r="H81" s="16">
        <f t="shared" si="17"/>
        <v>0</v>
      </c>
      <c r="I81" s="15">
        <f t="shared" si="18"/>
        <v>0</v>
      </c>
      <c r="J81" s="6">
        <f t="shared" si="14"/>
        <v>0</v>
      </c>
      <c r="K81" s="15">
        <f>'BEP. &amp; Summary Results'!$D81*'BEP. &amp; Summary Results'!$F81</f>
        <v>0</v>
      </c>
      <c r="L81" s="15">
        <f t="shared" si="15"/>
        <v>0</v>
      </c>
      <c r="M81" s="15">
        <f t="shared" si="16"/>
        <v>0</v>
      </c>
      <c r="N81" s="84">
        <f>IFERROR(Table823[[#This Row],[Item Allocated fixed costs (based on % of sales mix)]]/Table823[[#This Row],[% of profit Margin]],0)</f>
        <v>0</v>
      </c>
      <c r="O81" s="85">
        <f>IFERROR(Table823[[#This Row],[BEP In Amounts]]/Table823[[#This Row],[Unit Sales Price]],0)</f>
        <v>0</v>
      </c>
      <c r="P81" s="85" t="str">
        <f>'Summary. Assumptions. Inputs'!B84</f>
        <v>Kilo</v>
      </c>
      <c r="Q81" s="86" t="b">
        <f>IFERROR(Table823[[#This Row],[BEP Quantity]]*Table823[[#This Row],[Unit Profit Margin]]=Table823[[#This Row],[Item Allocated fixed costs (based on % of sales mix)]],FALSE)</f>
        <v>1</v>
      </c>
    </row>
    <row r="82" spans="1:17" hidden="1" outlineLevel="1">
      <c r="A82" s="1">
        <f>'Summary. Assumptions. Inputs'!A51</f>
        <v>0</v>
      </c>
      <c r="B82" s="80">
        <f>'Summary. Assumptions. Inputs'!F51*(1+'Scenario Analysis'!$C$5)</f>
        <v>0</v>
      </c>
      <c r="C82" s="15">
        <f>IFERROR(VLOOKUP(Table823[[#This Row],[Item Name]],'Production Matrix'!_xlnm.Print_Area,8,0),"0")*(1+'Scenario Analysis'!$E$5)</f>
        <v>0</v>
      </c>
      <c r="D82" s="15">
        <f>IFERROR('BEP. &amp; Summary Results'!$B82-'BEP. &amp; Summary Results'!$C82,"")</f>
        <v>0</v>
      </c>
      <c r="E82" s="232" t="str">
        <f>IFERROR('BEP. &amp; Summary Results'!$D82/'BEP. &amp; Summary Results'!$B82,"")</f>
        <v/>
      </c>
      <c r="F82" s="7">
        <f>'Sales, Production, &amp; Other Assu'!P60*'Scenario Analysis'!$B$6*(1+'Scenario Analysis'!$D$6)</f>
        <v>0</v>
      </c>
      <c r="G82" s="5">
        <f>'Summary. Assumptions. Inputs'!B51</f>
        <v>0</v>
      </c>
      <c r="H82" s="16">
        <f t="shared" si="17"/>
        <v>0</v>
      </c>
      <c r="I82" s="15">
        <f t="shared" si="18"/>
        <v>0</v>
      </c>
      <c r="J82" s="6">
        <f t="shared" si="14"/>
        <v>0</v>
      </c>
      <c r="K82" s="15">
        <f>'BEP. &amp; Summary Results'!$D82*'BEP. &amp; Summary Results'!$F82</f>
        <v>0</v>
      </c>
      <c r="L82" s="15">
        <f t="shared" si="15"/>
        <v>0</v>
      </c>
      <c r="M82" s="15">
        <f t="shared" si="16"/>
        <v>0</v>
      </c>
      <c r="N82" s="84">
        <f>IFERROR(Table823[[#This Row],[Item Allocated fixed costs (based on % of sales mix)]]/Table823[[#This Row],[% of profit Margin]],0)</f>
        <v>0</v>
      </c>
      <c r="O82" s="85">
        <f>IFERROR(Table823[[#This Row],[BEP In Amounts]]/Table823[[#This Row],[Unit Sales Price]],0)</f>
        <v>0</v>
      </c>
      <c r="P82" s="85" t="str">
        <f>'Summary. Assumptions. Inputs'!B85</f>
        <v>Kilo</v>
      </c>
      <c r="Q82" s="86" t="b">
        <f>IFERROR(Table823[[#This Row],[BEP Quantity]]*Table823[[#This Row],[Unit Profit Margin]]=Table823[[#This Row],[Item Allocated fixed costs (based on % of sales mix)]],FALSE)</f>
        <v>1</v>
      </c>
    </row>
    <row r="83" spans="1:17" hidden="1" outlineLevel="1">
      <c r="A83" s="1">
        <f>'Summary. Assumptions. Inputs'!A52</f>
        <v>0</v>
      </c>
      <c r="B83" s="80">
        <f>'Summary. Assumptions. Inputs'!F52*(1+'Scenario Analysis'!$C$5)</f>
        <v>0</v>
      </c>
      <c r="C83" s="15">
        <f>IFERROR(VLOOKUP(Table823[[#This Row],[Item Name]],'Production Matrix'!_xlnm.Print_Area,8,0),"0")*(1+'Scenario Analysis'!$E$5)</f>
        <v>0</v>
      </c>
      <c r="D83" s="15">
        <f>IFERROR('BEP. &amp; Summary Results'!$B83-'BEP. &amp; Summary Results'!$C83,"")</f>
        <v>0</v>
      </c>
      <c r="E83" s="232" t="str">
        <f>IFERROR('BEP. &amp; Summary Results'!$D83/'BEP. &amp; Summary Results'!$B83,"")</f>
        <v/>
      </c>
      <c r="F83" s="7">
        <f>'Sales, Production, &amp; Other Assu'!P61*'Scenario Analysis'!$B$6*(1+'Scenario Analysis'!$D$6)</f>
        <v>0</v>
      </c>
      <c r="G83" s="5">
        <f>'Summary. Assumptions. Inputs'!B52</f>
        <v>0</v>
      </c>
      <c r="H83" s="16">
        <f t="shared" si="17"/>
        <v>0</v>
      </c>
      <c r="I83" s="15">
        <f t="shared" si="18"/>
        <v>0</v>
      </c>
      <c r="J83" s="6">
        <f t="shared" si="14"/>
        <v>0</v>
      </c>
      <c r="K83" s="15">
        <f>'BEP. &amp; Summary Results'!$D83*'BEP. &amp; Summary Results'!$F83</f>
        <v>0</v>
      </c>
      <c r="L83" s="15">
        <f t="shared" si="15"/>
        <v>0</v>
      </c>
      <c r="M83" s="15">
        <f t="shared" si="16"/>
        <v>0</v>
      </c>
      <c r="N83" s="84">
        <f>IFERROR(Table823[[#This Row],[Item Allocated fixed costs (based on % of sales mix)]]/Table823[[#This Row],[% of profit Margin]],0)</f>
        <v>0</v>
      </c>
      <c r="O83" s="85">
        <f>IFERROR(Table823[[#This Row],[BEP In Amounts]]/Table823[[#This Row],[Unit Sales Price]],0)</f>
        <v>0</v>
      </c>
      <c r="P83" s="85" t="str">
        <f>'Summary. Assumptions. Inputs'!B86</f>
        <v>Kilo</v>
      </c>
      <c r="Q83" s="86" t="b">
        <f>IFERROR(Table823[[#This Row],[BEP Quantity]]*Table823[[#This Row],[Unit Profit Margin]]=Table823[[#This Row],[Item Allocated fixed costs (based on % of sales mix)]],FALSE)</f>
        <v>1</v>
      </c>
    </row>
    <row r="84" spans="1:17" hidden="1" outlineLevel="1">
      <c r="A84" s="1">
        <f>'Summary. Assumptions. Inputs'!A53</f>
        <v>0</v>
      </c>
      <c r="B84" s="80">
        <f>'Summary. Assumptions. Inputs'!F53*(1+'Scenario Analysis'!$C$5)</f>
        <v>0</v>
      </c>
      <c r="C84" s="15">
        <f>IFERROR(VLOOKUP(Table823[[#This Row],[Item Name]],'Production Matrix'!_xlnm.Print_Area,8,0),"0")*(1+'Scenario Analysis'!$E$5)</f>
        <v>0</v>
      </c>
      <c r="D84" s="15">
        <f>IFERROR('BEP. &amp; Summary Results'!$B84-'BEP. &amp; Summary Results'!$C84,"")</f>
        <v>0</v>
      </c>
      <c r="E84" s="232" t="str">
        <f>IFERROR('BEP. &amp; Summary Results'!$D84/'BEP. &amp; Summary Results'!$B84,"")</f>
        <v/>
      </c>
      <c r="F84" s="7">
        <f>'Sales, Production, &amp; Other Assu'!P62*'Scenario Analysis'!$B$6*(1+'Scenario Analysis'!$D$6)</f>
        <v>0</v>
      </c>
      <c r="G84" s="5">
        <f>'Summary. Assumptions. Inputs'!B53</f>
        <v>0</v>
      </c>
      <c r="H84" s="16">
        <f t="shared" si="17"/>
        <v>0</v>
      </c>
      <c r="I84" s="15">
        <f t="shared" si="18"/>
        <v>0</v>
      </c>
      <c r="J84" s="6">
        <f t="shared" si="14"/>
        <v>0</v>
      </c>
      <c r="K84" s="15">
        <f>'BEP. &amp; Summary Results'!$D84*'BEP. &amp; Summary Results'!$F84</f>
        <v>0</v>
      </c>
      <c r="L84" s="15">
        <f t="shared" si="15"/>
        <v>0</v>
      </c>
      <c r="M84" s="15">
        <f t="shared" si="16"/>
        <v>0</v>
      </c>
      <c r="N84" s="84">
        <f>IFERROR(Table823[[#This Row],[Item Allocated fixed costs (based on % of sales mix)]]/Table823[[#This Row],[% of profit Margin]],0)</f>
        <v>0</v>
      </c>
      <c r="O84" s="85">
        <f>IFERROR(Table823[[#This Row],[BEP In Amounts]]/Table823[[#This Row],[Unit Sales Price]],0)</f>
        <v>0</v>
      </c>
      <c r="P84" s="85" t="str">
        <f>'Summary. Assumptions. Inputs'!B87</f>
        <v>Kilo</v>
      </c>
      <c r="Q84" s="86" t="b">
        <f>IFERROR(Table823[[#This Row],[BEP Quantity]]*Table823[[#This Row],[Unit Profit Margin]]=Table823[[#This Row],[Item Allocated fixed costs (based on % of sales mix)]],FALSE)</f>
        <v>1</v>
      </c>
    </row>
    <row r="85" spans="1:17" hidden="1" outlineLevel="1">
      <c r="A85" s="1">
        <f>'Summary. Assumptions. Inputs'!A54</f>
        <v>0</v>
      </c>
      <c r="B85" s="80">
        <f>'Summary. Assumptions. Inputs'!F54*(1+'Scenario Analysis'!$C$5)</f>
        <v>0</v>
      </c>
      <c r="C85" s="15">
        <f>IFERROR(VLOOKUP(Table823[[#This Row],[Item Name]],'Production Matrix'!_xlnm.Print_Area,8,0),"0")*(1+'Scenario Analysis'!$E$5)</f>
        <v>0</v>
      </c>
      <c r="D85" s="15">
        <f>IFERROR('BEP. &amp; Summary Results'!$B85-'BEP. &amp; Summary Results'!$C85,"")</f>
        <v>0</v>
      </c>
      <c r="E85" s="232" t="str">
        <f>IFERROR('BEP. &amp; Summary Results'!$D85/'BEP. &amp; Summary Results'!$B85,"")</f>
        <v/>
      </c>
      <c r="F85" s="7">
        <f>'Sales, Production, &amp; Other Assu'!P63*'Scenario Analysis'!$B$6*(1+'Scenario Analysis'!$D$6)</f>
        <v>0</v>
      </c>
      <c r="G85" s="5">
        <f>'Summary. Assumptions. Inputs'!B54</f>
        <v>0</v>
      </c>
      <c r="H85" s="16">
        <f t="shared" si="17"/>
        <v>0</v>
      </c>
      <c r="I85" s="15">
        <f t="shared" si="18"/>
        <v>0</v>
      </c>
      <c r="J85" s="6">
        <f t="shared" si="14"/>
        <v>0</v>
      </c>
      <c r="K85" s="15">
        <f>'BEP. &amp; Summary Results'!$D85*'BEP. &amp; Summary Results'!$F85</f>
        <v>0</v>
      </c>
      <c r="L85" s="15">
        <f t="shared" si="15"/>
        <v>0</v>
      </c>
      <c r="M85" s="15">
        <f t="shared" si="16"/>
        <v>0</v>
      </c>
      <c r="N85" s="84">
        <f>IFERROR(Table823[[#This Row],[Item Allocated fixed costs (based on % of sales mix)]]/Table823[[#This Row],[% of profit Margin]],0)</f>
        <v>0</v>
      </c>
      <c r="O85" s="85">
        <f>IFERROR(Table823[[#This Row],[BEP In Amounts]]/Table823[[#This Row],[Unit Sales Price]],0)</f>
        <v>0</v>
      </c>
      <c r="P85" s="85" t="str">
        <f>'Summary. Assumptions. Inputs'!B88</f>
        <v>Kilo</v>
      </c>
      <c r="Q85" s="86" t="b">
        <f>IFERROR(Table823[[#This Row],[BEP Quantity]]*Table823[[#This Row],[Unit Profit Margin]]=Table823[[#This Row],[Item Allocated fixed costs (based on % of sales mix)]],FALSE)</f>
        <v>1</v>
      </c>
    </row>
    <row r="86" spans="1:17" hidden="1" outlineLevel="1">
      <c r="A86" s="1">
        <f>'Summary. Assumptions. Inputs'!A55</f>
        <v>0</v>
      </c>
      <c r="B86" s="80">
        <f>'Summary. Assumptions. Inputs'!F55*(1+'Scenario Analysis'!$C$5)</f>
        <v>0</v>
      </c>
      <c r="C86" s="15">
        <f>IFERROR(VLOOKUP(Table823[[#This Row],[Item Name]],'Production Matrix'!_xlnm.Print_Area,8,0),"0")*(1+'Scenario Analysis'!$E$5)</f>
        <v>0</v>
      </c>
      <c r="D86" s="15">
        <f>IFERROR('BEP. &amp; Summary Results'!$B86-'BEP. &amp; Summary Results'!$C86,"")</f>
        <v>0</v>
      </c>
      <c r="E86" s="232" t="str">
        <f>IFERROR('BEP. &amp; Summary Results'!$D86/'BEP. &amp; Summary Results'!$B86,"")</f>
        <v/>
      </c>
      <c r="F86" s="7">
        <f>'Sales, Production, &amp; Other Assu'!P64*'Scenario Analysis'!$B$6*(1+'Scenario Analysis'!$D$6)</f>
        <v>0</v>
      </c>
      <c r="G86" s="5">
        <f>'Summary. Assumptions. Inputs'!B55</f>
        <v>0</v>
      </c>
      <c r="H86" s="16">
        <f t="shared" si="17"/>
        <v>0</v>
      </c>
      <c r="I86" s="15">
        <f t="shared" si="18"/>
        <v>0</v>
      </c>
      <c r="J86" s="6">
        <f t="shared" si="14"/>
        <v>0</v>
      </c>
      <c r="K86" s="15">
        <f>'BEP. &amp; Summary Results'!$D86*'BEP. &amp; Summary Results'!$F86</f>
        <v>0</v>
      </c>
      <c r="L86" s="15">
        <f t="shared" si="15"/>
        <v>0</v>
      </c>
      <c r="M86" s="15">
        <f t="shared" si="16"/>
        <v>0</v>
      </c>
      <c r="N86" s="84">
        <f>IFERROR(Table823[[#This Row],[Item Allocated fixed costs (based on % of sales mix)]]/Table823[[#This Row],[% of profit Margin]],0)</f>
        <v>0</v>
      </c>
      <c r="O86" s="85">
        <f>IFERROR(Table823[[#This Row],[BEP In Amounts]]/Table823[[#This Row],[Unit Sales Price]],0)</f>
        <v>0</v>
      </c>
      <c r="P86" s="85">
        <f>'Summary. Assumptions. Inputs'!B89</f>
        <v>0</v>
      </c>
      <c r="Q86" s="86" t="b">
        <f>IFERROR(Table823[[#This Row],[BEP Quantity]]*Table823[[#This Row],[Unit Profit Margin]]=Table823[[#This Row],[Item Allocated fixed costs (based on % of sales mix)]],FALSE)</f>
        <v>1</v>
      </c>
    </row>
    <row r="87" spans="1:17" hidden="1" outlineLevel="1">
      <c r="A87" s="1">
        <f>'Summary. Assumptions. Inputs'!A56</f>
        <v>0</v>
      </c>
      <c r="B87" s="80">
        <f>'Summary. Assumptions. Inputs'!F56*(1+'Scenario Analysis'!$C$5)</f>
        <v>0</v>
      </c>
      <c r="C87" s="15">
        <f>IFERROR(VLOOKUP(Table823[[#This Row],[Item Name]],'Production Matrix'!_xlnm.Print_Area,8,0),"0")*(1+'Scenario Analysis'!$E$5)</f>
        <v>0</v>
      </c>
      <c r="D87" s="15">
        <f>IFERROR('BEP. &amp; Summary Results'!$B87-'BEP. &amp; Summary Results'!$C87,"")</f>
        <v>0</v>
      </c>
      <c r="E87" s="232" t="str">
        <f>IFERROR('BEP. &amp; Summary Results'!$D87/'BEP. &amp; Summary Results'!$B87,"")</f>
        <v/>
      </c>
      <c r="F87" s="7">
        <f>'Sales, Production, &amp; Other Assu'!P65*'Scenario Analysis'!$B$6*(1+'Scenario Analysis'!$D$6)</f>
        <v>0</v>
      </c>
      <c r="G87" s="5">
        <f>'Summary. Assumptions. Inputs'!B56</f>
        <v>0</v>
      </c>
      <c r="H87" s="16">
        <f>B87*F87</f>
        <v>0</v>
      </c>
      <c r="I87" s="15">
        <f>F87*C87</f>
        <v>0</v>
      </c>
      <c r="J87" s="6">
        <f t="shared" si="14"/>
        <v>0</v>
      </c>
      <c r="K87" s="15">
        <f>'BEP. &amp; Summary Results'!$D87*'BEP. &amp; Summary Results'!$F87</f>
        <v>0</v>
      </c>
      <c r="L87" s="15">
        <f t="shared" si="15"/>
        <v>0</v>
      </c>
      <c r="M87" s="15">
        <f t="shared" si="16"/>
        <v>0</v>
      </c>
      <c r="N87" s="84">
        <f>IFERROR(Table823[[#This Row],[Item Allocated fixed costs (based on % of sales mix)]]/Table823[[#This Row],[% of profit Margin]],0)</f>
        <v>0</v>
      </c>
      <c r="O87" s="85">
        <f>IFERROR(Table823[[#This Row],[BEP In Amounts]]/Table823[[#This Row],[Unit Sales Price]],0)</f>
        <v>0</v>
      </c>
      <c r="P87" s="85">
        <f>'Summary. Assumptions. Inputs'!B90</f>
        <v>0</v>
      </c>
      <c r="Q87" s="86" t="b">
        <f>IFERROR(Table823[[#This Row],[BEP Quantity]]*Table823[[#This Row],[Unit Profit Margin]]=Table823[[#This Row],[Item Allocated fixed costs (based on % of sales mix)]],FALSE)</f>
        <v>1</v>
      </c>
    </row>
    <row r="88" spans="1:17" hidden="1" outlineLevel="1">
      <c r="A88" s="1">
        <f>'Summary. Assumptions. Inputs'!A57</f>
        <v>0</v>
      </c>
      <c r="B88" s="80">
        <f>'Summary. Assumptions. Inputs'!F57*(1+'Scenario Analysis'!$C$5)</f>
        <v>0</v>
      </c>
      <c r="C88" s="15">
        <f>IFERROR(VLOOKUP(Table823[[#This Row],[Item Name]],'Production Matrix'!_xlnm.Print_Area,8,0),"0")*(1+'Scenario Analysis'!$E$5)</f>
        <v>0</v>
      </c>
      <c r="D88" s="15">
        <f>IFERROR('BEP. &amp; Summary Results'!$B88-'BEP. &amp; Summary Results'!$C88,"")</f>
        <v>0</v>
      </c>
      <c r="E88" s="232" t="str">
        <f>IFERROR('BEP. &amp; Summary Results'!$D88/'BEP. &amp; Summary Results'!$B88,"")</f>
        <v/>
      </c>
      <c r="F88" s="7">
        <f>'Sales, Production, &amp; Other Assu'!P66*'Scenario Analysis'!$B$6*(1+'Scenario Analysis'!$D$6)</f>
        <v>0</v>
      </c>
      <c r="G88" s="5">
        <f>'Summary. Assumptions. Inputs'!B57</f>
        <v>0</v>
      </c>
      <c r="H88" s="16">
        <f>B88*F88</f>
        <v>0</v>
      </c>
      <c r="I88" s="15">
        <f>F88*C88</f>
        <v>0</v>
      </c>
      <c r="J88" s="6">
        <f t="shared" si="14"/>
        <v>0</v>
      </c>
      <c r="K88" s="15">
        <f>'BEP. &amp; Summary Results'!$D88*'BEP. &amp; Summary Results'!$F88</f>
        <v>0</v>
      </c>
      <c r="L88" s="15">
        <f t="shared" si="15"/>
        <v>0</v>
      </c>
      <c r="M88" s="15">
        <f t="shared" si="16"/>
        <v>0</v>
      </c>
      <c r="N88" s="84">
        <f>IFERROR(Table823[[#This Row],[Item Allocated fixed costs (based on % of sales mix)]]/Table823[[#This Row],[% of profit Margin]],0)</f>
        <v>0</v>
      </c>
      <c r="O88" s="85">
        <f>IFERROR(Table823[[#This Row],[BEP In Amounts]]/Table823[[#This Row],[Unit Sales Price]],0)</f>
        <v>0</v>
      </c>
      <c r="P88" s="85">
        <f>'Summary. Assumptions. Inputs'!B91</f>
        <v>0</v>
      </c>
      <c r="Q88" s="86" t="b">
        <f>IFERROR(Table823[[#This Row],[BEP Quantity]]*Table823[[#This Row],[Unit Profit Margin]]=Table823[[#This Row],[Item Allocated fixed costs (based on % of sales mix)]],FALSE)</f>
        <v>1</v>
      </c>
    </row>
    <row r="89" spans="1:17" hidden="1" outlineLevel="1">
      <c r="A89" s="1">
        <f>'Summary. Assumptions. Inputs'!A58</f>
        <v>0</v>
      </c>
      <c r="B89" s="80">
        <f>'Summary. Assumptions. Inputs'!F58*(1+'Scenario Analysis'!$C$5)</f>
        <v>0</v>
      </c>
      <c r="C89" s="15">
        <f>IFERROR(VLOOKUP(Table823[[#This Row],[Item Name]],'Production Matrix'!_xlnm.Print_Area,8,0),"0")*(1+'Scenario Analysis'!$E$5)</f>
        <v>0</v>
      </c>
      <c r="D89" s="15">
        <f>IFERROR('BEP. &amp; Summary Results'!$B89-'BEP. &amp; Summary Results'!$C89,"")</f>
        <v>0</v>
      </c>
      <c r="E89" s="232" t="str">
        <f>IFERROR('BEP. &amp; Summary Results'!$D89/'BEP. &amp; Summary Results'!$B89,"")</f>
        <v/>
      </c>
      <c r="F89" s="7">
        <f>'Sales, Production, &amp; Other Assu'!P67*'Scenario Analysis'!$B$6*(1+'Scenario Analysis'!$D$6)</f>
        <v>0</v>
      </c>
      <c r="G89" s="5">
        <f>'Summary. Assumptions. Inputs'!B58</f>
        <v>0</v>
      </c>
      <c r="H89" s="16">
        <f t="shared" ref="H89:H105" si="19">B89*F89</f>
        <v>0</v>
      </c>
      <c r="I89" s="15">
        <f t="shared" ref="I89:I105" si="20">F89*C89</f>
        <v>0</v>
      </c>
      <c r="J89" s="6">
        <f t="shared" si="14"/>
        <v>0</v>
      </c>
      <c r="K89" s="15">
        <f>'BEP. &amp; Summary Results'!$D89*'BEP. &amp; Summary Results'!$F89</f>
        <v>0</v>
      </c>
      <c r="L89" s="15">
        <f t="shared" si="15"/>
        <v>0</v>
      </c>
      <c r="M89" s="15">
        <f t="shared" si="16"/>
        <v>0</v>
      </c>
      <c r="N89" s="84">
        <f>IFERROR(Table823[[#This Row],[Item Allocated fixed costs (based on % of sales mix)]]/Table823[[#This Row],[% of profit Margin]],0)</f>
        <v>0</v>
      </c>
      <c r="O89" s="85">
        <f>IFERROR(Table823[[#This Row],[BEP In Amounts]]/Table823[[#This Row],[Unit Sales Price]],0)</f>
        <v>0</v>
      </c>
      <c r="P89" s="85">
        <f>'Summary. Assumptions. Inputs'!B92</f>
        <v>0</v>
      </c>
      <c r="Q89" s="86" t="b">
        <f>IFERROR(Table823[[#This Row],[BEP Quantity]]*Table823[[#This Row],[Unit Profit Margin]]=Table823[[#This Row],[Item Allocated fixed costs (based on % of sales mix)]],FALSE)</f>
        <v>1</v>
      </c>
    </row>
    <row r="90" spans="1:17" hidden="1" outlineLevel="1">
      <c r="A90" s="1">
        <f>'Summary. Assumptions. Inputs'!A59</f>
        <v>0</v>
      </c>
      <c r="B90" s="80">
        <f>'Summary. Assumptions. Inputs'!F59*(1+'Scenario Analysis'!$C$5)</f>
        <v>0</v>
      </c>
      <c r="C90" s="15">
        <f>IFERROR(VLOOKUP(Table823[[#This Row],[Item Name]],'Production Matrix'!_xlnm.Print_Area,8,0),"0")*(1+'Scenario Analysis'!$E$5)</f>
        <v>0</v>
      </c>
      <c r="D90" s="15">
        <f>IFERROR('BEP. &amp; Summary Results'!$B90-'BEP. &amp; Summary Results'!$C90,"")</f>
        <v>0</v>
      </c>
      <c r="E90" s="232" t="str">
        <f>IFERROR('BEP. &amp; Summary Results'!$D90/'BEP. &amp; Summary Results'!$B90,"")</f>
        <v/>
      </c>
      <c r="F90" s="7">
        <f>'Sales, Production, &amp; Other Assu'!P68*'Scenario Analysis'!$B$6*(1+'Scenario Analysis'!$D$6)</f>
        <v>0</v>
      </c>
      <c r="G90" s="5">
        <f>'Summary. Assumptions. Inputs'!B59</f>
        <v>0</v>
      </c>
      <c r="H90" s="16">
        <f t="shared" si="19"/>
        <v>0</v>
      </c>
      <c r="I90" s="15">
        <f t="shared" si="20"/>
        <v>0</v>
      </c>
      <c r="J90" s="6">
        <f t="shared" si="14"/>
        <v>0</v>
      </c>
      <c r="K90" s="15">
        <f>'BEP. &amp; Summary Results'!$D90*'BEP. &amp; Summary Results'!$F90</f>
        <v>0</v>
      </c>
      <c r="L90" s="15">
        <f t="shared" si="15"/>
        <v>0</v>
      </c>
      <c r="M90" s="15">
        <f t="shared" si="16"/>
        <v>0</v>
      </c>
      <c r="N90" s="84">
        <f>IFERROR(Table823[[#This Row],[Item Allocated fixed costs (based on % of sales mix)]]/Table823[[#This Row],[% of profit Margin]],0)</f>
        <v>0</v>
      </c>
      <c r="O90" s="85">
        <f>IFERROR(Table823[[#This Row],[BEP In Amounts]]/Table823[[#This Row],[Unit Sales Price]],0)</f>
        <v>0</v>
      </c>
      <c r="P90" s="85">
        <f>'Summary. Assumptions. Inputs'!B93</f>
        <v>0</v>
      </c>
      <c r="Q90" s="86" t="b">
        <f>IFERROR(Table823[[#This Row],[BEP Quantity]]*Table823[[#This Row],[Unit Profit Margin]]=Table823[[#This Row],[Item Allocated fixed costs (based on % of sales mix)]],FALSE)</f>
        <v>1</v>
      </c>
    </row>
    <row r="91" spans="1:17" hidden="1" outlineLevel="1">
      <c r="A91" s="1">
        <f>'Summary. Assumptions. Inputs'!A60</f>
        <v>0</v>
      </c>
      <c r="B91" s="80">
        <f>'Summary. Assumptions. Inputs'!F60*(1+'Scenario Analysis'!$C$5)</f>
        <v>0</v>
      </c>
      <c r="C91" s="15">
        <f>IFERROR(VLOOKUP(Table823[[#This Row],[Item Name]],'Production Matrix'!_xlnm.Print_Area,8,0),"0")*(1+'Scenario Analysis'!$E$5)</f>
        <v>0</v>
      </c>
      <c r="D91" s="15">
        <f>IFERROR('BEP. &amp; Summary Results'!$B91-'BEP. &amp; Summary Results'!$C91,"")</f>
        <v>0</v>
      </c>
      <c r="E91" s="232" t="str">
        <f>IFERROR('BEP. &amp; Summary Results'!$D91/'BEP. &amp; Summary Results'!$B91,"")</f>
        <v/>
      </c>
      <c r="F91" s="7">
        <f>'Sales, Production, &amp; Other Assu'!P69*'Scenario Analysis'!$B$6*(1+'Scenario Analysis'!$D$6)</f>
        <v>0</v>
      </c>
      <c r="G91" s="5">
        <f>'Summary. Assumptions. Inputs'!B60</f>
        <v>0</v>
      </c>
      <c r="H91" s="16">
        <f t="shared" si="19"/>
        <v>0</v>
      </c>
      <c r="I91" s="15">
        <f t="shared" si="20"/>
        <v>0</v>
      </c>
      <c r="J91" s="6">
        <f t="shared" si="14"/>
        <v>0</v>
      </c>
      <c r="K91" s="15">
        <f>'BEP. &amp; Summary Results'!$D91*'BEP. &amp; Summary Results'!$F91</f>
        <v>0</v>
      </c>
      <c r="L91" s="15">
        <f t="shared" si="15"/>
        <v>0</v>
      </c>
      <c r="M91" s="15">
        <f t="shared" si="16"/>
        <v>0</v>
      </c>
      <c r="N91" s="84">
        <f>IFERROR(Table823[[#This Row],[Item Allocated fixed costs (based on % of sales mix)]]/Table823[[#This Row],[% of profit Margin]],0)</f>
        <v>0</v>
      </c>
      <c r="O91" s="85">
        <f>IFERROR(Table823[[#This Row],[BEP In Amounts]]/Table823[[#This Row],[Unit Sales Price]],0)</f>
        <v>0</v>
      </c>
      <c r="P91" s="85">
        <f>'Summary. Assumptions. Inputs'!B94</f>
        <v>0</v>
      </c>
      <c r="Q91" s="86" t="b">
        <f>IFERROR(Table823[[#This Row],[BEP Quantity]]*Table823[[#This Row],[Unit Profit Margin]]=Table823[[#This Row],[Item Allocated fixed costs (based on % of sales mix)]],FALSE)</f>
        <v>1</v>
      </c>
    </row>
    <row r="92" spans="1:17" hidden="1" outlineLevel="1">
      <c r="A92" s="1">
        <f>'Summary. Assumptions. Inputs'!A61</f>
        <v>0</v>
      </c>
      <c r="B92" s="80">
        <f>'Summary. Assumptions. Inputs'!F61*(1+'Scenario Analysis'!$C$5)</f>
        <v>0</v>
      </c>
      <c r="C92" s="15">
        <f>IFERROR(VLOOKUP(Table823[[#This Row],[Item Name]],'Production Matrix'!_xlnm.Print_Area,8,0),"0")*(1+'Scenario Analysis'!$E$5)</f>
        <v>0</v>
      </c>
      <c r="D92" s="15">
        <f>IFERROR('BEP. &amp; Summary Results'!$B92-'BEP. &amp; Summary Results'!$C92,"")</f>
        <v>0</v>
      </c>
      <c r="E92" s="232" t="str">
        <f>IFERROR('BEP. &amp; Summary Results'!$D92/'BEP. &amp; Summary Results'!$B92,"")</f>
        <v/>
      </c>
      <c r="F92" s="7">
        <f>'Sales, Production, &amp; Other Assu'!P70*'Scenario Analysis'!$B$6*(1+'Scenario Analysis'!$D$6)</f>
        <v>0</v>
      </c>
      <c r="G92" s="5">
        <f>'Summary. Assumptions. Inputs'!B61</f>
        <v>0</v>
      </c>
      <c r="H92" s="16">
        <f t="shared" si="19"/>
        <v>0</v>
      </c>
      <c r="I92" s="15">
        <f t="shared" si="20"/>
        <v>0</v>
      </c>
      <c r="J92" s="6">
        <f t="shared" si="14"/>
        <v>0</v>
      </c>
      <c r="K92" s="15">
        <f>'BEP. &amp; Summary Results'!$D92*'BEP. &amp; Summary Results'!$F92</f>
        <v>0</v>
      </c>
      <c r="L92" s="15">
        <f t="shared" si="15"/>
        <v>0</v>
      </c>
      <c r="M92" s="15">
        <f t="shared" si="16"/>
        <v>0</v>
      </c>
      <c r="N92" s="84">
        <f>IFERROR(Table823[[#This Row],[Item Allocated fixed costs (based on % of sales mix)]]/Table823[[#This Row],[% of profit Margin]],0)</f>
        <v>0</v>
      </c>
      <c r="O92" s="85">
        <f>IFERROR(Table823[[#This Row],[BEP In Amounts]]/Table823[[#This Row],[Unit Sales Price]],0)</f>
        <v>0</v>
      </c>
      <c r="P92" s="85">
        <f>'Summary. Assumptions. Inputs'!B95</f>
        <v>0</v>
      </c>
      <c r="Q92" s="86" t="b">
        <f>IFERROR(Table823[[#This Row],[BEP Quantity]]*Table823[[#This Row],[Unit Profit Margin]]=Table823[[#This Row],[Item Allocated fixed costs (based on % of sales mix)]],FALSE)</f>
        <v>1</v>
      </c>
    </row>
    <row r="93" spans="1:17" hidden="1" outlineLevel="1">
      <c r="A93" s="1">
        <f>'Summary. Assumptions. Inputs'!A62</f>
        <v>0</v>
      </c>
      <c r="B93" s="80">
        <f>'Summary. Assumptions. Inputs'!F62*(1+'Scenario Analysis'!$C$5)</f>
        <v>0</v>
      </c>
      <c r="C93" s="15">
        <f>IFERROR(VLOOKUP(Table823[[#This Row],[Item Name]],'Production Matrix'!_xlnm.Print_Area,8,0),"0")*(1+'Scenario Analysis'!$E$5)</f>
        <v>0</v>
      </c>
      <c r="D93" s="15">
        <f>IFERROR('BEP. &amp; Summary Results'!$B93-'BEP. &amp; Summary Results'!$C93,"")</f>
        <v>0</v>
      </c>
      <c r="E93" s="232" t="str">
        <f>IFERROR('BEP. &amp; Summary Results'!$D93/'BEP. &amp; Summary Results'!$B93,"")</f>
        <v/>
      </c>
      <c r="F93" s="7">
        <f>'Sales, Production, &amp; Other Assu'!P71*'Scenario Analysis'!$B$6*(1+'Scenario Analysis'!$D$6)</f>
        <v>0</v>
      </c>
      <c r="G93" s="5">
        <f>'Summary. Assumptions. Inputs'!B62</f>
        <v>0</v>
      </c>
      <c r="H93" s="16">
        <f t="shared" si="19"/>
        <v>0</v>
      </c>
      <c r="I93" s="15">
        <f t="shared" si="20"/>
        <v>0</v>
      </c>
      <c r="J93" s="6">
        <f t="shared" si="14"/>
        <v>0</v>
      </c>
      <c r="K93" s="15">
        <f>'BEP. &amp; Summary Results'!$D93*'BEP. &amp; Summary Results'!$F93</f>
        <v>0</v>
      </c>
      <c r="L93" s="15">
        <f t="shared" si="15"/>
        <v>0</v>
      </c>
      <c r="M93" s="15">
        <f t="shared" si="16"/>
        <v>0</v>
      </c>
      <c r="N93" s="84">
        <f>IFERROR(Table823[[#This Row],[Item Allocated fixed costs (based on % of sales mix)]]/Table823[[#This Row],[% of profit Margin]],0)</f>
        <v>0</v>
      </c>
      <c r="O93" s="85">
        <f>IFERROR(Table823[[#This Row],[BEP In Amounts]]/Table823[[#This Row],[Unit Sales Price]],0)</f>
        <v>0</v>
      </c>
      <c r="P93" s="85">
        <f>'Summary. Assumptions. Inputs'!B96</f>
        <v>0</v>
      </c>
      <c r="Q93" s="86" t="b">
        <f>IFERROR(Table823[[#This Row],[BEP Quantity]]*Table823[[#This Row],[Unit Profit Margin]]=Table823[[#This Row],[Item Allocated fixed costs (based on % of sales mix)]],FALSE)</f>
        <v>1</v>
      </c>
    </row>
    <row r="94" spans="1:17" hidden="1" outlineLevel="1">
      <c r="A94" s="1">
        <f>'Summary. Assumptions. Inputs'!A63</f>
        <v>0</v>
      </c>
      <c r="B94" s="80">
        <f>'Summary. Assumptions. Inputs'!F63*(1+'Scenario Analysis'!$C$5)</f>
        <v>0</v>
      </c>
      <c r="C94" s="15">
        <f>IFERROR(VLOOKUP(Table823[[#This Row],[Item Name]],'Production Matrix'!_xlnm.Print_Area,8,0),"0")*(1+'Scenario Analysis'!$E$5)</f>
        <v>0</v>
      </c>
      <c r="D94" s="15">
        <f>IFERROR('BEP. &amp; Summary Results'!$B94-'BEP. &amp; Summary Results'!$C94,"")</f>
        <v>0</v>
      </c>
      <c r="E94" s="232" t="str">
        <f>IFERROR('BEP. &amp; Summary Results'!$D94/'BEP. &amp; Summary Results'!$B94,"")</f>
        <v/>
      </c>
      <c r="F94" s="7">
        <f>'Sales, Production, &amp; Other Assu'!P72*'Scenario Analysis'!$B$6*(1+'Scenario Analysis'!$D$6)</f>
        <v>0</v>
      </c>
      <c r="G94" s="5">
        <f>'Summary. Assumptions. Inputs'!B63</f>
        <v>0</v>
      </c>
      <c r="H94" s="16">
        <f t="shared" si="19"/>
        <v>0</v>
      </c>
      <c r="I94" s="15">
        <f t="shared" si="20"/>
        <v>0</v>
      </c>
      <c r="J94" s="6">
        <f t="shared" si="14"/>
        <v>0</v>
      </c>
      <c r="K94" s="15">
        <f>'BEP. &amp; Summary Results'!$D94*'BEP. &amp; Summary Results'!$F94</f>
        <v>0</v>
      </c>
      <c r="L94" s="15">
        <f t="shared" si="15"/>
        <v>0</v>
      </c>
      <c r="M94" s="15">
        <f t="shared" si="16"/>
        <v>0</v>
      </c>
      <c r="N94" s="84">
        <f>IFERROR(Table823[[#This Row],[Item Allocated fixed costs (based on % of sales mix)]]/Table823[[#This Row],[% of profit Margin]],0)</f>
        <v>0</v>
      </c>
      <c r="O94" s="85">
        <f>IFERROR(Table823[[#This Row],[BEP In Amounts]]/Table823[[#This Row],[Unit Sales Price]],0)</f>
        <v>0</v>
      </c>
      <c r="P94" s="85">
        <f>'Summary. Assumptions. Inputs'!B97</f>
        <v>0</v>
      </c>
      <c r="Q94" s="86" t="b">
        <f>IFERROR(Table823[[#This Row],[BEP Quantity]]*Table823[[#This Row],[Unit Profit Margin]]=Table823[[#This Row],[Item Allocated fixed costs (based on % of sales mix)]],FALSE)</f>
        <v>1</v>
      </c>
    </row>
    <row r="95" spans="1:17" hidden="1" outlineLevel="1">
      <c r="A95" s="1">
        <f>'Summary. Assumptions. Inputs'!A64</f>
        <v>0</v>
      </c>
      <c r="B95" s="80">
        <f>'Summary. Assumptions. Inputs'!F64*(1+'Scenario Analysis'!$C$5)</f>
        <v>0</v>
      </c>
      <c r="C95" s="15">
        <f>IFERROR(VLOOKUP(Table823[[#This Row],[Item Name]],'Production Matrix'!_xlnm.Print_Area,8,0),"0")*(1+'Scenario Analysis'!$E$5)</f>
        <v>0</v>
      </c>
      <c r="D95" s="15">
        <f>IFERROR('BEP. &amp; Summary Results'!$B95-'BEP. &amp; Summary Results'!$C95,"")</f>
        <v>0</v>
      </c>
      <c r="E95" s="232" t="str">
        <f>IFERROR('BEP. &amp; Summary Results'!$D95/'BEP. &amp; Summary Results'!$B95,"")</f>
        <v/>
      </c>
      <c r="F95" s="7">
        <f>'Sales, Production, &amp; Other Assu'!P73*'Scenario Analysis'!$B$6*(1+'Scenario Analysis'!$D$6)</f>
        <v>0</v>
      </c>
      <c r="G95" s="5">
        <f>'Summary. Assumptions. Inputs'!B64</f>
        <v>0</v>
      </c>
      <c r="H95" s="16">
        <f t="shared" si="19"/>
        <v>0</v>
      </c>
      <c r="I95" s="15">
        <f t="shared" si="20"/>
        <v>0</v>
      </c>
      <c r="J95" s="6">
        <f t="shared" si="14"/>
        <v>0</v>
      </c>
      <c r="K95" s="15">
        <f>'BEP. &amp; Summary Results'!$D95*'BEP. &amp; Summary Results'!$F95</f>
        <v>0</v>
      </c>
      <c r="L95" s="15">
        <f t="shared" si="15"/>
        <v>0</v>
      </c>
      <c r="M95" s="15">
        <f t="shared" si="16"/>
        <v>0</v>
      </c>
      <c r="N95" s="84">
        <f>IFERROR(Table823[[#This Row],[Item Allocated fixed costs (based on % of sales mix)]]/Table823[[#This Row],[% of profit Margin]],0)</f>
        <v>0</v>
      </c>
      <c r="O95" s="85">
        <f>IFERROR(Table823[[#This Row],[BEP In Amounts]]/Table823[[#This Row],[Unit Sales Price]],0)</f>
        <v>0</v>
      </c>
      <c r="P95" s="85">
        <f>'Summary. Assumptions. Inputs'!B98</f>
        <v>0</v>
      </c>
      <c r="Q95" s="86" t="b">
        <f>IFERROR(Table823[[#This Row],[BEP Quantity]]*Table823[[#This Row],[Unit Profit Margin]]=Table823[[#This Row],[Item Allocated fixed costs (based on % of sales mix)]],FALSE)</f>
        <v>1</v>
      </c>
    </row>
    <row r="96" spans="1:17" hidden="1" outlineLevel="1">
      <c r="A96" s="1">
        <f>'Summary. Assumptions. Inputs'!A65</f>
        <v>0</v>
      </c>
      <c r="B96" s="80">
        <f>'Summary. Assumptions. Inputs'!F65*(1+'Scenario Analysis'!$C$5)</f>
        <v>0</v>
      </c>
      <c r="C96" s="15">
        <f>IFERROR(VLOOKUP(Table823[[#This Row],[Item Name]],'Production Matrix'!_xlnm.Print_Area,8,0),"0")*(1+'Scenario Analysis'!$E$5)</f>
        <v>0</v>
      </c>
      <c r="D96" s="15">
        <f>IFERROR('BEP. &amp; Summary Results'!$B96-'BEP. &amp; Summary Results'!$C96,"")</f>
        <v>0</v>
      </c>
      <c r="E96" s="232" t="str">
        <f>IFERROR('BEP. &amp; Summary Results'!$D96/'BEP. &amp; Summary Results'!$B96,"")</f>
        <v/>
      </c>
      <c r="F96" s="7">
        <f>'Sales, Production, &amp; Other Assu'!P74*'Scenario Analysis'!$B$6*(1+'Scenario Analysis'!$D$6)</f>
        <v>0</v>
      </c>
      <c r="G96" s="5">
        <f>'Summary. Assumptions. Inputs'!B65</f>
        <v>0</v>
      </c>
      <c r="H96" s="16">
        <f t="shared" si="19"/>
        <v>0</v>
      </c>
      <c r="I96" s="15">
        <f t="shared" si="20"/>
        <v>0</v>
      </c>
      <c r="J96" s="6">
        <f t="shared" si="14"/>
        <v>0</v>
      </c>
      <c r="K96" s="15">
        <f>'BEP. &amp; Summary Results'!$D96*'BEP. &amp; Summary Results'!$F96</f>
        <v>0</v>
      </c>
      <c r="L96" s="15">
        <f t="shared" si="15"/>
        <v>0</v>
      </c>
      <c r="M96" s="15">
        <f t="shared" si="16"/>
        <v>0</v>
      </c>
      <c r="N96" s="84">
        <f>IFERROR(Table823[[#This Row],[Item Allocated fixed costs (based on % of sales mix)]]/Table823[[#This Row],[% of profit Margin]],0)</f>
        <v>0</v>
      </c>
      <c r="O96" s="85">
        <f>IFERROR(Table823[[#This Row],[BEP In Amounts]]/Table823[[#This Row],[Unit Sales Price]],0)</f>
        <v>0</v>
      </c>
      <c r="P96" s="85">
        <f>'Summary. Assumptions. Inputs'!B99</f>
        <v>0</v>
      </c>
      <c r="Q96" s="86" t="b">
        <f>IFERROR(Table823[[#This Row],[BEP Quantity]]*Table823[[#This Row],[Unit Profit Margin]]=Table823[[#This Row],[Item Allocated fixed costs (based on % of sales mix)]],FALSE)</f>
        <v>1</v>
      </c>
    </row>
    <row r="97" spans="1:17" hidden="1" outlineLevel="1">
      <c r="A97" s="1">
        <f>'Summary. Assumptions. Inputs'!A66</f>
        <v>0</v>
      </c>
      <c r="B97" s="80">
        <f>'Summary. Assumptions. Inputs'!F66*(1+'Scenario Analysis'!$C$5)</f>
        <v>0</v>
      </c>
      <c r="C97" s="15">
        <f>IFERROR(VLOOKUP(Table823[[#This Row],[Item Name]],'Production Matrix'!_xlnm.Print_Area,8,0),"0")*(1+'Scenario Analysis'!$E$5)</f>
        <v>0</v>
      </c>
      <c r="D97" s="15">
        <f>IFERROR('BEP. &amp; Summary Results'!$B97-'BEP. &amp; Summary Results'!$C97,"")</f>
        <v>0</v>
      </c>
      <c r="E97" s="232" t="str">
        <f>IFERROR('BEP. &amp; Summary Results'!$D97/'BEP. &amp; Summary Results'!$B97,"")</f>
        <v/>
      </c>
      <c r="F97" s="7">
        <f>'Sales, Production, &amp; Other Assu'!P75*'Scenario Analysis'!$B$6*(1+'Scenario Analysis'!$D$6)</f>
        <v>0</v>
      </c>
      <c r="G97" s="5">
        <f>'Summary. Assumptions. Inputs'!B66</f>
        <v>0</v>
      </c>
      <c r="H97" s="16">
        <f t="shared" si="19"/>
        <v>0</v>
      </c>
      <c r="I97" s="15">
        <f t="shared" si="20"/>
        <v>0</v>
      </c>
      <c r="J97" s="6">
        <f t="shared" si="14"/>
        <v>0</v>
      </c>
      <c r="K97" s="15">
        <f>'BEP. &amp; Summary Results'!$D97*'BEP. &amp; Summary Results'!$F97</f>
        <v>0</v>
      </c>
      <c r="L97" s="15">
        <f t="shared" si="15"/>
        <v>0</v>
      </c>
      <c r="M97" s="15">
        <f t="shared" si="16"/>
        <v>0</v>
      </c>
      <c r="N97" s="84">
        <f>IFERROR(Table823[[#This Row],[Item Allocated fixed costs (based on % of sales mix)]]/Table823[[#This Row],[% of profit Margin]],0)</f>
        <v>0</v>
      </c>
      <c r="O97" s="85">
        <f>IFERROR(Table823[[#This Row],[BEP In Amounts]]/Table823[[#This Row],[Unit Sales Price]],0)</f>
        <v>0</v>
      </c>
      <c r="P97" s="85">
        <f>'Summary. Assumptions. Inputs'!B100</f>
        <v>0</v>
      </c>
      <c r="Q97" s="86" t="b">
        <f>IFERROR(Table823[[#This Row],[BEP Quantity]]*Table823[[#This Row],[Unit Profit Margin]]=Table823[[#This Row],[Item Allocated fixed costs (based on % of sales mix)]],FALSE)</f>
        <v>1</v>
      </c>
    </row>
    <row r="98" spans="1:17" hidden="1" outlineLevel="1">
      <c r="A98" s="1">
        <f>'Summary. Assumptions. Inputs'!A67</f>
        <v>0</v>
      </c>
      <c r="B98" s="80">
        <f>'Summary. Assumptions. Inputs'!F67*(1+'Scenario Analysis'!$C$5)</f>
        <v>0</v>
      </c>
      <c r="C98" s="15">
        <f>IFERROR(VLOOKUP(Table823[[#This Row],[Item Name]],'Production Matrix'!_xlnm.Print_Area,8,0),"0")*(1+'Scenario Analysis'!$E$5)</f>
        <v>0</v>
      </c>
      <c r="D98" s="15">
        <f>IFERROR('BEP. &amp; Summary Results'!$B98-'BEP. &amp; Summary Results'!$C98,"")</f>
        <v>0</v>
      </c>
      <c r="E98" s="232" t="str">
        <f>IFERROR('BEP. &amp; Summary Results'!$D98/'BEP. &amp; Summary Results'!$B98,"")</f>
        <v/>
      </c>
      <c r="F98" s="7">
        <f>'Sales, Production, &amp; Other Assu'!P76*'Scenario Analysis'!$B$6*(1+'Scenario Analysis'!$D$6)</f>
        <v>0</v>
      </c>
      <c r="G98" s="5">
        <f>'Summary. Assumptions. Inputs'!B67</f>
        <v>0</v>
      </c>
      <c r="H98" s="16">
        <f t="shared" si="19"/>
        <v>0</v>
      </c>
      <c r="I98" s="15">
        <f t="shared" si="20"/>
        <v>0</v>
      </c>
      <c r="J98" s="6">
        <f t="shared" si="14"/>
        <v>0</v>
      </c>
      <c r="K98" s="15">
        <f>'BEP. &amp; Summary Results'!$D98*'BEP. &amp; Summary Results'!$F98</f>
        <v>0</v>
      </c>
      <c r="L98" s="15">
        <f t="shared" si="15"/>
        <v>0</v>
      </c>
      <c r="M98" s="15">
        <f t="shared" si="16"/>
        <v>0</v>
      </c>
      <c r="N98" s="84">
        <f>IFERROR(Table823[[#This Row],[Item Allocated fixed costs (based on % of sales mix)]]/Table823[[#This Row],[% of profit Margin]],0)</f>
        <v>0</v>
      </c>
      <c r="O98" s="85">
        <f>IFERROR(Table823[[#This Row],[BEP In Amounts]]/Table823[[#This Row],[Unit Sales Price]],0)</f>
        <v>0</v>
      </c>
      <c r="P98" s="85">
        <f>'Summary. Assumptions. Inputs'!B101</f>
        <v>0</v>
      </c>
      <c r="Q98" s="86" t="b">
        <f>IFERROR(Table823[[#This Row],[BEP Quantity]]*Table823[[#This Row],[Unit Profit Margin]]=Table823[[#This Row],[Item Allocated fixed costs (based on % of sales mix)]],FALSE)</f>
        <v>1</v>
      </c>
    </row>
    <row r="99" spans="1:17" hidden="1" outlineLevel="1">
      <c r="A99" s="1">
        <f>'Summary. Assumptions. Inputs'!A68</f>
        <v>0</v>
      </c>
      <c r="B99" s="80">
        <f>'Summary. Assumptions. Inputs'!F68*(1+'Scenario Analysis'!$C$5)</f>
        <v>0</v>
      </c>
      <c r="C99" s="15">
        <f>IFERROR(VLOOKUP(Table823[[#This Row],[Item Name]],'Production Matrix'!_xlnm.Print_Area,8,0),"0")*(1+'Scenario Analysis'!$E$5)</f>
        <v>0</v>
      </c>
      <c r="D99" s="15">
        <f>IFERROR('BEP. &amp; Summary Results'!$B99-'BEP. &amp; Summary Results'!$C99,"")</f>
        <v>0</v>
      </c>
      <c r="E99" s="232" t="str">
        <f>IFERROR('BEP. &amp; Summary Results'!$D99/'BEP. &amp; Summary Results'!$B99,"")</f>
        <v/>
      </c>
      <c r="F99" s="7">
        <f>'Sales, Production, &amp; Other Assu'!P77*'Scenario Analysis'!$B$6*(1+'Scenario Analysis'!$D$6)</f>
        <v>0</v>
      </c>
      <c r="G99" s="5">
        <f>'Summary. Assumptions. Inputs'!B68</f>
        <v>0</v>
      </c>
      <c r="H99" s="16">
        <f t="shared" si="19"/>
        <v>0</v>
      </c>
      <c r="I99" s="15">
        <f t="shared" si="20"/>
        <v>0</v>
      </c>
      <c r="J99" s="6">
        <f t="shared" si="14"/>
        <v>0</v>
      </c>
      <c r="K99" s="15">
        <f>'BEP. &amp; Summary Results'!$D99*'BEP. &amp; Summary Results'!$F99</f>
        <v>0</v>
      </c>
      <c r="L99" s="15">
        <f t="shared" si="15"/>
        <v>0</v>
      </c>
      <c r="M99" s="15">
        <f t="shared" si="16"/>
        <v>0</v>
      </c>
      <c r="N99" s="84">
        <f>IFERROR(Table823[[#This Row],[Item Allocated fixed costs (based on % of sales mix)]]/Table823[[#This Row],[% of profit Margin]],0)</f>
        <v>0</v>
      </c>
      <c r="O99" s="85">
        <f>IFERROR(Table823[[#This Row],[BEP In Amounts]]/Table823[[#This Row],[Unit Sales Price]],0)</f>
        <v>0</v>
      </c>
      <c r="P99" s="85">
        <f>'Summary. Assumptions. Inputs'!B102</f>
        <v>0</v>
      </c>
      <c r="Q99" s="86" t="b">
        <f>IFERROR(Table823[[#This Row],[BEP Quantity]]*Table823[[#This Row],[Unit Profit Margin]]=Table823[[#This Row],[Item Allocated fixed costs (based on % of sales mix)]],FALSE)</f>
        <v>1</v>
      </c>
    </row>
    <row r="100" spans="1:17" hidden="1" outlineLevel="1">
      <c r="A100" s="1">
        <f>'Summary. Assumptions. Inputs'!A69</f>
        <v>0</v>
      </c>
      <c r="B100" s="80">
        <f>'Summary. Assumptions. Inputs'!F69*(1+'Scenario Analysis'!$C$5)</f>
        <v>0</v>
      </c>
      <c r="C100" s="15">
        <f>IFERROR(VLOOKUP(Table823[[#This Row],[Item Name]],'Production Matrix'!_xlnm.Print_Area,8,0),"0")*(1+'Scenario Analysis'!$E$5)</f>
        <v>0</v>
      </c>
      <c r="D100" s="15">
        <f>IFERROR('BEP. &amp; Summary Results'!$B100-'BEP. &amp; Summary Results'!$C100,"")</f>
        <v>0</v>
      </c>
      <c r="E100" s="232" t="str">
        <f>IFERROR('BEP. &amp; Summary Results'!$D100/'BEP. &amp; Summary Results'!$B100,"")</f>
        <v/>
      </c>
      <c r="F100" s="7">
        <f>'Sales, Production, &amp; Other Assu'!P78*'Scenario Analysis'!$B$6*(1+'Scenario Analysis'!$D$6)</f>
        <v>0</v>
      </c>
      <c r="G100" s="5">
        <f>'Summary. Assumptions. Inputs'!B69</f>
        <v>0</v>
      </c>
      <c r="H100" s="16">
        <f t="shared" si="19"/>
        <v>0</v>
      </c>
      <c r="I100" s="15">
        <f t="shared" si="20"/>
        <v>0</v>
      </c>
      <c r="J100" s="6">
        <f t="shared" si="14"/>
        <v>0</v>
      </c>
      <c r="K100" s="15">
        <f>'BEP. &amp; Summary Results'!$D100*'BEP. &amp; Summary Results'!$F100</f>
        <v>0</v>
      </c>
      <c r="L100" s="15">
        <f t="shared" si="15"/>
        <v>0</v>
      </c>
      <c r="M100" s="15">
        <f t="shared" si="16"/>
        <v>0</v>
      </c>
      <c r="N100" s="84">
        <f>IFERROR(Table823[[#This Row],[Item Allocated fixed costs (based on % of sales mix)]]/Table823[[#This Row],[% of profit Margin]],0)</f>
        <v>0</v>
      </c>
      <c r="O100" s="85">
        <f>IFERROR(Table823[[#This Row],[BEP In Amounts]]/Table823[[#This Row],[Unit Sales Price]],0)</f>
        <v>0</v>
      </c>
      <c r="P100" s="85">
        <f>'Summary. Assumptions. Inputs'!B103</f>
        <v>0</v>
      </c>
      <c r="Q100" s="86" t="b">
        <f>IFERROR(Table823[[#This Row],[BEP Quantity]]*Table823[[#This Row],[Unit Profit Margin]]=Table823[[#This Row],[Item Allocated fixed costs (based on % of sales mix)]],FALSE)</f>
        <v>1</v>
      </c>
    </row>
    <row r="101" spans="1:17" hidden="1" outlineLevel="1">
      <c r="A101" s="1">
        <f>'Summary. Assumptions. Inputs'!A70</f>
        <v>0</v>
      </c>
      <c r="B101" s="80">
        <f>'Summary. Assumptions. Inputs'!F70*(1+'Scenario Analysis'!$C$5)</f>
        <v>0</v>
      </c>
      <c r="C101" s="15">
        <f>IFERROR(VLOOKUP(Table823[[#This Row],[Item Name]],'Production Matrix'!_xlnm.Print_Area,8,0),"0")*(1+'Scenario Analysis'!$E$5)</f>
        <v>0</v>
      </c>
      <c r="D101" s="15">
        <f>IFERROR('BEP. &amp; Summary Results'!$B101-'BEP. &amp; Summary Results'!$C101,"")</f>
        <v>0</v>
      </c>
      <c r="E101" s="232" t="str">
        <f>IFERROR('BEP. &amp; Summary Results'!$D101/'BEP. &amp; Summary Results'!$B101,"")</f>
        <v/>
      </c>
      <c r="F101" s="7">
        <f>'Sales, Production, &amp; Other Assu'!P79*'Scenario Analysis'!$B$6*(1+'Scenario Analysis'!$D$6)</f>
        <v>0</v>
      </c>
      <c r="G101" s="5">
        <f>'Summary. Assumptions. Inputs'!B70</f>
        <v>0</v>
      </c>
      <c r="H101" s="16">
        <f t="shared" si="19"/>
        <v>0</v>
      </c>
      <c r="I101" s="15">
        <f t="shared" si="20"/>
        <v>0</v>
      </c>
      <c r="J101" s="6">
        <f t="shared" si="14"/>
        <v>0</v>
      </c>
      <c r="K101" s="15">
        <f>'BEP. &amp; Summary Results'!$D101*'BEP. &amp; Summary Results'!$F101</f>
        <v>0</v>
      </c>
      <c r="L101" s="15">
        <f t="shared" si="15"/>
        <v>0</v>
      </c>
      <c r="M101" s="15">
        <f t="shared" si="16"/>
        <v>0</v>
      </c>
      <c r="N101" s="84">
        <f>IFERROR(Table823[[#This Row],[Item Allocated fixed costs (based on % of sales mix)]]/Table823[[#This Row],[% of profit Margin]],0)</f>
        <v>0</v>
      </c>
      <c r="O101" s="85">
        <f>IFERROR(Table823[[#This Row],[BEP In Amounts]]/Table823[[#This Row],[Unit Sales Price]],0)</f>
        <v>0</v>
      </c>
      <c r="P101" s="85">
        <f>'Summary. Assumptions. Inputs'!B104</f>
        <v>0</v>
      </c>
      <c r="Q101" s="86" t="b">
        <f>IFERROR(Table823[[#This Row],[BEP Quantity]]*Table823[[#This Row],[Unit Profit Margin]]=Table823[[#This Row],[Item Allocated fixed costs (based on % of sales mix)]],FALSE)</f>
        <v>1</v>
      </c>
    </row>
    <row r="102" spans="1:17" hidden="1" outlineLevel="1">
      <c r="A102" s="1">
        <f>'Summary. Assumptions. Inputs'!A71</f>
        <v>0</v>
      </c>
      <c r="B102" s="80">
        <f>'Summary. Assumptions. Inputs'!F71*(1+'Scenario Analysis'!$C$5)</f>
        <v>0</v>
      </c>
      <c r="C102" s="15">
        <f>IFERROR(VLOOKUP(Table823[[#This Row],[Item Name]],'Production Matrix'!_xlnm.Print_Area,8,0),"0")*(1+'Scenario Analysis'!$E$5)</f>
        <v>0</v>
      </c>
      <c r="D102" s="15">
        <f>IFERROR('BEP. &amp; Summary Results'!$B102-'BEP. &amp; Summary Results'!$C102,"")</f>
        <v>0</v>
      </c>
      <c r="E102" s="232" t="str">
        <f>IFERROR('BEP. &amp; Summary Results'!$D102/'BEP. &amp; Summary Results'!$B102,"")</f>
        <v/>
      </c>
      <c r="F102" s="7">
        <f>'Sales, Production, &amp; Other Assu'!P80*'Scenario Analysis'!$B$6*(1+'Scenario Analysis'!$D$6)</f>
        <v>0</v>
      </c>
      <c r="G102" s="5">
        <f>'Summary. Assumptions. Inputs'!B71</f>
        <v>0</v>
      </c>
      <c r="H102" s="16">
        <f t="shared" si="19"/>
        <v>0</v>
      </c>
      <c r="I102" s="15">
        <f t="shared" si="20"/>
        <v>0</v>
      </c>
      <c r="J102" s="6">
        <f t="shared" si="14"/>
        <v>0</v>
      </c>
      <c r="K102" s="15">
        <f>'BEP. &amp; Summary Results'!$D102*'BEP. &amp; Summary Results'!$F102</f>
        <v>0</v>
      </c>
      <c r="L102" s="15">
        <f t="shared" si="15"/>
        <v>0</v>
      </c>
      <c r="M102" s="15">
        <f t="shared" si="16"/>
        <v>0</v>
      </c>
      <c r="N102" s="84">
        <f>IFERROR(Table823[[#This Row],[Item Allocated fixed costs (based on % of sales mix)]]/Table823[[#This Row],[% of profit Margin]],0)</f>
        <v>0</v>
      </c>
      <c r="O102" s="85">
        <f>IFERROR(Table823[[#This Row],[BEP In Amounts]]/Table823[[#This Row],[Unit Sales Price]],0)</f>
        <v>0</v>
      </c>
      <c r="P102" s="85">
        <f>'Summary. Assumptions. Inputs'!B105</f>
        <v>0</v>
      </c>
      <c r="Q102" s="86" t="b">
        <f>IFERROR(Table823[[#This Row],[BEP Quantity]]*Table823[[#This Row],[Unit Profit Margin]]=Table823[[#This Row],[Item Allocated fixed costs (based on % of sales mix)]],FALSE)</f>
        <v>1</v>
      </c>
    </row>
    <row r="103" spans="1:17" hidden="1" outlineLevel="1">
      <c r="A103" s="1">
        <f>'Summary. Assumptions. Inputs'!A72</f>
        <v>0</v>
      </c>
      <c r="B103" s="80">
        <f>'Summary. Assumptions. Inputs'!F72*(1+'Scenario Analysis'!$C$5)</f>
        <v>0</v>
      </c>
      <c r="C103" s="15">
        <f>IFERROR(VLOOKUP(Table823[[#This Row],[Item Name]],'Production Matrix'!_xlnm.Print_Area,8,0),"0")*(1+'Scenario Analysis'!$E$5)</f>
        <v>0</v>
      </c>
      <c r="D103" s="15">
        <f>IFERROR('BEP. &amp; Summary Results'!$B103-'BEP. &amp; Summary Results'!$C103,"")</f>
        <v>0</v>
      </c>
      <c r="E103" s="232" t="str">
        <f>IFERROR('BEP. &amp; Summary Results'!$D103/'BEP. &amp; Summary Results'!$B103,"")</f>
        <v/>
      </c>
      <c r="F103" s="7">
        <f>'Sales, Production, &amp; Other Assu'!P81*'Scenario Analysis'!$B$6*(1+'Scenario Analysis'!$D$6)</f>
        <v>0</v>
      </c>
      <c r="G103" s="5">
        <f>'Summary. Assumptions. Inputs'!B72</f>
        <v>0</v>
      </c>
      <c r="H103" s="16">
        <f t="shared" si="19"/>
        <v>0</v>
      </c>
      <c r="I103" s="15">
        <f t="shared" si="20"/>
        <v>0</v>
      </c>
      <c r="J103" s="6">
        <f t="shared" si="14"/>
        <v>0</v>
      </c>
      <c r="K103" s="15">
        <f>'BEP. &amp; Summary Results'!$D103*'BEP. &amp; Summary Results'!$F103</f>
        <v>0</v>
      </c>
      <c r="L103" s="15">
        <f t="shared" si="15"/>
        <v>0</v>
      </c>
      <c r="M103" s="15">
        <f t="shared" si="16"/>
        <v>0</v>
      </c>
      <c r="N103" s="84">
        <f>IFERROR(Table823[[#This Row],[Item Allocated fixed costs (based on % of sales mix)]]/Table823[[#This Row],[% of profit Margin]],0)</f>
        <v>0</v>
      </c>
      <c r="O103" s="85">
        <f>IFERROR(Table823[[#This Row],[BEP In Amounts]]/Table823[[#This Row],[Unit Sales Price]],0)</f>
        <v>0</v>
      </c>
      <c r="P103" s="85">
        <f>'Summary. Assumptions. Inputs'!B106</f>
        <v>0</v>
      </c>
      <c r="Q103" s="86" t="b">
        <f>IFERROR(Table823[[#This Row],[BEP Quantity]]*Table823[[#This Row],[Unit Profit Margin]]=Table823[[#This Row],[Item Allocated fixed costs (based on % of sales mix)]],FALSE)</f>
        <v>1</v>
      </c>
    </row>
    <row r="104" spans="1:17" hidden="1" outlineLevel="1">
      <c r="A104" s="1">
        <f>'Summary. Assumptions. Inputs'!A73</f>
        <v>0</v>
      </c>
      <c r="B104" s="80">
        <f>'Summary. Assumptions. Inputs'!F73*(1+'Scenario Analysis'!$C$5)</f>
        <v>0</v>
      </c>
      <c r="C104" s="15">
        <f>IFERROR(VLOOKUP(Table823[[#This Row],[Item Name]],'Production Matrix'!_xlnm.Print_Area,8,0),"0")*(1+'Scenario Analysis'!$E$5)</f>
        <v>0</v>
      </c>
      <c r="D104" s="15">
        <f>IFERROR('BEP. &amp; Summary Results'!$B104-'BEP. &amp; Summary Results'!$C104,"")</f>
        <v>0</v>
      </c>
      <c r="E104" s="232" t="str">
        <f>IFERROR('BEP. &amp; Summary Results'!$D104/'BEP. &amp; Summary Results'!$B104,"")</f>
        <v/>
      </c>
      <c r="F104" s="7">
        <f>'Sales, Production, &amp; Other Assu'!P82*'Scenario Analysis'!$B$6*(1+'Scenario Analysis'!$D$6)</f>
        <v>0</v>
      </c>
      <c r="G104" s="5">
        <f>'Summary. Assumptions. Inputs'!B73</f>
        <v>0</v>
      </c>
      <c r="H104" s="16">
        <f t="shared" si="19"/>
        <v>0</v>
      </c>
      <c r="I104" s="15">
        <f t="shared" si="20"/>
        <v>0</v>
      </c>
      <c r="J104" s="6">
        <f t="shared" si="14"/>
        <v>0</v>
      </c>
      <c r="K104" s="15">
        <f>'BEP. &amp; Summary Results'!$D104*'BEP. &amp; Summary Results'!$F104</f>
        <v>0</v>
      </c>
      <c r="L104" s="15">
        <f t="shared" si="15"/>
        <v>0</v>
      </c>
      <c r="M104" s="15">
        <f t="shared" si="16"/>
        <v>0</v>
      </c>
      <c r="N104" s="84">
        <f>IFERROR(Table823[[#This Row],[Item Allocated fixed costs (based on % of sales mix)]]/Table823[[#This Row],[% of profit Margin]],0)</f>
        <v>0</v>
      </c>
      <c r="O104" s="85">
        <f>IFERROR(Table823[[#This Row],[BEP In Amounts]]/Table823[[#This Row],[Unit Sales Price]],0)</f>
        <v>0</v>
      </c>
      <c r="P104" s="85">
        <f>'Summary. Assumptions. Inputs'!B107</f>
        <v>0</v>
      </c>
      <c r="Q104" s="86" t="b">
        <f>IFERROR(Table823[[#This Row],[BEP Quantity]]*Table823[[#This Row],[Unit Profit Margin]]=Table823[[#This Row],[Item Allocated fixed costs (based on % of sales mix)]],FALSE)</f>
        <v>1</v>
      </c>
    </row>
    <row r="105" spans="1:17" hidden="1" outlineLevel="1">
      <c r="A105" s="1">
        <f>'Summary. Assumptions. Inputs'!A74</f>
        <v>0</v>
      </c>
      <c r="B105" s="80">
        <f>'Summary. Assumptions. Inputs'!F74*(1+'Scenario Analysis'!$C$5)</f>
        <v>0</v>
      </c>
      <c r="C105" s="15">
        <f>IFERROR(VLOOKUP(Table823[[#This Row],[Item Name]],'Production Matrix'!_xlnm.Print_Area,8,0),"0")*(1+'Scenario Analysis'!$E$5)</f>
        <v>0</v>
      </c>
      <c r="D105" s="15">
        <f>IFERROR('BEP. &amp; Summary Results'!$B105-'BEP. &amp; Summary Results'!$C105,"")</f>
        <v>0</v>
      </c>
      <c r="E105" s="232" t="str">
        <f>IFERROR('BEP. &amp; Summary Results'!$D105/'BEP. &amp; Summary Results'!$B105,"")</f>
        <v/>
      </c>
      <c r="F105" s="7">
        <f>'Sales, Production, &amp; Other Assu'!P83*'Scenario Analysis'!$B$6*(1+'Scenario Analysis'!$D$6)</f>
        <v>0</v>
      </c>
      <c r="G105" s="5">
        <f>'Summary. Assumptions. Inputs'!B74</f>
        <v>0</v>
      </c>
      <c r="H105" s="16">
        <f t="shared" si="19"/>
        <v>0</v>
      </c>
      <c r="I105" s="15">
        <f t="shared" si="20"/>
        <v>0</v>
      </c>
      <c r="J105" s="6">
        <f t="shared" si="14"/>
        <v>0</v>
      </c>
      <c r="K105" s="15">
        <f>'BEP. &amp; Summary Results'!$D105*'BEP. &amp; Summary Results'!$F105</f>
        <v>0</v>
      </c>
      <c r="L105" s="15">
        <f t="shared" si="15"/>
        <v>0</v>
      </c>
      <c r="M105" s="15">
        <f t="shared" si="16"/>
        <v>0</v>
      </c>
      <c r="N105" s="84">
        <f>IFERROR(Table823[[#This Row],[Item Allocated fixed costs (based on % of sales mix)]]/Table823[[#This Row],[% of profit Margin]],0)</f>
        <v>0</v>
      </c>
      <c r="O105" s="85">
        <f>IFERROR(Table823[[#This Row],[BEP In Amounts]]/Table823[[#This Row],[Unit Sales Price]],0)</f>
        <v>0</v>
      </c>
      <c r="P105" s="85">
        <f>'Summary. Assumptions. Inputs'!B108</f>
        <v>0</v>
      </c>
      <c r="Q105" s="86" t="b">
        <f>IFERROR(Table823[[#This Row],[BEP Quantity]]*Table823[[#This Row],[Unit Profit Margin]]=Table823[[#This Row],[Item Allocated fixed costs (based on % of sales mix)]],FALSE)</f>
        <v>1</v>
      </c>
    </row>
    <row r="106" spans="1:17" hidden="1" outlineLevel="1">
      <c r="A106" s="1">
        <f>'Summary. Assumptions. Inputs'!A75</f>
        <v>0</v>
      </c>
      <c r="B106" s="80">
        <f>'Summary. Assumptions. Inputs'!F75*(1+'Scenario Analysis'!$C$5)</f>
        <v>0</v>
      </c>
      <c r="C106" s="15">
        <f>IFERROR(VLOOKUP(Table823[[#This Row],[Item Name]],'Production Matrix'!_xlnm.Print_Area,8,0),"0")*(1+'Scenario Analysis'!$E$5)</f>
        <v>0</v>
      </c>
      <c r="D106" s="15">
        <f>IFERROR('BEP. &amp; Summary Results'!$B106-'BEP. &amp; Summary Results'!$C106,"")</f>
        <v>0</v>
      </c>
      <c r="E106" s="232" t="str">
        <f>IFERROR('BEP. &amp; Summary Results'!$D106/'BEP. &amp; Summary Results'!$B106,"")</f>
        <v/>
      </c>
      <c r="F106" s="7">
        <f>'Sales, Production, &amp; Other Assu'!P84*'Scenario Analysis'!$B$6*(1+'Scenario Analysis'!$D$6)</f>
        <v>0</v>
      </c>
      <c r="G106" s="5">
        <f>'Summary. Assumptions. Inputs'!B75</f>
        <v>0</v>
      </c>
      <c r="H106" s="16">
        <f>B106*F106</f>
        <v>0</v>
      </c>
      <c r="I106" s="15">
        <f>F106*C106</f>
        <v>0</v>
      </c>
      <c r="J106" s="6">
        <f t="shared" si="14"/>
        <v>0</v>
      </c>
      <c r="K106" s="15">
        <f>'BEP. &amp; Summary Results'!$D106*'BEP. &amp; Summary Results'!$F106</f>
        <v>0</v>
      </c>
      <c r="L106" s="15">
        <f t="shared" si="15"/>
        <v>0</v>
      </c>
      <c r="M106" s="15">
        <f t="shared" si="16"/>
        <v>0</v>
      </c>
      <c r="N106" s="84">
        <f>IFERROR(Table823[[#This Row],[Item Allocated fixed costs (based on % of sales mix)]]/Table823[[#This Row],[% of profit Margin]],0)</f>
        <v>0</v>
      </c>
      <c r="O106" s="85">
        <f>IFERROR(Table823[[#This Row],[BEP In Amounts]]/Table823[[#This Row],[Unit Sales Price]],0)</f>
        <v>0</v>
      </c>
      <c r="P106" s="85">
        <f>'Summary. Assumptions. Inputs'!B109</f>
        <v>0</v>
      </c>
      <c r="Q106" s="86" t="b">
        <f>IFERROR(Table823[[#This Row],[BEP Quantity]]*Table823[[#This Row],[Unit Profit Margin]]=Table823[[#This Row],[Item Allocated fixed costs (based on % of sales mix)]],FALSE)</f>
        <v>1</v>
      </c>
    </row>
    <row r="107" spans="1:17" outlineLevel="1">
      <c r="A107" s="1" t="str">
        <f>'Summary. Assumptions. Inputs'!A76</f>
        <v>Total</v>
      </c>
      <c r="B107" s="87"/>
      <c r="C107" s="87"/>
      <c r="D107" s="87"/>
      <c r="E107" s="232">
        <f>AVERAGE(E77:E106)</f>
        <v>0.40591873015873015</v>
      </c>
      <c r="F107" s="89"/>
      <c r="G107" s="89"/>
      <c r="H107" s="90">
        <f>SUM(H77:H106)</f>
        <v>7608420</v>
      </c>
      <c r="I107" s="90">
        <f>SUM(I77:I106)</f>
        <v>5052960.8639999991</v>
      </c>
      <c r="J107" s="88">
        <f t="shared" si="14"/>
        <v>1</v>
      </c>
      <c r="K107" s="90">
        <f>SUM(K77:K106)</f>
        <v>2555459.1360000009</v>
      </c>
      <c r="L107" s="90">
        <f>SUM(L77:L106)</f>
        <v>1429992.5999999999</v>
      </c>
      <c r="M107" s="90">
        <f>SUM(M77:M106)</f>
        <v>1125466.5360000008</v>
      </c>
      <c r="N107" s="91">
        <f>SUM(N77:N106)</f>
        <v>4363797.7686892878</v>
      </c>
      <c r="O107" s="92"/>
      <c r="P107" s="85">
        <f>'Summary. Assumptions. Inputs'!B110</f>
        <v>0</v>
      </c>
      <c r="Q107" s="93">
        <f>SUMPRODUCT(O77:O106,B77:B106)</f>
        <v>4363797.7686892878</v>
      </c>
    </row>
    <row r="108" spans="1:17" outlineLevel="1">
      <c r="L108" s="101">
        <f>'Projected FS'!C200+'Projected FS'!C201+'Projected FS'!C202+'Projected FS'!C204+'Projected FS'!C205+'Projected FS'!C207</f>
        <v>1429992.5999999999</v>
      </c>
      <c r="M108" s="94"/>
      <c r="N108" s="95"/>
      <c r="O108" s="96"/>
      <c r="P108" s="96"/>
      <c r="Q108" s="97" t="b">
        <f>SUMPRODUCT(O77:O106,B77:B106)=N107</f>
        <v>1</v>
      </c>
    </row>
  </sheetData>
  <sheetProtection formatCells="0" formatColumns="0" formatRows="0"/>
  <mergeCells count="9">
    <mergeCell ref="A40:M40"/>
    <mergeCell ref="N40:Q40"/>
    <mergeCell ref="A75:M75"/>
    <mergeCell ref="N75:Q75"/>
    <mergeCell ref="A2:M2"/>
    <mergeCell ref="N2:Q2"/>
    <mergeCell ref="A3:Q3"/>
    <mergeCell ref="A4:M4"/>
    <mergeCell ref="N4:Q4"/>
  </mergeCells>
  <phoneticPr fontId="10" type="noConversion"/>
  <printOptions horizontalCentered="1"/>
  <pageMargins left="0.9055118110236221" right="0.70866141732283472" top="0.74803149606299213" bottom="0.74803149606299213" header="0.31496062992125984" footer="0.31496062992125984"/>
  <pageSetup paperSize="9" scale="35" fitToHeight="0" orientation="portrait" errors="blank" r:id="rId1"/>
  <headerFooter>
    <oddFooter>&amp;L&amp;"-,Bold Italic"&amp;8&amp;K01+027Developed By: MAIUMAS Consulting
Hani Omar Skaik&amp;C&amp;A&amp;R&amp;D / &amp;T</oddFooter>
  </headerFooter>
  <drawing r:id="rId2"/>
  <legacyDrawingHF r:id="rId3"/>
  <tableParts count="3">
    <tablePart r:id="rId4"/>
    <tablePart r:id="rId5"/>
    <tablePart r:id="rId6"/>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FD5D5-A8FB-43D0-AEE4-97400FC18BB5}">
  <sheetPr codeName="Sheet2">
    <tabColor rgb="FF92D050"/>
    <pageSetUpPr fitToPage="1"/>
  </sheetPr>
  <dimension ref="A1:CP191"/>
  <sheetViews>
    <sheetView showZeros="0" zoomScale="70" zoomScaleNormal="70" workbookViewId="0">
      <selection activeCell="D107" sqref="D107"/>
    </sheetView>
  </sheetViews>
  <sheetFormatPr defaultColWidth="9.33203125" defaultRowHeight="15" outlineLevelCol="1"/>
  <cols>
    <col min="1" max="1" width="29.33203125" style="1" customWidth="1"/>
    <col min="2" max="2" width="30.6640625" style="1" customWidth="1"/>
    <col min="3" max="4" width="13.77734375" style="1" customWidth="1" outlineLevel="1"/>
    <col min="5" max="15" width="15.109375" style="1" customWidth="1" outlineLevel="1"/>
    <col min="16" max="16" width="16.5546875" style="1" customWidth="1"/>
    <col min="17" max="17" width="13.77734375" style="1" customWidth="1" outlineLevel="1"/>
    <col min="18" max="28" width="15.109375" style="1" customWidth="1" outlineLevel="1"/>
    <col min="29" max="29" width="16.5546875" style="1" customWidth="1"/>
    <col min="30" max="30" width="13.77734375" style="1" customWidth="1" outlineLevel="1"/>
    <col min="31" max="41" width="15.109375" style="1" customWidth="1" outlineLevel="1"/>
    <col min="42" max="42" width="16.5546875" style="1" customWidth="1"/>
    <col min="43" max="43" width="13.77734375" style="1" customWidth="1" outlineLevel="1"/>
    <col min="44" max="54" width="15.109375" style="1" customWidth="1" outlineLevel="1"/>
    <col min="55" max="55" width="16.5546875" style="1" customWidth="1"/>
    <col min="56" max="56" width="13.77734375" style="1" customWidth="1" outlineLevel="1"/>
    <col min="57" max="67" width="15.109375" style="1" customWidth="1" outlineLevel="1"/>
    <col min="68" max="68" width="16.5546875" style="1" customWidth="1"/>
    <col min="69" max="69" width="13.77734375" style="1" customWidth="1" outlineLevel="1"/>
    <col min="70" max="80" width="15.109375" style="1" customWidth="1" outlineLevel="1"/>
    <col min="81" max="81" width="16.5546875" style="1" customWidth="1"/>
    <col min="82" max="82" width="13.77734375" style="1" customWidth="1" outlineLevel="1"/>
    <col min="83" max="93" width="15.109375" style="1" customWidth="1" outlineLevel="1"/>
    <col min="94" max="94" width="16.5546875" style="1" customWidth="1"/>
  </cols>
  <sheetData>
    <row r="1" spans="1:94" ht="74.25" customHeight="1"/>
    <row r="2" spans="1:94" ht="43.5" customHeight="1" thickBot="1">
      <c r="A2" s="241" t="str">
        <f>'Summary. Assumptions. Inputs'!A2:G2</f>
        <v>Al Bawader for Greenhouse Plastics</v>
      </c>
      <c r="B2" s="242"/>
      <c r="C2" s="242"/>
      <c r="D2" s="242"/>
      <c r="E2" s="242"/>
      <c r="F2" s="242"/>
      <c r="G2" s="242"/>
      <c r="H2" s="242"/>
      <c r="I2" s="242"/>
      <c r="J2" s="242"/>
      <c r="K2" s="242"/>
      <c r="L2" s="242"/>
      <c r="M2" s="242"/>
      <c r="N2" s="242"/>
      <c r="O2" s="242"/>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c r="AU2" s="242"/>
      <c r="AV2" s="242"/>
      <c r="AW2" s="242"/>
      <c r="AX2" s="242"/>
      <c r="AY2" s="242"/>
      <c r="AZ2" s="242"/>
      <c r="BA2" s="242"/>
      <c r="BB2" s="242"/>
      <c r="BC2" s="242"/>
      <c r="BD2" s="242"/>
      <c r="BE2" s="242"/>
      <c r="BF2" s="242"/>
      <c r="BG2" s="242"/>
      <c r="BH2" s="242"/>
      <c r="BI2" s="242"/>
      <c r="BJ2" s="242"/>
      <c r="BK2" s="242"/>
      <c r="BL2" s="242"/>
      <c r="BM2" s="242"/>
      <c r="BN2" s="242"/>
      <c r="BO2" s="242"/>
      <c r="BP2" s="242"/>
      <c r="BQ2" s="242"/>
      <c r="BR2" s="242"/>
      <c r="BS2" s="242"/>
      <c r="BT2" s="242"/>
      <c r="BU2" s="242"/>
      <c r="BV2" s="242"/>
      <c r="BW2" s="242"/>
      <c r="BX2" s="242"/>
      <c r="BY2" s="242"/>
      <c r="BZ2" s="242"/>
      <c r="CA2" s="242"/>
      <c r="CB2" s="242"/>
      <c r="CC2" s="242"/>
      <c r="CD2" s="242"/>
      <c r="CE2" s="242"/>
      <c r="CF2" s="242"/>
      <c r="CG2" s="242"/>
      <c r="CH2" s="242"/>
      <c r="CI2" s="242"/>
      <c r="CJ2" s="242"/>
      <c r="CK2" s="242"/>
      <c r="CL2" s="242"/>
      <c r="CM2" s="242"/>
      <c r="CN2" s="242"/>
      <c r="CO2" s="242"/>
      <c r="CP2" s="242"/>
    </row>
    <row r="3" spans="1:94" ht="45" customHeight="1" thickTop="1" thickBot="1">
      <c r="A3" s="230" t="s">
        <v>607</v>
      </c>
      <c r="B3" s="243"/>
      <c r="C3" s="243"/>
      <c r="D3" s="243"/>
      <c r="E3" s="243"/>
      <c r="F3" s="243"/>
      <c r="G3" s="243"/>
      <c r="H3" s="243"/>
      <c r="I3" s="243"/>
      <c r="J3" s="243"/>
      <c r="K3" s="243"/>
      <c r="L3" s="243"/>
      <c r="M3" s="243"/>
      <c r="N3" s="243"/>
      <c r="O3" s="243"/>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c r="AU3" s="243"/>
      <c r="AV3" s="243"/>
      <c r="AW3" s="243"/>
      <c r="AX3" s="243"/>
      <c r="AY3" s="243"/>
      <c r="AZ3" s="243"/>
      <c r="BA3" s="243"/>
      <c r="BB3" s="243"/>
      <c r="BC3" s="243"/>
      <c r="BD3" s="243"/>
      <c r="BE3" s="243"/>
      <c r="BF3" s="243"/>
      <c r="BG3" s="243"/>
      <c r="BH3" s="243"/>
      <c r="BI3" s="243"/>
      <c r="BJ3" s="243"/>
      <c r="BK3" s="243"/>
      <c r="BL3" s="243"/>
      <c r="BM3" s="243"/>
      <c r="BN3" s="243"/>
      <c r="BO3" s="243"/>
      <c r="BP3" s="243"/>
      <c r="BQ3" s="243"/>
      <c r="BR3" s="243"/>
      <c r="BS3" s="243"/>
      <c r="BT3" s="243"/>
      <c r="BU3" s="243"/>
      <c r="BV3" s="243"/>
      <c r="BW3" s="243"/>
      <c r="BX3" s="243"/>
      <c r="BY3" s="243"/>
      <c r="BZ3" s="243"/>
      <c r="CA3" s="243"/>
      <c r="CB3" s="243"/>
      <c r="CC3" s="243"/>
      <c r="CD3" s="243"/>
      <c r="CE3" s="243"/>
      <c r="CF3" s="243"/>
      <c r="CG3" s="243"/>
      <c r="CH3" s="243"/>
      <c r="CI3" s="243"/>
      <c r="CJ3" s="243"/>
      <c r="CK3" s="243"/>
      <c r="CL3" s="243"/>
      <c r="CM3" s="243"/>
      <c r="CN3" s="243"/>
      <c r="CO3" s="243"/>
      <c r="CP3" s="243"/>
    </row>
    <row r="4" spans="1:94" ht="45" customHeight="1" thickTop="1">
      <c r="A4" s="244" t="str">
        <f>CONCATENATE("Currency: "," ",'Summary. Assumptions. Inputs'!$J$7)</f>
        <v>Currency:  USD</v>
      </c>
      <c r="C4" s="244"/>
      <c r="D4" s="244"/>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c r="BQ4" s="244"/>
      <c r="BR4" s="244"/>
      <c r="BS4" s="244"/>
      <c r="BT4" s="244"/>
      <c r="BU4" s="244"/>
      <c r="BV4" s="244"/>
      <c r="BW4" s="244"/>
      <c r="BX4" s="244"/>
      <c r="BY4" s="244"/>
      <c r="BZ4" s="244"/>
      <c r="CA4" s="244"/>
      <c r="CB4" s="244"/>
      <c r="CC4" s="244"/>
      <c r="CD4" s="244"/>
      <c r="CE4" s="244"/>
      <c r="CF4" s="244"/>
      <c r="CG4" s="244"/>
      <c r="CH4" s="244"/>
      <c r="CI4" s="244"/>
      <c r="CJ4" s="244"/>
      <c r="CK4" s="244"/>
      <c r="CL4" s="244"/>
      <c r="CM4" s="244"/>
      <c r="CN4" s="244"/>
      <c r="CO4" s="244"/>
      <c r="CP4" s="244"/>
    </row>
    <row r="5" spans="1:94" ht="76.5" customHeight="1">
      <c r="A5" s="245" t="s">
        <v>462</v>
      </c>
      <c r="B5" s="246" t="s">
        <v>252</v>
      </c>
      <c r="C5" s="247" t="s">
        <v>301</v>
      </c>
      <c r="D5" s="437" t="s">
        <v>347</v>
      </c>
      <c r="E5" s="437" t="s">
        <v>348</v>
      </c>
      <c r="F5" s="437" t="s">
        <v>349</v>
      </c>
      <c r="G5" s="437" t="s">
        <v>350</v>
      </c>
      <c r="H5" s="437" t="s">
        <v>351</v>
      </c>
      <c r="I5" s="437" t="s">
        <v>352</v>
      </c>
      <c r="J5" s="437" t="s">
        <v>353</v>
      </c>
      <c r="K5" s="437" t="s">
        <v>354</v>
      </c>
      <c r="L5" s="437" t="s">
        <v>355</v>
      </c>
      <c r="M5" s="437" t="s">
        <v>356</v>
      </c>
      <c r="N5" s="437" t="s">
        <v>357</v>
      </c>
      <c r="O5" s="437" t="s">
        <v>358</v>
      </c>
      <c r="P5" s="438" t="s">
        <v>359</v>
      </c>
      <c r="Q5" s="437" t="s">
        <v>360</v>
      </c>
      <c r="R5" s="437" t="s">
        <v>361</v>
      </c>
      <c r="S5" s="437" t="s">
        <v>362</v>
      </c>
      <c r="T5" s="437" t="s">
        <v>363</v>
      </c>
      <c r="U5" s="437" t="s">
        <v>364</v>
      </c>
      <c r="V5" s="437" t="s">
        <v>365</v>
      </c>
      <c r="W5" s="437" t="s">
        <v>366</v>
      </c>
      <c r="X5" s="437" t="s">
        <v>367</v>
      </c>
      <c r="Y5" s="437" t="s">
        <v>368</v>
      </c>
      <c r="Z5" s="437" t="s">
        <v>369</v>
      </c>
      <c r="AA5" s="437" t="s">
        <v>370</v>
      </c>
      <c r="AB5" s="437" t="s">
        <v>371</v>
      </c>
      <c r="AC5" s="438" t="s">
        <v>608</v>
      </c>
      <c r="AD5" s="437" t="s">
        <v>373</v>
      </c>
      <c r="AE5" s="437" t="s">
        <v>374</v>
      </c>
      <c r="AF5" s="437" t="s">
        <v>375</v>
      </c>
      <c r="AG5" s="437" t="s">
        <v>376</v>
      </c>
      <c r="AH5" s="437" t="s">
        <v>377</v>
      </c>
      <c r="AI5" s="437" t="s">
        <v>378</v>
      </c>
      <c r="AJ5" s="437" t="s">
        <v>379</v>
      </c>
      <c r="AK5" s="437" t="s">
        <v>380</v>
      </c>
      <c r="AL5" s="437" t="s">
        <v>381</v>
      </c>
      <c r="AM5" s="437" t="s">
        <v>382</v>
      </c>
      <c r="AN5" s="437" t="s">
        <v>383</v>
      </c>
      <c r="AO5" s="437" t="s">
        <v>384</v>
      </c>
      <c r="AP5" s="438" t="s">
        <v>385</v>
      </c>
      <c r="AQ5" s="437" t="s">
        <v>386</v>
      </c>
      <c r="AR5" s="437" t="s">
        <v>387</v>
      </c>
      <c r="AS5" s="437" t="s">
        <v>388</v>
      </c>
      <c r="AT5" s="437" t="s">
        <v>389</v>
      </c>
      <c r="AU5" s="437" t="s">
        <v>390</v>
      </c>
      <c r="AV5" s="437" t="s">
        <v>391</v>
      </c>
      <c r="AW5" s="437" t="s">
        <v>392</v>
      </c>
      <c r="AX5" s="437" t="s">
        <v>393</v>
      </c>
      <c r="AY5" s="437" t="s">
        <v>394</v>
      </c>
      <c r="AZ5" s="437" t="s">
        <v>395</v>
      </c>
      <c r="BA5" s="437" t="s">
        <v>396</v>
      </c>
      <c r="BB5" s="437" t="s">
        <v>397</v>
      </c>
      <c r="BC5" s="438" t="s">
        <v>398</v>
      </c>
      <c r="BD5" s="437" t="s">
        <v>399</v>
      </c>
      <c r="BE5" s="437" t="s">
        <v>400</v>
      </c>
      <c r="BF5" s="437" t="s">
        <v>401</v>
      </c>
      <c r="BG5" s="437" t="s">
        <v>402</v>
      </c>
      <c r="BH5" s="437" t="s">
        <v>403</v>
      </c>
      <c r="BI5" s="437" t="s">
        <v>404</v>
      </c>
      <c r="BJ5" s="437" t="s">
        <v>405</v>
      </c>
      <c r="BK5" s="437" t="s">
        <v>406</v>
      </c>
      <c r="BL5" s="437" t="s">
        <v>407</v>
      </c>
      <c r="BM5" s="437" t="s">
        <v>408</v>
      </c>
      <c r="BN5" s="437" t="s">
        <v>409</v>
      </c>
      <c r="BO5" s="437" t="s">
        <v>410</v>
      </c>
      <c r="BP5" s="438" t="s">
        <v>411</v>
      </c>
      <c r="BQ5" s="437" t="s">
        <v>412</v>
      </c>
      <c r="BR5" s="437" t="s">
        <v>413</v>
      </c>
      <c r="BS5" s="437" t="s">
        <v>414</v>
      </c>
      <c r="BT5" s="437" t="s">
        <v>415</v>
      </c>
      <c r="BU5" s="437" t="s">
        <v>416</v>
      </c>
      <c r="BV5" s="437" t="s">
        <v>417</v>
      </c>
      <c r="BW5" s="437" t="s">
        <v>418</v>
      </c>
      <c r="BX5" s="437" t="s">
        <v>419</v>
      </c>
      <c r="BY5" s="437" t="s">
        <v>420</v>
      </c>
      <c r="BZ5" s="437" t="s">
        <v>421</v>
      </c>
      <c r="CA5" s="437" t="s">
        <v>422</v>
      </c>
      <c r="CB5" s="437" t="s">
        <v>423</v>
      </c>
      <c r="CC5" s="438" t="s">
        <v>424</v>
      </c>
      <c r="CD5" s="437" t="s">
        <v>425</v>
      </c>
      <c r="CE5" s="437" t="s">
        <v>426</v>
      </c>
      <c r="CF5" s="437" t="s">
        <v>427</v>
      </c>
      <c r="CG5" s="437" t="s">
        <v>428</v>
      </c>
      <c r="CH5" s="437" t="s">
        <v>429</v>
      </c>
      <c r="CI5" s="437" t="s">
        <v>430</v>
      </c>
      <c r="CJ5" s="437" t="s">
        <v>431</v>
      </c>
      <c r="CK5" s="437" t="s">
        <v>432</v>
      </c>
      <c r="CL5" s="437" t="s">
        <v>433</v>
      </c>
      <c r="CM5" s="437" t="s">
        <v>434</v>
      </c>
      <c r="CN5" s="437" t="s">
        <v>435</v>
      </c>
      <c r="CO5" s="437" t="s">
        <v>436</v>
      </c>
      <c r="CP5" s="438" t="s">
        <v>437</v>
      </c>
    </row>
    <row r="6" spans="1:94" ht="20.100000000000001" customHeight="1">
      <c r="A6" s="789" t="str">
        <f ca="1">OFFSET('Summary. Assumptions. Inputs'!$A$45,'Internmediate sheet'!A5/3,0)</f>
        <v>Greenhouse cover films</v>
      </c>
      <c r="B6" s="17" t="s">
        <v>609</v>
      </c>
      <c r="C6" s="18"/>
      <c r="D6" s="17">
        <f ca="1">OFFSET('Sales, Production, &amp; Other Assu'!D$18,'Internmediate sheet'!$A5/3,0)*Capacity</f>
        <v>143640</v>
      </c>
      <c r="E6" s="17">
        <f ca="1">OFFSET('Sales, Production, &amp; Other Assu'!E$18,'Internmediate sheet'!$A5/3,0)*Capacity</f>
        <v>143640</v>
      </c>
      <c r="F6" s="17">
        <f ca="1">OFFSET('Sales, Production, &amp; Other Assu'!F$18,'Internmediate sheet'!$A5/3,0)*Capacity</f>
        <v>143640</v>
      </c>
      <c r="G6" s="17">
        <f ca="1">OFFSET('Sales, Production, &amp; Other Assu'!G$18,'Internmediate sheet'!$A5/3,0)*Capacity</f>
        <v>143640</v>
      </c>
      <c r="H6" s="17">
        <f ca="1">OFFSET('Sales, Production, &amp; Other Assu'!H$18,'Internmediate sheet'!$A5/3,0)*Capacity</f>
        <v>143640</v>
      </c>
      <c r="I6" s="17">
        <f ca="1">OFFSET('Sales, Production, &amp; Other Assu'!I$18,'Internmediate sheet'!$A5/3,0)*Capacity</f>
        <v>143640</v>
      </c>
      <c r="J6" s="17">
        <f ca="1">OFFSET('Sales, Production, &amp; Other Assu'!J$18,'Internmediate sheet'!$A5/3,0)*Capacity</f>
        <v>143640</v>
      </c>
      <c r="K6" s="17">
        <f ca="1">OFFSET('Sales, Production, &amp; Other Assu'!K$18,'Internmediate sheet'!$A5/3,0)*Capacity</f>
        <v>143640</v>
      </c>
      <c r="L6" s="17">
        <f ca="1">OFFSET('Sales, Production, &amp; Other Assu'!L$18,'Internmediate sheet'!$A5/3,0)*Capacity</f>
        <v>143640</v>
      </c>
      <c r="M6" s="17">
        <f ca="1">OFFSET('Sales, Production, &amp; Other Assu'!M$18,'Internmediate sheet'!$A5/3,0)*Capacity</f>
        <v>143640</v>
      </c>
      <c r="N6" s="17">
        <f ca="1">OFFSET('Sales, Production, &amp; Other Assu'!N$18,'Internmediate sheet'!$A5/3,0)*Capacity</f>
        <v>143640</v>
      </c>
      <c r="O6" s="17">
        <f ca="1">OFFSET('Sales, Production, &amp; Other Assu'!O$18,'Internmediate sheet'!$A5/3,0)*Capacity</f>
        <v>143640</v>
      </c>
      <c r="P6" s="430">
        <f ca="1">SUM(D6:O6)</f>
        <v>1723680</v>
      </c>
      <c r="Q6" s="17">
        <f ca="1">OFFSET('Sales, Production, &amp; Other Assu'!Q$18,'Internmediate sheet'!$A5/3,0)*Capacity</f>
        <v>167484.24</v>
      </c>
      <c r="R6" s="17">
        <f ca="1">OFFSET('Sales, Production, &amp; Other Assu'!R$18,'Internmediate sheet'!$A5/3,0)*Capacity</f>
        <v>167484.24</v>
      </c>
      <c r="S6" s="17">
        <f ca="1">OFFSET('Sales, Production, &amp; Other Assu'!S$18,'Internmediate sheet'!$A5/3,0)*Capacity</f>
        <v>167484.24</v>
      </c>
      <c r="T6" s="17">
        <f ca="1">OFFSET('Sales, Production, &amp; Other Assu'!T$18,'Internmediate sheet'!$A5/3,0)*Capacity</f>
        <v>167484.24</v>
      </c>
      <c r="U6" s="17">
        <f ca="1">OFFSET('Sales, Production, &amp; Other Assu'!U$18,'Internmediate sheet'!$A5/3,0)*Capacity</f>
        <v>167484.24</v>
      </c>
      <c r="V6" s="17">
        <f ca="1">OFFSET('Sales, Production, &amp; Other Assu'!V$18,'Internmediate sheet'!$A5/3,0)*Capacity</f>
        <v>167484.24</v>
      </c>
      <c r="W6" s="17">
        <f ca="1">OFFSET('Sales, Production, &amp; Other Assu'!W$18,'Internmediate sheet'!$A5/3,0)*Capacity</f>
        <v>167484.24</v>
      </c>
      <c r="X6" s="17">
        <f ca="1">OFFSET('Sales, Production, &amp; Other Assu'!X$18,'Internmediate sheet'!$A5/3,0)*Capacity</f>
        <v>167484.24</v>
      </c>
      <c r="Y6" s="17">
        <f ca="1">OFFSET('Sales, Production, &amp; Other Assu'!Y$18,'Internmediate sheet'!$A5/3,0)*Capacity</f>
        <v>167484.24</v>
      </c>
      <c r="Z6" s="17">
        <f ca="1">OFFSET('Sales, Production, &amp; Other Assu'!Z$18,'Internmediate sheet'!$A5/3,0)*Capacity</f>
        <v>167484.24</v>
      </c>
      <c r="AA6" s="17">
        <f ca="1">OFFSET('Sales, Production, &amp; Other Assu'!AA$18,'Internmediate sheet'!$A5/3,0)*Capacity</f>
        <v>167484.24</v>
      </c>
      <c r="AB6" s="17">
        <f ca="1">OFFSET('Sales, Production, &amp; Other Assu'!AB$18,'Internmediate sheet'!$A5/3,0)*Capacity</f>
        <v>167484.24</v>
      </c>
      <c r="AC6" s="430">
        <f ca="1">SUM(Q6:AB6)</f>
        <v>2009810.88</v>
      </c>
      <c r="AD6" s="17">
        <f ca="1">OFFSET('Sales, Production, &amp; Other Assu'!AD$18,'Internmediate sheet'!$A5/3,0)*Capacity</f>
        <v>193674.6</v>
      </c>
      <c r="AE6" s="17">
        <f ca="1">OFFSET('Sales, Production, &amp; Other Assu'!AE$18,'Internmediate sheet'!$A5/3,0)*Capacity</f>
        <v>193674.6</v>
      </c>
      <c r="AF6" s="17">
        <f ca="1">OFFSET('Sales, Production, &amp; Other Assu'!AF$18,'Internmediate sheet'!$A5/3,0)*Capacity</f>
        <v>193674.6</v>
      </c>
      <c r="AG6" s="17">
        <f ca="1">OFFSET('Sales, Production, &amp; Other Assu'!AG$18,'Internmediate sheet'!$A5/3,0)*Capacity</f>
        <v>193674.6</v>
      </c>
      <c r="AH6" s="17">
        <f ca="1">OFFSET('Sales, Production, &amp; Other Assu'!AH$18,'Internmediate sheet'!$A5/3,0)*Capacity</f>
        <v>193674.6</v>
      </c>
      <c r="AI6" s="17">
        <f ca="1">OFFSET('Sales, Production, &amp; Other Assu'!AI$18,'Internmediate sheet'!$A5/3,0)*Capacity</f>
        <v>193674.6</v>
      </c>
      <c r="AJ6" s="17">
        <f ca="1">OFFSET('Sales, Production, &amp; Other Assu'!AJ$18,'Internmediate sheet'!$A5/3,0)*Capacity</f>
        <v>193674.6</v>
      </c>
      <c r="AK6" s="17">
        <f ca="1">OFFSET('Sales, Production, &amp; Other Assu'!AK$18,'Internmediate sheet'!$A5/3,0)*Capacity</f>
        <v>193674.6</v>
      </c>
      <c r="AL6" s="17">
        <f ca="1">OFFSET('Sales, Production, &amp; Other Assu'!AL$18,'Internmediate sheet'!$A5/3,0)*Capacity</f>
        <v>193674.6</v>
      </c>
      <c r="AM6" s="17">
        <f ca="1">OFFSET('Sales, Production, &amp; Other Assu'!AM$18,'Internmediate sheet'!$A5/3,0)*Capacity</f>
        <v>193674.6</v>
      </c>
      <c r="AN6" s="17">
        <f ca="1">OFFSET('Sales, Production, &amp; Other Assu'!AN$18,'Internmediate sheet'!$A5/3,0)*Capacity</f>
        <v>193674.6</v>
      </c>
      <c r="AO6" s="17">
        <f ca="1">OFFSET('Sales, Production, &amp; Other Assu'!AO$18,'Internmediate sheet'!$A5/3,0)*Capacity</f>
        <v>193674.6</v>
      </c>
      <c r="AP6" s="430">
        <f ca="1">SUM(AD6:AO6)</f>
        <v>2324095.2000000007</v>
      </c>
      <c r="AQ6" s="17">
        <f ca="1">OFFSET('Sales, Production, &amp; Other Assu'!AQ$18,'Internmediate sheet'!$A5/3,0)*Capacity</f>
        <v>222402.59999999998</v>
      </c>
      <c r="AR6" s="17">
        <f ca="1">OFFSET('Sales, Production, &amp; Other Assu'!AR$18,'Internmediate sheet'!$A5/3,0)*Capacity</f>
        <v>222402.59999999998</v>
      </c>
      <c r="AS6" s="17">
        <f ca="1">OFFSET('Sales, Production, &amp; Other Assu'!AS$18,'Internmediate sheet'!$A5/3,0)*Capacity</f>
        <v>222402.59999999998</v>
      </c>
      <c r="AT6" s="17">
        <f ca="1">OFFSET('Sales, Production, &amp; Other Assu'!AT$18,'Internmediate sheet'!$A5/3,0)*Capacity</f>
        <v>222402.59999999998</v>
      </c>
      <c r="AU6" s="17">
        <f ca="1">OFFSET('Sales, Production, &amp; Other Assu'!AU$18,'Internmediate sheet'!$A5/3,0)*Capacity</f>
        <v>222402.59999999998</v>
      </c>
      <c r="AV6" s="17">
        <f ca="1">OFFSET('Sales, Production, &amp; Other Assu'!AV$18,'Internmediate sheet'!$A5/3,0)*Capacity</f>
        <v>222402.59999999998</v>
      </c>
      <c r="AW6" s="17">
        <f ca="1">OFFSET('Sales, Production, &amp; Other Assu'!AW$18,'Internmediate sheet'!$A5/3,0)*Capacity</f>
        <v>222402.59999999998</v>
      </c>
      <c r="AX6" s="17">
        <f ca="1">OFFSET('Sales, Production, &amp; Other Assu'!AX$18,'Internmediate sheet'!$A5/3,0)*Capacity</f>
        <v>222402.59999999998</v>
      </c>
      <c r="AY6" s="17">
        <f ca="1">OFFSET('Sales, Production, &amp; Other Assu'!AY$18,'Internmediate sheet'!$A5/3,0)*Capacity</f>
        <v>222402.59999999998</v>
      </c>
      <c r="AZ6" s="17">
        <f ca="1">OFFSET('Sales, Production, &amp; Other Assu'!AZ$18,'Internmediate sheet'!$A5/3,0)*Capacity</f>
        <v>222402.59999999998</v>
      </c>
      <c r="BA6" s="17">
        <f ca="1">OFFSET('Sales, Production, &amp; Other Assu'!BA$18,'Internmediate sheet'!$A5/3,0)*Capacity</f>
        <v>222402.59999999998</v>
      </c>
      <c r="BB6" s="17">
        <f ca="1">OFFSET('Sales, Production, &amp; Other Assu'!BB$18,'Internmediate sheet'!$A5/3,0)*Capacity</f>
        <v>222402.59999999998</v>
      </c>
      <c r="BC6" s="430">
        <f ca="1">SUM(AQ6:BB6)</f>
        <v>2668831.2000000007</v>
      </c>
      <c r="BD6" s="17">
        <f ca="1">OFFSET('Sales, Production, &amp; Other Assu'!BD$18,'Internmediate sheet'!$A5/3,0)*Capacity</f>
        <v>253878.91199999995</v>
      </c>
      <c r="BE6" s="17">
        <f ca="1">OFFSET('Sales, Production, &amp; Other Assu'!BE$18,'Internmediate sheet'!$A5/3,0)*Capacity</f>
        <v>253878.91199999995</v>
      </c>
      <c r="BF6" s="17">
        <f ca="1">OFFSET('Sales, Production, &amp; Other Assu'!BF$18,'Internmediate sheet'!$A5/3,0)*Capacity</f>
        <v>253878.91199999995</v>
      </c>
      <c r="BG6" s="17">
        <f ca="1">OFFSET('Sales, Production, &amp; Other Assu'!BG$18,'Internmediate sheet'!$A5/3,0)*Capacity</f>
        <v>253878.91199999995</v>
      </c>
      <c r="BH6" s="17">
        <f ca="1">OFFSET('Sales, Production, &amp; Other Assu'!BH$18,'Internmediate sheet'!$A5/3,0)*Capacity</f>
        <v>253878.91199999995</v>
      </c>
      <c r="BI6" s="17">
        <f ca="1">OFFSET('Sales, Production, &amp; Other Assu'!BI$18,'Internmediate sheet'!$A5/3,0)*Capacity</f>
        <v>253878.91199999995</v>
      </c>
      <c r="BJ6" s="17">
        <f ca="1">OFFSET('Sales, Production, &amp; Other Assu'!BJ$18,'Internmediate sheet'!$A5/3,0)*Capacity</f>
        <v>253878.91199999995</v>
      </c>
      <c r="BK6" s="17">
        <f ca="1">OFFSET('Sales, Production, &amp; Other Assu'!BK$18,'Internmediate sheet'!$A5/3,0)*Capacity</f>
        <v>253878.91199999995</v>
      </c>
      <c r="BL6" s="17">
        <f ca="1">OFFSET('Sales, Production, &amp; Other Assu'!BL$18,'Internmediate sheet'!$A5/3,0)*Capacity</f>
        <v>253878.91199999995</v>
      </c>
      <c r="BM6" s="17">
        <f ca="1">OFFSET('Sales, Production, &amp; Other Assu'!BM$18,'Internmediate sheet'!$A5/3,0)*Capacity</f>
        <v>253878.91199999995</v>
      </c>
      <c r="BN6" s="17">
        <f ca="1">OFFSET('Sales, Production, &amp; Other Assu'!BN$18,'Internmediate sheet'!$A5/3,0)*Capacity</f>
        <v>253878.91199999995</v>
      </c>
      <c r="BO6" s="17">
        <f ca="1">OFFSET('Sales, Production, &amp; Other Assu'!BO$18,'Internmediate sheet'!$A5/3,0)*Capacity</f>
        <v>253878.91199999995</v>
      </c>
      <c r="BP6" s="430">
        <f ca="1">SUM(BD6:BO6)</f>
        <v>3046546.9439999997</v>
      </c>
      <c r="BQ6" s="17">
        <f ca="1">OFFSET('Sales, Production, &amp; Other Assu'!BQ$18,'Internmediate sheet'!$A5/3,0)*Capacity</f>
        <v>288333.36</v>
      </c>
      <c r="BR6" s="17">
        <f ca="1">OFFSET('Sales, Production, &amp; Other Assu'!BR$18,'Internmediate sheet'!$A5/3,0)*Capacity</f>
        <v>288333.36</v>
      </c>
      <c r="BS6" s="17">
        <f ca="1">OFFSET('Sales, Production, &amp; Other Assu'!BS$18,'Internmediate sheet'!$A5/3,0)*Capacity</f>
        <v>288333.36</v>
      </c>
      <c r="BT6" s="17">
        <f ca="1">OFFSET('Sales, Production, &amp; Other Assu'!BT$18,'Internmediate sheet'!$A5/3,0)*Capacity</f>
        <v>288333.36</v>
      </c>
      <c r="BU6" s="17">
        <f ca="1">OFFSET('Sales, Production, &amp; Other Assu'!BU$18,'Internmediate sheet'!$A5/3,0)*Capacity</f>
        <v>288333.36</v>
      </c>
      <c r="BV6" s="17">
        <f ca="1">OFFSET('Sales, Production, &amp; Other Assu'!BV$18,'Internmediate sheet'!$A5/3,0)*Capacity</f>
        <v>288333.36</v>
      </c>
      <c r="BW6" s="17">
        <f ca="1">OFFSET('Sales, Production, &amp; Other Assu'!BW$18,'Internmediate sheet'!$A5/3,0)*Capacity</f>
        <v>288333.36</v>
      </c>
      <c r="BX6" s="17">
        <f ca="1">OFFSET('Sales, Production, &amp; Other Assu'!BX$18,'Internmediate sheet'!$A5/3,0)*Capacity</f>
        <v>288333.36</v>
      </c>
      <c r="BY6" s="17">
        <f ca="1">OFFSET('Sales, Production, &amp; Other Assu'!BY$18,'Internmediate sheet'!$A5/3,0)*Capacity</f>
        <v>288333.36</v>
      </c>
      <c r="BZ6" s="17">
        <f ca="1">OFFSET('Sales, Production, &amp; Other Assu'!BZ$18,'Internmediate sheet'!$A5/3,0)*Capacity</f>
        <v>288333.36</v>
      </c>
      <c r="CA6" s="17">
        <f ca="1">OFFSET('Sales, Production, &amp; Other Assu'!CA$18,'Internmediate sheet'!$A5/3,0)*Capacity</f>
        <v>288333.36</v>
      </c>
      <c r="CB6" s="17">
        <f ca="1">OFFSET('Sales, Production, &amp; Other Assu'!CB$18,'Internmediate sheet'!$A5/3,0)*Capacity</f>
        <v>288333.36</v>
      </c>
      <c r="CC6" s="430">
        <f ca="1">SUM(BQ6:CB6)</f>
        <v>3460000.3199999989</v>
      </c>
      <c r="CD6" s="17">
        <f ca="1">OFFSET('Sales, Production, &amp; Other Assu'!CD$18,'Internmediate sheet'!$A5/3,0)*Capacity</f>
        <v>305637.19199999998</v>
      </c>
      <c r="CE6" s="17">
        <f ca="1">OFFSET('Sales, Production, &amp; Other Assu'!CE$18,'Internmediate sheet'!$A5/3,0)*Capacity</f>
        <v>305637.19199999998</v>
      </c>
      <c r="CF6" s="17">
        <f ca="1">OFFSET('Sales, Production, &amp; Other Assu'!CF$18,'Internmediate sheet'!$A5/3,0)*Capacity</f>
        <v>305637.19199999998</v>
      </c>
      <c r="CG6" s="17">
        <f ca="1">OFFSET('Sales, Production, &amp; Other Assu'!CG$18,'Internmediate sheet'!$A5/3,0)*Capacity</f>
        <v>305637.19199999998</v>
      </c>
      <c r="CH6" s="17">
        <f ca="1">OFFSET('Sales, Production, &amp; Other Assu'!CH$18,'Internmediate sheet'!$A5/3,0)*Capacity</f>
        <v>305637.19199999998</v>
      </c>
      <c r="CI6" s="17">
        <f ca="1">OFFSET('Sales, Production, &amp; Other Assu'!CI$18,'Internmediate sheet'!$A5/3,0)*Capacity</f>
        <v>305637.19199999998</v>
      </c>
      <c r="CJ6" s="17">
        <f ca="1">OFFSET('Sales, Production, &amp; Other Assu'!CJ$18,'Internmediate sheet'!$A5/3,0)*Capacity</f>
        <v>305637.19199999998</v>
      </c>
      <c r="CK6" s="17">
        <f ca="1">OFFSET('Sales, Production, &amp; Other Assu'!CK$18,'Internmediate sheet'!$A5/3,0)*Capacity</f>
        <v>305637.19199999998</v>
      </c>
      <c r="CL6" s="17">
        <f ca="1">OFFSET('Sales, Production, &amp; Other Assu'!CL$18,'Internmediate sheet'!$A5/3,0)*Capacity</f>
        <v>305637.19199999998</v>
      </c>
      <c r="CM6" s="17">
        <f ca="1">OFFSET('Sales, Production, &amp; Other Assu'!CM$18,'Internmediate sheet'!$A5/3,0)*Capacity</f>
        <v>305637.19199999998</v>
      </c>
      <c r="CN6" s="17">
        <f ca="1">OFFSET('Sales, Production, &amp; Other Assu'!CN$18,'Internmediate sheet'!$A5/3,0)*Capacity</f>
        <v>305637.19199999998</v>
      </c>
      <c r="CO6" s="17">
        <f ca="1">OFFSET('Sales, Production, &amp; Other Assu'!CO$18,'Internmediate sheet'!$A5/3,0)*Capacity</f>
        <v>305637.19199999998</v>
      </c>
      <c r="CP6" s="430">
        <f ca="1">SUM(CD6:CO6)</f>
        <v>3667646.3039999991</v>
      </c>
    </row>
    <row r="7" spans="1:94" ht="20.100000000000001" customHeight="1">
      <c r="A7" s="790"/>
      <c r="B7" s="8" t="s">
        <v>610</v>
      </c>
      <c r="C7" s="8">
        <f ca="1">OFFSET('Summary. Assumptions. Inputs'!$F$46,0,0)</f>
        <v>3.28125</v>
      </c>
      <c r="D7" s="8">
        <f t="shared" ref="D7:P7" ca="1" si="0">C7</f>
        <v>3.28125</v>
      </c>
      <c r="E7" s="8">
        <f t="shared" ca="1" si="0"/>
        <v>3.28125</v>
      </c>
      <c r="F7" s="8">
        <f t="shared" ca="1" si="0"/>
        <v>3.28125</v>
      </c>
      <c r="G7" s="8">
        <f t="shared" ca="1" si="0"/>
        <v>3.28125</v>
      </c>
      <c r="H7" s="8">
        <f t="shared" ca="1" si="0"/>
        <v>3.28125</v>
      </c>
      <c r="I7" s="8">
        <f t="shared" ca="1" si="0"/>
        <v>3.28125</v>
      </c>
      <c r="J7" s="8">
        <f t="shared" ca="1" si="0"/>
        <v>3.28125</v>
      </c>
      <c r="K7" s="8">
        <f t="shared" ca="1" si="0"/>
        <v>3.28125</v>
      </c>
      <c r="L7" s="8">
        <f t="shared" ca="1" si="0"/>
        <v>3.28125</v>
      </c>
      <c r="M7" s="8">
        <f t="shared" ca="1" si="0"/>
        <v>3.28125</v>
      </c>
      <c r="N7" s="8">
        <f t="shared" ca="1" si="0"/>
        <v>3.28125</v>
      </c>
      <c r="O7" s="8">
        <f t="shared" ca="1" si="0"/>
        <v>3.28125</v>
      </c>
      <c r="P7" s="431">
        <f t="shared" ca="1" si="0"/>
        <v>3.28125</v>
      </c>
      <c r="Q7" s="8">
        <f t="shared" ref="Q7" ca="1" si="1">P7</f>
        <v>3.28125</v>
      </c>
      <c r="R7" s="8">
        <f t="shared" ref="R7" ca="1" si="2">Q7</f>
        <v>3.28125</v>
      </c>
      <c r="S7" s="8">
        <f t="shared" ref="S7" ca="1" si="3">R7</f>
        <v>3.28125</v>
      </c>
      <c r="T7" s="8">
        <f t="shared" ref="T7" ca="1" si="4">S7</f>
        <v>3.28125</v>
      </c>
      <c r="U7" s="8">
        <f t="shared" ref="U7" ca="1" si="5">T7</f>
        <v>3.28125</v>
      </c>
      <c r="V7" s="8">
        <f t="shared" ref="V7" ca="1" si="6">U7</f>
        <v>3.28125</v>
      </c>
      <c r="W7" s="8">
        <f t="shared" ref="W7" ca="1" si="7">V7</f>
        <v>3.28125</v>
      </c>
      <c r="X7" s="8">
        <f t="shared" ref="X7" ca="1" si="8">W7</f>
        <v>3.28125</v>
      </c>
      <c r="Y7" s="8">
        <f t="shared" ref="Y7" ca="1" si="9">X7</f>
        <v>3.28125</v>
      </c>
      <c r="Z7" s="8">
        <f t="shared" ref="Z7" ca="1" si="10">Y7</f>
        <v>3.28125</v>
      </c>
      <c r="AA7" s="8">
        <f t="shared" ref="AA7" ca="1" si="11">Z7</f>
        <v>3.28125</v>
      </c>
      <c r="AB7" s="8">
        <f t="shared" ref="AB7" ca="1" si="12">AA7</f>
        <v>3.28125</v>
      </c>
      <c r="AC7" s="431">
        <f t="shared" ref="AC7" ca="1" si="13">AB7</f>
        <v>3.28125</v>
      </c>
      <c r="AD7" s="8">
        <f t="shared" ref="AD7" ca="1" si="14">AC7</f>
        <v>3.28125</v>
      </c>
      <c r="AE7" s="8">
        <f t="shared" ref="AE7" ca="1" si="15">AD7</f>
        <v>3.28125</v>
      </c>
      <c r="AF7" s="8">
        <f t="shared" ref="AF7" ca="1" si="16">AE7</f>
        <v>3.28125</v>
      </c>
      <c r="AG7" s="8">
        <f t="shared" ref="AG7" ca="1" si="17">AF7</f>
        <v>3.28125</v>
      </c>
      <c r="AH7" s="8">
        <f t="shared" ref="AH7" ca="1" si="18">AG7</f>
        <v>3.28125</v>
      </c>
      <c r="AI7" s="8">
        <f t="shared" ref="AI7" ca="1" si="19">AH7</f>
        <v>3.28125</v>
      </c>
      <c r="AJ7" s="8">
        <f t="shared" ref="AJ7" ca="1" si="20">AI7</f>
        <v>3.28125</v>
      </c>
      <c r="AK7" s="8">
        <f t="shared" ref="AK7" ca="1" si="21">AJ7</f>
        <v>3.28125</v>
      </c>
      <c r="AL7" s="8">
        <f t="shared" ref="AL7" ca="1" si="22">AK7</f>
        <v>3.28125</v>
      </c>
      <c r="AM7" s="8">
        <f t="shared" ref="AM7" ca="1" si="23">AL7</f>
        <v>3.28125</v>
      </c>
      <c r="AN7" s="8">
        <f t="shared" ref="AN7" ca="1" si="24">AM7</f>
        <v>3.28125</v>
      </c>
      <c r="AO7" s="8">
        <f t="shared" ref="AO7" ca="1" si="25">AN7</f>
        <v>3.28125</v>
      </c>
      <c r="AP7" s="431">
        <f t="shared" ref="AP7" ca="1" si="26">AO7</f>
        <v>3.28125</v>
      </c>
      <c r="AQ7" s="8">
        <f ca="1">AP7</f>
        <v>3.28125</v>
      </c>
      <c r="AR7" s="8">
        <f t="shared" ref="AR7" ca="1" si="27">AQ7</f>
        <v>3.28125</v>
      </c>
      <c r="AS7" s="8">
        <f t="shared" ref="AS7" ca="1" si="28">AR7</f>
        <v>3.28125</v>
      </c>
      <c r="AT7" s="8">
        <f t="shared" ref="AT7" ca="1" si="29">AS7</f>
        <v>3.28125</v>
      </c>
      <c r="AU7" s="8">
        <f t="shared" ref="AU7" ca="1" si="30">AT7</f>
        <v>3.28125</v>
      </c>
      <c r="AV7" s="8">
        <f t="shared" ref="AV7" ca="1" si="31">AU7</f>
        <v>3.28125</v>
      </c>
      <c r="AW7" s="8">
        <f t="shared" ref="AW7" ca="1" si="32">AV7</f>
        <v>3.28125</v>
      </c>
      <c r="AX7" s="8">
        <f t="shared" ref="AX7" ca="1" si="33">AW7</f>
        <v>3.28125</v>
      </c>
      <c r="AY7" s="8">
        <f t="shared" ref="AY7" ca="1" si="34">AX7</f>
        <v>3.28125</v>
      </c>
      <c r="AZ7" s="8">
        <f t="shared" ref="AZ7" ca="1" si="35">AY7</f>
        <v>3.28125</v>
      </c>
      <c r="BA7" s="8">
        <f t="shared" ref="BA7" ca="1" si="36">AZ7</f>
        <v>3.28125</v>
      </c>
      <c r="BB7" s="8">
        <f t="shared" ref="BB7" ca="1" si="37">BA7</f>
        <v>3.28125</v>
      </c>
      <c r="BC7" s="431">
        <f t="shared" ref="BC7" ca="1" si="38">BB7</f>
        <v>3.28125</v>
      </c>
      <c r="BD7" s="8">
        <f t="shared" ref="BD7" ca="1" si="39">BC7</f>
        <v>3.28125</v>
      </c>
      <c r="BE7" s="8">
        <f t="shared" ref="BE7" ca="1" si="40">BD7</f>
        <v>3.28125</v>
      </c>
      <c r="BF7" s="8">
        <f t="shared" ref="BF7" ca="1" si="41">BE7</f>
        <v>3.28125</v>
      </c>
      <c r="BG7" s="8">
        <f t="shared" ref="BG7" ca="1" si="42">BF7</f>
        <v>3.28125</v>
      </c>
      <c r="BH7" s="8">
        <f t="shared" ref="BH7" ca="1" si="43">BG7</f>
        <v>3.28125</v>
      </c>
      <c r="BI7" s="8">
        <f t="shared" ref="BI7" ca="1" si="44">BH7</f>
        <v>3.28125</v>
      </c>
      <c r="BJ7" s="8">
        <f t="shared" ref="BJ7" ca="1" si="45">BI7</f>
        <v>3.28125</v>
      </c>
      <c r="BK7" s="8">
        <f t="shared" ref="BK7" ca="1" si="46">BJ7</f>
        <v>3.28125</v>
      </c>
      <c r="BL7" s="8">
        <f t="shared" ref="BL7" ca="1" si="47">BK7</f>
        <v>3.28125</v>
      </c>
      <c r="BM7" s="8">
        <f t="shared" ref="BM7" ca="1" si="48">BL7</f>
        <v>3.28125</v>
      </c>
      <c r="BN7" s="8">
        <f t="shared" ref="BN7" ca="1" si="49">BM7</f>
        <v>3.28125</v>
      </c>
      <c r="BO7" s="8">
        <f t="shared" ref="BO7" ca="1" si="50">BN7</f>
        <v>3.28125</v>
      </c>
      <c r="BP7" s="431">
        <f t="shared" ref="BP7" ca="1" si="51">BO7</f>
        <v>3.28125</v>
      </c>
      <c r="BQ7" s="8">
        <f t="shared" ref="BQ7" ca="1" si="52">BP7</f>
        <v>3.28125</v>
      </c>
      <c r="BR7" s="8">
        <f t="shared" ref="BR7" ca="1" si="53">BQ7</f>
        <v>3.28125</v>
      </c>
      <c r="BS7" s="8">
        <f t="shared" ref="BS7" ca="1" si="54">BR7</f>
        <v>3.28125</v>
      </c>
      <c r="BT7" s="8">
        <f t="shared" ref="BT7" ca="1" si="55">BS7</f>
        <v>3.28125</v>
      </c>
      <c r="BU7" s="8">
        <f t="shared" ref="BU7" ca="1" si="56">BT7</f>
        <v>3.28125</v>
      </c>
      <c r="BV7" s="8">
        <f t="shared" ref="BV7" ca="1" si="57">BU7</f>
        <v>3.28125</v>
      </c>
      <c r="BW7" s="8">
        <f t="shared" ref="BW7" ca="1" si="58">BV7</f>
        <v>3.28125</v>
      </c>
      <c r="BX7" s="8">
        <f t="shared" ref="BX7" ca="1" si="59">BW7</f>
        <v>3.28125</v>
      </c>
      <c r="BY7" s="8">
        <f t="shared" ref="BY7" ca="1" si="60">BX7</f>
        <v>3.28125</v>
      </c>
      <c r="BZ7" s="8">
        <f t="shared" ref="BZ7" ca="1" si="61">BY7</f>
        <v>3.28125</v>
      </c>
      <c r="CA7" s="8">
        <f t="shared" ref="CA7" ca="1" si="62">BZ7</f>
        <v>3.28125</v>
      </c>
      <c r="CB7" s="8">
        <f t="shared" ref="CB7" ca="1" si="63">CA7</f>
        <v>3.28125</v>
      </c>
      <c r="CC7" s="431">
        <f t="shared" ref="CC7" ca="1" si="64">CB7</f>
        <v>3.28125</v>
      </c>
      <c r="CD7" s="8">
        <f t="shared" ref="CD7" ca="1" si="65">CC7</f>
        <v>3.28125</v>
      </c>
      <c r="CE7" s="8">
        <f t="shared" ref="CE7" ca="1" si="66">CD7</f>
        <v>3.28125</v>
      </c>
      <c r="CF7" s="8">
        <f t="shared" ref="CF7" ca="1" si="67">CE7</f>
        <v>3.28125</v>
      </c>
      <c r="CG7" s="8">
        <f t="shared" ref="CG7" ca="1" si="68">CF7</f>
        <v>3.28125</v>
      </c>
      <c r="CH7" s="8">
        <f t="shared" ref="CH7" ca="1" si="69">CG7</f>
        <v>3.28125</v>
      </c>
      <c r="CI7" s="8">
        <f t="shared" ref="CI7" ca="1" si="70">CH7</f>
        <v>3.28125</v>
      </c>
      <c r="CJ7" s="8">
        <f t="shared" ref="CJ7" ca="1" si="71">CI7</f>
        <v>3.28125</v>
      </c>
      <c r="CK7" s="8">
        <f t="shared" ref="CK7" ca="1" si="72">CJ7</f>
        <v>3.28125</v>
      </c>
      <c r="CL7" s="8">
        <f t="shared" ref="CL7" ca="1" si="73">CK7</f>
        <v>3.28125</v>
      </c>
      <c r="CM7" s="8">
        <f t="shared" ref="CM7" ca="1" si="74">CL7</f>
        <v>3.28125</v>
      </c>
      <c r="CN7" s="8">
        <f t="shared" ref="CN7" ca="1" si="75">CM7</f>
        <v>3.28125</v>
      </c>
      <c r="CO7" s="8">
        <f t="shared" ref="CO7" ca="1" si="76">CN7</f>
        <v>3.28125</v>
      </c>
      <c r="CP7" s="431">
        <f t="shared" ref="CP7" ca="1" si="77">CO7</f>
        <v>3.28125</v>
      </c>
    </row>
    <row r="8" spans="1:94" ht="20.100000000000001" customHeight="1">
      <c r="A8" s="791"/>
      <c r="B8" s="248" t="s">
        <v>611</v>
      </c>
      <c r="C8" s="249">
        <f t="shared" ref="C8:O8" ca="1" si="78">C6*C7</f>
        <v>0</v>
      </c>
      <c r="D8" s="248">
        <f t="shared" ca="1" si="78"/>
        <v>471318.75</v>
      </c>
      <c r="E8" s="248">
        <f t="shared" ca="1" si="78"/>
        <v>471318.75</v>
      </c>
      <c r="F8" s="248">
        <f t="shared" ca="1" si="78"/>
        <v>471318.75</v>
      </c>
      <c r="G8" s="248">
        <f t="shared" ca="1" si="78"/>
        <v>471318.75</v>
      </c>
      <c r="H8" s="248">
        <f t="shared" ca="1" si="78"/>
        <v>471318.75</v>
      </c>
      <c r="I8" s="248">
        <f t="shared" ca="1" si="78"/>
        <v>471318.75</v>
      </c>
      <c r="J8" s="248">
        <f t="shared" ca="1" si="78"/>
        <v>471318.75</v>
      </c>
      <c r="K8" s="248">
        <f t="shared" ca="1" si="78"/>
        <v>471318.75</v>
      </c>
      <c r="L8" s="248">
        <f t="shared" ca="1" si="78"/>
        <v>471318.75</v>
      </c>
      <c r="M8" s="248">
        <f t="shared" ca="1" si="78"/>
        <v>471318.75</v>
      </c>
      <c r="N8" s="248">
        <f t="shared" ca="1" si="78"/>
        <v>471318.75</v>
      </c>
      <c r="O8" s="248">
        <f t="shared" ca="1" si="78"/>
        <v>471318.75</v>
      </c>
      <c r="P8" s="432">
        <f ca="1">SUM(D8:O8)</f>
        <v>5655825</v>
      </c>
      <c r="Q8" s="248">
        <f t="shared" ref="Q8:AB8" ca="1" si="79">Q6*Q7</f>
        <v>549557.66249999998</v>
      </c>
      <c r="R8" s="248">
        <f t="shared" ca="1" si="79"/>
        <v>549557.66249999998</v>
      </c>
      <c r="S8" s="248">
        <f t="shared" ca="1" si="79"/>
        <v>549557.66249999998</v>
      </c>
      <c r="T8" s="248">
        <f t="shared" ca="1" si="79"/>
        <v>549557.66249999998</v>
      </c>
      <c r="U8" s="248">
        <f t="shared" ca="1" si="79"/>
        <v>549557.66249999998</v>
      </c>
      <c r="V8" s="248">
        <f t="shared" ca="1" si="79"/>
        <v>549557.66249999998</v>
      </c>
      <c r="W8" s="248">
        <f t="shared" ca="1" si="79"/>
        <v>549557.66249999998</v>
      </c>
      <c r="X8" s="248">
        <f t="shared" ca="1" si="79"/>
        <v>549557.66249999998</v>
      </c>
      <c r="Y8" s="248">
        <f t="shared" ca="1" si="79"/>
        <v>549557.66249999998</v>
      </c>
      <c r="Z8" s="248">
        <f t="shared" ca="1" si="79"/>
        <v>549557.66249999998</v>
      </c>
      <c r="AA8" s="248">
        <f t="shared" ca="1" si="79"/>
        <v>549557.66249999998</v>
      </c>
      <c r="AB8" s="248">
        <f t="shared" ca="1" si="79"/>
        <v>549557.66249999998</v>
      </c>
      <c r="AC8" s="432">
        <f ca="1">SUM(Q8:AB8)</f>
        <v>6594691.9499999983</v>
      </c>
      <c r="AD8" s="248">
        <f t="shared" ref="AD8:AO8" ca="1" si="80">AD6*AD7</f>
        <v>635494.78125</v>
      </c>
      <c r="AE8" s="248">
        <f t="shared" ca="1" si="80"/>
        <v>635494.78125</v>
      </c>
      <c r="AF8" s="248">
        <f t="shared" ca="1" si="80"/>
        <v>635494.78125</v>
      </c>
      <c r="AG8" s="248">
        <f t="shared" ca="1" si="80"/>
        <v>635494.78125</v>
      </c>
      <c r="AH8" s="248">
        <f t="shared" ca="1" si="80"/>
        <v>635494.78125</v>
      </c>
      <c r="AI8" s="248">
        <f t="shared" ca="1" si="80"/>
        <v>635494.78125</v>
      </c>
      <c r="AJ8" s="248">
        <f t="shared" ca="1" si="80"/>
        <v>635494.78125</v>
      </c>
      <c r="AK8" s="248">
        <f t="shared" ca="1" si="80"/>
        <v>635494.78125</v>
      </c>
      <c r="AL8" s="248">
        <f t="shared" ca="1" si="80"/>
        <v>635494.78125</v>
      </c>
      <c r="AM8" s="248">
        <f t="shared" ca="1" si="80"/>
        <v>635494.78125</v>
      </c>
      <c r="AN8" s="248">
        <f t="shared" ca="1" si="80"/>
        <v>635494.78125</v>
      </c>
      <c r="AO8" s="248">
        <f t="shared" ca="1" si="80"/>
        <v>635494.78125</v>
      </c>
      <c r="AP8" s="432">
        <f ca="1">SUM(AD8:AO8)</f>
        <v>7625937.375</v>
      </c>
      <c r="AQ8" s="248">
        <f t="shared" ref="AQ8:BB8" ca="1" si="81">AQ6*AQ7</f>
        <v>729758.53124999988</v>
      </c>
      <c r="AR8" s="248">
        <f t="shared" ca="1" si="81"/>
        <v>729758.53124999988</v>
      </c>
      <c r="AS8" s="248">
        <f t="shared" ca="1" si="81"/>
        <v>729758.53124999988</v>
      </c>
      <c r="AT8" s="248">
        <f t="shared" ca="1" si="81"/>
        <v>729758.53124999988</v>
      </c>
      <c r="AU8" s="248">
        <f t="shared" ca="1" si="81"/>
        <v>729758.53124999988</v>
      </c>
      <c r="AV8" s="248">
        <f t="shared" ca="1" si="81"/>
        <v>729758.53124999988</v>
      </c>
      <c r="AW8" s="248">
        <f t="shared" ca="1" si="81"/>
        <v>729758.53124999988</v>
      </c>
      <c r="AX8" s="248">
        <f t="shared" ca="1" si="81"/>
        <v>729758.53124999988</v>
      </c>
      <c r="AY8" s="248">
        <f t="shared" ca="1" si="81"/>
        <v>729758.53124999988</v>
      </c>
      <c r="AZ8" s="248">
        <f t="shared" ca="1" si="81"/>
        <v>729758.53124999988</v>
      </c>
      <c r="BA8" s="248">
        <f t="shared" ca="1" si="81"/>
        <v>729758.53124999988</v>
      </c>
      <c r="BB8" s="248">
        <f t="shared" ca="1" si="81"/>
        <v>729758.53124999988</v>
      </c>
      <c r="BC8" s="432">
        <f ca="1">SUM(AQ8:BB8)</f>
        <v>8757102.3749999981</v>
      </c>
      <c r="BD8" s="248">
        <f t="shared" ref="BD8:BO8" ca="1" si="82">BD6*BD7</f>
        <v>833040.17999999982</v>
      </c>
      <c r="BE8" s="248">
        <f t="shared" ca="1" si="82"/>
        <v>833040.17999999982</v>
      </c>
      <c r="BF8" s="248">
        <f t="shared" ca="1" si="82"/>
        <v>833040.17999999982</v>
      </c>
      <c r="BG8" s="248">
        <f t="shared" ca="1" si="82"/>
        <v>833040.17999999982</v>
      </c>
      <c r="BH8" s="248">
        <f t="shared" ca="1" si="82"/>
        <v>833040.17999999982</v>
      </c>
      <c r="BI8" s="248">
        <f t="shared" ca="1" si="82"/>
        <v>833040.17999999982</v>
      </c>
      <c r="BJ8" s="248">
        <f t="shared" ca="1" si="82"/>
        <v>833040.17999999982</v>
      </c>
      <c r="BK8" s="248">
        <f t="shared" ca="1" si="82"/>
        <v>833040.17999999982</v>
      </c>
      <c r="BL8" s="248">
        <f t="shared" ca="1" si="82"/>
        <v>833040.17999999982</v>
      </c>
      <c r="BM8" s="248">
        <f t="shared" ca="1" si="82"/>
        <v>833040.17999999982</v>
      </c>
      <c r="BN8" s="248">
        <f t="shared" ca="1" si="82"/>
        <v>833040.17999999982</v>
      </c>
      <c r="BO8" s="248">
        <f t="shared" ca="1" si="82"/>
        <v>833040.17999999982</v>
      </c>
      <c r="BP8" s="432">
        <f ca="1">SUM(BD8:BO8)</f>
        <v>9996482.1599999983</v>
      </c>
      <c r="BQ8" s="248">
        <f t="shared" ref="BQ8:CB8" ca="1" si="83">BQ6*BQ7</f>
        <v>946093.83749999991</v>
      </c>
      <c r="BR8" s="248">
        <f t="shared" ca="1" si="83"/>
        <v>946093.83749999991</v>
      </c>
      <c r="BS8" s="248">
        <f t="shared" ca="1" si="83"/>
        <v>946093.83749999991</v>
      </c>
      <c r="BT8" s="248">
        <f t="shared" ca="1" si="83"/>
        <v>946093.83749999991</v>
      </c>
      <c r="BU8" s="248">
        <f t="shared" ca="1" si="83"/>
        <v>946093.83749999991</v>
      </c>
      <c r="BV8" s="248">
        <f t="shared" ca="1" si="83"/>
        <v>946093.83749999991</v>
      </c>
      <c r="BW8" s="248">
        <f t="shared" ca="1" si="83"/>
        <v>946093.83749999991</v>
      </c>
      <c r="BX8" s="248">
        <f t="shared" ca="1" si="83"/>
        <v>946093.83749999991</v>
      </c>
      <c r="BY8" s="248">
        <f t="shared" ca="1" si="83"/>
        <v>946093.83749999991</v>
      </c>
      <c r="BZ8" s="248">
        <f t="shared" ca="1" si="83"/>
        <v>946093.83749999991</v>
      </c>
      <c r="CA8" s="248">
        <f t="shared" ca="1" si="83"/>
        <v>946093.83749999991</v>
      </c>
      <c r="CB8" s="248">
        <f t="shared" ca="1" si="83"/>
        <v>946093.83749999991</v>
      </c>
      <c r="CC8" s="432">
        <f ca="1">SUM(BQ8:CB8)</f>
        <v>11353126.050000003</v>
      </c>
      <c r="CD8" s="248">
        <f t="shared" ref="CD8:CO8" ca="1" si="84">CD6*CD7</f>
        <v>1002872.0362499999</v>
      </c>
      <c r="CE8" s="248">
        <f t="shared" ca="1" si="84"/>
        <v>1002872.0362499999</v>
      </c>
      <c r="CF8" s="248">
        <f t="shared" ca="1" si="84"/>
        <v>1002872.0362499999</v>
      </c>
      <c r="CG8" s="248">
        <f t="shared" ca="1" si="84"/>
        <v>1002872.0362499999</v>
      </c>
      <c r="CH8" s="248">
        <f t="shared" ca="1" si="84"/>
        <v>1002872.0362499999</v>
      </c>
      <c r="CI8" s="248">
        <f t="shared" ca="1" si="84"/>
        <v>1002872.0362499999</v>
      </c>
      <c r="CJ8" s="248">
        <f t="shared" ca="1" si="84"/>
        <v>1002872.0362499999</v>
      </c>
      <c r="CK8" s="248">
        <f t="shared" ca="1" si="84"/>
        <v>1002872.0362499999</v>
      </c>
      <c r="CL8" s="248">
        <f t="shared" ca="1" si="84"/>
        <v>1002872.0362499999</v>
      </c>
      <c r="CM8" s="248">
        <f t="shared" ca="1" si="84"/>
        <v>1002872.0362499999</v>
      </c>
      <c r="CN8" s="248">
        <f t="shared" ca="1" si="84"/>
        <v>1002872.0362499999</v>
      </c>
      <c r="CO8" s="248">
        <f t="shared" ca="1" si="84"/>
        <v>1002872.0362499999</v>
      </c>
      <c r="CP8" s="432">
        <f ca="1">SUM(CD8:CO8)</f>
        <v>12034464.434999995</v>
      </c>
    </row>
    <row r="9" spans="1:94" ht="20.100000000000001" customHeight="1">
      <c r="A9" s="789" t="str">
        <f ca="1">OFFSET('Summary. Assumptions. Inputs'!$A$45,'Internmediate sheet'!A8/3,0)</f>
        <v>Thermal shaders</v>
      </c>
      <c r="B9" s="17" t="s">
        <v>609</v>
      </c>
      <c r="C9" s="18"/>
      <c r="D9" s="17">
        <f ca="1">OFFSET('Sales, Production, &amp; Other Assu'!D$18,'Internmediate sheet'!$A8/3,0)*Capacity</f>
        <v>54000</v>
      </c>
      <c r="E9" s="17">
        <f ca="1">OFFSET('Sales, Production, &amp; Other Assu'!E$18,'Internmediate sheet'!$A8/3,0)*Capacity</f>
        <v>54000</v>
      </c>
      <c r="F9" s="17">
        <f ca="1">OFFSET('Sales, Production, &amp; Other Assu'!F$18,'Internmediate sheet'!$A8/3,0)*Capacity</f>
        <v>54000</v>
      </c>
      <c r="G9" s="17">
        <f ca="1">OFFSET('Sales, Production, &amp; Other Assu'!G$18,'Internmediate sheet'!$A8/3,0)*Capacity</f>
        <v>54000</v>
      </c>
      <c r="H9" s="17">
        <f ca="1">OFFSET('Sales, Production, &amp; Other Assu'!H$18,'Internmediate sheet'!$A8/3,0)*Capacity</f>
        <v>54000</v>
      </c>
      <c r="I9" s="17">
        <f ca="1">OFFSET('Sales, Production, &amp; Other Assu'!I$18,'Internmediate sheet'!$A8/3,0)*Capacity</f>
        <v>54000</v>
      </c>
      <c r="J9" s="17">
        <f ca="1">OFFSET('Sales, Production, &amp; Other Assu'!J$18,'Internmediate sheet'!$A8/3,0)*Capacity</f>
        <v>54000</v>
      </c>
      <c r="K9" s="17">
        <f ca="1">OFFSET('Sales, Production, &amp; Other Assu'!K$18,'Internmediate sheet'!$A8/3,0)*Capacity</f>
        <v>54000</v>
      </c>
      <c r="L9" s="17">
        <f ca="1">OFFSET('Sales, Production, &amp; Other Assu'!L$18,'Internmediate sheet'!$A8/3,0)*Capacity</f>
        <v>54000</v>
      </c>
      <c r="M9" s="17">
        <f ca="1">OFFSET('Sales, Production, &amp; Other Assu'!M$18,'Internmediate sheet'!$A8/3,0)*Capacity</f>
        <v>54000</v>
      </c>
      <c r="N9" s="17">
        <f ca="1">OFFSET('Sales, Production, &amp; Other Assu'!N$18,'Internmediate sheet'!$A8/3,0)*Capacity</f>
        <v>54000</v>
      </c>
      <c r="O9" s="17">
        <f ca="1">OFFSET('Sales, Production, &amp; Other Assu'!O$18,'Internmediate sheet'!$A8/3,0)*Capacity</f>
        <v>54000</v>
      </c>
      <c r="P9" s="430">
        <f ca="1">SUM(D9:O9)</f>
        <v>648000</v>
      </c>
      <c r="Q9" s="17">
        <f ca="1">OFFSET('Sales, Production, &amp; Other Assu'!Q$18,'Internmediate sheet'!$A8/3,0)*Capacity</f>
        <v>62964</v>
      </c>
      <c r="R9" s="17">
        <f ca="1">OFFSET('Sales, Production, &amp; Other Assu'!R$18,'Internmediate sheet'!$A8/3,0)*Capacity</f>
        <v>62964</v>
      </c>
      <c r="S9" s="17">
        <f ca="1">OFFSET('Sales, Production, &amp; Other Assu'!S$18,'Internmediate sheet'!$A8/3,0)*Capacity</f>
        <v>62964</v>
      </c>
      <c r="T9" s="17">
        <f ca="1">OFFSET('Sales, Production, &amp; Other Assu'!T$18,'Internmediate sheet'!$A8/3,0)*Capacity</f>
        <v>62964</v>
      </c>
      <c r="U9" s="17">
        <f ca="1">OFFSET('Sales, Production, &amp; Other Assu'!U$18,'Internmediate sheet'!$A8/3,0)*Capacity</f>
        <v>62964</v>
      </c>
      <c r="V9" s="17">
        <f ca="1">OFFSET('Sales, Production, &amp; Other Assu'!V$18,'Internmediate sheet'!$A8/3,0)*Capacity</f>
        <v>62964</v>
      </c>
      <c r="W9" s="17">
        <f ca="1">OFFSET('Sales, Production, &amp; Other Assu'!W$18,'Internmediate sheet'!$A8/3,0)*Capacity</f>
        <v>62964</v>
      </c>
      <c r="X9" s="17">
        <f ca="1">OFFSET('Sales, Production, &amp; Other Assu'!X$18,'Internmediate sheet'!$A8/3,0)*Capacity</f>
        <v>62964</v>
      </c>
      <c r="Y9" s="17">
        <f ca="1">OFFSET('Sales, Production, &amp; Other Assu'!Y$18,'Internmediate sheet'!$A8/3,0)*Capacity</f>
        <v>62964</v>
      </c>
      <c r="Z9" s="17">
        <f ca="1">OFFSET('Sales, Production, &amp; Other Assu'!Z$18,'Internmediate sheet'!$A8/3,0)*Capacity</f>
        <v>62964</v>
      </c>
      <c r="AA9" s="17">
        <f ca="1">OFFSET('Sales, Production, &amp; Other Assu'!AA$18,'Internmediate sheet'!$A8/3,0)*Capacity</f>
        <v>62964</v>
      </c>
      <c r="AB9" s="17">
        <f ca="1">OFFSET('Sales, Production, &amp; Other Assu'!AB$18,'Internmediate sheet'!$A8/3,0)*Capacity</f>
        <v>62964</v>
      </c>
      <c r="AC9" s="430">
        <f ca="1">SUM(Q9:AB9)</f>
        <v>755568</v>
      </c>
      <c r="AD9" s="17">
        <f ca="1">OFFSET('Sales, Production, &amp; Other Assu'!AD$18,'Internmediate sheet'!$A8/3,0)*Capacity</f>
        <v>72810</v>
      </c>
      <c r="AE9" s="17">
        <f ca="1">OFFSET('Sales, Production, &amp; Other Assu'!AE$18,'Internmediate sheet'!$A8/3,0)*Capacity</f>
        <v>72810</v>
      </c>
      <c r="AF9" s="17">
        <f ca="1">OFFSET('Sales, Production, &amp; Other Assu'!AF$18,'Internmediate sheet'!$A8/3,0)*Capacity</f>
        <v>72810</v>
      </c>
      <c r="AG9" s="17">
        <f ca="1">OFFSET('Sales, Production, &amp; Other Assu'!AG$18,'Internmediate sheet'!$A8/3,0)*Capacity</f>
        <v>72810</v>
      </c>
      <c r="AH9" s="17">
        <f ca="1">OFFSET('Sales, Production, &amp; Other Assu'!AH$18,'Internmediate sheet'!$A8/3,0)*Capacity</f>
        <v>72810</v>
      </c>
      <c r="AI9" s="17">
        <f ca="1">OFFSET('Sales, Production, &amp; Other Assu'!AI$18,'Internmediate sheet'!$A8/3,0)*Capacity</f>
        <v>72810</v>
      </c>
      <c r="AJ9" s="17">
        <f ca="1">OFFSET('Sales, Production, &amp; Other Assu'!AJ$18,'Internmediate sheet'!$A8/3,0)*Capacity</f>
        <v>72810</v>
      </c>
      <c r="AK9" s="17">
        <f ca="1">OFFSET('Sales, Production, &amp; Other Assu'!AK$18,'Internmediate sheet'!$A8/3,0)*Capacity</f>
        <v>72810</v>
      </c>
      <c r="AL9" s="17">
        <f ca="1">OFFSET('Sales, Production, &amp; Other Assu'!AL$18,'Internmediate sheet'!$A8/3,0)*Capacity</f>
        <v>72810</v>
      </c>
      <c r="AM9" s="17">
        <f ca="1">OFFSET('Sales, Production, &amp; Other Assu'!AM$18,'Internmediate sheet'!$A8/3,0)*Capacity</f>
        <v>72810</v>
      </c>
      <c r="AN9" s="17">
        <f ca="1">OFFSET('Sales, Production, &amp; Other Assu'!AN$18,'Internmediate sheet'!$A8/3,0)*Capacity</f>
        <v>72810</v>
      </c>
      <c r="AO9" s="17">
        <f ca="1">OFFSET('Sales, Production, &amp; Other Assu'!AO$18,'Internmediate sheet'!$A8/3,0)*Capacity</f>
        <v>72810</v>
      </c>
      <c r="AP9" s="430">
        <f ca="1">SUM(AD9:AO9)</f>
        <v>873720</v>
      </c>
      <c r="AQ9" s="17">
        <f ca="1">OFFSET('Sales, Production, &amp; Other Assu'!AQ$18,'Internmediate sheet'!$A8/3,0)*Capacity</f>
        <v>83610</v>
      </c>
      <c r="AR9" s="17">
        <f ca="1">OFFSET('Sales, Production, &amp; Other Assu'!AR$18,'Internmediate sheet'!$A8/3,0)*Capacity</f>
        <v>83610</v>
      </c>
      <c r="AS9" s="17">
        <f ca="1">OFFSET('Sales, Production, &amp; Other Assu'!AS$18,'Internmediate sheet'!$A8/3,0)*Capacity</f>
        <v>83610</v>
      </c>
      <c r="AT9" s="17">
        <f ca="1">OFFSET('Sales, Production, &amp; Other Assu'!AT$18,'Internmediate sheet'!$A8/3,0)*Capacity</f>
        <v>83610</v>
      </c>
      <c r="AU9" s="17">
        <f ca="1">OFFSET('Sales, Production, &amp; Other Assu'!AU$18,'Internmediate sheet'!$A8/3,0)*Capacity</f>
        <v>83610</v>
      </c>
      <c r="AV9" s="17">
        <f ca="1">OFFSET('Sales, Production, &amp; Other Assu'!AV$18,'Internmediate sheet'!$A8/3,0)*Capacity</f>
        <v>83610</v>
      </c>
      <c r="AW9" s="17">
        <f ca="1">OFFSET('Sales, Production, &amp; Other Assu'!AW$18,'Internmediate sheet'!$A8/3,0)*Capacity</f>
        <v>83610</v>
      </c>
      <c r="AX9" s="17">
        <f ca="1">OFFSET('Sales, Production, &amp; Other Assu'!AX$18,'Internmediate sheet'!$A8/3,0)*Capacity</f>
        <v>83610</v>
      </c>
      <c r="AY9" s="17">
        <f ca="1">OFFSET('Sales, Production, &amp; Other Assu'!AY$18,'Internmediate sheet'!$A8/3,0)*Capacity</f>
        <v>83610</v>
      </c>
      <c r="AZ9" s="17">
        <f ca="1">OFFSET('Sales, Production, &amp; Other Assu'!AZ$18,'Internmediate sheet'!$A8/3,0)*Capacity</f>
        <v>83610</v>
      </c>
      <c r="BA9" s="17">
        <f ca="1">OFFSET('Sales, Production, &amp; Other Assu'!BA$18,'Internmediate sheet'!$A8/3,0)*Capacity</f>
        <v>83610</v>
      </c>
      <c r="BB9" s="17">
        <f ca="1">OFFSET('Sales, Production, &amp; Other Assu'!BB$18,'Internmediate sheet'!$A8/3,0)*Capacity</f>
        <v>83610</v>
      </c>
      <c r="BC9" s="430">
        <f ca="1">SUM(AQ9:BB9)</f>
        <v>1003320</v>
      </c>
      <c r="BD9" s="17">
        <f ca="1">OFFSET('Sales, Production, &amp; Other Assu'!BD$18,'Internmediate sheet'!$A8/3,0)*Capacity</f>
        <v>95443.199999999997</v>
      </c>
      <c r="BE9" s="17">
        <f ca="1">OFFSET('Sales, Production, &amp; Other Assu'!BE$18,'Internmediate sheet'!$A8/3,0)*Capacity</f>
        <v>95443.199999999997</v>
      </c>
      <c r="BF9" s="17">
        <f ca="1">OFFSET('Sales, Production, &amp; Other Assu'!BF$18,'Internmediate sheet'!$A8/3,0)*Capacity</f>
        <v>95443.199999999997</v>
      </c>
      <c r="BG9" s="17">
        <f ca="1">OFFSET('Sales, Production, &amp; Other Assu'!BG$18,'Internmediate sheet'!$A8/3,0)*Capacity</f>
        <v>95443.199999999997</v>
      </c>
      <c r="BH9" s="17">
        <f ca="1">OFFSET('Sales, Production, &amp; Other Assu'!BH$18,'Internmediate sheet'!$A8/3,0)*Capacity</f>
        <v>95443.199999999997</v>
      </c>
      <c r="BI9" s="17">
        <f ca="1">OFFSET('Sales, Production, &amp; Other Assu'!BI$18,'Internmediate sheet'!$A8/3,0)*Capacity</f>
        <v>95443.199999999997</v>
      </c>
      <c r="BJ9" s="17">
        <f ca="1">OFFSET('Sales, Production, &amp; Other Assu'!BJ$18,'Internmediate sheet'!$A8/3,0)*Capacity</f>
        <v>95443.199999999997</v>
      </c>
      <c r="BK9" s="17">
        <f ca="1">OFFSET('Sales, Production, &amp; Other Assu'!BK$18,'Internmediate sheet'!$A8/3,0)*Capacity</f>
        <v>95443.199999999997</v>
      </c>
      <c r="BL9" s="17">
        <f ca="1">OFFSET('Sales, Production, &amp; Other Assu'!BL$18,'Internmediate sheet'!$A8/3,0)*Capacity</f>
        <v>95443.199999999997</v>
      </c>
      <c r="BM9" s="17">
        <f ca="1">OFFSET('Sales, Production, &amp; Other Assu'!BM$18,'Internmediate sheet'!$A8/3,0)*Capacity</f>
        <v>95443.199999999997</v>
      </c>
      <c r="BN9" s="17">
        <f ca="1">OFFSET('Sales, Production, &amp; Other Assu'!BN$18,'Internmediate sheet'!$A8/3,0)*Capacity</f>
        <v>95443.199999999997</v>
      </c>
      <c r="BO9" s="17">
        <f ca="1">OFFSET('Sales, Production, &amp; Other Assu'!BO$18,'Internmediate sheet'!$A8/3,0)*Capacity</f>
        <v>95443.199999999997</v>
      </c>
      <c r="BP9" s="430">
        <f ca="1">SUM(BD9:BO9)</f>
        <v>1145318.3999999997</v>
      </c>
      <c r="BQ9" s="17">
        <f ca="1">OFFSET('Sales, Production, &amp; Other Assu'!BQ$18,'Internmediate sheet'!$A8/3,0)*Capacity</f>
        <v>108396</v>
      </c>
      <c r="BR9" s="17">
        <f ca="1">OFFSET('Sales, Production, &amp; Other Assu'!BR$18,'Internmediate sheet'!$A8/3,0)*Capacity</f>
        <v>108396</v>
      </c>
      <c r="BS9" s="17">
        <f ca="1">OFFSET('Sales, Production, &amp; Other Assu'!BS$18,'Internmediate sheet'!$A8/3,0)*Capacity</f>
        <v>108396</v>
      </c>
      <c r="BT9" s="17">
        <f ca="1">OFFSET('Sales, Production, &amp; Other Assu'!BT$18,'Internmediate sheet'!$A8/3,0)*Capacity</f>
        <v>108396</v>
      </c>
      <c r="BU9" s="17">
        <f ca="1">OFFSET('Sales, Production, &amp; Other Assu'!BU$18,'Internmediate sheet'!$A8/3,0)*Capacity</f>
        <v>108396</v>
      </c>
      <c r="BV9" s="17">
        <f ca="1">OFFSET('Sales, Production, &amp; Other Assu'!BV$18,'Internmediate sheet'!$A8/3,0)*Capacity</f>
        <v>108396</v>
      </c>
      <c r="BW9" s="17">
        <f ca="1">OFFSET('Sales, Production, &amp; Other Assu'!BW$18,'Internmediate sheet'!$A8/3,0)*Capacity</f>
        <v>108396</v>
      </c>
      <c r="BX9" s="17">
        <f ca="1">OFFSET('Sales, Production, &amp; Other Assu'!BX$18,'Internmediate sheet'!$A8/3,0)*Capacity</f>
        <v>108396</v>
      </c>
      <c r="BY9" s="17">
        <f ca="1">OFFSET('Sales, Production, &amp; Other Assu'!BY$18,'Internmediate sheet'!$A8/3,0)*Capacity</f>
        <v>108396</v>
      </c>
      <c r="BZ9" s="17">
        <f ca="1">OFFSET('Sales, Production, &amp; Other Assu'!BZ$18,'Internmediate sheet'!$A8/3,0)*Capacity</f>
        <v>108396</v>
      </c>
      <c r="CA9" s="17">
        <f ca="1">OFFSET('Sales, Production, &amp; Other Assu'!CA$18,'Internmediate sheet'!$A8/3,0)*Capacity</f>
        <v>108396</v>
      </c>
      <c r="CB9" s="17">
        <f ca="1">OFFSET('Sales, Production, &amp; Other Assu'!CB$18,'Internmediate sheet'!$A8/3,0)*Capacity</f>
        <v>108396</v>
      </c>
      <c r="CC9" s="430">
        <f ca="1">SUM(BQ9:CB9)</f>
        <v>1300752</v>
      </c>
      <c r="CD9" s="17">
        <f ca="1">OFFSET('Sales, Production, &amp; Other Assu'!CD$18,'Internmediate sheet'!$A8/3,0)*Capacity</f>
        <v>114901.2</v>
      </c>
      <c r="CE9" s="17">
        <f ca="1">OFFSET('Sales, Production, &amp; Other Assu'!CE$18,'Internmediate sheet'!$A8/3,0)*Capacity</f>
        <v>114901.2</v>
      </c>
      <c r="CF9" s="17">
        <f ca="1">OFFSET('Sales, Production, &amp; Other Assu'!CF$18,'Internmediate sheet'!$A8/3,0)*Capacity</f>
        <v>114901.2</v>
      </c>
      <c r="CG9" s="17">
        <f ca="1">OFFSET('Sales, Production, &amp; Other Assu'!CG$18,'Internmediate sheet'!$A8/3,0)*Capacity</f>
        <v>114901.2</v>
      </c>
      <c r="CH9" s="17">
        <f ca="1">OFFSET('Sales, Production, &amp; Other Assu'!CH$18,'Internmediate sheet'!$A8/3,0)*Capacity</f>
        <v>114901.2</v>
      </c>
      <c r="CI9" s="17">
        <f ca="1">OFFSET('Sales, Production, &amp; Other Assu'!CI$18,'Internmediate sheet'!$A8/3,0)*Capacity</f>
        <v>114901.2</v>
      </c>
      <c r="CJ9" s="17">
        <f ca="1">OFFSET('Sales, Production, &amp; Other Assu'!CJ$18,'Internmediate sheet'!$A8/3,0)*Capacity</f>
        <v>114901.2</v>
      </c>
      <c r="CK9" s="17">
        <f ca="1">OFFSET('Sales, Production, &amp; Other Assu'!CK$18,'Internmediate sheet'!$A8/3,0)*Capacity</f>
        <v>114901.2</v>
      </c>
      <c r="CL9" s="17">
        <f ca="1">OFFSET('Sales, Production, &amp; Other Assu'!CL$18,'Internmediate sheet'!$A8/3,0)*Capacity</f>
        <v>114901.2</v>
      </c>
      <c r="CM9" s="17">
        <f ca="1">OFFSET('Sales, Production, &amp; Other Assu'!CM$18,'Internmediate sheet'!$A8/3,0)*Capacity</f>
        <v>114901.2</v>
      </c>
      <c r="CN9" s="17">
        <f ca="1">OFFSET('Sales, Production, &amp; Other Assu'!CN$18,'Internmediate sheet'!$A8/3,0)*Capacity</f>
        <v>114901.2</v>
      </c>
      <c r="CO9" s="17">
        <f ca="1">OFFSET('Sales, Production, &amp; Other Assu'!CO$18,'Internmediate sheet'!$A8/3,0)*Capacity</f>
        <v>114901.2</v>
      </c>
      <c r="CP9" s="430">
        <f ca="1">SUM(CD9:CO9)</f>
        <v>1378814.3999999997</v>
      </c>
    </row>
    <row r="10" spans="1:94" ht="20.100000000000001" customHeight="1">
      <c r="A10" s="790"/>
      <c r="B10" s="8" t="s">
        <v>610</v>
      </c>
      <c r="C10" s="8">
        <f ca="1">OFFSET('Summary. Assumptions. Inputs'!$F$46,'Internmediate sheet'!A5/3,0)</f>
        <v>3.28125</v>
      </c>
      <c r="D10" s="8">
        <f t="shared" ref="D10:P10" ca="1" si="85">C10</f>
        <v>3.28125</v>
      </c>
      <c r="E10" s="8">
        <f t="shared" ca="1" si="85"/>
        <v>3.28125</v>
      </c>
      <c r="F10" s="8">
        <f t="shared" ca="1" si="85"/>
        <v>3.28125</v>
      </c>
      <c r="G10" s="8">
        <f t="shared" ca="1" si="85"/>
        <v>3.28125</v>
      </c>
      <c r="H10" s="8">
        <f t="shared" ca="1" si="85"/>
        <v>3.28125</v>
      </c>
      <c r="I10" s="8">
        <f t="shared" ca="1" si="85"/>
        <v>3.28125</v>
      </c>
      <c r="J10" s="8">
        <f t="shared" ca="1" si="85"/>
        <v>3.28125</v>
      </c>
      <c r="K10" s="8">
        <f t="shared" ca="1" si="85"/>
        <v>3.28125</v>
      </c>
      <c r="L10" s="8">
        <f t="shared" ca="1" si="85"/>
        <v>3.28125</v>
      </c>
      <c r="M10" s="8">
        <f t="shared" ca="1" si="85"/>
        <v>3.28125</v>
      </c>
      <c r="N10" s="8">
        <f t="shared" ca="1" si="85"/>
        <v>3.28125</v>
      </c>
      <c r="O10" s="8">
        <f t="shared" ca="1" si="85"/>
        <v>3.28125</v>
      </c>
      <c r="P10" s="431">
        <f t="shared" ca="1" si="85"/>
        <v>3.28125</v>
      </c>
      <c r="Q10" s="8">
        <f t="shared" ref="Q10" ca="1" si="86">P10</f>
        <v>3.28125</v>
      </c>
      <c r="R10" s="8">
        <f t="shared" ref="R10" ca="1" si="87">Q10</f>
        <v>3.28125</v>
      </c>
      <c r="S10" s="8">
        <f t="shared" ref="S10" ca="1" si="88">R10</f>
        <v>3.28125</v>
      </c>
      <c r="T10" s="8">
        <f t="shared" ref="T10" ca="1" si="89">S10</f>
        <v>3.28125</v>
      </c>
      <c r="U10" s="8">
        <f t="shared" ref="U10" ca="1" si="90">T10</f>
        <v>3.28125</v>
      </c>
      <c r="V10" s="8">
        <f t="shared" ref="V10" ca="1" si="91">U10</f>
        <v>3.28125</v>
      </c>
      <c r="W10" s="8">
        <f t="shared" ref="W10" ca="1" si="92">V10</f>
        <v>3.28125</v>
      </c>
      <c r="X10" s="8">
        <f t="shared" ref="X10" ca="1" si="93">W10</f>
        <v>3.28125</v>
      </c>
      <c r="Y10" s="8">
        <f t="shared" ref="Y10" ca="1" si="94">X10</f>
        <v>3.28125</v>
      </c>
      <c r="Z10" s="8">
        <f t="shared" ref="Z10" ca="1" si="95">Y10</f>
        <v>3.28125</v>
      </c>
      <c r="AA10" s="8">
        <f t="shared" ref="AA10" ca="1" si="96">Z10</f>
        <v>3.28125</v>
      </c>
      <c r="AB10" s="8">
        <f t="shared" ref="AB10" ca="1" si="97">AA10</f>
        <v>3.28125</v>
      </c>
      <c r="AC10" s="431">
        <f t="shared" ref="AC10" ca="1" si="98">AB10</f>
        <v>3.28125</v>
      </c>
      <c r="AD10" s="8">
        <f t="shared" ref="AD10" ca="1" si="99">AC10</f>
        <v>3.28125</v>
      </c>
      <c r="AE10" s="8">
        <f t="shared" ref="AE10" ca="1" si="100">AD10</f>
        <v>3.28125</v>
      </c>
      <c r="AF10" s="8">
        <f t="shared" ref="AF10" ca="1" si="101">AE10</f>
        <v>3.28125</v>
      </c>
      <c r="AG10" s="8">
        <f t="shared" ref="AG10" ca="1" si="102">AF10</f>
        <v>3.28125</v>
      </c>
      <c r="AH10" s="8">
        <f t="shared" ref="AH10" ca="1" si="103">AG10</f>
        <v>3.28125</v>
      </c>
      <c r="AI10" s="8">
        <f t="shared" ref="AI10" ca="1" si="104">AH10</f>
        <v>3.28125</v>
      </c>
      <c r="AJ10" s="8">
        <f t="shared" ref="AJ10" ca="1" si="105">AI10</f>
        <v>3.28125</v>
      </c>
      <c r="AK10" s="8">
        <f t="shared" ref="AK10" ca="1" si="106">AJ10</f>
        <v>3.28125</v>
      </c>
      <c r="AL10" s="8">
        <f t="shared" ref="AL10" ca="1" si="107">AK10</f>
        <v>3.28125</v>
      </c>
      <c r="AM10" s="8">
        <f t="shared" ref="AM10" ca="1" si="108">AL10</f>
        <v>3.28125</v>
      </c>
      <c r="AN10" s="8">
        <f t="shared" ref="AN10" ca="1" si="109">AM10</f>
        <v>3.28125</v>
      </c>
      <c r="AO10" s="8">
        <f t="shared" ref="AO10" ca="1" si="110">AN10</f>
        <v>3.28125</v>
      </c>
      <c r="AP10" s="431">
        <f t="shared" ref="AP10" ca="1" si="111">AO10</f>
        <v>3.28125</v>
      </c>
      <c r="AQ10" s="8">
        <f ca="1">AP10</f>
        <v>3.28125</v>
      </c>
      <c r="AR10" s="8">
        <f t="shared" ref="AR10" ca="1" si="112">AQ10</f>
        <v>3.28125</v>
      </c>
      <c r="AS10" s="8">
        <f t="shared" ref="AS10" ca="1" si="113">AR10</f>
        <v>3.28125</v>
      </c>
      <c r="AT10" s="8">
        <f t="shared" ref="AT10" ca="1" si="114">AS10</f>
        <v>3.28125</v>
      </c>
      <c r="AU10" s="8">
        <f t="shared" ref="AU10" ca="1" si="115">AT10</f>
        <v>3.28125</v>
      </c>
      <c r="AV10" s="8">
        <f t="shared" ref="AV10" ca="1" si="116">AU10</f>
        <v>3.28125</v>
      </c>
      <c r="AW10" s="8">
        <f t="shared" ref="AW10" ca="1" si="117">AV10</f>
        <v>3.28125</v>
      </c>
      <c r="AX10" s="8">
        <f t="shared" ref="AX10" ca="1" si="118">AW10</f>
        <v>3.28125</v>
      </c>
      <c r="AY10" s="8">
        <f t="shared" ref="AY10" ca="1" si="119">AX10</f>
        <v>3.28125</v>
      </c>
      <c r="AZ10" s="8">
        <f t="shared" ref="AZ10" ca="1" si="120">AY10</f>
        <v>3.28125</v>
      </c>
      <c r="BA10" s="8">
        <f t="shared" ref="BA10" ca="1" si="121">AZ10</f>
        <v>3.28125</v>
      </c>
      <c r="BB10" s="8">
        <f t="shared" ref="BB10" ca="1" si="122">BA10</f>
        <v>3.28125</v>
      </c>
      <c r="BC10" s="431">
        <f t="shared" ref="BC10" ca="1" si="123">BB10</f>
        <v>3.28125</v>
      </c>
      <c r="BD10" s="8">
        <f t="shared" ref="BD10" ca="1" si="124">BC10</f>
        <v>3.28125</v>
      </c>
      <c r="BE10" s="8">
        <f t="shared" ref="BE10" ca="1" si="125">BD10</f>
        <v>3.28125</v>
      </c>
      <c r="BF10" s="8">
        <f t="shared" ref="BF10" ca="1" si="126">BE10</f>
        <v>3.28125</v>
      </c>
      <c r="BG10" s="8">
        <f t="shared" ref="BG10" ca="1" si="127">BF10</f>
        <v>3.28125</v>
      </c>
      <c r="BH10" s="8">
        <f t="shared" ref="BH10" ca="1" si="128">BG10</f>
        <v>3.28125</v>
      </c>
      <c r="BI10" s="8">
        <f t="shared" ref="BI10" ca="1" si="129">BH10</f>
        <v>3.28125</v>
      </c>
      <c r="BJ10" s="8">
        <f t="shared" ref="BJ10" ca="1" si="130">BI10</f>
        <v>3.28125</v>
      </c>
      <c r="BK10" s="8">
        <f t="shared" ref="BK10" ca="1" si="131">BJ10</f>
        <v>3.28125</v>
      </c>
      <c r="BL10" s="8">
        <f t="shared" ref="BL10" ca="1" si="132">BK10</f>
        <v>3.28125</v>
      </c>
      <c r="BM10" s="8">
        <f t="shared" ref="BM10" ca="1" si="133">BL10</f>
        <v>3.28125</v>
      </c>
      <c r="BN10" s="8">
        <f t="shared" ref="BN10" ca="1" si="134">BM10</f>
        <v>3.28125</v>
      </c>
      <c r="BO10" s="8">
        <f t="shared" ref="BO10" ca="1" si="135">BN10</f>
        <v>3.28125</v>
      </c>
      <c r="BP10" s="431">
        <f t="shared" ref="BP10" ca="1" si="136">BO10</f>
        <v>3.28125</v>
      </c>
      <c r="BQ10" s="8">
        <f t="shared" ref="BQ10" ca="1" si="137">BP10</f>
        <v>3.28125</v>
      </c>
      <c r="BR10" s="8">
        <f t="shared" ref="BR10" ca="1" si="138">BQ10</f>
        <v>3.28125</v>
      </c>
      <c r="BS10" s="8">
        <f t="shared" ref="BS10" ca="1" si="139">BR10</f>
        <v>3.28125</v>
      </c>
      <c r="BT10" s="8">
        <f t="shared" ref="BT10" ca="1" si="140">BS10</f>
        <v>3.28125</v>
      </c>
      <c r="BU10" s="8">
        <f t="shared" ref="BU10" ca="1" si="141">BT10</f>
        <v>3.28125</v>
      </c>
      <c r="BV10" s="8">
        <f t="shared" ref="BV10" ca="1" si="142">BU10</f>
        <v>3.28125</v>
      </c>
      <c r="BW10" s="8">
        <f t="shared" ref="BW10" ca="1" si="143">BV10</f>
        <v>3.28125</v>
      </c>
      <c r="BX10" s="8">
        <f t="shared" ref="BX10" ca="1" si="144">BW10</f>
        <v>3.28125</v>
      </c>
      <c r="BY10" s="8">
        <f t="shared" ref="BY10" ca="1" si="145">BX10</f>
        <v>3.28125</v>
      </c>
      <c r="BZ10" s="8">
        <f t="shared" ref="BZ10" ca="1" si="146">BY10</f>
        <v>3.28125</v>
      </c>
      <c r="CA10" s="8">
        <f t="shared" ref="CA10" ca="1" si="147">BZ10</f>
        <v>3.28125</v>
      </c>
      <c r="CB10" s="8">
        <f t="shared" ref="CB10" ca="1" si="148">CA10</f>
        <v>3.28125</v>
      </c>
      <c r="CC10" s="431">
        <f t="shared" ref="CC10" ca="1" si="149">CB10</f>
        <v>3.28125</v>
      </c>
      <c r="CD10" s="8">
        <f t="shared" ref="CD10" ca="1" si="150">CC10</f>
        <v>3.28125</v>
      </c>
      <c r="CE10" s="8">
        <f t="shared" ref="CE10" ca="1" si="151">CD10</f>
        <v>3.28125</v>
      </c>
      <c r="CF10" s="8">
        <f t="shared" ref="CF10" ca="1" si="152">CE10</f>
        <v>3.28125</v>
      </c>
      <c r="CG10" s="8">
        <f t="shared" ref="CG10" ca="1" si="153">CF10</f>
        <v>3.28125</v>
      </c>
      <c r="CH10" s="8">
        <f t="shared" ref="CH10" ca="1" si="154">CG10</f>
        <v>3.28125</v>
      </c>
      <c r="CI10" s="8">
        <f t="shared" ref="CI10" ca="1" si="155">CH10</f>
        <v>3.28125</v>
      </c>
      <c r="CJ10" s="8">
        <f t="shared" ref="CJ10" ca="1" si="156">CI10</f>
        <v>3.28125</v>
      </c>
      <c r="CK10" s="8">
        <f t="shared" ref="CK10" ca="1" si="157">CJ10</f>
        <v>3.28125</v>
      </c>
      <c r="CL10" s="8">
        <f t="shared" ref="CL10" ca="1" si="158">CK10</f>
        <v>3.28125</v>
      </c>
      <c r="CM10" s="8">
        <f t="shared" ref="CM10" ca="1" si="159">CL10</f>
        <v>3.28125</v>
      </c>
      <c r="CN10" s="8">
        <f t="shared" ref="CN10" ca="1" si="160">CM10</f>
        <v>3.28125</v>
      </c>
      <c r="CO10" s="8">
        <f t="shared" ref="CO10" ca="1" si="161">CN10</f>
        <v>3.28125</v>
      </c>
      <c r="CP10" s="431">
        <f t="shared" ref="CP10" ca="1" si="162">CO10</f>
        <v>3.28125</v>
      </c>
    </row>
    <row r="11" spans="1:94" ht="20.100000000000001" customHeight="1">
      <c r="A11" s="791"/>
      <c r="B11" s="248" t="s">
        <v>611</v>
      </c>
      <c r="C11" s="249">
        <f t="shared" ref="C11:O11" ca="1" si="163">C9*C10</f>
        <v>0</v>
      </c>
      <c r="D11" s="248">
        <f t="shared" ca="1" si="163"/>
        <v>177187.5</v>
      </c>
      <c r="E11" s="248">
        <f t="shared" ca="1" si="163"/>
        <v>177187.5</v>
      </c>
      <c r="F11" s="248">
        <f t="shared" ca="1" si="163"/>
        <v>177187.5</v>
      </c>
      <c r="G11" s="248">
        <f t="shared" ca="1" si="163"/>
        <v>177187.5</v>
      </c>
      <c r="H11" s="248">
        <f t="shared" ca="1" si="163"/>
        <v>177187.5</v>
      </c>
      <c r="I11" s="248">
        <f t="shared" ca="1" si="163"/>
        <v>177187.5</v>
      </c>
      <c r="J11" s="248">
        <f t="shared" ca="1" si="163"/>
        <v>177187.5</v>
      </c>
      <c r="K11" s="248">
        <f t="shared" ca="1" si="163"/>
        <v>177187.5</v>
      </c>
      <c r="L11" s="248">
        <f t="shared" ca="1" si="163"/>
        <v>177187.5</v>
      </c>
      <c r="M11" s="248">
        <f t="shared" ca="1" si="163"/>
        <v>177187.5</v>
      </c>
      <c r="N11" s="248">
        <f t="shared" ca="1" si="163"/>
        <v>177187.5</v>
      </c>
      <c r="O11" s="248">
        <f t="shared" ca="1" si="163"/>
        <v>177187.5</v>
      </c>
      <c r="P11" s="432">
        <f ca="1">SUM(D11:O11)</f>
        <v>2126250</v>
      </c>
      <c r="Q11" s="248">
        <f t="shared" ref="Q11:AB11" ca="1" si="164">Q9*Q10</f>
        <v>206600.625</v>
      </c>
      <c r="R11" s="248">
        <f t="shared" ca="1" si="164"/>
        <v>206600.625</v>
      </c>
      <c r="S11" s="248">
        <f t="shared" ca="1" si="164"/>
        <v>206600.625</v>
      </c>
      <c r="T11" s="248">
        <f t="shared" ca="1" si="164"/>
        <v>206600.625</v>
      </c>
      <c r="U11" s="248">
        <f t="shared" ca="1" si="164"/>
        <v>206600.625</v>
      </c>
      <c r="V11" s="248">
        <f t="shared" ca="1" si="164"/>
        <v>206600.625</v>
      </c>
      <c r="W11" s="248">
        <f t="shared" ca="1" si="164"/>
        <v>206600.625</v>
      </c>
      <c r="X11" s="248">
        <f t="shared" ca="1" si="164"/>
        <v>206600.625</v>
      </c>
      <c r="Y11" s="248">
        <f t="shared" ca="1" si="164"/>
        <v>206600.625</v>
      </c>
      <c r="Z11" s="248">
        <f t="shared" ca="1" si="164"/>
        <v>206600.625</v>
      </c>
      <c r="AA11" s="248">
        <f t="shared" ca="1" si="164"/>
        <v>206600.625</v>
      </c>
      <c r="AB11" s="248">
        <f t="shared" ca="1" si="164"/>
        <v>206600.625</v>
      </c>
      <c r="AC11" s="432">
        <f ca="1">SUM(Q11:AB11)</f>
        <v>2479207.5</v>
      </c>
      <c r="AD11" s="248">
        <f t="shared" ref="AD11:AO11" ca="1" si="165">AD9*AD10</f>
        <v>238907.8125</v>
      </c>
      <c r="AE11" s="248">
        <f t="shared" ca="1" si="165"/>
        <v>238907.8125</v>
      </c>
      <c r="AF11" s="248">
        <f t="shared" ca="1" si="165"/>
        <v>238907.8125</v>
      </c>
      <c r="AG11" s="248">
        <f t="shared" ca="1" si="165"/>
        <v>238907.8125</v>
      </c>
      <c r="AH11" s="248">
        <f t="shared" ca="1" si="165"/>
        <v>238907.8125</v>
      </c>
      <c r="AI11" s="248">
        <f t="shared" ca="1" si="165"/>
        <v>238907.8125</v>
      </c>
      <c r="AJ11" s="248">
        <f t="shared" ca="1" si="165"/>
        <v>238907.8125</v>
      </c>
      <c r="AK11" s="248">
        <f t="shared" ca="1" si="165"/>
        <v>238907.8125</v>
      </c>
      <c r="AL11" s="248">
        <f t="shared" ca="1" si="165"/>
        <v>238907.8125</v>
      </c>
      <c r="AM11" s="248">
        <f t="shared" ca="1" si="165"/>
        <v>238907.8125</v>
      </c>
      <c r="AN11" s="248">
        <f t="shared" ca="1" si="165"/>
        <v>238907.8125</v>
      </c>
      <c r="AO11" s="248">
        <f t="shared" ca="1" si="165"/>
        <v>238907.8125</v>
      </c>
      <c r="AP11" s="432">
        <f ca="1">SUM(AD11:AO11)</f>
        <v>2866893.75</v>
      </c>
      <c r="AQ11" s="248">
        <f t="shared" ref="AQ11:BB11" ca="1" si="166">AQ9*AQ10</f>
        <v>274345.3125</v>
      </c>
      <c r="AR11" s="248">
        <f t="shared" ca="1" si="166"/>
        <v>274345.3125</v>
      </c>
      <c r="AS11" s="248">
        <f t="shared" ca="1" si="166"/>
        <v>274345.3125</v>
      </c>
      <c r="AT11" s="248">
        <f t="shared" ca="1" si="166"/>
        <v>274345.3125</v>
      </c>
      <c r="AU11" s="248">
        <f t="shared" ca="1" si="166"/>
        <v>274345.3125</v>
      </c>
      <c r="AV11" s="248">
        <f t="shared" ca="1" si="166"/>
        <v>274345.3125</v>
      </c>
      <c r="AW11" s="248">
        <f t="shared" ca="1" si="166"/>
        <v>274345.3125</v>
      </c>
      <c r="AX11" s="248">
        <f t="shared" ca="1" si="166"/>
        <v>274345.3125</v>
      </c>
      <c r="AY11" s="248">
        <f t="shared" ca="1" si="166"/>
        <v>274345.3125</v>
      </c>
      <c r="AZ11" s="248">
        <f t="shared" ca="1" si="166"/>
        <v>274345.3125</v>
      </c>
      <c r="BA11" s="248">
        <f t="shared" ca="1" si="166"/>
        <v>274345.3125</v>
      </c>
      <c r="BB11" s="248">
        <f t="shared" ca="1" si="166"/>
        <v>274345.3125</v>
      </c>
      <c r="BC11" s="432">
        <f ca="1">SUM(AQ11:BB11)</f>
        <v>3292143.75</v>
      </c>
      <c r="BD11" s="248">
        <f t="shared" ref="BD11:BO11" ca="1" si="167">BD9*BD10</f>
        <v>313173</v>
      </c>
      <c r="BE11" s="248">
        <f t="shared" ca="1" si="167"/>
        <v>313173</v>
      </c>
      <c r="BF11" s="248">
        <f t="shared" ca="1" si="167"/>
        <v>313173</v>
      </c>
      <c r="BG11" s="248">
        <f t="shared" ca="1" si="167"/>
        <v>313173</v>
      </c>
      <c r="BH11" s="248">
        <f t="shared" ca="1" si="167"/>
        <v>313173</v>
      </c>
      <c r="BI11" s="248">
        <f t="shared" ca="1" si="167"/>
        <v>313173</v>
      </c>
      <c r="BJ11" s="248">
        <f t="shared" ca="1" si="167"/>
        <v>313173</v>
      </c>
      <c r="BK11" s="248">
        <f t="shared" ca="1" si="167"/>
        <v>313173</v>
      </c>
      <c r="BL11" s="248">
        <f t="shared" ca="1" si="167"/>
        <v>313173</v>
      </c>
      <c r="BM11" s="248">
        <f t="shared" ca="1" si="167"/>
        <v>313173</v>
      </c>
      <c r="BN11" s="248">
        <f t="shared" ca="1" si="167"/>
        <v>313173</v>
      </c>
      <c r="BO11" s="248">
        <f t="shared" ca="1" si="167"/>
        <v>313173</v>
      </c>
      <c r="BP11" s="432">
        <f ca="1">SUM(BD11:BO11)</f>
        <v>3758076</v>
      </c>
      <c r="BQ11" s="248">
        <f t="shared" ref="BQ11:CB11" ca="1" si="168">BQ9*BQ10</f>
        <v>355674.375</v>
      </c>
      <c r="BR11" s="248">
        <f t="shared" ca="1" si="168"/>
        <v>355674.375</v>
      </c>
      <c r="BS11" s="248">
        <f t="shared" ca="1" si="168"/>
        <v>355674.375</v>
      </c>
      <c r="BT11" s="248">
        <f t="shared" ca="1" si="168"/>
        <v>355674.375</v>
      </c>
      <c r="BU11" s="248">
        <f t="shared" ca="1" si="168"/>
        <v>355674.375</v>
      </c>
      <c r="BV11" s="248">
        <f t="shared" ca="1" si="168"/>
        <v>355674.375</v>
      </c>
      <c r="BW11" s="248">
        <f t="shared" ca="1" si="168"/>
        <v>355674.375</v>
      </c>
      <c r="BX11" s="248">
        <f t="shared" ca="1" si="168"/>
        <v>355674.375</v>
      </c>
      <c r="BY11" s="248">
        <f t="shared" ca="1" si="168"/>
        <v>355674.375</v>
      </c>
      <c r="BZ11" s="248">
        <f t="shared" ca="1" si="168"/>
        <v>355674.375</v>
      </c>
      <c r="CA11" s="248">
        <f t="shared" ca="1" si="168"/>
        <v>355674.375</v>
      </c>
      <c r="CB11" s="248">
        <f t="shared" ca="1" si="168"/>
        <v>355674.375</v>
      </c>
      <c r="CC11" s="432">
        <f ca="1">SUM(BQ11:CB11)</f>
        <v>4268092.5</v>
      </c>
      <c r="CD11" s="248">
        <f t="shared" ref="CD11:CO11" ca="1" si="169">CD9*CD10</f>
        <v>377019.5625</v>
      </c>
      <c r="CE11" s="248">
        <f t="shared" ca="1" si="169"/>
        <v>377019.5625</v>
      </c>
      <c r="CF11" s="248">
        <f t="shared" ca="1" si="169"/>
        <v>377019.5625</v>
      </c>
      <c r="CG11" s="248">
        <f t="shared" ca="1" si="169"/>
        <v>377019.5625</v>
      </c>
      <c r="CH11" s="248">
        <f t="shared" ca="1" si="169"/>
        <v>377019.5625</v>
      </c>
      <c r="CI11" s="248">
        <f t="shared" ca="1" si="169"/>
        <v>377019.5625</v>
      </c>
      <c r="CJ11" s="248">
        <f t="shared" ca="1" si="169"/>
        <v>377019.5625</v>
      </c>
      <c r="CK11" s="248">
        <f t="shared" ca="1" si="169"/>
        <v>377019.5625</v>
      </c>
      <c r="CL11" s="248">
        <f t="shared" ca="1" si="169"/>
        <v>377019.5625</v>
      </c>
      <c r="CM11" s="248">
        <f t="shared" ca="1" si="169"/>
        <v>377019.5625</v>
      </c>
      <c r="CN11" s="248">
        <f t="shared" ca="1" si="169"/>
        <v>377019.5625</v>
      </c>
      <c r="CO11" s="248">
        <f t="shared" ca="1" si="169"/>
        <v>377019.5625</v>
      </c>
      <c r="CP11" s="432">
        <f ca="1">SUM(CD11:CO11)</f>
        <v>4524234.75</v>
      </c>
    </row>
    <row r="12" spans="1:94" ht="20.100000000000001" customHeight="1">
      <c r="A12" s="789" t="str">
        <f ca="1">OFFSET('Summary. Assumptions. Inputs'!$A$45,'Internmediate sheet'!A11/3,0)</f>
        <v>Recycled plastic</v>
      </c>
      <c r="B12" s="17" t="s">
        <v>609</v>
      </c>
      <c r="C12" s="18"/>
      <c r="D12" s="17">
        <f ca="1">OFFSET('Sales, Production, &amp; Other Assu'!D$18,'Internmediate sheet'!$A11/3,0)*Capacity</f>
        <v>61560</v>
      </c>
      <c r="E12" s="17">
        <f ca="1">OFFSET('Sales, Production, &amp; Other Assu'!E$18,'Internmediate sheet'!$A11/3,0)*Capacity</f>
        <v>61560</v>
      </c>
      <c r="F12" s="17">
        <f ca="1">OFFSET('Sales, Production, &amp; Other Assu'!F$18,'Internmediate sheet'!$A11/3,0)*Capacity</f>
        <v>61560</v>
      </c>
      <c r="G12" s="17">
        <f ca="1">OFFSET('Sales, Production, &amp; Other Assu'!G$18,'Internmediate sheet'!$A11/3,0)*Capacity</f>
        <v>61560</v>
      </c>
      <c r="H12" s="17">
        <f ca="1">OFFSET('Sales, Production, &amp; Other Assu'!H$18,'Internmediate sheet'!$A11/3,0)*Capacity</f>
        <v>61560</v>
      </c>
      <c r="I12" s="17">
        <f ca="1">OFFSET('Sales, Production, &amp; Other Assu'!I$18,'Internmediate sheet'!$A11/3,0)*Capacity</f>
        <v>61560</v>
      </c>
      <c r="J12" s="17">
        <f ca="1">OFFSET('Sales, Production, &amp; Other Assu'!J$18,'Internmediate sheet'!$A11/3,0)*Capacity</f>
        <v>61560</v>
      </c>
      <c r="K12" s="17">
        <f ca="1">OFFSET('Sales, Production, &amp; Other Assu'!K$18,'Internmediate sheet'!$A11/3,0)*Capacity</f>
        <v>61560</v>
      </c>
      <c r="L12" s="17">
        <f ca="1">OFFSET('Sales, Production, &amp; Other Assu'!L$18,'Internmediate sheet'!$A11/3,0)*Capacity</f>
        <v>61560</v>
      </c>
      <c r="M12" s="17">
        <f ca="1">OFFSET('Sales, Production, &amp; Other Assu'!M$18,'Internmediate sheet'!$A11/3,0)*Capacity</f>
        <v>61560</v>
      </c>
      <c r="N12" s="17">
        <f ca="1">OFFSET('Sales, Production, &amp; Other Assu'!N$18,'Internmediate sheet'!$A11/3,0)*Capacity</f>
        <v>61560</v>
      </c>
      <c r="O12" s="17">
        <f ca="1">OFFSET('Sales, Production, &amp; Other Assu'!O$18,'Internmediate sheet'!$A11/3,0)*Capacity</f>
        <v>61560</v>
      </c>
      <c r="P12" s="430">
        <f ca="1">SUM(D12:O12)</f>
        <v>738720</v>
      </c>
      <c r="Q12" s="17">
        <f ca="1">OFFSET('Sales, Production, &amp; Other Assu'!Q$18,'Internmediate sheet'!$A11/3,0)*Capacity</f>
        <v>71778.959999999992</v>
      </c>
      <c r="R12" s="17">
        <f ca="1">OFFSET('Sales, Production, &amp; Other Assu'!R$18,'Internmediate sheet'!$A11/3,0)*Capacity</f>
        <v>71778.959999999992</v>
      </c>
      <c r="S12" s="17">
        <f ca="1">OFFSET('Sales, Production, &amp; Other Assu'!S$18,'Internmediate sheet'!$A11/3,0)*Capacity</f>
        <v>71778.959999999992</v>
      </c>
      <c r="T12" s="17">
        <f ca="1">OFFSET('Sales, Production, &amp; Other Assu'!T$18,'Internmediate sheet'!$A11/3,0)*Capacity</f>
        <v>71778.959999999992</v>
      </c>
      <c r="U12" s="17">
        <f ca="1">OFFSET('Sales, Production, &amp; Other Assu'!U$18,'Internmediate sheet'!$A11/3,0)*Capacity</f>
        <v>71778.959999999992</v>
      </c>
      <c r="V12" s="17">
        <f ca="1">OFFSET('Sales, Production, &amp; Other Assu'!V$18,'Internmediate sheet'!$A11/3,0)*Capacity</f>
        <v>71778.959999999992</v>
      </c>
      <c r="W12" s="17">
        <f ca="1">OFFSET('Sales, Production, &amp; Other Assu'!W$18,'Internmediate sheet'!$A11/3,0)*Capacity</f>
        <v>71778.959999999992</v>
      </c>
      <c r="X12" s="17">
        <f ca="1">OFFSET('Sales, Production, &amp; Other Assu'!X$18,'Internmediate sheet'!$A11/3,0)*Capacity</f>
        <v>71778.959999999992</v>
      </c>
      <c r="Y12" s="17">
        <f ca="1">OFFSET('Sales, Production, &amp; Other Assu'!Y$18,'Internmediate sheet'!$A11/3,0)*Capacity</f>
        <v>71778.959999999992</v>
      </c>
      <c r="Z12" s="17">
        <f ca="1">OFFSET('Sales, Production, &amp; Other Assu'!Z$18,'Internmediate sheet'!$A11/3,0)*Capacity</f>
        <v>71778.959999999992</v>
      </c>
      <c r="AA12" s="17">
        <f ca="1">OFFSET('Sales, Production, &amp; Other Assu'!AA$18,'Internmediate sheet'!$A11/3,0)*Capacity</f>
        <v>71778.959999999992</v>
      </c>
      <c r="AB12" s="17">
        <f ca="1">OFFSET('Sales, Production, &amp; Other Assu'!AB$18,'Internmediate sheet'!$A11/3,0)*Capacity</f>
        <v>71778.959999999992</v>
      </c>
      <c r="AC12" s="430">
        <f ca="1">SUM(Q12:AB12)</f>
        <v>861347.51999999967</v>
      </c>
      <c r="AD12" s="17">
        <f ca="1">OFFSET('Sales, Production, &amp; Other Assu'!AD$18,'Internmediate sheet'!$A11/3,0)*Capacity</f>
        <v>83003.400000000009</v>
      </c>
      <c r="AE12" s="17">
        <f ca="1">OFFSET('Sales, Production, &amp; Other Assu'!AE$18,'Internmediate sheet'!$A11/3,0)*Capacity</f>
        <v>83003.400000000009</v>
      </c>
      <c r="AF12" s="17">
        <f ca="1">OFFSET('Sales, Production, &amp; Other Assu'!AF$18,'Internmediate sheet'!$A11/3,0)*Capacity</f>
        <v>83003.400000000009</v>
      </c>
      <c r="AG12" s="17">
        <f ca="1">OFFSET('Sales, Production, &amp; Other Assu'!AG$18,'Internmediate sheet'!$A11/3,0)*Capacity</f>
        <v>83003.400000000009</v>
      </c>
      <c r="AH12" s="17">
        <f ca="1">OFFSET('Sales, Production, &amp; Other Assu'!AH$18,'Internmediate sheet'!$A11/3,0)*Capacity</f>
        <v>83003.400000000009</v>
      </c>
      <c r="AI12" s="17">
        <f ca="1">OFFSET('Sales, Production, &amp; Other Assu'!AI$18,'Internmediate sheet'!$A11/3,0)*Capacity</f>
        <v>83003.400000000009</v>
      </c>
      <c r="AJ12" s="17">
        <f ca="1">OFFSET('Sales, Production, &amp; Other Assu'!AJ$18,'Internmediate sheet'!$A11/3,0)*Capacity</f>
        <v>83003.400000000009</v>
      </c>
      <c r="AK12" s="17">
        <f ca="1">OFFSET('Sales, Production, &amp; Other Assu'!AK$18,'Internmediate sheet'!$A11/3,0)*Capacity</f>
        <v>83003.400000000009</v>
      </c>
      <c r="AL12" s="17">
        <f ca="1">OFFSET('Sales, Production, &amp; Other Assu'!AL$18,'Internmediate sheet'!$A11/3,0)*Capacity</f>
        <v>83003.400000000009</v>
      </c>
      <c r="AM12" s="17">
        <f ca="1">OFFSET('Sales, Production, &amp; Other Assu'!AM$18,'Internmediate sheet'!$A11/3,0)*Capacity</f>
        <v>83003.400000000009</v>
      </c>
      <c r="AN12" s="17">
        <f ca="1">OFFSET('Sales, Production, &amp; Other Assu'!AN$18,'Internmediate sheet'!$A11/3,0)*Capacity</f>
        <v>83003.400000000009</v>
      </c>
      <c r="AO12" s="17">
        <f ca="1">OFFSET('Sales, Production, &amp; Other Assu'!AO$18,'Internmediate sheet'!$A11/3,0)*Capacity</f>
        <v>83003.400000000009</v>
      </c>
      <c r="AP12" s="430">
        <f ca="1">SUM(AD12:AO12)</f>
        <v>996040.80000000016</v>
      </c>
      <c r="AQ12" s="17">
        <f ca="1">OFFSET('Sales, Production, &amp; Other Assu'!AQ$18,'Internmediate sheet'!$A11/3,0)*Capacity</f>
        <v>95315.400000000009</v>
      </c>
      <c r="AR12" s="17">
        <f ca="1">OFFSET('Sales, Production, &amp; Other Assu'!AR$18,'Internmediate sheet'!$A11/3,0)*Capacity</f>
        <v>95315.400000000009</v>
      </c>
      <c r="AS12" s="17">
        <f ca="1">OFFSET('Sales, Production, &amp; Other Assu'!AS$18,'Internmediate sheet'!$A11/3,0)*Capacity</f>
        <v>95315.400000000009</v>
      </c>
      <c r="AT12" s="17">
        <f ca="1">OFFSET('Sales, Production, &amp; Other Assu'!AT$18,'Internmediate sheet'!$A11/3,0)*Capacity</f>
        <v>95315.400000000009</v>
      </c>
      <c r="AU12" s="17">
        <f ca="1">OFFSET('Sales, Production, &amp; Other Assu'!AU$18,'Internmediate sheet'!$A11/3,0)*Capacity</f>
        <v>95315.400000000009</v>
      </c>
      <c r="AV12" s="17">
        <f ca="1">OFFSET('Sales, Production, &amp; Other Assu'!AV$18,'Internmediate sheet'!$A11/3,0)*Capacity</f>
        <v>95315.400000000009</v>
      </c>
      <c r="AW12" s="17">
        <f ca="1">OFFSET('Sales, Production, &amp; Other Assu'!AW$18,'Internmediate sheet'!$A11/3,0)*Capacity</f>
        <v>95315.400000000009</v>
      </c>
      <c r="AX12" s="17">
        <f ca="1">OFFSET('Sales, Production, &amp; Other Assu'!AX$18,'Internmediate sheet'!$A11/3,0)*Capacity</f>
        <v>95315.400000000009</v>
      </c>
      <c r="AY12" s="17">
        <f ca="1">OFFSET('Sales, Production, &amp; Other Assu'!AY$18,'Internmediate sheet'!$A11/3,0)*Capacity</f>
        <v>95315.400000000009</v>
      </c>
      <c r="AZ12" s="17">
        <f ca="1">OFFSET('Sales, Production, &amp; Other Assu'!AZ$18,'Internmediate sheet'!$A11/3,0)*Capacity</f>
        <v>95315.400000000009</v>
      </c>
      <c r="BA12" s="17">
        <f ca="1">OFFSET('Sales, Production, &amp; Other Assu'!BA$18,'Internmediate sheet'!$A11/3,0)*Capacity</f>
        <v>95315.400000000009</v>
      </c>
      <c r="BB12" s="17">
        <f ca="1">OFFSET('Sales, Production, &amp; Other Assu'!BB$18,'Internmediate sheet'!$A11/3,0)*Capacity</f>
        <v>95315.400000000009</v>
      </c>
      <c r="BC12" s="430">
        <f ca="1">SUM(AQ12:BB12)</f>
        <v>1143784.8</v>
      </c>
      <c r="BD12" s="17">
        <f ca="1">OFFSET('Sales, Production, &amp; Other Assu'!BD$18,'Internmediate sheet'!$A11/3,0)*Capacity</f>
        <v>108805.24799999999</v>
      </c>
      <c r="BE12" s="17">
        <f ca="1">OFFSET('Sales, Production, &amp; Other Assu'!BE$18,'Internmediate sheet'!$A11/3,0)*Capacity</f>
        <v>108805.24799999999</v>
      </c>
      <c r="BF12" s="17">
        <f ca="1">OFFSET('Sales, Production, &amp; Other Assu'!BF$18,'Internmediate sheet'!$A11/3,0)*Capacity</f>
        <v>108805.24799999999</v>
      </c>
      <c r="BG12" s="17">
        <f ca="1">OFFSET('Sales, Production, &amp; Other Assu'!BG$18,'Internmediate sheet'!$A11/3,0)*Capacity</f>
        <v>108805.24799999999</v>
      </c>
      <c r="BH12" s="17">
        <f ca="1">OFFSET('Sales, Production, &amp; Other Assu'!BH$18,'Internmediate sheet'!$A11/3,0)*Capacity</f>
        <v>108805.24799999999</v>
      </c>
      <c r="BI12" s="17">
        <f ca="1">OFFSET('Sales, Production, &amp; Other Assu'!BI$18,'Internmediate sheet'!$A11/3,0)*Capacity</f>
        <v>108805.24799999999</v>
      </c>
      <c r="BJ12" s="17">
        <f ca="1">OFFSET('Sales, Production, &amp; Other Assu'!BJ$18,'Internmediate sheet'!$A11/3,0)*Capacity</f>
        <v>108805.24799999999</v>
      </c>
      <c r="BK12" s="17">
        <f ca="1">OFFSET('Sales, Production, &amp; Other Assu'!BK$18,'Internmediate sheet'!$A11/3,0)*Capacity</f>
        <v>108805.24799999999</v>
      </c>
      <c r="BL12" s="17">
        <f ca="1">OFFSET('Sales, Production, &amp; Other Assu'!BL$18,'Internmediate sheet'!$A11/3,0)*Capacity</f>
        <v>108805.24799999999</v>
      </c>
      <c r="BM12" s="17">
        <f ca="1">OFFSET('Sales, Production, &amp; Other Assu'!BM$18,'Internmediate sheet'!$A11/3,0)*Capacity</f>
        <v>108805.24799999999</v>
      </c>
      <c r="BN12" s="17">
        <f ca="1">OFFSET('Sales, Production, &amp; Other Assu'!BN$18,'Internmediate sheet'!$A11/3,0)*Capacity</f>
        <v>108805.24799999999</v>
      </c>
      <c r="BO12" s="17">
        <f ca="1">OFFSET('Sales, Production, &amp; Other Assu'!BO$18,'Internmediate sheet'!$A11/3,0)*Capacity</f>
        <v>108805.24799999999</v>
      </c>
      <c r="BP12" s="430">
        <f ca="1">SUM(BD12:BO12)</f>
        <v>1305662.9759999998</v>
      </c>
      <c r="BQ12" s="17">
        <f ca="1">OFFSET('Sales, Production, &amp; Other Assu'!BQ$18,'Internmediate sheet'!$A11/3,0)*Capacity</f>
        <v>123571.44</v>
      </c>
      <c r="BR12" s="17">
        <f ca="1">OFFSET('Sales, Production, &amp; Other Assu'!BR$18,'Internmediate sheet'!$A11/3,0)*Capacity</f>
        <v>123571.44</v>
      </c>
      <c r="BS12" s="17">
        <f ca="1">OFFSET('Sales, Production, &amp; Other Assu'!BS$18,'Internmediate sheet'!$A11/3,0)*Capacity</f>
        <v>123571.44</v>
      </c>
      <c r="BT12" s="17">
        <f ca="1">OFFSET('Sales, Production, &amp; Other Assu'!BT$18,'Internmediate sheet'!$A11/3,0)*Capacity</f>
        <v>123571.44</v>
      </c>
      <c r="BU12" s="17">
        <f ca="1">OFFSET('Sales, Production, &amp; Other Assu'!BU$18,'Internmediate sheet'!$A11/3,0)*Capacity</f>
        <v>123571.44</v>
      </c>
      <c r="BV12" s="17">
        <f ca="1">OFFSET('Sales, Production, &amp; Other Assu'!BV$18,'Internmediate sheet'!$A11/3,0)*Capacity</f>
        <v>123571.44</v>
      </c>
      <c r="BW12" s="17">
        <f ca="1">OFFSET('Sales, Production, &amp; Other Assu'!BW$18,'Internmediate sheet'!$A11/3,0)*Capacity</f>
        <v>123571.44</v>
      </c>
      <c r="BX12" s="17">
        <f ca="1">OFFSET('Sales, Production, &amp; Other Assu'!BX$18,'Internmediate sheet'!$A11/3,0)*Capacity</f>
        <v>123571.44</v>
      </c>
      <c r="BY12" s="17">
        <f ca="1">OFFSET('Sales, Production, &amp; Other Assu'!BY$18,'Internmediate sheet'!$A11/3,0)*Capacity</f>
        <v>123571.44</v>
      </c>
      <c r="BZ12" s="17">
        <f ca="1">OFFSET('Sales, Production, &amp; Other Assu'!BZ$18,'Internmediate sheet'!$A11/3,0)*Capacity</f>
        <v>123571.44</v>
      </c>
      <c r="CA12" s="17">
        <f ca="1">OFFSET('Sales, Production, &amp; Other Assu'!CA$18,'Internmediate sheet'!$A11/3,0)*Capacity</f>
        <v>123571.44</v>
      </c>
      <c r="CB12" s="17">
        <f ca="1">OFFSET('Sales, Production, &amp; Other Assu'!CB$18,'Internmediate sheet'!$A11/3,0)*Capacity</f>
        <v>123571.44</v>
      </c>
      <c r="CC12" s="430">
        <f ca="1">SUM(BQ12:CB12)</f>
        <v>1482857.2799999996</v>
      </c>
      <c r="CD12" s="17">
        <f ca="1">OFFSET('Sales, Production, &amp; Other Assu'!CD$18,'Internmediate sheet'!$A11/3,0)*Capacity</f>
        <v>130987.36799999999</v>
      </c>
      <c r="CE12" s="17">
        <f ca="1">OFFSET('Sales, Production, &amp; Other Assu'!CE$18,'Internmediate sheet'!$A11/3,0)*Capacity</f>
        <v>130987.36799999999</v>
      </c>
      <c r="CF12" s="17">
        <f ca="1">OFFSET('Sales, Production, &amp; Other Assu'!CF$18,'Internmediate sheet'!$A11/3,0)*Capacity</f>
        <v>130987.36799999999</v>
      </c>
      <c r="CG12" s="17">
        <f ca="1">OFFSET('Sales, Production, &amp; Other Assu'!CG$18,'Internmediate sheet'!$A11/3,0)*Capacity</f>
        <v>130987.36799999999</v>
      </c>
      <c r="CH12" s="17">
        <f ca="1">OFFSET('Sales, Production, &amp; Other Assu'!CH$18,'Internmediate sheet'!$A11/3,0)*Capacity</f>
        <v>130987.36799999999</v>
      </c>
      <c r="CI12" s="17">
        <f ca="1">OFFSET('Sales, Production, &amp; Other Assu'!CI$18,'Internmediate sheet'!$A11/3,0)*Capacity</f>
        <v>130987.36799999999</v>
      </c>
      <c r="CJ12" s="17">
        <f ca="1">OFFSET('Sales, Production, &amp; Other Assu'!CJ$18,'Internmediate sheet'!$A11/3,0)*Capacity</f>
        <v>130987.36799999999</v>
      </c>
      <c r="CK12" s="17">
        <f ca="1">OFFSET('Sales, Production, &amp; Other Assu'!CK$18,'Internmediate sheet'!$A11/3,0)*Capacity</f>
        <v>130987.36799999999</v>
      </c>
      <c r="CL12" s="17">
        <f ca="1">OFFSET('Sales, Production, &amp; Other Assu'!CL$18,'Internmediate sheet'!$A11/3,0)*Capacity</f>
        <v>130987.36799999999</v>
      </c>
      <c r="CM12" s="17">
        <f ca="1">OFFSET('Sales, Production, &amp; Other Assu'!CM$18,'Internmediate sheet'!$A11/3,0)*Capacity</f>
        <v>130987.36799999999</v>
      </c>
      <c r="CN12" s="17">
        <f ca="1">OFFSET('Sales, Production, &amp; Other Assu'!CN$18,'Internmediate sheet'!$A11/3,0)*Capacity</f>
        <v>130987.36799999999</v>
      </c>
      <c r="CO12" s="17">
        <f ca="1">OFFSET('Sales, Production, &amp; Other Assu'!CO$18,'Internmediate sheet'!$A11/3,0)*Capacity</f>
        <v>130987.36799999999</v>
      </c>
      <c r="CP12" s="430">
        <f ca="1">SUM(CD12:CO12)</f>
        <v>1571848.416</v>
      </c>
    </row>
    <row r="13" spans="1:94" ht="20.100000000000001" customHeight="1">
      <c r="A13" s="790"/>
      <c r="B13" s="8" t="s">
        <v>610</v>
      </c>
      <c r="C13" s="8">
        <f ca="1">OFFSET('Summary. Assumptions. Inputs'!$F$46,'Internmediate sheet'!A8/3,0)</f>
        <v>0.74999999999999989</v>
      </c>
      <c r="D13" s="8">
        <f t="shared" ref="D13:P13" ca="1" si="170">C13</f>
        <v>0.74999999999999989</v>
      </c>
      <c r="E13" s="8">
        <f t="shared" ca="1" si="170"/>
        <v>0.74999999999999989</v>
      </c>
      <c r="F13" s="8">
        <f t="shared" ca="1" si="170"/>
        <v>0.74999999999999989</v>
      </c>
      <c r="G13" s="8">
        <f t="shared" ca="1" si="170"/>
        <v>0.74999999999999989</v>
      </c>
      <c r="H13" s="8">
        <f t="shared" ca="1" si="170"/>
        <v>0.74999999999999989</v>
      </c>
      <c r="I13" s="8">
        <f t="shared" ca="1" si="170"/>
        <v>0.74999999999999989</v>
      </c>
      <c r="J13" s="8">
        <f t="shared" ca="1" si="170"/>
        <v>0.74999999999999989</v>
      </c>
      <c r="K13" s="8">
        <f t="shared" ca="1" si="170"/>
        <v>0.74999999999999989</v>
      </c>
      <c r="L13" s="8">
        <f t="shared" ca="1" si="170"/>
        <v>0.74999999999999989</v>
      </c>
      <c r="M13" s="8">
        <f t="shared" ca="1" si="170"/>
        <v>0.74999999999999989</v>
      </c>
      <c r="N13" s="8">
        <f t="shared" ca="1" si="170"/>
        <v>0.74999999999999989</v>
      </c>
      <c r="O13" s="8">
        <f t="shared" ca="1" si="170"/>
        <v>0.74999999999999989</v>
      </c>
      <c r="P13" s="431">
        <f t="shared" ca="1" si="170"/>
        <v>0.74999999999999989</v>
      </c>
      <c r="Q13" s="8">
        <f t="shared" ref="Q13" ca="1" si="171">P13</f>
        <v>0.74999999999999989</v>
      </c>
      <c r="R13" s="8">
        <f t="shared" ref="R13" ca="1" si="172">Q13</f>
        <v>0.74999999999999989</v>
      </c>
      <c r="S13" s="8">
        <f t="shared" ref="S13" ca="1" si="173">R13</f>
        <v>0.74999999999999989</v>
      </c>
      <c r="T13" s="8">
        <f t="shared" ref="T13" ca="1" si="174">S13</f>
        <v>0.74999999999999989</v>
      </c>
      <c r="U13" s="8">
        <f t="shared" ref="U13" ca="1" si="175">T13</f>
        <v>0.74999999999999989</v>
      </c>
      <c r="V13" s="8">
        <f t="shared" ref="V13" ca="1" si="176">U13</f>
        <v>0.74999999999999989</v>
      </c>
      <c r="W13" s="8">
        <f t="shared" ref="W13" ca="1" si="177">V13</f>
        <v>0.74999999999999989</v>
      </c>
      <c r="X13" s="8">
        <f t="shared" ref="X13" ca="1" si="178">W13</f>
        <v>0.74999999999999989</v>
      </c>
      <c r="Y13" s="8">
        <f t="shared" ref="Y13" ca="1" si="179">X13</f>
        <v>0.74999999999999989</v>
      </c>
      <c r="Z13" s="8">
        <f t="shared" ref="Z13" ca="1" si="180">Y13</f>
        <v>0.74999999999999989</v>
      </c>
      <c r="AA13" s="8">
        <f t="shared" ref="AA13" ca="1" si="181">Z13</f>
        <v>0.74999999999999989</v>
      </c>
      <c r="AB13" s="8">
        <f t="shared" ref="AB13" ca="1" si="182">AA13</f>
        <v>0.74999999999999989</v>
      </c>
      <c r="AC13" s="431">
        <f t="shared" ref="AC13" ca="1" si="183">AB13</f>
        <v>0.74999999999999989</v>
      </c>
      <c r="AD13" s="8">
        <f t="shared" ref="AD13" ca="1" si="184">AC13</f>
        <v>0.74999999999999989</v>
      </c>
      <c r="AE13" s="8">
        <f t="shared" ref="AE13" ca="1" si="185">AD13</f>
        <v>0.74999999999999989</v>
      </c>
      <c r="AF13" s="8">
        <f t="shared" ref="AF13" ca="1" si="186">AE13</f>
        <v>0.74999999999999989</v>
      </c>
      <c r="AG13" s="8">
        <f t="shared" ref="AG13" ca="1" si="187">AF13</f>
        <v>0.74999999999999989</v>
      </c>
      <c r="AH13" s="8">
        <f t="shared" ref="AH13" ca="1" si="188">AG13</f>
        <v>0.74999999999999989</v>
      </c>
      <c r="AI13" s="8">
        <f t="shared" ref="AI13" ca="1" si="189">AH13</f>
        <v>0.74999999999999989</v>
      </c>
      <c r="AJ13" s="8">
        <f t="shared" ref="AJ13" ca="1" si="190">AI13</f>
        <v>0.74999999999999989</v>
      </c>
      <c r="AK13" s="8">
        <f t="shared" ref="AK13" ca="1" si="191">AJ13</f>
        <v>0.74999999999999989</v>
      </c>
      <c r="AL13" s="8">
        <f t="shared" ref="AL13" ca="1" si="192">AK13</f>
        <v>0.74999999999999989</v>
      </c>
      <c r="AM13" s="8">
        <f t="shared" ref="AM13" ca="1" si="193">AL13</f>
        <v>0.74999999999999989</v>
      </c>
      <c r="AN13" s="8">
        <f t="shared" ref="AN13" ca="1" si="194">AM13</f>
        <v>0.74999999999999989</v>
      </c>
      <c r="AO13" s="8">
        <f t="shared" ref="AO13" ca="1" si="195">AN13</f>
        <v>0.74999999999999989</v>
      </c>
      <c r="AP13" s="431">
        <f t="shared" ref="AP13" ca="1" si="196">AO13</f>
        <v>0.74999999999999989</v>
      </c>
      <c r="AQ13" s="8">
        <f ca="1">AP13</f>
        <v>0.74999999999999989</v>
      </c>
      <c r="AR13" s="8">
        <f t="shared" ref="AR13" ca="1" si="197">AQ13</f>
        <v>0.74999999999999989</v>
      </c>
      <c r="AS13" s="8">
        <f t="shared" ref="AS13" ca="1" si="198">AR13</f>
        <v>0.74999999999999989</v>
      </c>
      <c r="AT13" s="8">
        <f t="shared" ref="AT13" ca="1" si="199">AS13</f>
        <v>0.74999999999999989</v>
      </c>
      <c r="AU13" s="8">
        <f t="shared" ref="AU13" ca="1" si="200">AT13</f>
        <v>0.74999999999999989</v>
      </c>
      <c r="AV13" s="8">
        <f t="shared" ref="AV13" ca="1" si="201">AU13</f>
        <v>0.74999999999999989</v>
      </c>
      <c r="AW13" s="8">
        <f t="shared" ref="AW13" ca="1" si="202">AV13</f>
        <v>0.74999999999999989</v>
      </c>
      <c r="AX13" s="8">
        <f t="shared" ref="AX13" ca="1" si="203">AW13</f>
        <v>0.74999999999999989</v>
      </c>
      <c r="AY13" s="8">
        <f t="shared" ref="AY13" ca="1" si="204">AX13</f>
        <v>0.74999999999999989</v>
      </c>
      <c r="AZ13" s="8">
        <f t="shared" ref="AZ13" ca="1" si="205">AY13</f>
        <v>0.74999999999999989</v>
      </c>
      <c r="BA13" s="8">
        <f t="shared" ref="BA13" ca="1" si="206">AZ13</f>
        <v>0.74999999999999989</v>
      </c>
      <c r="BB13" s="8">
        <f t="shared" ref="BB13" ca="1" si="207">BA13</f>
        <v>0.74999999999999989</v>
      </c>
      <c r="BC13" s="431">
        <f t="shared" ref="BC13" ca="1" si="208">BB13</f>
        <v>0.74999999999999989</v>
      </c>
      <c r="BD13" s="8">
        <f t="shared" ref="BD13" ca="1" si="209">BC13</f>
        <v>0.74999999999999989</v>
      </c>
      <c r="BE13" s="8">
        <f t="shared" ref="BE13" ca="1" si="210">BD13</f>
        <v>0.74999999999999989</v>
      </c>
      <c r="BF13" s="8">
        <f t="shared" ref="BF13" ca="1" si="211">BE13</f>
        <v>0.74999999999999989</v>
      </c>
      <c r="BG13" s="8">
        <f t="shared" ref="BG13" ca="1" si="212">BF13</f>
        <v>0.74999999999999989</v>
      </c>
      <c r="BH13" s="8">
        <f t="shared" ref="BH13" ca="1" si="213">BG13</f>
        <v>0.74999999999999989</v>
      </c>
      <c r="BI13" s="8">
        <f t="shared" ref="BI13" ca="1" si="214">BH13</f>
        <v>0.74999999999999989</v>
      </c>
      <c r="BJ13" s="8">
        <f t="shared" ref="BJ13" ca="1" si="215">BI13</f>
        <v>0.74999999999999989</v>
      </c>
      <c r="BK13" s="8">
        <f t="shared" ref="BK13" ca="1" si="216">BJ13</f>
        <v>0.74999999999999989</v>
      </c>
      <c r="BL13" s="8">
        <f t="shared" ref="BL13" ca="1" si="217">BK13</f>
        <v>0.74999999999999989</v>
      </c>
      <c r="BM13" s="8">
        <f t="shared" ref="BM13" ca="1" si="218">BL13</f>
        <v>0.74999999999999989</v>
      </c>
      <c r="BN13" s="8">
        <f t="shared" ref="BN13" ca="1" si="219">BM13</f>
        <v>0.74999999999999989</v>
      </c>
      <c r="BO13" s="8">
        <f t="shared" ref="BO13" ca="1" si="220">BN13</f>
        <v>0.74999999999999989</v>
      </c>
      <c r="BP13" s="431">
        <f t="shared" ref="BP13" ca="1" si="221">BO13</f>
        <v>0.74999999999999989</v>
      </c>
      <c r="BQ13" s="8">
        <f t="shared" ref="BQ13" ca="1" si="222">BP13</f>
        <v>0.74999999999999989</v>
      </c>
      <c r="BR13" s="8">
        <f t="shared" ref="BR13" ca="1" si="223">BQ13</f>
        <v>0.74999999999999989</v>
      </c>
      <c r="BS13" s="8">
        <f t="shared" ref="BS13" ca="1" si="224">BR13</f>
        <v>0.74999999999999989</v>
      </c>
      <c r="BT13" s="8">
        <f t="shared" ref="BT13" ca="1" si="225">BS13</f>
        <v>0.74999999999999989</v>
      </c>
      <c r="BU13" s="8">
        <f t="shared" ref="BU13" ca="1" si="226">BT13</f>
        <v>0.74999999999999989</v>
      </c>
      <c r="BV13" s="8">
        <f t="shared" ref="BV13" ca="1" si="227">BU13</f>
        <v>0.74999999999999989</v>
      </c>
      <c r="BW13" s="8">
        <f t="shared" ref="BW13" ca="1" si="228">BV13</f>
        <v>0.74999999999999989</v>
      </c>
      <c r="BX13" s="8">
        <f t="shared" ref="BX13" ca="1" si="229">BW13</f>
        <v>0.74999999999999989</v>
      </c>
      <c r="BY13" s="8">
        <f t="shared" ref="BY13" ca="1" si="230">BX13</f>
        <v>0.74999999999999989</v>
      </c>
      <c r="BZ13" s="8">
        <f t="shared" ref="BZ13" ca="1" si="231">BY13</f>
        <v>0.74999999999999989</v>
      </c>
      <c r="CA13" s="8">
        <f t="shared" ref="CA13" ca="1" si="232">BZ13</f>
        <v>0.74999999999999989</v>
      </c>
      <c r="CB13" s="8">
        <f t="shared" ref="CB13" ca="1" si="233">CA13</f>
        <v>0.74999999999999989</v>
      </c>
      <c r="CC13" s="431">
        <f t="shared" ref="CC13" ca="1" si="234">CB13</f>
        <v>0.74999999999999989</v>
      </c>
      <c r="CD13" s="8">
        <f t="shared" ref="CD13" ca="1" si="235">CC13</f>
        <v>0.74999999999999989</v>
      </c>
      <c r="CE13" s="8">
        <f t="shared" ref="CE13" ca="1" si="236">CD13</f>
        <v>0.74999999999999989</v>
      </c>
      <c r="CF13" s="8">
        <f t="shared" ref="CF13" ca="1" si="237">CE13</f>
        <v>0.74999999999999989</v>
      </c>
      <c r="CG13" s="8">
        <f t="shared" ref="CG13" ca="1" si="238">CF13</f>
        <v>0.74999999999999989</v>
      </c>
      <c r="CH13" s="8">
        <f t="shared" ref="CH13" ca="1" si="239">CG13</f>
        <v>0.74999999999999989</v>
      </c>
      <c r="CI13" s="8">
        <f t="shared" ref="CI13" ca="1" si="240">CH13</f>
        <v>0.74999999999999989</v>
      </c>
      <c r="CJ13" s="8">
        <f t="shared" ref="CJ13" ca="1" si="241">CI13</f>
        <v>0.74999999999999989</v>
      </c>
      <c r="CK13" s="8">
        <f t="shared" ref="CK13" ca="1" si="242">CJ13</f>
        <v>0.74999999999999989</v>
      </c>
      <c r="CL13" s="8">
        <f t="shared" ref="CL13" ca="1" si="243">CK13</f>
        <v>0.74999999999999989</v>
      </c>
      <c r="CM13" s="8">
        <f t="shared" ref="CM13" ca="1" si="244">CL13</f>
        <v>0.74999999999999989</v>
      </c>
      <c r="CN13" s="8">
        <f t="shared" ref="CN13" ca="1" si="245">CM13</f>
        <v>0.74999999999999989</v>
      </c>
      <c r="CO13" s="8">
        <f t="shared" ref="CO13" ca="1" si="246">CN13</f>
        <v>0.74999999999999989</v>
      </c>
      <c r="CP13" s="431">
        <f t="shared" ref="CP13" ca="1" si="247">CO13</f>
        <v>0.74999999999999989</v>
      </c>
    </row>
    <row r="14" spans="1:94" ht="20.100000000000001" customHeight="1">
      <c r="A14" s="791"/>
      <c r="B14" s="248" t="s">
        <v>611</v>
      </c>
      <c r="C14" s="249">
        <f t="shared" ref="C14:O14" ca="1" si="248">C12*C13</f>
        <v>0</v>
      </c>
      <c r="D14" s="248">
        <f t="shared" ca="1" si="248"/>
        <v>46169.999999999993</v>
      </c>
      <c r="E14" s="248">
        <f t="shared" ca="1" si="248"/>
        <v>46169.999999999993</v>
      </c>
      <c r="F14" s="248">
        <f t="shared" ca="1" si="248"/>
        <v>46169.999999999993</v>
      </c>
      <c r="G14" s="248">
        <f t="shared" ca="1" si="248"/>
        <v>46169.999999999993</v>
      </c>
      <c r="H14" s="248">
        <f t="shared" ca="1" si="248"/>
        <v>46169.999999999993</v>
      </c>
      <c r="I14" s="248">
        <f t="shared" ca="1" si="248"/>
        <v>46169.999999999993</v>
      </c>
      <c r="J14" s="248">
        <f t="shared" ca="1" si="248"/>
        <v>46169.999999999993</v>
      </c>
      <c r="K14" s="248">
        <f t="shared" ca="1" si="248"/>
        <v>46169.999999999993</v>
      </c>
      <c r="L14" s="248">
        <f t="shared" ca="1" si="248"/>
        <v>46169.999999999993</v>
      </c>
      <c r="M14" s="248">
        <f t="shared" ca="1" si="248"/>
        <v>46169.999999999993</v>
      </c>
      <c r="N14" s="248">
        <f t="shared" ca="1" si="248"/>
        <v>46169.999999999993</v>
      </c>
      <c r="O14" s="248">
        <f t="shared" ca="1" si="248"/>
        <v>46169.999999999993</v>
      </c>
      <c r="P14" s="432">
        <f ca="1">SUM(D14:O14)</f>
        <v>554039.99999999988</v>
      </c>
      <c r="Q14" s="248">
        <f t="shared" ref="Q14:AB14" ca="1" si="249">Q12*Q13</f>
        <v>53834.219999999987</v>
      </c>
      <c r="R14" s="248">
        <f t="shared" ca="1" si="249"/>
        <v>53834.219999999987</v>
      </c>
      <c r="S14" s="248">
        <f t="shared" ca="1" si="249"/>
        <v>53834.219999999987</v>
      </c>
      <c r="T14" s="248">
        <f t="shared" ca="1" si="249"/>
        <v>53834.219999999987</v>
      </c>
      <c r="U14" s="248">
        <f t="shared" ca="1" si="249"/>
        <v>53834.219999999987</v>
      </c>
      <c r="V14" s="248">
        <f t="shared" ca="1" si="249"/>
        <v>53834.219999999987</v>
      </c>
      <c r="W14" s="248">
        <f t="shared" ca="1" si="249"/>
        <v>53834.219999999987</v>
      </c>
      <c r="X14" s="248">
        <f t="shared" ca="1" si="249"/>
        <v>53834.219999999987</v>
      </c>
      <c r="Y14" s="248">
        <f t="shared" ca="1" si="249"/>
        <v>53834.219999999987</v>
      </c>
      <c r="Z14" s="248">
        <f t="shared" ca="1" si="249"/>
        <v>53834.219999999987</v>
      </c>
      <c r="AA14" s="248">
        <f t="shared" ca="1" si="249"/>
        <v>53834.219999999987</v>
      </c>
      <c r="AB14" s="248">
        <f t="shared" ca="1" si="249"/>
        <v>53834.219999999987</v>
      </c>
      <c r="AC14" s="432">
        <f ca="1">SUM(Q14:AB14)</f>
        <v>646010.63999999978</v>
      </c>
      <c r="AD14" s="248">
        <f t="shared" ref="AD14:AO14" ca="1" si="250">AD12*AD13</f>
        <v>62252.549999999996</v>
      </c>
      <c r="AE14" s="248">
        <f t="shared" ca="1" si="250"/>
        <v>62252.549999999996</v>
      </c>
      <c r="AF14" s="248">
        <f t="shared" ca="1" si="250"/>
        <v>62252.549999999996</v>
      </c>
      <c r="AG14" s="248">
        <f t="shared" ca="1" si="250"/>
        <v>62252.549999999996</v>
      </c>
      <c r="AH14" s="248">
        <f t="shared" ca="1" si="250"/>
        <v>62252.549999999996</v>
      </c>
      <c r="AI14" s="248">
        <f t="shared" ca="1" si="250"/>
        <v>62252.549999999996</v>
      </c>
      <c r="AJ14" s="248">
        <f t="shared" ca="1" si="250"/>
        <v>62252.549999999996</v>
      </c>
      <c r="AK14" s="248">
        <f t="shared" ca="1" si="250"/>
        <v>62252.549999999996</v>
      </c>
      <c r="AL14" s="248">
        <f t="shared" ca="1" si="250"/>
        <v>62252.549999999996</v>
      </c>
      <c r="AM14" s="248">
        <f t="shared" ca="1" si="250"/>
        <v>62252.549999999996</v>
      </c>
      <c r="AN14" s="248">
        <f t="shared" ca="1" si="250"/>
        <v>62252.549999999996</v>
      </c>
      <c r="AO14" s="248">
        <f t="shared" ca="1" si="250"/>
        <v>62252.549999999996</v>
      </c>
      <c r="AP14" s="432">
        <f ca="1">SUM(AD14:AO14)</f>
        <v>747030.60000000009</v>
      </c>
      <c r="AQ14" s="248">
        <f t="shared" ref="AQ14:BB14" ca="1" si="251">AQ12*AQ13</f>
        <v>71486.55</v>
      </c>
      <c r="AR14" s="248">
        <f t="shared" ca="1" si="251"/>
        <v>71486.55</v>
      </c>
      <c r="AS14" s="248">
        <f t="shared" ca="1" si="251"/>
        <v>71486.55</v>
      </c>
      <c r="AT14" s="248">
        <f t="shared" ca="1" si="251"/>
        <v>71486.55</v>
      </c>
      <c r="AU14" s="248">
        <f t="shared" ca="1" si="251"/>
        <v>71486.55</v>
      </c>
      <c r="AV14" s="248">
        <f t="shared" ca="1" si="251"/>
        <v>71486.55</v>
      </c>
      <c r="AW14" s="248">
        <f t="shared" ca="1" si="251"/>
        <v>71486.55</v>
      </c>
      <c r="AX14" s="248">
        <f t="shared" ca="1" si="251"/>
        <v>71486.55</v>
      </c>
      <c r="AY14" s="248">
        <f t="shared" ca="1" si="251"/>
        <v>71486.55</v>
      </c>
      <c r="AZ14" s="248">
        <f t="shared" ca="1" si="251"/>
        <v>71486.55</v>
      </c>
      <c r="BA14" s="248">
        <f t="shared" ca="1" si="251"/>
        <v>71486.55</v>
      </c>
      <c r="BB14" s="248">
        <f t="shared" ca="1" si="251"/>
        <v>71486.55</v>
      </c>
      <c r="BC14" s="432">
        <f ca="1">SUM(AQ14:BB14)</f>
        <v>857838.60000000021</v>
      </c>
      <c r="BD14" s="248">
        <f t="shared" ref="BD14:BO14" ca="1" si="252">BD12*BD13</f>
        <v>81603.935999999987</v>
      </c>
      <c r="BE14" s="248">
        <f t="shared" ca="1" si="252"/>
        <v>81603.935999999987</v>
      </c>
      <c r="BF14" s="248">
        <f t="shared" ca="1" si="252"/>
        <v>81603.935999999987</v>
      </c>
      <c r="BG14" s="248">
        <f t="shared" ca="1" si="252"/>
        <v>81603.935999999987</v>
      </c>
      <c r="BH14" s="248">
        <f t="shared" ca="1" si="252"/>
        <v>81603.935999999987</v>
      </c>
      <c r="BI14" s="248">
        <f t="shared" ca="1" si="252"/>
        <v>81603.935999999987</v>
      </c>
      <c r="BJ14" s="248">
        <f t="shared" ca="1" si="252"/>
        <v>81603.935999999987</v>
      </c>
      <c r="BK14" s="248">
        <f t="shared" ca="1" si="252"/>
        <v>81603.935999999987</v>
      </c>
      <c r="BL14" s="248">
        <f t="shared" ca="1" si="252"/>
        <v>81603.935999999987</v>
      </c>
      <c r="BM14" s="248">
        <f t="shared" ca="1" si="252"/>
        <v>81603.935999999987</v>
      </c>
      <c r="BN14" s="248">
        <f t="shared" ca="1" si="252"/>
        <v>81603.935999999987</v>
      </c>
      <c r="BO14" s="248">
        <f t="shared" ca="1" si="252"/>
        <v>81603.935999999987</v>
      </c>
      <c r="BP14" s="432">
        <f ca="1">SUM(BD14:BO14)</f>
        <v>979247.23199999984</v>
      </c>
      <c r="BQ14" s="248">
        <f t="shared" ref="BQ14:CB14" ca="1" si="253">BQ12*BQ13</f>
        <v>92678.579999999987</v>
      </c>
      <c r="BR14" s="248">
        <f t="shared" ca="1" si="253"/>
        <v>92678.579999999987</v>
      </c>
      <c r="BS14" s="248">
        <f t="shared" ca="1" si="253"/>
        <v>92678.579999999987</v>
      </c>
      <c r="BT14" s="248">
        <f t="shared" ca="1" si="253"/>
        <v>92678.579999999987</v>
      </c>
      <c r="BU14" s="248">
        <f t="shared" ca="1" si="253"/>
        <v>92678.579999999987</v>
      </c>
      <c r="BV14" s="248">
        <f t="shared" ca="1" si="253"/>
        <v>92678.579999999987</v>
      </c>
      <c r="BW14" s="248">
        <f t="shared" ca="1" si="253"/>
        <v>92678.579999999987</v>
      </c>
      <c r="BX14" s="248">
        <f t="shared" ca="1" si="253"/>
        <v>92678.579999999987</v>
      </c>
      <c r="BY14" s="248">
        <f t="shared" ca="1" si="253"/>
        <v>92678.579999999987</v>
      </c>
      <c r="BZ14" s="248">
        <f t="shared" ca="1" si="253"/>
        <v>92678.579999999987</v>
      </c>
      <c r="CA14" s="248">
        <f t="shared" ca="1" si="253"/>
        <v>92678.579999999987</v>
      </c>
      <c r="CB14" s="248">
        <f t="shared" ca="1" si="253"/>
        <v>92678.579999999987</v>
      </c>
      <c r="CC14" s="432">
        <f ca="1">SUM(BQ14:CB14)</f>
        <v>1112142.9599999997</v>
      </c>
      <c r="CD14" s="248">
        <f t="shared" ref="CD14:CO14" ca="1" si="254">CD12*CD13</f>
        <v>98240.525999999983</v>
      </c>
      <c r="CE14" s="248">
        <f t="shared" ca="1" si="254"/>
        <v>98240.525999999983</v>
      </c>
      <c r="CF14" s="248">
        <f t="shared" ca="1" si="254"/>
        <v>98240.525999999983</v>
      </c>
      <c r="CG14" s="248">
        <f t="shared" ca="1" si="254"/>
        <v>98240.525999999983</v>
      </c>
      <c r="CH14" s="248">
        <f t="shared" ca="1" si="254"/>
        <v>98240.525999999983</v>
      </c>
      <c r="CI14" s="248">
        <f t="shared" ca="1" si="254"/>
        <v>98240.525999999983</v>
      </c>
      <c r="CJ14" s="248">
        <f t="shared" ca="1" si="254"/>
        <v>98240.525999999983</v>
      </c>
      <c r="CK14" s="248">
        <f t="shared" ca="1" si="254"/>
        <v>98240.525999999983</v>
      </c>
      <c r="CL14" s="248">
        <f t="shared" ca="1" si="254"/>
        <v>98240.525999999983</v>
      </c>
      <c r="CM14" s="248">
        <f t="shared" ca="1" si="254"/>
        <v>98240.525999999983</v>
      </c>
      <c r="CN14" s="248">
        <f t="shared" ca="1" si="254"/>
        <v>98240.525999999983</v>
      </c>
      <c r="CO14" s="248">
        <f t="shared" ca="1" si="254"/>
        <v>98240.525999999983</v>
      </c>
      <c r="CP14" s="432">
        <f ca="1">SUM(CD14:CO14)</f>
        <v>1178886.3119999997</v>
      </c>
    </row>
    <row r="15" spans="1:94" ht="20.100000000000001" hidden="1" customHeight="1">
      <c r="A15" s="789">
        <f ca="1">OFFSET('Summary. Assumptions. Inputs'!$A$45,'Internmediate sheet'!A14/3,0)</f>
        <v>0</v>
      </c>
      <c r="B15" s="17" t="s">
        <v>609</v>
      </c>
      <c r="C15" s="18"/>
      <c r="D15" s="17">
        <f ca="1">OFFSET('Sales, Production, &amp; Other Assu'!D$18,'Internmediate sheet'!$A14/3,0)*Capacity</f>
        <v>0</v>
      </c>
      <c r="E15" s="17">
        <f ca="1">OFFSET('Sales, Production, &amp; Other Assu'!E$18,'Internmediate sheet'!$A14/3,0)*Capacity</f>
        <v>0</v>
      </c>
      <c r="F15" s="17">
        <f ca="1">OFFSET('Sales, Production, &amp; Other Assu'!F$18,'Internmediate sheet'!$A14/3,0)*Capacity</f>
        <v>0</v>
      </c>
      <c r="G15" s="17">
        <f ca="1">OFFSET('Sales, Production, &amp; Other Assu'!G$18,'Internmediate sheet'!$A14/3,0)*Capacity</f>
        <v>0</v>
      </c>
      <c r="H15" s="17">
        <f ca="1">OFFSET('Sales, Production, &amp; Other Assu'!H$18,'Internmediate sheet'!$A14/3,0)*Capacity</f>
        <v>0</v>
      </c>
      <c r="I15" s="17">
        <f ca="1">OFFSET('Sales, Production, &amp; Other Assu'!I$18,'Internmediate sheet'!$A14/3,0)*Capacity</f>
        <v>0</v>
      </c>
      <c r="J15" s="17">
        <f ca="1">OFFSET('Sales, Production, &amp; Other Assu'!J$18,'Internmediate sheet'!$A14/3,0)*Capacity</f>
        <v>0</v>
      </c>
      <c r="K15" s="17">
        <f ca="1">OFFSET('Sales, Production, &amp; Other Assu'!K$18,'Internmediate sheet'!$A14/3,0)*Capacity</f>
        <v>0</v>
      </c>
      <c r="L15" s="17">
        <f ca="1">OFFSET('Sales, Production, &amp; Other Assu'!L$18,'Internmediate sheet'!$A14/3,0)*Capacity</f>
        <v>0</v>
      </c>
      <c r="M15" s="17">
        <f ca="1">OFFSET('Sales, Production, &amp; Other Assu'!M$18,'Internmediate sheet'!$A14/3,0)*Capacity</f>
        <v>0</v>
      </c>
      <c r="N15" s="17">
        <f ca="1">OFFSET('Sales, Production, &amp; Other Assu'!N$18,'Internmediate sheet'!$A14/3,0)*Capacity</f>
        <v>0</v>
      </c>
      <c r="O15" s="17">
        <f ca="1">OFFSET('Sales, Production, &amp; Other Assu'!O$18,'Internmediate sheet'!$A14/3,0)*Capacity</f>
        <v>0</v>
      </c>
      <c r="P15" s="430">
        <f ca="1">SUM(D15:O15)</f>
        <v>0</v>
      </c>
      <c r="Q15" s="17">
        <f ca="1">OFFSET('Sales, Production, &amp; Other Assu'!Q$18,'Internmediate sheet'!$A14/3,0)*Capacity</f>
        <v>0</v>
      </c>
      <c r="R15" s="17">
        <f ca="1">OFFSET('Sales, Production, &amp; Other Assu'!R$18,'Internmediate sheet'!$A14/3,0)*Capacity</f>
        <v>0</v>
      </c>
      <c r="S15" s="17">
        <f ca="1">OFFSET('Sales, Production, &amp; Other Assu'!S$18,'Internmediate sheet'!$A14/3,0)*Capacity</f>
        <v>0</v>
      </c>
      <c r="T15" s="17">
        <f ca="1">OFFSET('Sales, Production, &amp; Other Assu'!T$18,'Internmediate sheet'!$A14/3,0)*Capacity</f>
        <v>0</v>
      </c>
      <c r="U15" s="17">
        <f ca="1">OFFSET('Sales, Production, &amp; Other Assu'!U$18,'Internmediate sheet'!$A14/3,0)*Capacity</f>
        <v>0</v>
      </c>
      <c r="V15" s="17">
        <f ca="1">OFFSET('Sales, Production, &amp; Other Assu'!V$18,'Internmediate sheet'!$A14/3,0)*Capacity</f>
        <v>0</v>
      </c>
      <c r="W15" s="17">
        <f ca="1">OFFSET('Sales, Production, &amp; Other Assu'!W$18,'Internmediate sheet'!$A14/3,0)*Capacity</f>
        <v>0</v>
      </c>
      <c r="X15" s="17">
        <f ca="1">OFFSET('Sales, Production, &amp; Other Assu'!X$18,'Internmediate sheet'!$A14/3,0)*Capacity</f>
        <v>0</v>
      </c>
      <c r="Y15" s="17">
        <f ca="1">OFFSET('Sales, Production, &amp; Other Assu'!Y$18,'Internmediate sheet'!$A14/3,0)*Capacity</f>
        <v>0</v>
      </c>
      <c r="Z15" s="17">
        <f ca="1">OFFSET('Sales, Production, &amp; Other Assu'!Z$18,'Internmediate sheet'!$A14/3,0)*Capacity</f>
        <v>0</v>
      </c>
      <c r="AA15" s="17">
        <f ca="1">OFFSET('Sales, Production, &amp; Other Assu'!AA$18,'Internmediate sheet'!$A14/3,0)*Capacity</f>
        <v>0</v>
      </c>
      <c r="AB15" s="17">
        <f ca="1">OFFSET('Sales, Production, &amp; Other Assu'!AB$18,'Internmediate sheet'!$A14/3,0)*Capacity</f>
        <v>0</v>
      </c>
      <c r="AC15" s="430">
        <f ca="1">SUM(Q15:AB15)</f>
        <v>0</v>
      </c>
      <c r="AD15" s="17">
        <f ca="1">OFFSET('Sales, Production, &amp; Other Assu'!AD$18,'Internmediate sheet'!$A14/3,0)*Capacity</f>
        <v>0</v>
      </c>
      <c r="AE15" s="17">
        <f ca="1">OFFSET('Sales, Production, &amp; Other Assu'!AE$18,'Internmediate sheet'!$A14/3,0)*Capacity</f>
        <v>0</v>
      </c>
      <c r="AF15" s="17">
        <f ca="1">OFFSET('Sales, Production, &amp; Other Assu'!AF$18,'Internmediate sheet'!$A14/3,0)*Capacity</f>
        <v>0</v>
      </c>
      <c r="AG15" s="17">
        <f ca="1">OFFSET('Sales, Production, &amp; Other Assu'!AG$18,'Internmediate sheet'!$A14/3,0)*Capacity</f>
        <v>0</v>
      </c>
      <c r="AH15" s="17">
        <f ca="1">OFFSET('Sales, Production, &amp; Other Assu'!AH$18,'Internmediate sheet'!$A14/3,0)*Capacity</f>
        <v>0</v>
      </c>
      <c r="AI15" s="17">
        <f ca="1">OFFSET('Sales, Production, &amp; Other Assu'!AI$18,'Internmediate sheet'!$A14/3,0)*Capacity</f>
        <v>0</v>
      </c>
      <c r="AJ15" s="17">
        <f ca="1">OFFSET('Sales, Production, &amp; Other Assu'!AJ$18,'Internmediate sheet'!$A14/3,0)*Capacity</f>
        <v>0</v>
      </c>
      <c r="AK15" s="17">
        <f ca="1">OFFSET('Sales, Production, &amp; Other Assu'!AK$18,'Internmediate sheet'!$A14/3,0)*Capacity</f>
        <v>0</v>
      </c>
      <c r="AL15" s="17">
        <f ca="1">OFFSET('Sales, Production, &amp; Other Assu'!AL$18,'Internmediate sheet'!$A14/3,0)*Capacity</f>
        <v>0</v>
      </c>
      <c r="AM15" s="17">
        <f ca="1">OFFSET('Sales, Production, &amp; Other Assu'!AM$18,'Internmediate sheet'!$A14/3,0)*Capacity</f>
        <v>0</v>
      </c>
      <c r="AN15" s="17">
        <f ca="1">OFFSET('Sales, Production, &amp; Other Assu'!AN$18,'Internmediate sheet'!$A14/3,0)*Capacity</f>
        <v>0</v>
      </c>
      <c r="AO15" s="17">
        <f ca="1">OFFSET('Sales, Production, &amp; Other Assu'!AO$18,'Internmediate sheet'!$A14/3,0)*Capacity</f>
        <v>0</v>
      </c>
      <c r="AP15" s="430">
        <f ca="1">SUM(AD15:AO15)</f>
        <v>0</v>
      </c>
      <c r="AQ15" s="17">
        <f ca="1">OFFSET('Sales, Production, &amp; Other Assu'!AQ$18,'Internmediate sheet'!$A14/3,0)*Capacity</f>
        <v>0</v>
      </c>
      <c r="AR15" s="17">
        <f ca="1">OFFSET('Sales, Production, &amp; Other Assu'!AR$18,'Internmediate sheet'!$A14/3,0)*Capacity</f>
        <v>0</v>
      </c>
      <c r="AS15" s="17">
        <f ca="1">OFFSET('Sales, Production, &amp; Other Assu'!AS$18,'Internmediate sheet'!$A14/3,0)*Capacity</f>
        <v>0</v>
      </c>
      <c r="AT15" s="17">
        <f ca="1">OFFSET('Sales, Production, &amp; Other Assu'!AT$18,'Internmediate sheet'!$A14/3,0)*Capacity</f>
        <v>0</v>
      </c>
      <c r="AU15" s="17">
        <f ca="1">OFFSET('Sales, Production, &amp; Other Assu'!AU$18,'Internmediate sheet'!$A14/3,0)*Capacity</f>
        <v>0</v>
      </c>
      <c r="AV15" s="17">
        <f ca="1">OFFSET('Sales, Production, &amp; Other Assu'!AV$18,'Internmediate sheet'!$A14/3,0)*Capacity</f>
        <v>0</v>
      </c>
      <c r="AW15" s="17">
        <f ca="1">OFFSET('Sales, Production, &amp; Other Assu'!AW$18,'Internmediate sheet'!$A14/3,0)*Capacity</f>
        <v>0</v>
      </c>
      <c r="AX15" s="17">
        <f ca="1">OFFSET('Sales, Production, &amp; Other Assu'!AX$18,'Internmediate sheet'!$A14/3,0)*Capacity</f>
        <v>0</v>
      </c>
      <c r="AY15" s="17">
        <f ca="1">OFFSET('Sales, Production, &amp; Other Assu'!AY$18,'Internmediate sheet'!$A14/3,0)*Capacity</f>
        <v>0</v>
      </c>
      <c r="AZ15" s="17">
        <f ca="1">OFFSET('Sales, Production, &amp; Other Assu'!AZ$18,'Internmediate sheet'!$A14/3,0)*Capacity</f>
        <v>0</v>
      </c>
      <c r="BA15" s="17">
        <f ca="1">OFFSET('Sales, Production, &amp; Other Assu'!BA$18,'Internmediate sheet'!$A14/3,0)*Capacity</f>
        <v>0</v>
      </c>
      <c r="BB15" s="17">
        <f ca="1">OFFSET('Sales, Production, &amp; Other Assu'!BB$18,'Internmediate sheet'!$A14/3,0)*Capacity</f>
        <v>0</v>
      </c>
      <c r="BC15" s="430">
        <f ca="1">SUM(AQ15:BB15)</f>
        <v>0</v>
      </c>
      <c r="BD15" s="17">
        <f ca="1">OFFSET('Sales, Production, &amp; Other Assu'!BD$18,'Internmediate sheet'!$A14/3,0)*Capacity</f>
        <v>0</v>
      </c>
      <c r="BE15" s="17">
        <f ca="1">OFFSET('Sales, Production, &amp; Other Assu'!BE$18,'Internmediate sheet'!$A14/3,0)*Capacity</f>
        <v>0</v>
      </c>
      <c r="BF15" s="17">
        <f ca="1">OFFSET('Sales, Production, &amp; Other Assu'!BF$18,'Internmediate sheet'!$A14/3,0)*Capacity</f>
        <v>0</v>
      </c>
      <c r="BG15" s="17">
        <f ca="1">OFFSET('Sales, Production, &amp; Other Assu'!BG$18,'Internmediate sheet'!$A14/3,0)*Capacity</f>
        <v>0</v>
      </c>
      <c r="BH15" s="17">
        <f ca="1">OFFSET('Sales, Production, &amp; Other Assu'!BH$18,'Internmediate sheet'!$A14/3,0)*Capacity</f>
        <v>0</v>
      </c>
      <c r="BI15" s="17">
        <f ca="1">OFFSET('Sales, Production, &amp; Other Assu'!BI$18,'Internmediate sheet'!$A14/3,0)*Capacity</f>
        <v>0</v>
      </c>
      <c r="BJ15" s="17">
        <f ca="1">OFFSET('Sales, Production, &amp; Other Assu'!BJ$18,'Internmediate sheet'!$A14/3,0)*Capacity</f>
        <v>0</v>
      </c>
      <c r="BK15" s="17">
        <f ca="1">OFFSET('Sales, Production, &amp; Other Assu'!BK$18,'Internmediate sheet'!$A14/3,0)*Capacity</f>
        <v>0</v>
      </c>
      <c r="BL15" s="17">
        <f ca="1">OFFSET('Sales, Production, &amp; Other Assu'!BL$18,'Internmediate sheet'!$A14/3,0)*Capacity</f>
        <v>0</v>
      </c>
      <c r="BM15" s="17">
        <f ca="1">OFFSET('Sales, Production, &amp; Other Assu'!BM$18,'Internmediate sheet'!$A14/3,0)*Capacity</f>
        <v>0</v>
      </c>
      <c r="BN15" s="17">
        <f ca="1">OFFSET('Sales, Production, &amp; Other Assu'!BN$18,'Internmediate sheet'!$A14/3,0)*Capacity</f>
        <v>0</v>
      </c>
      <c r="BO15" s="17">
        <f ca="1">OFFSET('Sales, Production, &amp; Other Assu'!BO$18,'Internmediate sheet'!$A14/3,0)*Capacity</f>
        <v>0</v>
      </c>
      <c r="BP15" s="430">
        <f ca="1">SUM(BD15:BO15)</f>
        <v>0</v>
      </c>
      <c r="BQ15" s="17">
        <f ca="1">OFFSET('Sales, Production, &amp; Other Assu'!BQ$18,'Internmediate sheet'!$A14/3,0)*Capacity</f>
        <v>0</v>
      </c>
      <c r="BR15" s="17">
        <f ca="1">OFFSET('Sales, Production, &amp; Other Assu'!BR$18,'Internmediate sheet'!$A14/3,0)*Capacity</f>
        <v>0</v>
      </c>
      <c r="BS15" s="17">
        <f ca="1">OFFSET('Sales, Production, &amp; Other Assu'!BS$18,'Internmediate sheet'!$A14/3,0)*Capacity</f>
        <v>0</v>
      </c>
      <c r="BT15" s="17">
        <f ca="1">OFFSET('Sales, Production, &amp; Other Assu'!BT$18,'Internmediate sheet'!$A14/3,0)*Capacity</f>
        <v>0</v>
      </c>
      <c r="BU15" s="17">
        <f ca="1">OFFSET('Sales, Production, &amp; Other Assu'!BU$18,'Internmediate sheet'!$A14/3,0)*Capacity</f>
        <v>0</v>
      </c>
      <c r="BV15" s="17">
        <f ca="1">OFFSET('Sales, Production, &amp; Other Assu'!BV$18,'Internmediate sheet'!$A14/3,0)*Capacity</f>
        <v>0</v>
      </c>
      <c r="BW15" s="17">
        <f ca="1">OFFSET('Sales, Production, &amp; Other Assu'!BW$18,'Internmediate sheet'!$A14/3,0)*Capacity</f>
        <v>0</v>
      </c>
      <c r="BX15" s="17">
        <f ca="1">OFFSET('Sales, Production, &amp; Other Assu'!BX$18,'Internmediate sheet'!$A14/3,0)*Capacity</f>
        <v>0</v>
      </c>
      <c r="BY15" s="17">
        <f ca="1">OFFSET('Sales, Production, &amp; Other Assu'!BY$18,'Internmediate sheet'!$A14/3,0)*Capacity</f>
        <v>0</v>
      </c>
      <c r="BZ15" s="17">
        <f ca="1">OFFSET('Sales, Production, &amp; Other Assu'!BZ$18,'Internmediate sheet'!$A14/3,0)*Capacity</f>
        <v>0</v>
      </c>
      <c r="CA15" s="17">
        <f ca="1">OFFSET('Sales, Production, &amp; Other Assu'!CA$18,'Internmediate sheet'!$A14/3,0)*Capacity</f>
        <v>0</v>
      </c>
      <c r="CB15" s="17">
        <f ca="1">OFFSET('Sales, Production, &amp; Other Assu'!CB$18,'Internmediate sheet'!$A14/3,0)*Capacity</f>
        <v>0</v>
      </c>
      <c r="CC15" s="430">
        <f ca="1">SUM(BQ15:CB15)</f>
        <v>0</v>
      </c>
      <c r="CD15" s="17">
        <f ca="1">OFFSET('Sales, Production, &amp; Other Assu'!CD$18,'Internmediate sheet'!$A14/3,0)*Capacity</f>
        <v>0</v>
      </c>
      <c r="CE15" s="17">
        <f ca="1">OFFSET('Sales, Production, &amp; Other Assu'!CE$18,'Internmediate sheet'!$A14/3,0)*Capacity</f>
        <v>0</v>
      </c>
      <c r="CF15" s="17">
        <f ca="1">OFFSET('Sales, Production, &amp; Other Assu'!CF$18,'Internmediate sheet'!$A14/3,0)*Capacity</f>
        <v>0</v>
      </c>
      <c r="CG15" s="17">
        <f ca="1">OFFSET('Sales, Production, &amp; Other Assu'!CG$18,'Internmediate sheet'!$A14/3,0)*Capacity</f>
        <v>0</v>
      </c>
      <c r="CH15" s="17">
        <f ca="1">OFFSET('Sales, Production, &amp; Other Assu'!CH$18,'Internmediate sheet'!$A14/3,0)*Capacity</f>
        <v>0</v>
      </c>
      <c r="CI15" s="17">
        <f ca="1">OFFSET('Sales, Production, &amp; Other Assu'!CI$18,'Internmediate sheet'!$A14/3,0)*Capacity</f>
        <v>0</v>
      </c>
      <c r="CJ15" s="17">
        <f ca="1">OFFSET('Sales, Production, &amp; Other Assu'!CJ$18,'Internmediate sheet'!$A14/3,0)*Capacity</f>
        <v>0</v>
      </c>
      <c r="CK15" s="17">
        <f ca="1">OFFSET('Sales, Production, &amp; Other Assu'!CK$18,'Internmediate sheet'!$A14/3,0)*Capacity</f>
        <v>0</v>
      </c>
      <c r="CL15" s="17">
        <f ca="1">OFFSET('Sales, Production, &amp; Other Assu'!CL$18,'Internmediate sheet'!$A14/3,0)*Capacity</f>
        <v>0</v>
      </c>
      <c r="CM15" s="17">
        <f ca="1">OFFSET('Sales, Production, &amp; Other Assu'!CM$18,'Internmediate sheet'!$A14/3,0)*Capacity</f>
        <v>0</v>
      </c>
      <c r="CN15" s="17">
        <f ca="1">OFFSET('Sales, Production, &amp; Other Assu'!CN$18,'Internmediate sheet'!$A14/3,0)*Capacity</f>
        <v>0</v>
      </c>
      <c r="CO15" s="17">
        <f ca="1">OFFSET('Sales, Production, &amp; Other Assu'!CO$18,'Internmediate sheet'!$A14/3,0)*Capacity</f>
        <v>0</v>
      </c>
      <c r="CP15" s="430">
        <f ca="1">SUM(CD15:CO15)</f>
        <v>0</v>
      </c>
    </row>
    <row r="16" spans="1:94" ht="20.100000000000001" hidden="1" customHeight="1">
      <c r="A16" s="790"/>
      <c r="B16" s="8" t="s">
        <v>610</v>
      </c>
      <c r="C16" s="8">
        <f ca="1">OFFSET('Summary. Assumptions. Inputs'!$F$46,'Internmediate sheet'!A11/3,0)</f>
        <v>0</v>
      </c>
      <c r="D16" s="8">
        <f t="shared" ref="D16:P16" ca="1" si="255">C16</f>
        <v>0</v>
      </c>
      <c r="E16" s="8">
        <f t="shared" ca="1" si="255"/>
        <v>0</v>
      </c>
      <c r="F16" s="8">
        <f t="shared" ca="1" si="255"/>
        <v>0</v>
      </c>
      <c r="G16" s="8">
        <f t="shared" ca="1" si="255"/>
        <v>0</v>
      </c>
      <c r="H16" s="8">
        <f t="shared" ca="1" si="255"/>
        <v>0</v>
      </c>
      <c r="I16" s="8">
        <f t="shared" ca="1" si="255"/>
        <v>0</v>
      </c>
      <c r="J16" s="8">
        <f t="shared" ca="1" si="255"/>
        <v>0</v>
      </c>
      <c r="K16" s="8">
        <f t="shared" ca="1" si="255"/>
        <v>0</v>
      </c>
      <c r="L16" s="8">
        <f t="shared" ca="1" si="255"/>
        <v>0</v>
      </c>
      <c r="M16" s="8">
        <f t="shared" ca="1" si="255"/>
        <v>0</v>
      </c>
      <c r="N16" s="8">
        <f t="shared" ca="1" si="255"/>
        <v>0</v>
      </c>
      <c r="O16" s="8">
        <f t="shared" ca="1" si="255"/>
        <v>0</v>
      </c>
      <c r="P16" s="431">
        <f t="shared" ca="1" si="255"/>
        <v>0</v>
      </c>
      <c r="Q16" s="8">
        <f t="shared" ref="Q16" ca="1" si="256">P16</f>
        <v>0</v>
      </c>
      <c r="R16" s="8">
        <f t="shared" ref="R16" ca="1" si="257">Q16</f>
        <v>0</v>
      </c>
      <c r="S16" s="8">
        <f t="shared" ref="S16" ca="1" si="258">R16</f>
        <v>0</v>
      </c>
      <c r="T16" s="8">
        <f t="shared" ref="T16" ca="1" si="259">S16</f>
        <v>0</v>
      </c>
      <c r="U16" s="8">
        <f t="shared" ref="U16" ca="1" si="260">T16</f>
        <v>0</v>
      </c>
      <c r="V16" s="8">
        <f t="shared" ref="V16" ca="1" si="261">U16</f>
        <v>0</v>
      </c>
      <c r="W16" s="8">
        <f t="shared" ref="W16" ca="1" si="262">V16</f>
        <v>0</v>
      </c>
      <c r="X16" s="8">
        <f t="shared" ref="X16" ca="1" si="263">W16</f>
        <v>0</v>
      </c>
      <c r="Y16" s="8">
        <f t="shared" ref="Y16" ca="1" si="264">X16</f>
        <v>0</v>
      </c>
      <c r="Z16" s="8">
        <f t="shared" ref="Z16" ca="1" si="265">Y16</f>
        <v>0</v>
      </c>
      <c r="AA16" s="8">
        <f t="shared" ref="AA16" ca="1" si="266">Z16</f>
        <v>0</v>
      </c>
      <c r="AB16" s="8">
        <f t="shared" ref="AB16" ca="1" si="267">AA16</f>
        <v>0</v>
      </c>
      <c r="AC16" s="431">
        <f t="shared" ref="AC16" ca="1" si="268">AB16</f>
        <v>0</v>
      </c>
      <c r="AD16" s="8">
        <f t="shared" ref="AD16" ca="1" si="269">AC16</f>
        <v>0</v>
      </c>
      <c r="AE16" s="8">
        <f t="shared" ref="AE16" ca="1" si="270">AD16</f>
        <v>0</v>
      </c>
      <c r="AF16" s="8">
        <f t="shared" ref="AF16" ca="1" si="271">AE16</f>
        <v>0</v>
      </c>
      <c r="AG16" s="8">
        <f t="shared" ref="AG16" ca="1" si="272">AF16</f>
        <v>0</v>
      </c>
      <c r="AH16" s="8">
        <f t="shared" ref="AH16" ca="1" si="273">AG16</f>
        <v>0</v>
      </c>
      <c r="AI16" s="8">
        <f t="shared" ref="AI16" ca="1" si="274">AH16</f>
        <v>0</v>
      </c>
      <c r="AJ16" s="8">
        <f t="shared" ref="AJ16" ca="1" si="275">AI16</f>
        <v>0</v>
      </c>
      <c r="AK16" s="8">
        <f t="shared" ref="AK16" ca="1" si="276">AJ16</f>
        <v>0</v>
      </c>
      <c r="AL16" s="8">
        <f t="shared" ref="AL16" ca="1" si="277">AK16</f>
        <v>0</v>
      </c>
      <c r="AM16" s="8">
        <f t="shared" ref="AM16" ca="1" si="278">AL16</f>
        <v>0</v>
      </c>
      <c r="AN16" s="8">
        <f t="shared" ref="AN16" ca="1" si="279">AM16</f>
        <v>0</v>
      </c>
      <c r="AO16" s="8">
        <f t="shared" ref="AO16" ca="1" si="280">AN16</f>
        <v>0</v>
      </c>
      <c r="AP16" s="431">
        <f t="shared" ref="AP16" ca="1" si="281">AO16</f>
        <v>0</v>
      </c>
      <c r="AQ16" s="8">
        <f ca="1">AP16</f>
        <v>0</v>
      </c>
      <c r="AR16" s="8">
        <f t="shared" ref="AR16" ca="1" si="282">AQ16</f>
        <v>0</v>
      </c>
      <c r="AS16" s="8">
        <f t="shared" ref="AS16" ca="1" si="283">AR16</f>
        <v>0</v>
      </c>
      <c r="AT16" s="8">
        <f t="shared" ref="AT16" ca="1" si="284">AS16</f>
        <v>0</v>
      </c>
      <c r="AU16" s="8">
        <f t="shared" ref="AU16" ca="1" si="285">AT16</f>
        <v>0</v>
      </c>
      <c r="AV16" s="8">
        <f t="shared" ref="AV16" ca="1" si="286">AU16</f>
        <v>0</v>
      </c>
      <c r="AW16" s="8">
        <f t="shared" ref="AW16" ca="1" si="287">AV16</f>
        <v>0</v>
      </c>
      <c r="AX16" s="8">
        <f t="shared" ref="AX16" ca="1" si="288">AW16</f>
        <v>0</v>
      </c>
      <c r="AY16" s="8">
        <f t="shared" ref="AY16" ca="1" si="289">AX16</f>
        <v>0</v>
      </c>
      <c r="AZ16" s="8">
        <f t="shared" ref="AZ16" ca="1" si="290">AY16</f>
        <v>0</v>
      </c>
      <c r="BA16" s="8">
        <f t="shared" ref="BA16" ca="1" si="291">AZ16</f>
        <v>0</v>
      </c>
      <c r="BB16" s="8">
        <f t="shared" ref="BB16" ca="1" si="292">BA16</f>
        <v>0</v>
      </c>
      <c r="BC16" s="431">
        <f t="shared" ref="BC16" ca="1" si="293">BB16</f>
        <v>0</v>
      </c>
      <c r="BD16" s="8">
        <f t="shared" ref="BD16" ca="1" si="294">BC16</f>
        <v>0</v>
      </c>
      <c r="BE16" s="8">
        <f t="shared" ref="BE16" ca="1" si="295">BD16</f>
        <v>0</v>
      </c>
      <c r="BF16" s="8">
        <f t="shared" ref="BF16" ca="1" si="296">BE16</f>
        <v>0</v>
      </c>
      <c r="BG16" s="8">
        <f t="shared" ref="BG16" ca="1" si="297">BF16</f>
        <v>0</v>
      </c>
      <c r="BH16" s="8">
        <f t="shared" ref="BH16" ca="1" si="298">BG16</f>
        <v>0</v>
      </c>
      <c r="BI16" s="8">
        <f t="shared" ref="BI16" ca="1" si="299">BH16</f>
        <v>0</v>
      </c>
      <c r="BJ16" s="8">
        <f t="shared" ref="BJ16" ca="1" si="300">BI16</f>
        <v>0</v>
      </c>
      <c r="BK16" s="8">
        <f t="shared" ref="BK16" ca="1" si="301">BJ16</f>
        <v>0</v>
      </c>
      <c r="BL16" s="8">
        <f t="shared" ref="BL16" ca="1" si="302">BK16</f>
        <v>0</v>
      </c>
      <c r="BM16" s="8">
        <f t="shared" ref="BM16" ca="1" si="303">BL16</f>
        <v>0</v>
      </c>
      <c r="BN16" s="8">
        <f t="shared" ref="BN16" ca="1" si="304">BM16</f>
        <v>0</v>
      </c>
      <c r="BO16" s="8">
        <f t="shared" ref="BO16" ca="1" si="305">BN16</f>
        <v>0</v>
      </c>
      <c r="BP16" s="431">
        <f t="shared" ref="BP16" ca="1" si="306">BO16</f>
        <v>0</v>
      </c>
      <c r="BQ16" s="8">
        <f t="shared" ref="BQ16" ca="1" si="307">BP16</f>
        <v>0</v>
      </c>
      <c r="BR16" s="8">
        <f t="shared" ref="BR16" ca="1" si="308">BQ16</f>
        <v>0</v>
      </c>
      <c r="BS16" s="8">
        <f t="shared" ref="BS16" ca="1" si="309">BR16</f>
        <v>0</v>
      </c>
      <c r="BT16" s="8">
        <f t="shared" ref="BT16" ca="1" si="310">BS16</f>
        <v>0</v>
      </c>
      <c r="BU16" s="8">
        <f t="shared" ref="BU16" ca="1" si="311">BT16</f>
        <v>0</v>
      </c>
      <c r="BV16" s="8">
        <f t="shared" ref="BV16" ca="1" si="312">BU16</f>
        <v>0</v>
      </c>
      <c r="BW16" s="8">
        <f t="shared" ref="BW16" ca="1" si="313">BV16</f>
        <v>0</v>
      </c>
      <c r="BX16" s="8">
        <f t="shared" ref="BX16" ca="1" si="314">BW16</f>
        <v>0</v>
      </c>
      <c r="BY16" s="8">
        <f t="shared" ref="BY16" ca="1" si="315">BX16</f>
        <v>0</v>
      </c>
      <c r="BZ16" s="8">
        <f t="shared" ref="BZ16" ca="1" si="316">BY16</f>
        <v>0</v>
      </c>
      <c r="CA16" s="8">
        <f t="shared" ref="CA16" ca="1" si="317">BZ16</f>
        <v>0</v>
      </c>
      <c r="CB16" s="8">
        <f t="shared" ref="CB16" ca="1" si="318">CA16</f>
        <v>0</v>
      </c>
      <c r="CC16" s="431">
        <f t="shared" ref="CC16" ca="1" si="319">CB16</f>
        <v>0</v>
      </c>
      <c r="CD16" s="8">
        <f t="shared" ref="CD16" ca="1" si="320">CC16</f>
        <v>0</v>
      </c>
      <c r="CE16" s="8">
        <f t="shared" ref="CE16" ca="1" si="321">CD16</f>
        <v>0</v>
      </c>
      <c r="CF16" s="8">
        <f t="shared" ref="CF16" ca="1" si="322">CE16</f>
        <v>0</v>
      </c>
      <c r="CG16" s="8">
        <f t="shared" ref="CG16" ca="1" si="323">CF16</f>
        <v>0</v>
      </c>
      <c r="CH16" s="8">
        <f t="shared" ref="CH16" ca="1" si="324">CG16</f>
        <v>0</v>
      </c>
      <c r="CI16" s="8">
        <f t="shared" ref="CI16" ca="1" si="325">CH16</f>
        <v>0</v>
      </c>
      <c r="CJ16" s="8">
        <f t="shared" ref="CJ16" ca="1" si="326">CI16</f>
        <v>0</v>
      </c>
      <c r="CK16" s="8">
        <f t="shared" ref="CK16" ca="1" si="327">CJ16</f>
        <v>0</v>
      </c>
      <c r="CL16" s="8">
        <f t="shared" ref="CL16" ca="1" si="328">CK16</f>
        <v>0</v>
      </c>
      <c r="CM16" s="8">
        <f t="shared" ref="CM16" ca="1" si="329">CL16</f>
        <v>0</v>
      </c>
      <c r="CN16" s="8">
        <f t="shared" ref="CN16" ca="1" si="330">CM16</f>
        <v>0</v>
      </c>
      <c r="CO16" s="8">
        <f t="shared" ref="CO16" ca="1" si="331">CN16</f>
        <v>0</v>
      </c>
      <c r="CP16" s="431">
        <f t="shared" ref="CP16" ca="1" si="332">CO16</f>
        <v>0</v>
      </c>
    </row>
    <row r="17" spans="1:94" ht="20.100000000000001" hidden="1" customHeight="1">
      <c r="A17" s="791"/>
      <c r="B17" s="248" t="s">
        <v>611</v>
      </c>
      <c r="C17" s="249">
        <f t="shared" ref="C17:O17" ca="1" si="333">C15*C16</f>
        <v>0</v>
      </c>
      <c r="D17" s="248">
        <f t="shared" ca="1" si="333"/>
        <v>0</v>
      </c>
      <c r="E17" s="248">
        <f t="shared" ca="1" si="333"/>
        <v>0</v>
      </c>
      <c r="F17" s="248">
        <f t="shared" ca="1" si="333"/>
        <v>0</v>
      </c>
      <c r="G17" s="248">
        <f t="shared" ca="1" si="333"/>
        <v>0</v>
      </c>
      <c r="H17" s="248">
        <f t="shared" ca="1" si="333"/>
        <v>0</v>
      </c>
      <c r="I17" s="248">
        <f t="shared" ca="1" si="333"/>
        <v>0</v>
      </c>
      <c r="J17" s="248">
        <f t="shared" ca="1" si="333"/>
        <v>0</v>
      </c>
      <c r="K17" s="248">
        <f t="shared" ca="1" si="333"/>
        <v>0</v>
      </c>
      <c r="L17" s="248">
        <f t="shared" ca="1" si="333"/>
        <v>0</v>
      </c>
      <c r="M17" s="248">
        <f t="shared" ca="1" si="333"/>
        <v>0</v>
      </c>
      <c r="N17" s="248">
        <f t="shared" ca="1" si="333"/>
        <v>0</v>
      </c>
      <c r="O17" s="248">
        <f t="shared" ca="1" si="333"/>
        <v>0</v>
      </c>
      <c r="P17" s="432">
        <f ca="1">SUM(D17:O17)</f>
        <v>0</v>
      </c>
      <c r="Q17" s="248">
        <f t="shared" ref="Q17:AB17" ca="1" si="334">Q15*Q16</f>
        <v>0</v>
      </c>
      <c r="R17" s="248">
        <f t="shared" ca="1" si="334"/>
        <v>0</v>
      </c>
      <c r="S17" s="248">
        <f t="shared" ca="1" si="334"/>
        <v>0</v>
      </c>
      <c r="T17" s="248">
        <f t="shared" ca="1" si="334"/>
        <v>0</v>
      </c>
      <c r="U17" s="248">
        <f t="shared" ca="1" si="334"/>
        <v>0</v>
      </c>
      <c r="V17" s="248">
        <f t="shared" ca="1" si="334"/>
        <v>0</v>
      </c>
      <c r="W17" s="248">
        <f t="shared" ca="1" si="334"/>
        <v>0</v>
      </c>
      <c r="X17" s="248">
        <f t="shared" ca="1" si="334"/>
        <v>0</v>
      </c>
      <c r="Y17" s="248">
        <f t="shared" ca="1" si="334"/>
        <v>0</v>
      </c>
      <c r="Z17" s="248">
        <f t="shared" ca="1" si="334"/>
        <v>0</v>
      </c>
      <c r="AA17" s="248">
        <f t="shared" ca="1" si="334"/>
        <v>0</v>
      </c>
      <c r="AB17" s="248">
        <f t="shared" ca="1" si="334"/>
        <v>0</v>
      </c>
      <c r="AC17" s="432">
        <f ca="1">SUM(Q17:AB17)</f>
        <v>0</v>
      </c>
      <c r="AD17" s="248">
        <f t="shared" ref="AD17:AO17" ca="1" si="335">AD15*AD16</f>
        <v>0</v>
      </c>
      <c r="AE17" s="248">
        <f t="shared" ca="1" si="335"/>
        <v>0</v>
      </c>
      <c r="AF17" s="248">
        <f t="shared" ca="1" si="335"/>
        <v>0</v>
      </c>
      <c r="AG17" s="248">
        <f t="shared" ca="1" si="335"/>
        <v>0</v>
      </c>
      <c r="AH17" s="248">
        <f t="shared" ca="1" si="335"/>
        <v>0</v>
      </c>
      <c r="AI17" s="248">
        <f t="shared" ca="1" si="335"/>
        <v>0</v>
      </c>
      <c r="AJ17" s="248">
        <f t="shared" ca="1" si="335"/>
        <v>0</v>
      </c>
      <c r="AK17" s="248">
        <f t="shared" ca="1" si="335"/>
        <v>0</v>
      </c>
      <c r="AL17" s="248">
        <f t="shared" ca="1" si="335"/>
        <v>0</v>
      </c>
      <c r="AM17" s="248">
        <f t="shared" ca="1" si="335"/>
        <v>0</v>
      </c>
      <c r="AN17" s="248">
        <f t="shared" ca="1" si="335"/>
        <v>0</v>
      </c>
      <c r="AO17" s="248">
        <f t="shared" ca="1" si="335"/>
        <v>0</v>
      </c>
      <c r="AP17" s="432">
        <f ca="1">SUM(AD17:AO17)</f>
        <v>0</v>
      </c>
      <c r="AQ17" s="248">
        <f t="shared" ref="AQ17:BB17" ca="1" si="336">AQ15*AQ16</f>
        <v>0</v>
      </c>
      <c r="AR17" s="248">
        <f t="shared" ca="1" si="336"/>
        <v>0</v>
      </c>
      <c r="AS17" s="248">
        <f t="shared" ca="1" si="336"/>
        <v>0</v>
      </c>
      <c r="AT17" s="248">
        <f t="shared" ca="1" si="336"/>
        <v>0</v>
      </c>
      <c r="AU17" s="248">
        <f t="shared" ca="1" si="336"/>
        <v>0</v>
      </c>
      <c r="AV17" s="248">
        <f t="shared" ca="1" si="336"/>
        <v>0</v>
      </c>
      <c r="AW17" s="248">
        <f t="shared" ca="1" si="336"/>
        <v>0</v>
      </c>
      <c r="AX17" s="248">
        <f t="shared" ca="1" si="336"/>
        <v>0</v>
      </c>
      <c r="AY17" s="248">
        <f t="shared" ca="1" si="336"/>
        <v>0</v>
      </c>
      <c r="AZ17" s="248">
        <f t="shared" ca="1" si="336"/>
        <v>0</v>
      </c>
      <c r="BA17" s="248">
        <f t="shared" ca="1" si="336"/>
        <v>0</v>
      </c>
      <c r="BB17" s="248">
        <f t="shared" ca="1" si="336"/>
        <v>0</v>
      </c>
      <c r="BC17" s="432">
        <f ca="1">SUM(AQ17:BB17)</f>
        <v>0</v>
      </c>
      <c r="BD17" s="248">
        <f t="shared" ref="BD17:BO17" ca="1" si="337">BD15*BD16</f>
        <v>0</v>
      </c>
      <c r="BE17" s="248">
        <f t="shared" ca="1" si="337"/>
        <v>0</v>
      </c>
      <c r="BF17" s="248">
        <f t="shared" ca="1" si="337"/>
        <v>0</v>
      </c>
      <c r="BG17" s="248">
        <f t="shared" ca="1" si="337"/>
        <v>0</v>
      </c>
      <c r="BH17" s="248">
        <f t="shared" ca="1" si="337"/>
        <v>0</v>
      </c>
      <c r="BI17" s="248">
        <f t="shared" ca="1" si="337"/>
        <v>0</v>
      </c>
      <c r="BJ17" s="248">
        <f t="shared" ca="1" si="337"/>
        <v>0</v>
      </c>
      <c r="BK17" s="248">
        <f t="shared" ca="1" si="337"/>
        <v>0</v>
      </c>
      <c r="BL17" s="248">
        <f t="shared" ca="1" si="337"/>
        <v>0</v>
      </c>
      <c r="BM17" s="248">
        <f t="shared" ca="1" si="337"/>
        <v>0</v>
      </c>
      <c r="BN17" s="248">
        <f t="shared" ca="1" si="337"/>
        <v>0</v>
      </c>
      <c r="BO17" s="248">
        <f t="shared" ca="1" si="337"/>
        <v>0</v>
      </c>
      <c r="BP17" s="432">
        <f ca="1">SUM(BD17:BO17)</f>
        <v>0</v>
      </c>
      <c r="BQ17" s="248">
        <f t="shared" ref="BQ17:CB17" ca="1" si="338">BQ15*BQ16</f>
        <v>0</v>
      </c>
      <c r="BR17" s="248">
        <f t="shared" ca="1" si="338"/>
        <v>0</v>
      </c>
      <c r="BS17" s="248">
        <f t="shared" ca="1" si="338"/>
        <v>0</v>
      </c>
      <c r="BT17" s="248">
        <f t="shared" ca="1" si="338"/>
        <v>0</v>
      </c>
      <c r="BU17" s="248">
        <f t="shared" ca="1" si="338"/>
        <v>0</v>
      </c>
      <c r="BV17" s="248">
        <f t="shared" ca="1" si="338"/>
        <v>0</v>
      </c>
      <c r="BW17" s="248">
        <f t="shared" ca="1" si="338"/>
        <v>0</v>
      </c>
      <c r="BX17" s="248">
        <f t="shared" ca="1" si="338"/>
        <v>0</v>
      </c>
      <c r="BY17" s="248">
        <f t="shared" ca="1" si="338"/>
        <v>0</v>
      </c>
      <c r="BZ17" s="248">
        <f t="shared" ca="1" si="338"/>
        <v>0</v>
      </c>
      <c r="CA17" s="248">
        <f t="shared" ca="1" si="338"/>
        <v>0</v>
      </c>
      <c r="CB17" s="248">
        <f t="shared" ca="1" si="338"/>
        <v>0</v>
      </c>
      <c r="CC17" s="432">
        <f ca="1">SUM(BQ17:CB17)</f>
        <v>0</v>
      </c>
      <c r="CD17" s="248">
        <f t="shared" ref="CD17:CO17" ca="1" si="339">CD15*CD16</f>
        <v>0</v>
      </c>
      <c r="CE17" s="248">
        <f t="shared" ca="1" si="339"/>
        <v>0</v>
      </c>
      <c r="CF17" s="248">
        <f t="shared" ca="1" si="339"/>
        <v>0</v>
      </c>
      <c r="CG17" s="248">
        <f t="shared" ca="1" si="339"/>
        <v>0</v>
      </c>
      <c r="CH17" s="248">
        <f t="shared" ca="1" si="339"/>
        <v>0</v>
      </c>
      <c r="CI17" s="248">
        <f t="shared" ca="1" si="339"/>
        <v>0</v>
      </c>
      <c r="CJ17" s="248">
        <f t="shared" ca="1" si="339"/>
        <v>0</v>
      </c>
      <c r="CK17" s="248">
        <f t="shared" ca="1" si="339"/>
        <v>0</v>
      </c>
      <c r="CL17" s="248">
        <f t="shared" ca="1" si="339"/>
        <v>0</v>
      </c>
      <c r="CM17" s="248">
        <f t="shared" ca="1" si="339"/>
        <v>0</v>
      </c>
      <c r="CN17" s="248">
        <f t="shared" ca="1" si="339"/>
        <v>0</v>
      </c>
      <c r="CO17" s="248">
        <f t="shared" ca="1" si="339"/>
        <v>0</v>
      </c>
      <c r="CP17" s="432">
        <f ca="1">SUM(CD17:CO17)</f>
        <v>0</v>
      </c>
    </row>
    <row r="18" spans="1:94" ht="20.100000000000001" hidden="1" customHeight="1">
      <c r="A18" s="789">
        <f ca="1">OFFSET('Summary. Assumptions. Inputs'!$A$45,'Internmediate sheet'!A17/3,0)</f>
        <v>0</v>
      </c>
      <c r="B18" s="17" t="s">
        <v>609</v>
      </c>
      <c r="C18" s="18"/>
      <c r="D18" s="17">
        <f ca="1">OFFSET('Sales, Production, &amp; Other Assu'!D$18,'Internmediate sheet'!$A17/3,0)*Capacity</f>
        <v>0</v>
      </c>
      <c r="E18" s="17">
        <f ca="1">OFFSET('Sales, Production, &amp; Other Assu'!E$18,'Internmediate sheet'!$A17/3,0)*Capacity</f>
        <v>0</v>
      </c>
      <c r="F18" s="17">
        <f ca="1">OFFSET('Sales, Production, &amp; Other Assu'!F$18,'Internmediate sheet'!$A17/3,0)*Capacity</f>
        <v>0</v>
      </c>
      <c r="G18" s="17">
        <f ca="1">OFFSET('Sales, Production, &amp; Other Assu'!G$18,'Internmediate sheet'!$A17/3,0)*Capacity</f>
        <v>0</v>
      </c>
      <c r="H18" s="17">
        <f ca="1">OFFSET('Sales, Production, &amp; Other Assu'!H$18,'Internmediate sheet'!$A17/3,0)*Capacity</f>
        <v>0</v>
      </c>
      <c r="I18" s="17">
        <f ca="1">OFFSET('Sales, Production, &amp; Other Assu'!I$18,'Internmediate sheet'!$A17/3,0)*Capacity</f>
        <v>0</v>
      </c>
      <c r="J18" s="17">
        <f ca="1">OFFSET('Sales, Production, &amp; Other Assu'!J$18,'Internmediate sheet'!$A17/3,0)*Capacity</f>
        <v>0</v>
      </c>
      <c r="K18" s="17">
        <f ca="1">OFFSET('Sales, Production, &amp; Other Assu'!K$18,'Internmediate sheet'!$A17/3,0)*Capacity</f>
        <v>0</v>
      </c>
      <c r="L18" s="17">
        <f ca="1">OFFSET('Sales, Production, &amp; Other Assu'!L$18,'Internmediate sheet'!$A17/3,0)*Capacity</f>
        <v>0</v>
      </c>
      <c r="M18" s="17">
        <f ca="1">OFFSET('Sales, Production, &amp; Other Assu'!M$18,'Internmediate sheet'!$A17/3,0)*Capacity</f>
        <v>0</v>
      </c>
      <c r="N18" s="17">
        <f ca="1">OFFSET('Sales, Production, &amp; Other Assu'!N$18,'Internmediate sheet'!$A17/3,0)*Capacity</f>
        <v>0</v>
      </c>
      <c r="O18" s="17">
        <f ca="1">OFFSET('Sales, Production, &amp; Other Assu'!O$18,'Internmediate sheet'!$A17/3,0)*Capacity</f>
        <v>0</v>
      </c>
      <c r="P18" s="430">
        <f ca="1">SUM(D18:O18)</f>
        <v>0</v>
      </c>
      <c r="Q18" s="17">
        <f ca="1">OFFSET('Sales, Production, &amp; Other Assu'!Q$18,'Internmediate sheet'!$A17/3,0)*Capacity</f>
        <v>0</v>
      </c>
      <c r="R18" s="17">
        <f ca="1">OFFSET('Sales, Production, &amp; Other Assu'!R$18,'Internmediate sheet'!$A17/3,0)*Capacity</f>
        <v>0</v>
      </c>
      <c r="S18" s="17">
        <f ca="1">OFFSET('Sales, Production, &amp; Other Assu'!S$18,'Internmediate sheet'!$A17/3,0)*Capacity</f>
        <v>0</v>
      </c>
      <c r="T18" s="17">
        <f ca="1">OFFSET('Sales, Production, &amp; Other Assu'!T$18,'Internmediate sheet'!$A17/3,0)*Capacity</f>
        <v>0</v>
      </c>
      <c r="U18" s="17">
        <f ca="1">OFFSET('Sales, Production, &amp; Other Assu'!U$18,'Internmediate sheet'!$A17/3,0)*Capacity</f>
        <v>0</v>
      </c>
      <c r="V18" s="17">
        <f ca="1">OFFSET('Sales, Production, &amp; Other Assu'!V$18,'Internmediate sheet'!$A17/3,0)*Capacity</f>
        <v>0</v>
      </c>
      <c r="W18" s="17">
        <f ca="1">OFFSET('Sales, Production, &amp; Other Assu'!W$18,'Internmediate sheet'!$A17/3,0)*Capacity</f>
        <v>0</v>
      </c>
      <c r="X18" s="17">
        <f ca="1">OFFSET('Sales, Production, &amp; Other Assu'!X$18,'Internmediate sheet'!$A17/3,0)*Capacity</f>
        <v>0</v>
      </c>
      <c r="Y18" s="17">
        <f ca="1">OFFSET('Sales, Production, &amp; Other Assu'!Y$18,'Internmediate sheet'!$A17/3,0)*Capacity</f>
        <v>0</v>
      </c>
      <c r="Z18" s="17">
        <f ca="1">OFFSET('Sales, Production, &amp; Other Assu'!Z$18,'Internmediate sheet'!$A17/3,0)*Capacity</f>
        <v>0</v>
      </c>
      <c r="AA18" s="17">
        <f ca="1">OFFSET('Sales, Production, &amp; Other Assu'!AA$18,'Internmediate sheet'!$A17/3,0)*Capacity</f>
        <v>0</v>
      </c>
      <c r="AB18" s="17">
        <f ca="1">OFFSET('Sales, Production, &amp; Other Assu'!AB$18,'Internmediate sheet'!$A17/3,0)*Capacity</f>
        <v>0</v>
      </c>
      <c r="AC18" s="430">
        <f ca="1">SUM(Q18:AB18)</f>
        <v>0</v>
      </c>
      <c r="AD18" s="17">
        <f ca="1">OFFSET('Sales, Production, &amp; Other Assu'!AD$18,'Internmediate sheet'!$A17/3,0)*Capacity</f>
        <v>0</v>
      </c>
      <c r="AE18" s="17">
        <f ca="1">OFFSET('Sales, Production, &amp; Other Assu'!AE$18,'Internmediate sheet'!$A17/3,0)*Capacity</f>
        <v>0</v>
      </c>
      <c r="AF18" s="17">
        <f ca="1">OFFSET('Sales, Production, &amp; Other Assu'!AF$18,'Internmediate sheet'!$A17/3,0)*Capacity</f>
        <v>0</v>
      </c>
      <c r="AG18" s="17">
        <f ca="1">OFFSET('Sales, Production, &amp; Other Assu'!AG$18,'Internmediate sheet'!$A17/3,0)*Capacity</f>
        <v>0</v>
      </c>
      <c r="AH18" s="17">
        <f ca="1">OFFSET('Sales, Production, &amp; Other Assu'!AH$18,'Internmediate sheet'!$A17/3,0)*Capacity</f>
        <v>0</v>
      </c>
      <c r="AI18" s="17">
        <f ca="1">OFFSET('Sales, Production, &amp; Other Assu'!AI$18,'Internmediate sheet'!$A17/3,0)*Capacity</f>
        <v>0</v>
      </c>
      <c r="AJ18" s="17">
        <f ca="1">OFFSET('Sales, Production, &amp; Other Assu'!AJ$18,'Internmediate sheet'!$A17/3,0)*Capacity</f>
        <v>0</v>
      </c>
      <c r="AK18" s="17">
        <f ca="1">OFFSET('Sales, Production, &amp; Other Assu'!AK$18,'Internmediate sheet'!$A17/3,0)*Capacity</f>
        <v>0</v>
      </c>
      <c r="AL18" s="17">
        <f ca="1">OFFSET('Sales, Production, &amp; Other Assu'!AL$18,'Internmediate sheet'!$A17/3,0)*Capacity</f>
        <v>0</v>
      </c>
      <c r="AM18" s="17">
        <f ca="1">OFFSET('Sales, Production, &amp; Other Assu'!AM$18,'Internmediate sheet'!$A17/3,0)*Capacity</f>
        <v>0</v>
      </c>
      <c r="AN18" s="17">
        <f ca="1">OFFSET('Sales, Production, &amp; Other Assu'!AN$18,'Internmediate sheet'!$A17/3,0)*Capacity</f>
        <v>0</v>
      </c>
      <c r="AO18" s="17">
        <f ca="1">OFFSET('Sales, Production, &amp; Other Assu'!AO$18,'Internmediate sheet'!$A17/3,0)*Capacity</f>
        <v>0</v>
      </c>
      <c r="AP18" s="430">
        <f ca="1">SUM(AD18:AO18)</f>
        <v>0</v>
      </c>
      <c r="AQ18" s="17">
        <f ca="1">OFFSET('Sales, Production, &amp; Other Assu'!AQ$18,'Internmediate sheet'!$A17/3,0)*Capacity</f>
        <v>0</v>
      </c>
      <c r="AR18" s="17">
        <f ca="1">OFFSET('Sales, Production, &amp; Other Assu'!AR$18,'Internmediate sheet'!$A17/3,0)*Capacity</f>
        <v>0</v>
      </c>
      <c r="AS18" s="17">
        <f ca="1">OFFSET('Sales, Production, &amp; Other Assu'!AS$18,'Internmediate sheet'!$A17/3,0)*Capacity</f>
        <v>0</v>
      </c>
      <c r="AT18" s="17">
        <f ca="1">OFFSET('Sales, Production, &amp; Other Assu'!AT$18,'Internmediate sheet'!$A17/3,0)*Capacity</f>
        <v>0</v>
      </c>
      <c r="AU18" s="17">
        <f ca="1">OFFSET('Sales, Production, &amp; Other Assu'!AU$18,'Internmediate sheet'!$A17/3,0)*Capacity</f>
        <v>0</v>
      </c>
      <c r="AV18" s="17">
        <f ca="1">OFFSET('Sales, Production, &amp; Other Assu'!AV$18,'Internmediate sheet'!$A17/3,0)*Capacity</f>
        <v>0</v>
      </c>
      <c r="AW18" s="17">
        <f ca="1">OFFSET('Sales, Production, &amp; Other Assu'!AW$18,'Internmediate sheet'!$A17/3,0)*Capacity</f>
        <v>0</v>
      </c>
      <c r="AX18" s="17">
        <f ca="1">OFFSET('Sales, Production, &amp; Other Assu'!AX$18,'Internmediate sheet'!$A17/3,0)*Capacity</f>
        <v>0</v>
      </c>
      <c r="AY18" s="17">
        <f ca="1">OFFSET('Sales, Production, &amp; Other Assu'!AY$18,'Internmediate sheet'!$A17/3,0)*Capacity</f>
        <v>0</v>
      </c>
      <c r="AZ18" s="17">
        <f ca="1">OFFSET('Sales, Production, &amp; Other Assu'!AZ$18,'Internmediate sheet'!$A17/3,0)*Capacity</f>
        <v>0</v>
      </c>
      <c r="BA18" s="17">
        <f ca="1">OFFSET('Sales, Production, &amp; Other Assu'!BA$18,'Internmediate sheet'!$A17/3,0)*Capacity</f>
        <v>0</v>
      </c>
      <c r="BB18" s="17">
        <f ca="1">OFFSET('Sales, Production, &amp; Other Assu'!BB$18,'Internmediate sheet'!$A17/3,0)*Capacity</f>
        <v>0</v>
      </c>
      <c r="BC18" s="430">
        <f ca="1">SUM(AQ18:BB18)</f>
        <v>0</v>
      </c>
      <c r="BD18" s="17">
        <f ca="1">OFFSET('Sales, Production, &amp; Other Assu'!BD$18,'Internmediate sheet'!$A17/3,0)*Capacity</f>
        <v>0</v>
      </c>
      <c r="BE18" s="17">
        <f ca="1">OFFSET('Sales, Production, &amp; Other Assu'!BE$18,'Internmediate sheet'!$A17/3,0)*Capacity</f>
        <v>0</v>
      </c>
      <c r="BF18" s="17">
        <f ca="1">OFFSET('Sales, Production, &amp; Other Assu'!BF$18,'Internmediate sheet'!$A17/3,0)*Capacity</f>
        <v>0</v>
      </c>
      <c r="BG18" s="17">
        <f ca="1">OFFSET('Sales, Production, &amp; Other Assu'!BG$18,'Internmediate sheet'!$A17/3,0)*Capacity</f>
        <v>0</v>
      </c>
      <c r="BH18" s="17">
        <f ca="1">OFFSET('Sales, Production, &amp; Other Assu'!BH$18,'Internmediate sheet'!$A17/3,0)*Capacity</f>
        <v>0</v>
      </c>
      <c r="BI18" s="17">
        <f ca="1">OFFSET('Sales, Production, &amp; Other Assu'!BI$18,'Internmediate sheet'!$A17/3,0)*Capacity</f>
        <v>0</v>
      </c>
      <c r="BJ18" s="17">
        <f ca="1">OFFSET('Sales, Production, &amp; Other Assu'!BJ$18,'Internmediate sheet'!$A17/3,0)*Capacity</f>
        <v>0</v>
      </c>
      <c r="BK18" s="17">
        <f ca="1">OFFSET('Sales, Production, &amp; Other Assu'!BK$18,'Internmediate sheet'!$A17/3,0)*Capacity</f>
        <v>0</v>
      </c>
      <c r="BL18" s="17">
        <f ca="1">OFFSET('Sales, Production, &amp; Other Assu'!BL$18,'Internmediate sheet'!$A17/3,0)*Capacity</f>
        <v>0</v>
      </c>
      <c r="BM18" s="17">
        <f ca="1">OFFSET('Sales, Production, &amp; Other Assu'!BM$18,'Internmediate sheet'!$A17/3,0)*Capacity</f>
        <v>0</v>
      </c>
      <c r="BN18" s="17">
        <f ca="1">OFFSET('Sales, Production, &amp; Other Assu'!BN$18,'Internmediate sheet'!$A17/3,0)*Capacity</f>
        <v>0</v>
      </c>
      <c r="BO18" s="17">
        <f ca="1">OFFSET('Sales, Production, &amp; Other Assu'!BO$18,'Internmediate sheet'!$A17/3,0)*Capacity</f>
        <v>0</v>
      </c>
      <c r="BP18" s="430">
        <f ca="1">SUM(BD18:BO18)</f>
        <v>0</v>
      </c>
      <c r="BQ18" s="17">
        <f ca="1">OFFSET('Sales, Production, &amp; Other Assu'!BQ$18,'Internmediate sheet'!$A17/3,0)*Capacity</f>
        <v>0</v>
      </c>
      <c r="BR18" s="17">
        <f ca="1">OFFSET('Sales, Production, &amp; Other Assu'!BR$18,'Internmediate sheet'!$A17/3,0)*Capacity</f>
        <v>0</v>
      </c>
      <c r="BS18" s="17">
        <f ca="1">OFFSET('Sales, Production, &amp; Other Assu'!BS$18,'Internmediate sheet'!$A17/3,0)*Capacity</f>
        <v>0</v>
      </c>
      <c r="BT18" s="17">
        <f ca="1">OFFSET('Sales, Production, &amp; Other Assu'!BT$18,'Internmediate sheet'!$A17/3,0)*Capacity</f>
        <v>0</v>
      </c>
      <c r="BU18" s="17">
        <f ca="1">OFFSET('Sales, Production, &amp; Other Assu'!BU$18,'Internmediate sheet'!$A17/3,0)*Capacity</f>
        <v>0</v>
      </c>
      <c r="BV18" s="17">
        <f ca="1">OFFSET('Sales, Production, &amp; Other Assu'!BV$18,'Internmediate sheet'!$A17/3,0)*Capacity</f>
        <v>0</v>
      </c>
      <c r="BW18" s="17">
        <f ca="1">OFFSET('Sales, Production, &amp; Other Assu'!BW$18,'Internmediate sheet'!$A17/3,0)*Capacity</f>
        <v>0</v>
      </c>
      <c r="BX18" s="17">
        <f ca="1">OFFSET('Sales, Production, &amp; Other Assu'!BX$18,'Internmediate sheet'!$A17/3,0)*Capacity</f>
        <v>0</v>
      </c>
      <c r="BY18" s="17">
        <f ca="1">OFFSET('Sales, Production, &amp; Other Assu'!BY$18,'Internmediate sheet'!$A17/3,0)*Capacity</f>
        <v>0</v>
      </c>
      <c r="BZ18" s="17">
        <f ca="1">OFFSET('Sales, Production, &amp; Other Assu'!BZ$18,'Internmediate sheet'!$A17/3,0)*Capacity</f>
        <v>0</v>
      </c>
      <c r="CA18" s="17">
        <f ca="1">OFFSET('Sales, Production, &amp; Other Assu'!CA$18,'Internmediate sheet'!$A17/3,0)*Capacity</f>
        <v>0</v>
      </c>
      <c r="CB18" s="17">
        <f ca="1">OFFSET('Sales, Production, &amp; Other Assu'!CB$18,'Internmediate sheet'!$A17/3,0)*Capacity</f>
        <v>0</v>
      </c>
      <c r="CC18" s="430">
        <f ca="1">SUM(BQ18:CB18)</f>
        <v>0</v>
      </c>
      <c r="CD18" s="17">
        <f ca="1">OFFSET('Sales, Production, &amp; Other Assu'!CD$18,'Internmediate sheet'!$A17/3,0)*Capacity</f>
        <v>0</v>
      </c>
      <c r="CE18" s="17">
        <f ca="1">OFFSET('Sales, Production, &amp; Other Assu'!CE$18,'Internmediate sheet'!$A17/3,0)*Capacity</f>
        <v>0</v>
      </c>
      <c r="CF18" s="17">
        <f ca="1">OFFSET('Sales, Production, &amp; Other Assu'!CF$18,'Internmediate sheet'!$A17/3,0)*Capacity</f>
        <v>0</v>
      </c>
      <c r="CG18" s="17">
        <f ca="1">OFFSET('Sales, Production, &amp; Other Assu'!CG$18,'Internmediate sheet'!$A17/3,0)*Capacity</f>
        <v>0</v>
      </c>
      <c r="CH18" s="17">
        <f ca="1">OFFSET('Sales, Production, &amp; Other Assu'!CH$18,'Internmediate sheet'!$A17/3,0)*Capacity</f>
        <v>0</v>
      </c>
      <c r="CI18" s="17">
        <f ca="1">OFFSET('Sales, Production, &amp; Other Assu'!CI$18,'Internmediate sheet'!$A17/3,0)*Capacity</f>
        <v>0</v>
      </c>
      <c r="CJ18" s="17">
        <f ca="1">OFFSET('Sales, Production, &amp; Other Assu'!CJ$18,'Internmediate sheet'!$A17/3,0)*Capacity</f>
        <v>0</v>
      </c>
      <c r="CK18" s="17">
        <f ca="1">OFFSET('Sales, Production, &amp; Other Assu'!CK$18,'Internmediate sheet'!$A17/3,0)*Capacity</f>
        <v>0</v>
      </c>
      <c r="CL18" s="17">
        <f ca="1">OFFSET('Sales, Production, &amp; Other Assu'!CL$18,'Internmediate sheet'!$A17/3,0)*Capacity</f>
        <v>0</v>
      </c>
      <c r="CM18" s="17">
        <f ca="1">OFFSET('Sales, Production, &amp; Other Assu'!CM$18,'Internmediate sheet'!$A17/3,0)*Capacity</f>
        <v>0</v>
      </c>
      <c r="CN18" s="17">
        <f ca="1">OFFSET('Sales, Production, &amp; Other Assu'!CN$18,'Internmediate sheet'!$A17/3,0)*Capacity</f>
        <v>0</v>
      </c>
      <c r="CO18" s="17">
        <f ca="1">OFFSET('Sales, Production, &amp; Other Assu'!CO$18,'Internmediate sheet'!$A17/3,0)*Capacity</f>
        <v>0</v>
      </c>
      <c r="CP18" s="430">
        <f ca="1">SUM(CD18:CO18)</f>
        <v>0</v>
      </c>
    </row>
    <row r="19" spans="1:94" ht="20.100000000000001" hidden="1" customHeight="1">
      <c r="A19" s="790"/>
      <c r="B19" s="8" t="s">
        <v>610</v>
      </c>
      <c r="C19" s="8">
        <f ca="1">OFFSET('Summary. Assumptions. Inputs'!$F$46,'Internmediate sheet'!A14/3,0)</f>
        <v>0</v>
      </c>
      <c r="D19" s="8">
        <f t="shared" ref="D19:P19" ca="1" si="340">C19</f>
        <v>0</v>
      </c>
      <c r="E19" s="8">
        <f t="shared" ca="1" si="340"/>
        <v>0</v>
      </c>
      <c r="F19" s="8">
        <f t="shared" ca="1" si="340"/>
        <v>0</v>
      </c>
      <c r="G19" s="8">
        <f t="shared" ca="1" si="340"/>
        <v>0</v>
      </c>
      <c r="H19" s="8">
        <f t="shared" ca="1" si="340"/>
        <v>0</v>
      </c>
      <c r="I19" s="8">
        <f t="shared" ca="1" si="340"/>
        <v>0</v>
      </c>
      <c r="J19" s="8">
        <f t="shared" ca="1" si="340"/>
        <v>0</v>
      </c>
      <c r="K19" s="8">
        <f t="shared" ca="1" si="340"/>
        <v>0</v>
      </c>
      <c r="L19" s="8">
        <f t="shared" ca="1" si="340"/>
        <v>0</v>
      </c>
      <c r="M19" s="8">
        <f t="shared" ca="1" si="340"/>
        <v>0</v>
      </c>
      <c r="N19" s="8">
        <f t="shared" ca="1" si="340"/>
        <v>0</v>
      </c>
      <c r="O19" s="8">
        <f t="shared" ca="1" si="340"/>
        <v>0</v>
      </c>
      <c r="P19" s="431">
        <f t="shared" ca="1" si="340"/>
        <v>0</v>
      </c>
      <c r="Q19" s="8">
        <f t="shared" ref="Q19" ca="1" si="341">P19</f>
        <v>0</v>
      </c>
      <c r="R19" s="8">
        <f t="shared" ref="R19" ca="1" si="342">Q19</f>
        <v>0</v>
      </c>
      <c r="S19" s="8">
        <f t="shared" ref="S19" ca="1" si="343">R19</f>
        <v>0</v>
      </c>
      <c r="T19" s="8">
        <f t="shared" ref="T19" ca="1" si="344">S19</f>
        <v>0</v>
      </c>
      <c r="U19" s="8">
        <f t="shared" ref="U19" ca="1" si="345">T19</f>
        <v>0</v>
      </c>
      <c r="V19" s="8">
        <f t="shared" ref="V19" ca="1" si="346">U19</f>
        <v>0</v>
      </c>
      <c r="W19" s="8">
        <f t="shared" ref="W19" ca="1" si="347">V19</f>
        <v>0</v>
      </c>
      <c r="X19" s="8">
        <f t="shared" ref="X19" ca="1" si="348">W19</f>
        <v>0</v>
      </c>
      <c r="Y19" s="8">
        <f t="shared" ref="Y19" ca="1" si="349">X19</f>
        <v>0</v>
      </c>
      <c r="Z19" s="8">
        <f t="shared" ref="Z19" ca="1" si="350">Y19</f>
        <v>0</v>
      </c>
      <c r="AA19" s="8">
        <f t="shared" ref="AA19" ca="1" si="351">Z19</f>
        <v>0</v>
      </c>
      <c r="AB19" s="8">
        <f t="shared" ref="AB19" ca="1" si="352">AA19</f>
        <v>0</v>
      </c>
      <c r="AC19" s="431">
        <f t="shared" ref="AC19" ca="1" si="353">AB19</f>
        <v>0</v>
      </c>
      <c r="AD19" s="8">
        <f t="shared" ref="AD19" ca="1" si="354">AC19</f>
        <v>0</v>
      </c>
      <c r="AE19" s="8">
        <f t="shared" ref="AE19" ca="1" si="355">AD19</f>
        <v>0</v>
      </c>
      <c r="AF19" s="8">
        <f t="shared" ref="AF19" ca="1" si="356">AE19</f>
        <v>0</v>
      </c>
      <c r="AG19" s="8">
        <f t="shared" ref="AG19" ca="1" si="357">AF19</f>
        <v>0</v>
      </c>
      <c r="AH19" s="8">
        <f t="shared" ref="AH19" ca="1" si="358">AG19</f>
        <v>0</v>
      </c>
      <c r="AI19" s="8">
        <f t="shared" ref="AI19" ca="1" si="359">AH19</f>
        <v>0</v>
      </c>
      <c r="AJ19" s="8">
        <f t="shared" ref="AJ19" ca="1" si="360">AI19</f>
        <v>0</v>
      </c>
      <c r="AK19" s="8">
        <f t="shared" ref="AK19" ca="1" si="361">AJ19</f>
        <v>0</v>
      </c>
      <c r="AL19" s="8">
        <f t="shared" ref="AL19" ca="1" si="362">AK19</f>
        <v>0</v>
      </c>
      <c r="AM19" s="8">
        <f t="shared" ref="AM19" ca="1" si="363">AL19</f>
        <v>0</v>
      </c>
      <c r="AN19" s="8">
        <f t="shared" ref="AN19" ca="1" si="364">AM19</f>
        <v>0</v>
      </c>
      <c r="AO19" s="8">
        <f t="shared" ref="AO19" ca="1" si="365">AN19</f>
        <v>0</v>
      </c>
      <c r="AP19" s="431">
        <f t="shared" ref="AP19" ca="1" si="366">AO19</f>
        <v>0</v>
      </c>
      <c r="AQ19" s="8">
        <f ca="1">AP19</f>
        <v>0</v>
      </c>
      <c r="AR19" s="8">
        <f t="shared" ref="AR19" ca="1" si="367">AQ19</f>
        <v>0</v>
      </c>
      <c r="AS19" s="8">
        <f t="shared" ref="AS19" ca="1" si="368">AR19</f>
        <v>0</v>
      </c>
      <c r="AT19" s="8">
        <f t="shared" ref="AT19" ca="1" si="369">AS19</f>
        <v>0</v>
      </c>
      <c r="AU19" s="8">
        <f t="shared" ref="AU19" ca="1" si="370">AT19</f>
        <v>0</v>
      </c>
      <c r="AV19" s="8">
        <f t="shared" ref="AV19" ca="1" si="371">AU19</f>
        <v>0</v>
      </c>
      <c r="AW19" s="8">
        <f t="shared" ref="AW19" ca="1" si="372">AV19</f>
        <v>0</v>
      </c>
      <c r="AX19" s="8">
        <f t="shared" ref="AX19" ca="1" si="373">AW19</f>
        <v>0</v>
      </c>
      <c r="AY19" s="8">
        <f t="shared" ref="AY19" ca="1" si="374">AX19</f>
        <v>0</v>
      </c>
      <c r="AZ19" s="8">
        <f t="shared" ref="AZ19" ca="1" si="375">AY19</f>
        <v>0</v>
      </c>
      <c r="BA19" s="8">
        <f t="shared" ref="BA19" ca="1" si="376">AZ19</f>
        <v>0</v>
      </c>
      <c r="BB19" s="8">
        <f t="shared" ref="BB19" ca="1" si="377">BA19</f>
        <v>0</v>
      </c>
      <c r="BC19" s="431">
        <f t="shared" ref="BC19" ca="1" si="378">BB19</f>
        <v>0</v>
      </c>
      <c r="BD19" s="8">
        <f t="shared" ref="BD19" ca="1" si="379">BC19</f>
        <v>0</v>
      </c>
      <c r="BE19" s="8">
        <f t="shared" ref="BE19" ca="1" si="380">BD19</f>
        <v>0</v>
      </c>
      <c r="BF19" s="8">
        <f t="shared" ref="BF19" ca="1" si="381">BE19</f>
        <v>0</v>
      </c>
      <c r="BG19" s="8">
        <f t="shared" ref="BG19" ca="1" si="382">BF19</f>
        <v>0</v>
      </c>
      <c r="BH19" s="8">
        <f t="shared" ref="BH19" ca="1" si="383">BG19</f>
        <v>0</v>
      </c>
      <c r="BI19" s="8">
        <f t="shared" ref="BI19" ca="1" si="384">BH19</f>
        <v>0</v>
      </c>
      <c r="BJ19" s="8">
        <f t="shared" ref="BJ19" ca="1" si="385">BI19</f>
        <v>0</v>
      </c>
      <c r="BK19" s="8">
        <f t="shared" ref="BK19" ca="1" si="386">BJ19</f>
        <v>0</v>
      </c>
      <c r="BL19" s="8">
        <f t="shared" ref="BL19" ca="1" si="387">BK19</f>
        <v>0</v>
      </c>
      <c r="BM19" s="8">
        <f t="shared" ref="BM19" ca="1" si="388">BL19</f>
        <v>0</v>
      </c>
      <c r="BN19" s="8">
        <f t="shared" ref="BN19" ca="1" si="389">BM19</f>
        <v>0</v>
      </c>
      <c r="BO19" s="8">
        <f t="shared" ref="BO19" ca="1" si="390">BN19</f>
        <v>0</v>
      </c>
      <c r="BP19" s="431">
        <f t="shared" ref="BP19" ca="1" si="391">BO19</f>
        <v>0</v>
      </c>
      <c r="BQ19" s="8">
        <f t="shared" ref="BQ19" ca="1" si="392">BP19</f>
        <v>0</v>
      </c>
      <c r="BR19" s="8">
        <f t="shared" ref="BR19" ca="1" si="393">BQ19</f>
        <v>0</v>
      </c>
      <c r="BS19" s="8">
        <f t="shared" ref="BS19" ca="1" si="394">BR19</f>
        <v>0</v>
      </c>
      <c r="BT19" s="8">
        <f t="shared" ref="BT19" ca="1" si="395">BS19</f>
        <v>0</v>
      </c>
      <c r="BU19" s="8">
        <f t="shared" ref="BU19" ca="1" si="396">BT19</f>
        <v>0</v>
      </c>
      <c r="BV19" s="8">
        <f t="shared" ref="BV19" ca="1" si="397">BU19</f>
        <v>0</v>
      </c>
      <c r="BW19" s="8">
        <f t="shared" ref="BW19" ca="1" si="398">BV19</f>
        <v>0</v>
      </c>
      <c r="BX19" s="8">
        <f t="shared" ref="BX19" ca="1" si="399">BW19</f>
        <v>0</v>
      </c>
      <c r="BY19" s="8">
        <f t="shared" ref="BY19" ca="1" si="400">BX19</f>
        <v>0</v>
      </c>
      <c r="BZ19" s="8">
        <f t="shared" ref="BZ19" ca="1" si="401">BY19</f>
        <v>0</v>
      </c>
      <c r="CA19" s="8">
        <f t="shared" ref="CA19" ca="1" si="402">BZ19</f>
        <v>0</v>
      </c>
      <c r="CB19" s="8">
        <f t="shared" ref="CB19" ca="1" si="403">CA19</f>
        <v>0</v>
      </c>
      <c r="CC19" s="431">
        <f t="shared" ref="CC19" ca="1" si="404">CB19</f>
        <v>0</v>
      </c>
      <c r="CD19" s="8">
        <f t="shared" ref="CD19" ca="1" si="405">CC19</f>
        <v>0</v>
      </c>
      <c r="CE19" s="8">
        <f t="shared" ref="CE19" ca="1" si="406">CD19</f>
        <v>0</v>
      </c>
      <c r="CF19" s="8">
        <f t="shared" ref="CF19" ca="1" si="407">CE19</f>
        <v>0</v>
      </c>
      <c r="CG19" s="8">
        <f t="shared" ref="CG19" ca="1" si="408">CF19</f>
        <v>0</v>
      </c>
      <c r="CH19" s="8">
        <f t="shared" ref="CH19" ca="1" si="409">CG19</f>
        <v>0</v>
      </c>
      <c r="CI19" s="8">
        <f t="shared" ref="CI19" ca="1" si="410">CH19</f>
        <v>0</v>
      </c>
      <c r="CJ19" s="8">
        <f t="shared" ref="CJ19" ca="1" si="411">CI19</f>
        <v>0</v>
      </c>
      <c r="CK19" s="8">
        <f t="shared" ref="CK19" ca="1" si="412">CJ19</f>
        <v>0</v>
      </c>
      <c r="CL19" s="8">
        <f t="shared" ref="CL19" ca="1" si="413">CK19</f>
        <v>0</v>
      </c>
      <c r="CM19" s="8">
        <f t="shared" ref="CM19" ca="1" si="414">CL19</f>
        <v>0</v>
      </c>
      <c r="CN19" s="8">
        <f t="shared" ref="CN19" ca="1" si="415">CM19</f>
        <v>0</v>
      </c>
      <c r="CO19" s="8">
        <f t="shared" ref="CO19" ca="1" si="416">CN19</f>
        <v>0</v>
      </c>
      <c r="CP19" s="431">
        <f t="shared" ref="CP19" ca="1" si="417">CO19</f>
        <v>0</v>
      </c>
    </row>
    <row r="20" spans="1:94" ht="20.100000000000001" hidden="1" customHeight="1">
      <c r="A20" s="791"/>
      <c r="B20" s="248" t="s">
        <v>611</v>
      </c>
      <c r="C20" s="249">
        <f t="shared" ref="C20:O20" ca="1" si="418">C18*C19</f>
        <v>0</v>
      </c>
      <c r="D20" s="248">
        <f t="shared" ca="1" si="418"/>
        <v>0</v>
      </c>
      <c r="E20" s="248">
        <f t="shared" ca="1" si="418"/>
        <v>0</v>
      </c>
      <c r="F20" s="248">
        <f t="shared" ca="1" si="418"/>
        <v>0</v>
      </c>
      <c r="G20" s="248">
        <f t="shared" ca="1" si="418"/>
        <v>0</v>
      </c>
      <c r="H20" s="248">
        <f t="shared" ca="1" si="418"/>
        <v>0</v>
      </c>
      <c r="I20" s="248">
        <f t="shared" ca="1" si="418"/>
        <v>0</v>
      </c>
      <c r="J20" s="248">
        <f t="shared" ca="1" si="418"/>
        <v>0</v>
      </c>
      <c r="K20" s="248">
        <f t="shared" ca="1" si="418"/>
        <v>0</v>
      </c>
      <c r="L20" s="248">
        <f t="shared" ca="1" si="418"/>
        <v>0</v>
      </c>
      <c r="M20" s="248">
        <f t="shared" ca="1" si="418"/>
        <v>0</v>
      </c>
      <c r="N20" s="248">
        <f t="shared" ca="1" si="418"/>
        <v>0</v>
      </c>
      <c r="O20" s="248">
        <f t="shared" ca="1" si="418"/>
        <v>0</v>
      </c>
      <c r="P20" s="432">
        <f ca="1">SUM(D20:O20)</f>
        <v>0</v>
      </c>
      <c r="Q20" s="248">
        <f t="shared" ref="Q20:AB20" ca="1" si="419">Q18*Q19</f>
        <v>0</v>
      </c>
      <c r="R20" s="248">
        <f t="shared" ca="1" si="419"/>
        <v>0</v>
      </c>
      <c r="S20" s="248">
        <f t="shared" ca="1" si="419"/>
        <v>0</v>
      </c>
      <c r="T20" s="248">
        <f t="shared" ca="1" si="419"/>
        <v>0</v>
      </c>
      <c r="U20" s="248">
        <f t="shared" ca="1" si="419"/>
        <v>0</v>
      </c>
      <c r="V20" s="248">
        <f t="shared" ca="1" si="419"/>
        <v>0</v>
      </c>
      <c r="W20" s="248">
        <f t="shared" ca="1" si="419"/>
        <v>0</v>
      </c>
      <c r="X20" s="248">
        <f t="shared" ca="1" si="419"/>
        <v>0</v>
      </c>
      <c r="Y20" s="248">
        <f t="shared" ca="1" si="419"/>
        <v>0</v>
      </c>
      <c r="Z20" s="248">
        <f t="shared" ca="1" si="419"/>
        <v>0</v>
      </c>
      <c r="AA20" s="248">
        <f t="shared" ca="1" si="419"/>
        <v>0</v>
      </c>
      <c r="AB20" s="248">
        <f t="shared" ca="1" si="419"/>
        <v>0</v>
      </c>
      <c r="AC20" s="432">
        <f ca="1">SUM(Q20:AB20)</f>
        <v>0</v>
      </c>
      <c r="AD20" s="248">
        <f t="shared" ref="AD20:AO20" ca="1" si="420">AD18*AD19</f>
        <v>0</v>
      </c>
      <c r="AE20" s="248">
        <f t="shared" ca="1" si="420"/>
        <v>0</v>
      </c>
      <c r="AF20" s="248">
        <f t="shared" ca="1" si="420"/>
        <v>0</v>
      </c>
      <c r="AG20" s="248">
        <f t="shared" ca="1" si="420"/>
        <v>0</v>
      </c>
      <c r="AH20" s="248">
        <f t="shared" ca="1" si="420"/>
        <v>0</v>
      </c>
      <c r="AI20" s="248">
        <f t="shared" ca="1" si="420"/>
        <v>0</v>
      </c>
      <c r="AJ20" s="248">
        <f t="shared" ca="1" si="420"/>
        <v>0</v>
      </c>
      <c r="AK20" s="248">
        <f t="shared" ca="1" si="420"/>
        <v>0</v>
      </c>
      <c r="AL20" s="248">
        <f t="shared" ca="1" si="420"/>
        <v>0</v>
      </c>
      <c r="AM20" s="248">
        <f t="shared" ca="1" si="420"/>
        <v>0</v>
      </c>
      <c r="AN20" s="248">
        <f t="shared" ca="1" si="420"/>
        <v>0</v>
      </c>
      <c r="AO20" s="248">
        <f t="shared" ca="1" si="420"/>
        <v>0</v>
      </c>
      <c r="AP20" s="432">
        <f ca="1">SUM(AD20:AO20)</f>
        <v>0</v>
      </c>
      <c r="AQ20" s="248">
        <f t="shared" ref="AQ20:BB20" ca="1" si="421">AQ18*AQ19</f>
        <v>0</v>
      </c>
      <c r="AR20" s="248">
        <f t="shared" ca="1" si="421"/>
        <v>0</v>
      </c>
      <c r="AS20" s="248">
        <f t="shared" ca="1" si="421"/>
        <v>0</v>
      </c>
      <c r="AT20" s="248">
        <f t="shared" ca="1" si="421"/>
        <v>0</v>
      </c>
      <c r="AU20" s="248">
        <f t="shared" ca="1" si="421"/>
        <v>0</v>
      </c>
      <c r="AV20" s="248">
        <f t="shared" ca="1" si="421"/>
        <v>0</v>
      </c>
      <c r="AW20" s="248">
        <f t="shared" ca="1" si="421"/>
        <v>0</v>
      </c>
      <c r="AX20" s="248">
        <f t="shared" ca="1" si="421"/>
        <v>0</v>
      </c>
      <c r="AY20" s="248">
        <f t="shared" ca="1" si="421"/>
        <v>0</v>
      </c>
      <c r="AZ20" s="248">
        <f t="shared" ca="1" si="421"/>
        <v>0</v>
      </c>
      <c r="BA20" s="248">
        <f t="shared" ca="1" si="421"/>
        <v>0</v>
      </c>
      <c r="BB20" s="248">
        <f t="shared" ca="1" si="421"/>
        <v>0</v>
      </c>
      <c r="BC20" s="432">
        <f ca="1">SUM(AQ20:BB20)</f>
        <v>0</v>
      </c>
      <c r="BD20" s="248">
        <f t="shared" ref="BD20:BO20" ca="1" si="422">BD18*BD19</f>
        <v>0</v>
      </c>
      <c r="BE20" s="248">
        <f t="shared" ca="1" si="422"/>
        <v>0</v>
      </c>
      <c r="BF20" s="248">
        <f t="shared" ca="1" si="422"/>
        <v>0</v>
      </c>
      <c r="BG20" s="248">
        <f t="shared" ca="1" si="422"/>
        <v>0</v>
      </c>
      <c r="BH20" s="248">
        <f t="shared" ca="1" si="422"/>
        <v>0</v>
      </c>
      <c r="BI20" s="248">
        <f t="shared" ca="1" si="422"/>
        <v>0</v>
      </c>
      <c r="BJ20" s="248">
        <f t="shared" ca="1" si="422"/>
        <v>0</v>
      </c>
      <c r="BK20" s="248">
        <f t="shared" ca="1" si="422"/>
        <v>0</v>
      </c>
      <c r="BL20" s="248">
        <f t="shared" ca="1" si="422"/>
        <v>0</v>
      </c>
      <c r="BM20" s="248">
        <f t="shared" ca="1" si="422"/>
        <v>0</v>
      </c>
      <c r="BN20" s="248">
        <f t="shared" ca="1" si="422"/>
        <v>0</v>
      </c>
      <c r="BO20" s="248">
        <f t="shared" ca="1" si="422"/>
        <v>0</v>
      </c>
      <c r="BP20" s="432">
        <f ca="1">SUM(BD20:BO20)</f>
        <v>0</v>
      </c>
      <c r="BQ20" s="248">
        <f t="shared" ref="BQ20:CB20" ca="1" si="423">BQ18*BQ19</f>
        <v>0</v>
      </c>
      <c r="BR20" s="248">
        <f t="shared" ca="1" si="423"/>
        <v>0</v>
      </c>
      <c r="BS20" s="248">
        <f t="shared" ca="1" si="423"/>
        <v>0</v>
      </c>
      <c r="BT20" s="248">
        <f t="shared" ca="1" si="423"/>
        <v>0</v>
      </c>
      <c r="BU20" s="248">
        <f t="shared" ca="1" si="423"/>
        <v>0</v>
      </c>
      <c r="BV20" s="248">
        <f t="shared" ca="1" si="423"/>
        <v>0</v>
      </c>
      <c r="BW20" s="248">
        <f t="shared" ca="1" si="423"/>
        <v>0</v>
      </c>
      <c r="BX20" s="248">
        <f t="shared" ca="1" si="423"/>
        <v>0</v>
      </c>
      <c r="BY20" s="248">
        <f t="shared" ca="1" si="423"/>
        <v>0</v>
      </c>
      <c r="BZ20" s="248">
        <f t="shared" ca="1" si="423"/>
        <v>0</v>
      </c>
      <c r="CA20" s="248">
        <f t="shared" ca="1" si="423"/>
        <v>0</v>
      </c>
      <c r="CB20" s="248">
        <f t="shared" ca="1" si="423"/>
        <v>0</v>
      </c>
      <c r="CC20" s="432">
        <f ca="1">SUM(BQ20:CB20)</f>
        <v>0</v>
      </c>
      <c r="CD20" s="248">
        <f t="shared" ref="CD20:CO20" ca="1" si="424">CD18*CD19</f>
        <v>0</v>
      </c>
      <c r="CE20" s="248">
        <f t="shared" ca="1" si="424"/>
        <v>0</v>
      </c>
      <c r="CF20" s="248">
        <f t="shared" ca="1" si="424"/>
        <v>0</v>
      </c>
      <c r="CG20" s="248">
        <f t="shared" ca="1" si="424"/>
        <v>0</v>
      </c>
      <c r="CH20" s="248">
        <f t="shared" ca="1" si="424"/>
        <v>0</v>
      </c>
      <c r="CI20" s="248">
        <f t="shared" ca="1" si="424"/>
        <v>0</v>
      </c>
      <c r="CJ20" s="248">
        <f t="shared" ca="1" si="424"/>
        <v>0</v>
      </c>
      <c r="CK20" s="248">
        <f t="shared" ca="1" si="424"/>
        <v>0</v>
      </c>
      <c r="CL20" s="248">
        <f t="shared" ca="1" si="424"/>
        <v>0</v>
      </c>
      <c r="CM20" s="248">
        <f t="shared" ca="1" si="424"/>
        <v>0</v>
      </c>
      <c r="CN20" s="248">
        <f t="shared" ca="1" si="424"/>
        <v>0</v>
      </c>
      <c r="CO20" s="248">
        <f t="shared" ca="1" si="424"/>
        <v>0</v>
      </c>
      <c r="CP20" s="432">
        <f ca="1">SUM(CD20:CO20)</f>
        <v>0</v>
      </c>
    </row>
    <row r="21" spans="1:94" ht="20.100000000000001" hidden="1" customHeight="1">
      <c r="A21" s="789">
        <f ca="1">OFFSET('Summary. Assumptions. Inputs'!$A$45,'Internmediate sheet'!A20/3,0)</f>
        <v>0</v>
      </c>
      <c r="B21" s="17" t="s">
        <v>609</v>
      </c>
      <c r="C21" s="18"/>
      <c r="D21" s="17">
        <f ca="1">OFFSET('Sales, Production, &amp; Other Assu'!D$18,'Internmediate sheet'!$A20/3,0)*Capacity</f>
        <v>0</v>
      </c>
      <c r="E21" s="17">
        <f ca="1">OFFSET('Sales, Production, &amp; Other Assu'!E$18,'Internmediate sheet'!$A20/3,0)*Capacity</f>
        <v>0</v>
      </c>
      <c r="F21" s="17">
        <f ca="1">OFFSET('Sales, Production, &amp; Other Assu'!F$18,'Internmediate sheet'!$A20/3,0)*Capacity</f>
        <v>0</v>
      </c>
      <c r="G21" s="17">
        <f ca="1">OFFSET('Sales, Production, &amp; Other Assu'!G$18,'Internmediate sheet'!$A20/3,0)*Capacity</f>
        <v>0</v>
      </c>
      <c r="H21" s="17">
        <f ca="1">OFFSET('Sales, Production, &amp; Other Assu'!H$18,'Internmediate sheet'!$A20/3,0)*Capacity</f>
        <v>0</v>
      </c>
      <c r="I21" s="17">
        <f ca="1">OFFSET('Sales, Production, &amp; Other Assu'!I$18,'Internmediate sheet'!$A20/3,0)*Capacity</f>
        <v>0</v>
      </c>
      <c r="J21" s="17">
        <f ca="1">OFFSET('Sales, Production, &amp; Other Assu'!J$18,'Internmediate sheet'!$A20/3,0)*Capacity</f>
        <v>0</v>
      </c>
      <c r="K21" s="17">
        <f ca="1">OFFSET('Sales, Production, &amp; Other Assu'!K$18,'Internmediate sheet'!$A20/3,0)*Capacity</f>
        <v>0</v>
      </c>
      <c r="L21" s="17">
        <f ca="1">OFFSET('Sales, Production, &amp; Other Assu'!L$18,'Internmediate sheet'!$A20/3,0)*Capacity</f>
        <v>0</v>
      </c>
      <c r="M21" s="17">
        <f ca="1">OFFSET('Sales, Production, &amp; Other Assu'!M$18,'Internmediate sheet'!$A20/3,0)*Capacity</f>
        <v>0</v>
      </c>
      <c r="N21" s="17">
        <f ca="1">OFFSET('Sales, Production, &amp; Other Assu'!N$18,'Internmediate sheet'!$A20/3,0)*Capacity</f>
        <v>0</v>
      </c>
      <c r="O21" s="17">
        <f ca="1">OFFSET('Sales, Production, &amp; Other Assu'!O$18,'Internmediate sheet'!$A20/3,0)*Capacity</f>
        <v>0</v>
      </c>
      <c r="P21" s="430">
        <f ca="1">SUM(D21:O21)</f>
        <v>0</v>
      </c>
      <c r="Q21" s="17">
        <f ca="1">OFFSET('Sales, Production, &amp; Other Assu'!Q$18,'Internmediate sheet'!$A20/3,0)*Capacity</f>
        <v>0</v>
      </c>
      <c r="R21" s="17">
        <f ca="1">OFFSET('Sales, Production, &amp; Other Assu'!R$18,'Internmediate sheet'!$A20/3,0)*Capacity</f>
        <v>0</v>
      </c>
      <c r="S21" s="17">
        <f ca="1">OFFSET('Sales, Production, &amp; Other Assu'!S$18,'Internmediate sheet'!$A20/3,0)*Capacity</f>
        <v>0</v>
      </c>
      <c r="T21" s="17">
        <f ca="1">OFFSET('Sales, Production, &amp; Other Assu'!T$18,'Internmediate sheet'!$A20/3,0)*Capacity</f>
        <v>0</v>
      </c>
      <c r="U21" s="17">
        <f ca="1">OFFSET('Sales, Production, &amp; Other Assu'!U$18,'Internmediate sheet'!$A20/3,0)*Capacity</f>
        <v>0</v>
      </c>
      <c r="V21" s="17">
        <f ca="1">OFFSET('Sales, Production, &amp; Other Assu'!V$18,'Internmediate sheet'!$A20/3,0)*Capacity</f>
        <v>0</v>
      </c>
      <c r="W21" s="17">
        <f ca="1">OFFSET('Sales, Production, &amp; Other Assu'!W$18,'Internmediate sheet'!$A20/3,0)*Capacity</f>
        <v>0</v>
      </c>
      <c r="X21" s="17">
        <f ca="1">OFFSET('Sales, Production, &amp; Other Assu'!X$18,'Internmediate sheet'!$A20/3,0)*Capacity</f>
        <v>0</v>
      </c>
      <c r="Y21" s="17">
        <f ca="1">OFFSET('Sales, Production, &amp; Other Assu'!Y$18,'Internmediate sheet'!$A20/3,0)*Capacity</f>
        <v>0</v>
      </c>
      <c r="Z21" s="17">
        <f ca="1">OFFSET('Sales, Production, &amp; Other Assu'!Z$18,'Internmediate sheet'!$A20/3,0)*Capacity</f>
        <v>0</v>
      </c>
      <c r="AA21" s="17">
        <f ca="1">OFFSET('Sales, Production, &amp; Other Assu'!AA$18,'Internmediate sheet'!$A20/3,0)*Capacity</f>
        <v>0</v>
      </c>
      <c r="AB21" s="17">
        <f ca="1">OFFSET('Sales, Production, &amp; Other Assu'!AB$18,'Internmediate sheet'!$A20/3,0)*Capacity</f>
        <v>0</v>
      </c>
      <c r="AC21" s="430">
        <f ca="1">SUM(Q21:AB21)</f>
        <v>0</v>
      </c>
      <c r="AD21" s="17">
        <f ca="1">OFFSET('Sales, Production, &amp; Other Assu'!AD$18,'Internmediate sheet'!$A20/3,0)*Capacity</f>
        <v>0</v>
      </c>
      <c r="AE21" s="17">
        <f ca="1">OFFSET('Sales, Production, &amp; Other Assu'!AE$18,'Internmediate sheet'!$A20/3,0)*Capacity</f>
        <v>0</v>
      </c>
      <c r="AF21" s="17">
        <f ca="1">OFFSET('Sales, Production, &amp; Other Assu'!AF$18,'Internmediate sheet'!$A20/3,0)*Capacity</f>
        <v>0</v>
      </c>
      <c r="AG21" s="17">
        <f ca="1">OFFSET('Sales, Production, &amp; Other Assu'!AG$18,'Internmediate sheet'!$A20/3,0)*Capacity</f>
        <v>0</v>
      </c>
      <c r="AH21" s="17">
        <f ca="1">OFFSET('Sales, Production, &amp; Other Assu'!AH$18,'Internmediate sheet'!$A20/3,0)*Capacity</f>
        <v>0</v>
      </c>
      <c r="AI21" s="17">
        <f ca="1">OFFSET('Sales, Production, &amp; Other Assu'!AI$18,'Internmediate sheet'!$A20/3,0)*Capacity</f>
        <v>0</v>
      </c>
      <c r="AJ21" s="17">
        <f ca="1">OFFSET('Sales, Production, &amp; Other Assu'!AJ$18,'Internmediate sheet'!$A20/3,0)*Capacity</f>
        <v>0</v>
      </c>
      <c r="AK21" s="17">
        <f ca="1">OFFSET('Sales, Production, &amp; Other Assu'!AK$18,'Internmediate sheet'!$A20/3,0)*Capacity</f>
        <v>0</v>
      </c>
      <c r="AL21" s="17">
        <f ca="1">OFFSET('Sales, Production, &amp; Other Assu'!AL$18,'Internmediate sheet'!$A20/3,0)*Capacity</f>
        <v>0</v>
      </c>
      <c r="AM21" s="17">
        <f ca="1">OFFSET('Sales, Production, &amp; Other Assu'!AM$18,'Internmediate sheet'!$A20/3,0)*Capacity</f>
        <v>0</v>
      </c>
      <c r="AN21" s="17">
        <f ca="1">OFFSET('Sales, Production, &amp; Other Assu'!AN$18,'Internmediate sheet'!$A20/3,0)*Capacity</f>
        <v>0</v>
      </c>
      <c r="AO21" s="17">
        <f ca="1">OFFSET('Sales, Production, &amp; Other Assu'!AO$18,'Internmediate sheet'!$A20/3,0)*Capacity</f>
        <v>0</v>
      </c>
      <c r="AP21" s="430">
        <f ca="1">SUM(AD21:AO21)</f>
        <v>0</v>
      </c>
      <c r="AQ21" s="17">
        <f ca="1">OFFSET('Sales, Production, &amp; Other Assu'!AQ$18,'Internmediate sheet'!$A20/3,0)*Capacity</f>
        <v>0</v>
      </c>
      <c r="AR21" s="17">
        <f ca="1">OFFSET('Sales, Production, &amp; Other Assu'!AR$18,'Internmediate sheet'!$A20/3,0)*Capacity</f>
        <v>0</v>
      </c>
      <c r="AS21" s="17">
        <f ca="1">OFFSET('Sales, Production, &amp; Other Assu'!AS$18,'Internmediate sheet'!$A20/3,0)*Capacity</f>
        <v>0</v>
      </c>
      <c r="AT21" s="17">
        <f ca="1">OFFSET('Sales, Production, &amp; Other Assu'!AT$18,'Internmediate sheet'!$A20/3,0)*Capacity</f>
        <v>0</v>
      </c>
      <c r="AU21" s="17">
        <f ca="1">OFFSET('Sales, Production, &amp; Other Assu'!AU$18,'Internmediate sheet'!$A20/3,0)*Capacity</f>
        <v>0</v>
      </c>
      <c r="AV21" s="17">
        <f ca="1">OFFSET('Sales, Production, &amp; Other Assu'!AV$18,'Internmediate sheet'!$A20/3,0)*Capacity</f>
        <v>0</v>
      </c>
      <c r="AW21" s="17">
        <f ca="1">OFFSET('Sales, Production, &amp; Other Assu'!AW$18,'Internmediate sheet'!$A20/3,0)*Capacity</f>
        <v>0</v>
      </c>
      <c r="AX21" s="17">
        <f ca="1">OFFSET('Sales, Production, &amp; Other Assu'!AX$18,'Internmediate sheet'!$A20/3,0)*Capacity</f>
        <v>0</v>
      </c>
      <c r="AY21" s="17">
        <f ca="1">OFFSET('Sales, Production, &amp; Other Assu'!AY$18,'Internmediate sheet'!$A20/3,0)*Capacity</f>
        <v>0</v>
      </c>
      <c r="AZ21" s="17">
        <f ca="1">OFFSET('Sales, Production, &amp; Other Assu'!AZ$18,'Internmediate sheet'!$A20/3,0)*Capacity</f>
        <v>0</v>
      </c>
      <c r="BA21" s="17">
        <f ca="1">OFFSET('Sales, Production, &amp; Other Assu'!BA$18,'Internmediate sheet'!$A20/3,0)*Capacity</f>
        <v>0</v>
      </c>
      <c r="BB21" s="17">
        <f ca="1">OFFSET('Sales, Production, &amp; Other Assu'!BB$18,'Internmediate sheet'!$A20/3,0)*Capacity</f>
        <v>0</v>
      </c>
      <c r="BC21" s="430">
        <f ca="1">SUM(AQ21:BB21)</f>
        <v>0</v>
      </c>
      <c r="BD21" s="17">
        <f ca="1">OFFSET('Sales, Production, &amp; Other Assu'!BD$18,'Internmediate sheet'!$A20/3,0)*Capacity</f>
        <v>0</v>
      </c>
      <c r="BE21" s="17">
        <f ca="1">OFFSET('Sales, Production, &amp; Other Assu'!BE$18,'Internmediate sheet'!$A20/3,0)*Capacity</f>
        <v>0</v>
      </c>
      <c r="BF21" s="17">
        <f ca="1">OFFSET('Sales, Production, &amp; Other Assu'!BF$18,'Internmediate sheet'!$A20/3,0)*Capacity</f>
        <v>0</v>
      </c>
      <c r="BG21" s="17">
        <f ca="1">OFFSET('Sales, Production, &amp; Other Assu'!BG$18,'Internmediate sheet'!$A20/3,0)*Capacity</f>
        <v>0</v>
      </c>
      <c r="BH21" s="17">
        <f ca="1">OFFSET('Sales, Production, &amp; Other Assu'!BH$18,'Internmediate sheet'!$A20/3,0)*Capacity</f>
        <v>0</v>
      </c>
      <c r="BI21" s="17">
        <f ca="1">OFFSET('Sales, Production, &amp; Other Assu'!BI$18,'Internmediate sheet'!$A20/3,0)*Capacity</f>
        <v>0</v>
      </c>
      <c r="BJ21" s="17">
        <f ca="1">OFFSET('Sales, Production, &amp; Other Assu'!BJ$18,'Internmediate sheet'!$A20/3,0)*Capacity</f>
        <v>0</v>
      </c>
      <c r="BK21" s="17">
        <f ca="1">OFFSET('Sales, Production, &amp; Other Assu'!BK$18,'Internmediate sheet'!$A20/3,0)*Capacity</f>
        <v>0</v>
      </c>
      <c r="BL21" s="17">
        <f ca="1">OFFSET('Sales, Production, &amp; Other Assu'!BL$18,'Internmediate sheet'!$A20/3,0)*Capacity</f>
        <v>0</v>
      </c>
      <c r="BM21" s="17">
        <f ca="1">OFFSET('Sales, Production, &amp; Other Assu'!BM$18,'Internmediate sheet'!$A20/3,0)*Capacity</f>
        <v>0</v>
      </c>
      <c r="BN21" s="17">
        <f ca="1">OFFSET('Sales, Production, &amp; Other Assu'!BN$18,'Internmediate sheet'!$A20/3,0)*Capacity</f>
        <v>0</v>
      </c>
      <c r="BO21" s="17">
        <f ca="1">OFFSET('Sales, Production, &amp; Other Assu'!BO$18,'Internmediate sheet'!$A20/3,0)*Capacity</f>
        <v>0</v>
      </c>
      <c r="BP21" s="430">
        <f ca="1">SUM(BD21:BO21)</f>
        <v>0</v>
      </c>
      <c r="BQ21" s="17">
        <f ca="1">OFFSET('Sales, Production, &amp; Other Assu'!BQ$18,'Internmediate sheet'!$A20/3,0)*Capacity</f>
        <v>0</v>
      </c>
      <c r="BR21" s="17">
        <f ca="1">OFFSET('Sales, Production, &amp; Other Assu'!BR$18,'Internmediate sheet'!$A20/3,0)*Capacity</f>
        <v>0</v>
      </c>
      <c r="BS21" s="17">
        <f ca="1">OFFSET('Sales, Production, &amp; Other Assu'!BS$18,'Internmediate sheet'!$A20/3,0)*Capacity</f>
        <v>0</v>
      </c>
      <c r="BT21" s="17">
        <f ca="1">OFFSET('Sales, Production, &amp; Other Assu'!BT$18,'Internmediate sheet'!$A20/3,0)*Capacity</f>
        <v>0</v>
      </c>
      <c r="BU21" s="17">
        <f ca="1">OFFSET('Sales, Production, &amp; Other Assu'!BU$18,'Internmediate sheet'!$A20/3,0)*Capacity</f>
        <v>0</v>
      </c>
      <c r="BV21" s="17">
        <f ca="1">OFFSET('Sales, Production, &amp; Other Assu'!BV$18,'Internmediate sheet'!$A20/3,0)*Capacity</f>
        <v>0</v>
      </c>
      <c r="BW21" s="17">
        <f ca="1">OFFSET('Sales, Production, &amp; Other Assu'!BW$18,'Internmediate sheet'!$A20/3,0)*Capacity</f>
        <v>0</v>
      </c>
      <c r="BX21" s="17">
        <f ca="1">OFFSET('Sales, Production, &amp; Other Assu'!BX$18,'Internmediate sheet'!$A20/3,0)*Capacity</f>
        <v>0</v>
      </c>
      <c r="BY21" s="17">
        <f ca="1">OFFSET('Sales, Production, &amp; Other Assu'!BY$18,'Internmediate sheet'!$A20/3,0)*Capacity</f>
        <v>0</v>
      </c>
      <c r="BZ21" s="17">
        <f ca="1">OFFSET('Sales, Production, &amp; Other Assu'!BZ$18,'Internmediate sheet'!$A20/3,0)*Capacity</f>
        <v>0</v>
      </c>
      <c r="CA21" s="17">
        <f ca="1">OFFSET('Sales, Production, &amp; Other Assu'!CA$18,'Internmediate sheet'!$A20/3,0)*Capacity</f>
        <v>0</v>
      </c>
      <c r="CB21" s="17">
        <f ca="1">OFFSET('Sales, Production, &amp; Other Assu'!CB$18,'Internmediate sheet'!$A20/3,0)*Capacity</f>
        <v>0</v>
      </c>
      <c r="CC21" s="430">
        <f ca="1">SUM(BQ21:CB21)</f>
        <v>0</v>
      </c>
      <c r="CD21" s="17">
        <f ca="1">OFFSET('Sales, Production, &amp; Other Assu'!CD$18,'Internmediate sheet'!$A20/3,0)*Capacity</f>
        <v>0</v>
      </c>
      <c r="CE21" s="17">
        <f ca="1">OFFSET('Sales, Production, &amp; Other Assu'!CE$18,'Internmediate sheet'!$A20/3,0)*Capacity</f>
        <v>0</v>
      </c>
      <c r="CF21" s="17">
        <f ca="1">OFFSET('Sales, Production, &amp; Other Assu'!CF$18,'Internmediate sheet'!$A20/3,0)*Capacity</f>
        <v>0</v>
      </c>
      <c r="CG21" s="17">
        <f ca="1">OFFSET('Sales, Production, &amp; Other Assu'!CG$18,'Internmediate sheet'!$A20/3,0)*Capacity</f>
        <v>0</v>
      </c>
      <c r="CH21" s="17">
        <f ca="1">OFFSET('Sales, Production, &amp; Other Assu'!CH$18,'Internmediate sheet'!$A20/3,0)*Capacity</f>
        <v>0</v>
      </c>
      <c r="CI21" s="17">
        <f ca="1">OFFSET('Sales, Production, &amp; Other Assu'!CI$18,'Internmediate sheet'!$A20/3,0)*Capacity</f>
        <v>0</v>
      </c>
      <c r="CJ21" s="17">
        <f ca="1">OFFSET('Sales, Production, &amp; Other Assu'!CJ$18,'Internmediate sheet'!$A20/3,0)*Capacity</f>
        <v>0</v>
      </c>
      <c r="CK21" s="17">
        <f ca="1">OFFSET('Sales, Production, &amp; Other Assu'!CK$18,'Internmediate sheet'!$A20/3,0)*Capacity</f>
        <v>0</v>
      </c>
      <c r="CL21" s="17">
        <f ca="1">OFFSET('Sales, Production, &amp; Other Assu'!CL$18,'Internmediate sheet'!$A20/3,0)*Capacity</f>
        <v>0</v>
      </c>
      <c r="CM21" s="17">
        <f ca="1">OFFSET('Sales, Production, &amp; Other Assu'!CM$18,'Internmediate sheet'!$A20/3,0)*Capacity</f>
        <v>0</v>
      </c>
      <c r="CN21" s="17">
        <f ca="1">OFFSET('Sales, Production, &amp; Other Assu'!CN$18,'Internmediate sheet'!$A20/3,0)*Capacity</f>
        <v>0</v>
      </c>
      <c r="CO21" s="17">
        <f ca="1">OFFSET('Sales, Production, &amp; Other Assu'!CO$18,'Internmediate sheet'!$A20/3,0)*Capacity</f>
        <v>0</v>
      </c>
      <c r="CP21" s="430">
        <f ca="1">SUM(CD21:CO21)</f>
        <v>0</v>
      </c>
    </row>
    <row r="22" spans="1:94" ht="20.100000000000001" hidden="1" customHeight="1">
      <c r="A22" s="790"/>
      <c r="B22" s="8" t="s">
        <v>610</v>
      </c>
      <c r="C22" s="8">
        <f ca="1">OFFSET('Summary. Assumptions. Inputs'!$F$46,'Internmediate sheet'!A17/3,0)</f>
        <v>0</v>
      </c>
      <c r="D22" s="8">
        <f t="shared" ref="D22:P22" ca="1" si="425">C22</f>
        <v>0</v>
      </c>
      <c r="E22" s="8">
        <f t="shared" ca="1" si="425"/>
        <v>0</v>
      </c>
      <c r="F22" s="8">
        <f t="shared" ca="1" si="425"/>
        <v>0</v>
      </c>
      <c r="G22" s="8">
        <f t="shared" ca="1" si="425"/>
        <v>0</v>
      </c>
      <c r="H22" s="8">
        <f t="shared" ca="1" si="425"/>
        <v>0</v>
      </c>
      <c r="I22" s="8">
        <f t="shared" ca="1" si="425"/>
        <v>0</v>
      </c>
      <c r="J22" s="8">
        <f t="shared" ca="1" si="425"/>
        <v>0</v>
      </c>
      <c r="K22" s="8">
        <f t="shared" ca="1" si="425"/>
        <v>0</v>
      </c>
      <c r="L22" s="8">
        <f t="shared" ca="1" si="425"/>
        <v>0</v>
      </c>
      <c r="M22" s="8">
        <f t="shared" ca="1" si="425"/>
        <v>0</v>
      </c>
      <c r="N22" s="8">
        <f t="shared" ca="1" si="425"/>
        <v>0</v>
      </c>
      <c r="O22" s="8">
        <f t="shared" ca="1" si="425"/>
        <v>0</v>
      </c>
      <c r="P22" s="431">
        <f t="shared" ca="1" si="425"/>
        <v>0</v>
      </c>
      <c r="Q22" s="8">
        <f t="shared" ref="Q22" ca="1" si="426">P22</f>
        <v>0</v>
      </c>
      <c r="R22" s="8">
        <f t="shared" ref="R22" ca="1" si="427">Q22</f>
        <v>0</v>
      </c>
      <c r="S22" s="8">
        <f t="shared" ref="S22" ca="1" si="428">R22</f>
        <v>0</v>
      </c>
      <c r="T22" s="8">
        <f t="shared" ref="T22" ca="1" si="429">S22</f>
        <v>0</v>
      </c>
      <c r="U22" s="8">
        <f t="shared" ref="U22" ca="1" si="430">T22</f>
        <v>0</v>
      </c>
      <c r="V22" s="8">
        <f t="shared" ref="V22" ca="1" si="431">U22</f>
        <v>0</v>
      </c>
      <c r="W22" s="8">
        <f t="shared" ref="W22" ca="1" si="432">V22</f>
        <v>0</v>
      </c>
      <c r="X22" s="8">
        <f t="shared" ref="X22" ca="1" si="433">W22</f>
        <v>0</v>
      </c>
      <c r="Y22" s="8">
        <f t="shared" ref="Y22" ca="1" si="434">X22</f>
        <v>0</v>
      </c>
      <c r="Z22" s="8">
        <f t="shared" ref="Z22" ca="1" si="435">Y22</f>
        <v>0</v>
      </c>
      <c r="AA22" s="8">
        <f t="shared" ref="AA22" ca="1" si="436">Z22</f>
        <v>0</v>
      </c>
      <c r="AB22" s="8">
        <f t="shared" ref="AB22" ca="1" si="437">AA22</f>
        <v>0</v>
      </c>
      <c r="AC22" s="431">
        <f t="shared" ref="AC22" ca="1" si="438">AB22</f>
        <v>0</v>
      </c>
      <c r="AD22" s="8">
        <f t="shared" ref="AD22" ca="1" si="439">AC22</f>
        <v>0</v>
      </c>
      <c r="AE22" s="8">
        <f t="shared" ref="AE22" ca="1" si="440">AD22</f>
        <v>0</v>
      </c>
      <c r="AF22" s="8">
        <f t="shared" ref="AF22" ca="1" si="441">AE22</f>
        <v>0</v>
      </c>
      <c r="AG22" s="8">
        <f t="shared" ref="AG22" ca="1" si="442">AF22</f>
        <v>0</v>
      </c>
      <c r="AH22" s="8">
        <f t="shared" ref="AH22" ca="1" si="443">AG22</f>
        <v>0</v>
      </c>
      <c r="AI22" s="8">
        <f t="shared" ref="AI22" ca="1" si="444">AH22</f>
        <v>0</v>
      </c>
      <c r="AJ22" s="8">
        <f t="shared" ref="AJ22" ca="1" si="445">AI22</f>
        <v>0</v>
      </c>
      <c r="AK22" s="8">
        <f t="shared" ref="AK22" ca="1" si="446">AJ22</f>
        <v>0</v>
      </c>
      <c r="AL22" s="8">
        <f t="shared" ref="AL22" ca="1" si="447">AK22</f>
        <v>0</v>
      </c>
      <c r="AM22" s="8">
        <f t="shared" ref="AM22" ca="1" si="448">AL22</f>
        <v>0</v>
      </c>
      <c r="AN22" s="8">
        <f t="shared" ref="AN22" ca="1" si="449">AM22</f>
        <v>0</v>
      </c>
      <c r="AO22" s="8">
        <f t="shared" ref="AO22" ca="1" si="450">AN22</f>
        <v>0</v>
      </c>
      <c r="AP22" s="431">
        <f t="shared" ref="AP22" ca="1" si="451">AO22</f>
        <v>0</v>
      </c>
      <c r="AQ22" s="8">
        <f ca="1">AP22</f>
        <v>0</v>
      </c>
      <c r="AR22" s="8">
        <f t="shared" ref="AR22" ca="1" si="452">AQ22</f>
        <v>0</v>
      </c>
      <c r="AS22" s="8">
        <f t="shared" ref="AS22" ca="1" si="453">AR22</f>
        <v>0</v>
      </c>
      <c r="AT22" s="8">
        <f t="shared" ref="AT22" ca="1" si="454">AS22</f>
        <v>0</v>
      </c>
      <c r="AU22" s="8">
        <f t="shared" ref="AU22" ca="1" si="455">AT22</f>
        <v>0</v>
      </c>
      <c r="AV22" s="8">
        <f t="shared" ref="AV22" ca="1" si="456">AU22</f>
        <v>0</v>
      </c>
      <c r="AW22" s="8">
        <f t="shared" ref="AW22" ca="1" si="457">AV22</f>
        <v>0</v>
      </c>
      <c r="AX22" s="8">
        <f t="shared" ref="AX22" ca="1" si="458">AW22</f>
        <v>0</v>
      </c>
      <c r="AY22" s="8">
        <f t="shared" ref="AY22" ca="1" si="459">AX22</f>
        <v>0</v>
      </c>
      <c r="AZ22" s="8">
        <f t="shared" ref="AZ22" ca="1" si="460">AY22</f>
        <v>0</v>
      </c>
      <c r="BA22" s="8">
        <f t="shared" ref="BA22" ca="1" si="461">AZ22</f>
        <v>0</v>
      </c>
      <c r="BB22" s="8">
        <f t="shared" ref="BB22" ca="1" si="462">BA22</f>
        <v>0</v>
      </c>
      <c r="BC22" s="431">
        <f t="shared" ref="BC22" ca="1" si="463">BB22</f>
        <v>0</v>
      </c>
      <c r="BD22" s="8">
        <f t="shared" ref="BD22" ca="1" si="464">BC22</f>
        <v>0</v>
      </c>
      <c r="BE22" s="8">
        <f t="shared" ref="BE22" ca="1" si="465">BD22</f>
        <v>0</v>
      </c>
      <c r="BF22" s="8">
        <f t="shared" ref="BF22" ca="1" si="466">BE22</f>
        <v>0</v>
      </c>
      <c r="BG22" s="8">
        <f t="shared" ref="BG22" ca="1" si="467">BF22</f>
        <v>0</v>
      </c>
      <c r="BH22" s="8">
        <f t="shared" ref="BH22" ca="1" si="468">BG22</f>
        <v>0</v>
      </c>
      <c r="BI22" s="8">
        <f t="shared" ref="BI22" ca="1" si="469">BH22</f>
        <v>0</v>
      </c>
      <c r="BJ22" s="8">
        <f t="shared" ref="BJ22" ca="1" si="470">BI22</f>
        <v>0</v>
      </c>
      <c r="BK22" s="8">
        <f t="shared" ref="BK22" ca="1" si="471">BJ22</f>
        <v>0</v>
      </c>
      <c r="BL22" s="8">
        <f t="shared" ref="BL22" ca="1" si="472">BK22</f>
        <v>0</v>
      </c>
      <c r="BM22" s="8">
        <f t="shared" ref="BM22" ca="1" si="473">BL22</f>
        <v>0</v>
      </c>
      <c r="BN22" s="8">
        <f t="shared" ref="BN22" ca="1" si="474">BM22</f>
        <v>0</v>
      </c>
      <c r="BO22" s="8">
        <f t="shared" ref="BO22" ca="1" si="475">BN22</f>
        <v>0</v>
      </c>
      <c r="BP22" s="431">
        <f t="shared" ref="BP22" ca="1" si="476">BO22</f>
        <v>0</v>
      </c>
      <c r="BQ22" s="8">
        <f t="shared" ref="BQ22" ca="1" si="477">BP22</f>
        <v>0</v>
      </c>
      <c r="BR22" s="8">
        <f t="shared" ref="BR22" ca="1" si="478">BQ22</f>
        <v>0</v>
      </c>
      <c r="BS22" s="8">
        <f t="shared" ref="BS22" ca="1" si="479">BR22</f>
        <v>0</v>
      </c>
      <c r="BT22" s="8">
        <f t="shared" ref="BT22" ca="1" si="480">BS22</f>
        <v>0</v>
      </c>
      <c r="BU22" s="8">
        <f t="shared" ref="BU22" ca="1" si="481">BT22</f>
        <v>0</v>
      </c>
      <c r="BV22" s="8">
        <f t="shared" ref="BV22" ca="1" si="482">BU22</f>
        <v>0</v>
      </c>
      <c r="BW22" s="8">
        <f t="shared" ref="BW22" ca="1" si="483">BV22</f>
        <v>0</v>
      </c>
      <c r="BX22" s="8">
        <f t="shared" ref="BX22" ca="1" si="484">BW22</f>
        <v>0</v>
      </c>
      <c r="BY22" s="8">
        <f t="shared" ref="BY22" ca="1" si="485">BX22</f>
        <v>0</v>
      </c>
      <c r="BZ22" s="8">
        <f t="shared" ref="BZ22" ca="1" si="486">BY22</f>
        <v>0</v>
      </c>
      <c r="CA22" s="8">
        <f t="shared" ref="CA22" ca="1" si="487">BZ22</f>
        <v>0</v>
      </c>
      <c r="CB22" s="8">
        <f t="shared" ref="CB22" ca="1" si="488">CA22</f>
        <v>0</v>
      </c>
      <c r="CC22" s="431">
        <f t="shared" ref="CC22" ca="1" si="489">CB22</f>
        <v>0</v>
      </c>
      <c r="CD22" s="8">
        <f t="shared" ref="CD22" ca="1" si="490">CC22</f>
        <v>0</v>
      </c>
      <c r="CE22" s="8">
        <f t="shared" ref="CE22" ca="1" si="491">CD22</f>
        <v>0</v>
      </c>
      <c r="CF22" s="8">
        <f t="shared" ref="CF22" ca="1" si="492">CE22</f>
        <v>0</v>
      </c>
      <c r="CG22" s="8">
        <f t="shared" ref="CG22" ca="1" si="493">CF22</f>
        <v>0</v>
      </c>
      <c r="CH22" s="8">
        <f t="shared" ref="CH22" ca="1" si="494">CG22</f>
        <v>0</v>
      </c>
      <c r="CI22" s="8">
        <f t="shared" ref="CI22" ca="1" si="495">CH22</f>
        <v>0</v>
      </c>
      <c r="CJ22" s="8">
        <f t="shared" ref="CJ22" ca="1" si="496">CI22</f>
        <v>0</v>
      </c>
      <c r="CK22" s="8">
        <f t="shared" ref="CK22" ca="1" si="497">CJ22</f>
        <v>0</v>
      </c>
      <c r="CL22" s="8">
        <f t="shared" ref="CL22" ca="1" si="498">CK22</f>
        <v>0</v>
      </c>
      <c r="CM22" s="8">
        <f t="shared" ref="CM22" ca="1" si="499">CL22</f>
        <v>0</v>
      </c>
      <c r="CN22" s="8">
        <f t="shared" ref="CN22" ca="1" si="500">CM22</f>
        <v>0</v>
      </c>
      <c r="CO22" s="8">
        <f t="shared" ref="CO22" ca="1" si="501">CN22</f>
        <v>0</v>
      </c>
      <c r="CP22" s="431">
        <f t="shared" ref="CP22" ca="1" si="502">CO22</f>
        <v>0</v>
      </c>
    </row>
    <row r="23" spans="1:94" ht="20.100000000000001" hidden="1" customHeight="1">
      <c r="A23" s="791"/>
      <c r="B23" s="248" t="s">
        <v>611</v>
      </c>
      <c r="C23" s="249">
        <f t="shared" ref="C23:O23" ca="1" si="503">C21*C22</f>
        <v>0</v>
      </c>
      <c r="D23" s="248">
        <f t="shared" ca="1" si="503"/>
        <v>0</v>
      </c>
      <c r="E23" s="248">
        <f t="shared" ca="1" si="503"/>
        <v>0</v>
      </c>
      <c r="F23" s="248">
        <f t="shared" ca="1" si="503"/>
        <v>0</v>
      </c>
      <c r="G23" s="248">
        <f t="shared" ca="1" si="503"/>
        <v>0</v>
      </c>
      <c r="H23" s="248">
        <f t="shared" ca="1" si="503"/>
        <v>0</v>
      </c>
      <c r="I23" s="248">
        <f t="shared" ca="1" si="503"/>
        <v>0</v>
      </c>
      <c r="J23" s="248">
        <f t="shared" ca="1" si="503"/>
        <v>0</v>
      </c>
      <c r="K23" s="248">
        <f t="shared" ca="1" si="503"/>
        <v>0</v>
      </c>
      <c r="L23" s="248">
        <f t="shared" ca="1" si="503"/>
        <v>0</v>
      </c>
      <c r="M23" s="248">
        <f t="shared" ca="1" si="503"/>
        <v>0</v>
      </c>
      <c r="N23" s="248">
        <f t="shared" ca="1" si="503"/>
        <v>0</v>
      </c>
      <c r="O23" s="248">
        <f t="shared" ca="1" si="503"/>
        <v>0</v>
      </c>
      <c r="P23" s="432">
        <f ca="1">SUM(D23:O23)</f>
        <v>0</v>
      </c>
      <c r="Q23" s="248">
        <f t="shared" ref="Q23:AB23" ca="1" si="504">Q21*Q22</f>
        <v>0</v>
      </c>
      <c r="R23" s="248">
        <f t="shared" ca="1" si="504"/>
        <v>0</v>
      </c>
      <c r="S23" s="248">
        <f t="shared" ca="1" si="504"/>
        <v>0</v>
      </c>
      <c r="T23" s="248">
        <f t="shared" ca="1" si="504"/>
        <v>0</v>
      </c>
      <c r="U23" s="248">
        <f t="shared" ca="1" si="504"/>
        <v>0</v>
      </c>
      <c r="V23" s="248">
        <f t="shared" ca="1" si="504"/>
        <v>0</v>
      </c>
      <c r="W23" s="248">
        <f t="shared" ca="1" si="504"/>
        <v>0</v>
      </c>
      <c r="X23" s="248">
        <f t="shared" ca="1" si="504"/>
        <v>0</v>
      </c>
      <c r="Y23" s="248">
        <f t="shared" ca="1" si="504"/>
        <v>0</v>
      </c>
      <c r="Z23" s="248">
        <f t="shared" ca="1" si="504"/>
        <v>0</v>
      </c>
      <c r="AA23" s="248">
        <f t="shared" ca="1" si="504"/>
        <v>0</v>
      </c>
      <c r="AB23" s="248">
        <f t="shared" ca="1" si="504"/>
        <v>0</v>
      </c>
      <c r="AC23" s="432">
        <f ca="1">SUM(Q23:AB23)</f>
        <v>0</v>
      </c>
      <c r="AD23" s="248">
        <f t="shared" ref="AD23:AO23" ca="1" si="505">AD21*AD22</f>
        <v>0</v>
      </c>
      <c r="AE23" s="248">
        <f t="shared" ca="1" si="505"/>
        <v>0</v>
      </c>
      <c r="AF23" s="248">
        <f t="shared" ca="1" si="505"/>
        <v>0</v>
      </c>
      <c r="AG23" s="248">
        <f t="shared" ca="1" si="505"/>
        <v>0</v>
      </c>
      <c r="AH23" s="248">
        <f t="shared" ca="1" si="505"/>
        <v>0</v>
      </c>
      <c r="AI23" s="248">
        <f t="shared" ca="1" si="505"/>
        <v>0</v>
      </c>
      <c r="AJ23" s="248">
        <f t="shared" ca="1" si="505"/>
        <v>0</v>
      </c>
      <c r="AK23" s="248">
        <f t="shared" ca="1" si="505"/>
        <v>0</v>
      </c>
      <c r="AL23" s="248">
        <f t="shared" ca="1" si="505"/>
        <v>0</v>
      </c>
      <c r="AM23" s="248">
        <f t="shared" ca="1" si="505"/>
        <v>0</v>
      </c>
      <c r="AN23" s="248">
        <f t="shared" ca="1" si="505"/>
        <v>0</v>
      </c>
      <c r="AO23" s="248">
        <f t="shared" ca="1" si="505"/>
        <v>0</v>
      </c>
      <c r="AP23" s="432">
        <f ca="1">SUM(AD23:AO23)</f>
        <v>0</v>
      </c>
      <c r="AQ23" s="248">
        <f t="shared" ref="AQ23:BB23" ca="1" si="506">AQ21*AQ22</f>
        <v>0</v>
      </c>
      <c r="AR23" s="248">
        <f t="shared" ca="1" si="506"/>
        <v>0</v>
      </c>
      <c r="AS23" s="248">
        <f t="shared" ca="1" si="506"/>
        <v>0</v>
      </c>
      <c r="AT23" s="248">
        <f t="shared" ca="1" si="506"/>
        <v>0</v>
      </c>
      <c r="AU23" s="248">
        <f t="shared" ca="1" si="506"/>
        <v>0</v>
      </c>
      <c r="AV23" s="248">
        <f t="shared" ca="1" si="506"/>
        <v>0</v>
      </c>
      <c r="AW23" s="248">
        <f t="shared" ca="1" si="506"/>
        <v>0</v>
      </c>
      <c r="AX23" s="248">
        <f t="shared" ca="1" si="506"/>
        <v>0</v>
      </c>
      <c r="AY23" s="248">
        <f t="shared" ca="1" si="506"/>
        <v>0</v>
      </c>
      <c r="AZ23" s="248">
        <f t="shared" ca="1" si="506"/>
        <v>0</v>
      </c>
      <c r="BA23" s="248">
        <f t="shared" ca="1" si="506"/>
        <v>0</v>
      </c>
      <c r="BB23" s="248">
        <f t="shared" ca="1" si="506"/>
        <v>0</v>
      </c>
      <c r="BC23" s="432">
        <f ca="1">SUM(AQ23:BB23)</f>
        <v>0</v>
      </c>
      <c r="BD23" s="248">
        <f t="shared" ref="BD23:BO23" ca="1" si="507">BD21*BD22</f>
        <v>0</v>
      </c>
      <c r="BE23" s="248">
        <f t="shared" ca="1" si="507"/>
        <v>0</v>
      </c>
      <c r="BF23" s="248">
        <f t="shared" ca="1" si="507"/>
        <v>0</v>
      </c>
      <c r="BG23" s="248">
        <f t="shared" ca="1" si="507"/>
        <v>0</v>
      </c>
      <c r="BH23" s="248">
        <f t="shared" ca="1" si="507"/>
        <v>0</v>
      </c>
      <c r="BI23" s="248">
        <f t="shared" ca="1" si="507"/>
        <v>0</v>
      </c>
      <c r="BJ23" s="248">
        <f t="shared" ca="1" si="507"/>
        <v>0</v>
      </c>
      <c r="BK23" s="248">
        <f t="shared" ca="1" si="507"/>
        <v>0</v>
      </c>
      <c r="BL23" s="248">
        <f t="shared" ca="1" si="507"/>
        <v>0</v>
      </c>
      <c r="BM23" s="248">
        <f t="shared" ca="1" si="507"/>
        <v>0</v>
      </c>
      <c r="BN23" s="248">
        <f t="shared" ca="1" si="507"/>
        <v>0</v>
      </c>
      <c r="BO23" s="248">
        <f t="shared" ca="1" si="507"/>
        <v>0</v>
      </c>
      <c r="BP23" s="432">
        <f ca="1">SUM(BD23:BO23)</f>
        <v>0</v>
      </c>
      <c r="BQ23" s="248">
        <f t="shared" ref="BQ23:CB23" ca="1" si="508">BQ21*BQ22</f>
        <v>0</v>
      </c>
      <c r="BR23" s="248">
        <f t="shared" ca="1" si="508"/>
        <v>0</v>
      </c>
      <c r="BS23" s="248">
        <f t="shared" ca="1" si="508"/>
        <v>0</v>
      </c>
      <c r="BT23" s="248">
        <f t="shared" ca="1" si="508"/>
        <v>0</v>
      </c>
      <c r="BU23" s="248">
        <f t="shared" ca="1" si="508"/>
        <v>0</v>
      </c>
      <c r="BV23" s="248">
        <f t="shared" ca="1" si="508"/>
        <v>0</v>
      </c>
      <c r="BW23" s="248">
        <f t="shared" ca="1" si="508"/>
        <v>0</v>
      </c>
      <c r="BX23" s="248">
        <f t="shared" ca="1" si="508"/>
        <v>0</v>
      </c>
      <c r="BY23" s="248">
        <f t="shared" ca="1" si="508"/>
        <v>0</v>
      </c>
      <c r="BZ23" s="248">
        <f t="shared" ca="1" si="508"/>
        <v>0</v>
      </c>
      <c r="CA23" s="248">
        <f t="shared" ca="1" si="508"/>
        <v>0</v>
      </c>
      <c r="CB23" s="248">
        <f t="shared" ca="1" si="508"/>
        <v>0</v>
      </c>
      <c r="CC23" s="432">
        <f ca="1">SUM(BQ23:CB23)</f>
        <v>0</v>
      </c>
      <c r="CD23" s="248">
        <f t="shared" ref="CD23:CO23" ca="1" si="509">CD21*CD22</f>
        <v>0</v>
      </c>
      <c r="CE23" s="248">
        <f t="shared" ca="1" si="509"/>
        <v>0</v>
      </c>
      <c r="CF23" s="248">
        <f t="shared" ca="1" si="509"/>
        <v>0</v>
      </c>
      <c r="CG23" s="248">
        <f t="shared" ca="1" si="509"/>
        <v>0</v>
      </c>
      <c r="CH23" s="248">
        <f t="shared" ca="1" si="509"/>
        <v>0</v>
      </c>
      <c r="CI23" s="248">
        <f t="shared" ca="1" si="509"/>
        <v>0</v>
      </c>
      <c r="CJ23" s="248">
        <f t="shared" ca="1" si="509"/>
        <v>0</v>
      </c>
      <c r="CK23" s="248">
        <f t="shared" ca="1" si="509"/>
        <v>0</v>
      </c>
      <c r="CL23" s="248">
        <f t="shared" ca="1" si="509"/>
        <v>0</v>
      </c>
      <c r="CM23" s="248">
        <f t="shared" ca="1" si="509"/>
        <v>0</v>
      </c>
      <c r="CN23" s="248">
        <f t="shared" ca="1" si="509"/>
        <v>0</v>
      </c>
      <c r="CO23" s="248">
        <f t="shared" ca="1" si="509"/>
        <v>0</v>
      </c>
      <c r="CP23" s="432">
        <f ca="1">SUM(CD23:CO23)</f>
        <v>0</v>
      </c>
    </row>
    <row r="24" spans="1:94" ht="20.100000000000001" hidden="1" customHeight="1">
      <c r="A24" s="789">
        <f ca="1">OFFSET('Summary. Assumptions. Inputs'!$A$45,'Internmediate sheet'!A23/3,0)</f>
        <v>0</v>
      </c>
      <c r="B24" s="17" t="s">
        <v>609</v>
      </c>
      <c r="C24" s="18"/>
      <c r="D24" s="17">
        <f ca="1">OFFSET('Sales, Production, &amp; Other Assu'!D$18,'Internmediate sheet'!$A23/3,0)*Capacity</f>
        <v>0</v>
      </c>
      <c r="E24" s="17">
        <f ca="1">OFFSET('Sales, Production, &amp; Other Assu'!E$18,'Internmediate sheet'!$A23/3,0)*Capacity</f>
        <v>0</v>
      </c>
      <c r="F24" s="17">
        <f ca="1">OFFSET('Sales, Production, &amp; Other Assu'!F$18,'Internmediate sheet'!$A23/3,0)*Capacity</f>
        <v>0</v>
      </c>
      <c r="G24" s="17">
        <f ca="1">OFFSET('Sales, Production, &amp; Other Assu'!G$18,'Internmediate sheet'!$A23/3,0)*Capacity</f>
        <v>0</v>
      </c>
      <c r="H24" s="17">
        <f ca="1">OFFSET('Sales, Production, &amp; Other Assu'!H$18,'Internmediate sheet'!$A23/3,0)*Capacity</f>
        <v>0</v>
      </c>
      <c r="I24" s="17">
        <f ca="1">OFFSET('Sales, Production, &amp; Other Assu'!I$18,'Internmediate sheet'!$A23/3,0)*Capacity</f>
        <v>0</v>
      </c>
      <c r="J24" s="17">
        <f ca="1">OFFSET('Sales, Production, &amp; Other Assu'!J$18,'Internmediate sheet'!$A23/3,0)*Capacity</f>
        <v>0</v>
      </c>
      <c r="K24" s="17">
        <f ca="1">OFFSET('Sales, Production, &amp; Other Assu'!K$18,'Internmediate sheet'!$A23/3,0)*Capacity</f>
        <v>0</v>
      </c>
      <c r="L24" s="17">
        <f ca="1">OFFSET('Sales, Production, &amp; Other Assu'!L$18,'Internmediate sheet'!$A23/3,0)*Capacity</f>
        <v>0</v>
      </c>
      <c r="M24" s="17">
        <f ca="1">OFFSET('Sales, Production, &amp; Other Assu'!M$18,'Internmediate sheet'!$A23/3,0)*Capacity</f>
        <v>0</v>
      </c>
      <c r="N24" s="17">
        <f ca="1">OFFSET('Sales, Production, &amp; Other Assu'!N$18,'Internmediate sheet'!$A23/3,0)*Capacity</f>
        <v>0</v>
      </c>
      <c r="O24" s="17">
        <f ca="1">OFFSET('Sales, Production, &amp; Other Assu'!O$18,'Internmediate sheet'!$A23/3,0)*Capacity</f>
        <v>0</v>
      </c>
      <c r="P24" s="430">
        <f ca="1">SUM(D24:O24)</f>
        <v>0</v>
      </c>
      <c r="Q24" s="17">
        <f ca="1">OFFSET('Sales, Production, &amp; Other Assu'!Q$18,'Internmediate sheet'!$A23/3,0)*Capacity</f>
        <v>0</v>
      </c>
      <c r="R24" s="17">
        <f ca="1">OFFSET('Sales, Production, &amp; Other Assu'!R$18,'Internmediate sheet'!$A23/3,0)*Capacity</f>
        <v>0</v>
      </c>
      <c r="S24" s="17">
        <f ca="1">OFFSET('Sales, Production, &amp; Other Assu'!S$18,'Internmediate sheet'!$A23/3,0)*Capacity</f>
        <v>0</v>
      </c>
      <c r="T24" s="17">
        <f ca="1">OFFSET('Sales, Production, &amp; Other Assu'!T$18,'Internmediate sheet'!$A23/3,0)*Capacity</f>
        <v>0</v>
      </c>
      <c r="U24" s="17">
        <f ca="1">OFFSET('Sales, Production, &amp; Other Assu'!U$18,'Internmediate sheet'!$A23/3,0)*Capacity</f>
        <v>0</v>
      </c>
      <c r="V24" s="17">
        <f ca="1">OFFSET('Sales, Production, &amp; Other Assu'!V$18,'Internmediate sheet'!$A23/3,0)*Capacity</f>
        <v>0</v>
      </c>
      <c r="W24" s="17">
        <f ca="1">OFFSET('Sales, Production, &amp; Other Assu'!W$18,'Internmediate sheet'!$A23/3,0)*Capacity</f>
        <v>0</v>
      </c>
      <c r="X24" s="17">
        <f ca="1">OFFSET('Sales, Production, &amp; Other Assu'!X$18,'Internmediate sheet'!$A23/3,0)*Capacity</f>
        <v>0</v>
      </c>
      <c r="Y24" s="17">
        <f ca="1">OFFSET('Sales, Production, &amp; Other Assu'!Y$18,'Internmediate sheet'!$A23/3,0)*Capacity</f>
        <v>0</v>
      </c>
      <c r="Z24" s="17">
        <f ca="1">OFFSET('Sales, Production, &amp; Other Assu'!Z$18,'Internmediate sheet'!$A23/3,0)*Capacity</f>
        <v>0</v>
      </c>
      <c r="AA24" s="17">
        <f ca="1">OFFSET('Sales, Production, &amp; Other Assu'!AA$18,'Internmediate sheet'!$A23/3,0)*Capacity</f>
        <v>0</v>
      </c>
      <c r="AB24" s="17">
        <f ca="1">OFFSET('Sales, Production, &amp; Other Assu'!AB$18,'Internmediate sheet'!$A23/3,0)*Capacity</f>
        <v>0</v>
      </c>
      <c r="AC24" s="430">
        <f ca="1">SUM(Q24:AB24)</f>
        <v>0</v>
      </c>
      <c r="AD24" s="17">
        <f ca="1">OFFSET('Sales, Production, &amp; Other Assu'!AD$18,'Internmediate sheet'!$A23/3,0)*Capacity</f>
        <v>0</v>
      </c>
      <c r="AE24" s="17">
        <f ca="1">OFFSET('Sales, Production, &amp; Other Assu'!AE$18,'Internmediate sheet'!$A23/3,0)*Capacity</f>
        <v>0</v>
      </c>
      <c r="AF24" s="17">
        <f ca="1">OFFSET('Sales, Production, &amp; Other Assu'!AF$18,'Internmediate sheet'!$A23/3,0)*Capacity</f>
        <v>0</v>
      </c>
      <c r="AG24" s="17">
        <f ca="1">OFFSET('Sales, Production, &amp; Other Assu'!AG$18,'Internmediate sheet'!$A23/3,0)*Capacity</f>
        <v>0</v>
      </c>
      <c r="AH24" s="17">
        <f ca="1">OFFSET('Sales, Production, &amp; Other Assu'!AH$18,'Internmediate sheet'!$A23/3,0)*Capacity</f>
        <v>0</v>
      </c>
      <c r="AI24" s="17">
        <f ca="1">OFFSET('Sales, Production, &amp; Other Assu'!AI$18,'Internmediate sheet'!$A23/3,0)*Capacity</f>
        <v>0</v>
      </c>
      <c r="AJ24" s="17">
        <f ca="1">OFFSET('Sales, Production, &amp; Other Assu'!AJ$18,'Internmediate sheet'!$A23/3,0)*Capacity</f>
        <v>0</v>
      </c>
      <c r="AK24" s="17">
        <f ca="1">OFFSET('Sales, Production, &amp; Other Assu'!AK$18,'Internmediate sheet'!$A23/3,0)*Capacity</f>
        <v>0</v>
      </c>
      <c r="AL24" s="17">
        <f ca="1">OFFSET('Sales, Production, &amp; Other Assu'!AL$18,'Internmediate sheet'!$A23/3,0)*Capacity</f>
        <v>0</v>
      </c>
      <c r="AM24" s="17">
        <f ca="1">OFFSET('Sales, Production, &amp; Other Assu'!AM$18,'Internmediate sheet'!$A23/3,0)*Capacity</f>
        <v>0</v>
      </c>
      <c r="AN24" s="17">
        <f ca="1">OFFSET('Sales, Production, &amp; Other Assu'!AN$18,'Internmediate sheet'!$A23/3,0)*Capacity</f>
        <v>0</v>
      </c>
      <c r="AO24" s="17">
        <f ca="1">OFFSET('Sales, Production, &amp; Other Assu'!AO$18,'Internmediate sheet'!$A23/3,0)*Capacity</f>
        <v>0</v>
      </c>
      <c r="AP24" s="430">
        <f ca="1">SUM(AD24:AO24)</f>
        <v>0</v>
      </c>
      <c r="AQ24" s="17">
        <f ca="1">OFFSET('Sales, Production, &amp; Other Assu'!AQ$18,'Internmediate sheet'!$A23/3,0)*Capacity</f>
        <v>0</v>
      </c>
      <c r="AR24" s="17">
        <f ca="1">OFFSET('Sales, Production, &amp; Other Assu'!AR$18,'Internmediate sheet'!$A23/3,0)*Capacity</f>
        <v>0</v>
      </c>
      <c r="AS24" s="17">
        <f ca="1">OFFSET('Sales, Production, &amp; Other Assu'!AS$18,'Internmediate sheet'!$A23/3,0)*Capacity</f>
        <v>0</v>
      </c>
      <c r="AT24" s="17">
        <f ca="1">OFFSET('Sales, Production, &amp; Other Assu'!AT$18,'Internmediate sheet'!$A23/3,0)*Capacity</f>
        <v>0</v>
      </c>
      <c r="AU24" s="17">
        <f ca="1">OFFSET('Sales, Production, &amp; Other Assu'!AU$18,'Internmediate sheet'!$A23/3,0)*Capacity</f>
        <v>0</v>
      </c>
      <c r="AV24" s="17">
        <f ca="1">OFFSET('Sales, Production, &amp; Other Assu'!AV$18,'Internmediate sheet'!$A23/3,0)*Capacity</f>
        <v>0</v>
      </c>
      <c r="AW24" s="17">
        <f ca="1">OFFSET('Sales, Production, &amp; Other Assu'!AW$18,'Internmediate sheet'!$A23/3,0)*Capacity</f>
        <v>0</v>
      </c>
      <c r="AX24" s="17">
        <f ca="1">OFFSET('Sales, Production, &amp; Other Assu'!AX$18,'Internmediate sheet'!$A23/3,0)*Capacity</f>
        <v>0</v>
      </c>
      <c r="AY24" s="17">
        <f ca="1">OFFSET('Sales, Production, &amp; Other Assu'!AY$18,'Internmediate sheet'!$A23/3,0)*Capacity</f>
        <v>0</v>
      </c>
      <c r="AZ24" s="17">
        <f ca="1">OFFSET('Sales, Production, &amp; Other Assu'!AZ$18,'Internmediate sheet'!$A23/3,0)*Capacity</f>
        <v>0</v>
      </c>
      <c r="BA24" s="17">
        <f ca="1">OFFSET('Sales, Production, &amp; Other Assu'!BA$18,'Internmediate sheet'!$A23/3,0)*Capacity</f>
        <v>0</v>
      </c>
      <c r="BB24" s="17">
        <f ca="1">OFFSET('Sales, Production, &amp; Other Assu'!BB$18,'Internmediate sheet'!$A23/3,0)*Capacity</f>
        <v>0</v>
      </c>
      <c r="BC24" s="430">
        <f ca="1">SUM(AQ24:BB24)</f>
        <v>0</v>
      </c>
      <c r="BD24" s="17">
        <f ca="1">OFFSET('Sales, Production, &amp; Other Assu'!BD$18,'Internmediate sheet'!$A23/3,0)*Capacity</f>
        <v>0</v>
      </c>
      <c r="BE24" s="17">
        <f ca="1">OFFSET('Sales, Production, &amp; Other Assu'!BE$18,'Internmediate sheet'!$A23/3,0)*Capacity</f>
        <v>0</v>
      </c>
      <c r="BF24" s="17">
        <f ca="1">OFFSET('Sales, Production, &amp; Other Assu'!BF$18,'Internmediate sheet'!$A23/3,0)*Capacity</f>
        <v>0</v>
      </c>
      <c r="BG24" s="17">
        <f ca="1">OFFSET('Sales, Production, &amp; Other Assu'!BG$18,'Internmediate sheet'!$A23/3,0)*Capacity</f>
        <v>0</v>
      </c>
      <c r="BH24" s="17">
        <f ca="1">OFFSET('Sales, Production, &amp; Other Assu'!BH$18,'Internmediate sheet'!$A23/3,0)*Capacity</f>
        <v>0</v>
      </c>
      <c r="BI24" s="17">
        <f ca="1">OFFSET('Sales, Production, &amp; Other Assu'!BI$18,'Internmediate sheet'!$A23/3,0)*Capacity</f>
        <v>0</v>
      </c>
      <c r="BJ24" s="17">
        <f ca="1">OFFSET('Sales, Production, &amp; Other Assu'!BJ$18,'Internmediate sheet'!$A23/3,0)*Capacity</f>
        <v>0</v>
      </c>
      <c r="BK24" s="17">
        <f ca="1">OFFSET('Sales, Production, &amp; Other Assu'!BK$18,'Internmediate sheet'!$A23/3,0)*Capacity</f>
        <v>0</v>
      </c>
      <c r="BL24" s="17">
        <f ca="1">OFFSET('Sales, Production, &amp; Other Assu'!BL$18,'Internmediate sheet'!$A23/3,0)*Capacity</f>
        <v>0</v>
      </c>
      <c r="BM24" s="17">
        <f ca="1">OFFSET('Sales, Production, &amp; Other Assu'!BM$18,'Internmediate sheet'!$A23/3,0)*Capacity</f>
        <v>0</v>
      </c>
      <c r="BN24" s="17">
        <f ca="1">OFFSET('Sales, Production, &amp; Other Assu'!BN$18,'Internmediate sheet'!$A23/3,0)*Capacity</f>
        <v>0</v>
      </c>
      <c r="BO24" s="17">
        <f ca="1">OFFSET('Sales, Production, &amp; Other Assu'!BO$18,'Internmediate sheet'!$A23/3,0)*Capacity</f>
        <v>0</v>
      </c>
      <c r="BP24" s="430">
        <f ca="1">SUM(BD24:BO24)</f>
        <v>0</v>
      </c>
      <c r="BQ24" s="17">
        <f ca="1">OFFSET('Sales, Production, &amp; Other Assu'!BQ$18,'Internmediate sheet'!$A23/3,0)*Capacity</f>
        <v>0</v>
      </c>
      <c r="BR24" s="17">
        <f ca="1">OFFSET('Sales, Production, &amp; Other Assu'!BR$18,'Internmediate sheet'!$A23/3,0)*Capacity</f>
        <v>0</v>
      </c>
      <c r="BS24" s="17">
        <f ca="1">OFFSET('Sales, Production, &amp; Other Assu'!BS$18,'Internmediate sheet'!$A23/3,0)*Capacity</f>
        <v>0</v>
      </c>
      <c r="BT24" s="17">
        <f ca="1">OFFSET('Sales, Production, &amp; Other Assu'!BT$18,'Internmediate sheet'!$A23/3,0)*Capacity</f>
        <v>0</v>
      </c>
      <c r="BU24" s="17">
        <f ca="1">OFFSET('Sales, Production, &amp; Other Assu'!BU$18,'Internmediate sheet'!$A23/3,0)*Capacity</f>
        <v>0</v>
      </c>
      <c r="BV24" s="17">
        <f ca="1">OFFSET('Sales, Production, &amp; Other Assu'!BV$18,'Internmediate sheet'!$A23/3,0)*Capacity</f>
        <v>0</v>
      </c>
      <c r="BW24" s="17">
        <f ca="1">OFFSET('Sales, Production, &amp; Other Assu'!BW$18,'Internmediate sheet'!$A23/3,0)*Capacity</f>
        <v>0</v>
      </c>
      <c r="BX24" s="17">
        <f ca="1">OFFSET('Sales, Production, &amp; Other Assu'!BX$18,'Internmediate sheet'!$A23/3,0)*Capacity</f>
        <v>0</v>
      </c>
      <c r="BY24" s="17">
        <f ca="1">OFFSET('Sales, Production, &amp; Other Assu'!BY$18,'Internmediate sheet'!$A23/3,0)*Capacity</f>
        <v>0</v>
      </c>
      <c r="BZ24" s="17">
        <f ca="1">OFFSET('Sales, Production, &amp; Other Assu'!BZ$18,'Internmediate sheet'!$A23/3,0)*Capacity</f>
        <v>0</v>
      </c>
      <c r="CA24" s="17">
        <f ca="1">OFFSET('Sales, Production, &amp; Other Assu'!CA$18,'Internmediate sheet'!$A23/3,0)*Capacity</f>
        <v>0</v>
      </c>
      <c r="CB24" s="17">
        <f ca="1">OFFSET('Sales, Production, &amp; Other Assu'!CB$18,'Internmediate sheet'!$A23/3,0)*Capacity</f>
        <v>0</v>
      </c>
      <c r="CC24" s="430">
        <f ca="1">SUM(BQ24:CB24)</f>
        <v>0</v>
      </c>
      <c r="CD24" s="17">
        <f ca="1">OFFSET('Sales, Production, &amp; Other Assu'!CD$18,'Internmediate sheet'!$A23/3,0)*Capacity</f>
        <v>0</v>
      </c>
      <c r="CE24" s="17">
        <f ca="1">OFFSET('Sales, Production, &amp; Other Assu'!CE$18,'Internmediate sheet'!$A23/3,0)*Capacity</f>
        <v>0</v>
      </c>
      <c r="CF24" s="17">
        <f ca="1">OFFSET('Sales, Production, &amp; Other Assu'!CF$18,'Internmediate sheet'!$A23/3,0)*Capacity</f>
        <v>0</v>
      </c>
      <c r="CG24" s="17">
        <f ca="1">OFFSET('Sales, Production, &amp; Other Assu'!CG$18,'Internmediate sheet'!$A23/3,0)*Capacity</f>
        <v>0</v>
      </c>
      <c r="CH24" s="17">
        <f ca="1">OFFSET('Sales, Production, &amp; Other Assu'!CH$18,'Internmediate sheet'!$A23/3,0)*Capacity</f>
        <v>0</v>
      </c>
      <c r="CI24" s="17">
        <f ca="1">OFFSET('Sales, Production, &amp; Other Assu'!CI$18,'Internmediate sheet'!$A23/3,0)*Capacity</f>
        <v>0</v>
      </c>
      <c r="CJ24" s="17">
        <f ca="1">OFFSET('Sales, Production, &amp; Other Assu'!CJ$18,'Internmediate sheet'!$A23/3,0)*Capacity</f>
        <v>0</v>
      </c>
      <c r="CK24" s="17">
        <f ca="1">OFFSET('Sales, Production, &amp; Other Assu'!CK$18,'Internmediate sheet'!$A23/3,0)*Capacity</f>
        <v>0</v>
      </c>
      <c r="CL24" s="17">
        <f ca="1">OFFSET('Sales, Production, &amp; Other Assu'!CL$18,'Internmediate sheet'!$A23/3,0)*Capacity</f>
        <v>0</v>
      </c>
      <c r="CM24" s="17">
        <f ca="1">OFFSET('Sales, Production, &amp; Other Assu'!CM$18,'Internmediate sheet'!$A23/3,0)*Capacity</f>
        <v>0</v>
      </c>
      <c r="CN24" s="17">
        <f ca="1">OFFSET('Sales, Production, &amp; Other Assu'!CN$18,'Internmediate sheet'!$A23/3,0)*Capacity</f>
        <v>0</v>
      </c>
      <c r="CO24" s="17">
        <f ca="1">OFFSET('Sales, Production, &amp; Other Assu'!CO$18,'Internmediate sheet'!$A23/3,0)*Capacity</f>
        <v>0</v>
      </c>
      <c r="CP24" s="430">
        <f ca="1">SUM(CD24:CO24)</f>
        <v>0</v>
      </c>
    </row>
    <row r="25" spans="1:94" ht="20.100000000000001" hidden="1" customHeight="1">
      <c r="A25" s="790"/>
      <c r="B25" s="8" t="s">
        <v>610</v>
      </c>
      <c r="C25" s="8">
        <f ca="1">OFFSET('Summary. Assumptions. Inputs'!$F$46,'Internmediate sheet'!A20/3,0)</f>
        <v>0</v>
      </c>
      <c r="D25" s="8">
        <f t="shared" ref="D25:P25" ca="1" si="510">C25</f>
        <v>0</v>
      </c>
      <c r="E25" s="8">
        <f t="shared" ca="1" si="510"/>
        <v>0</v>
      </c>
      <c r="F25" s="8">
        <f t="shared" ca="1" si="510"/>
        <v>0</v>
      </c>
      <c r="G25" s="8">
        <f t="shared" ca="1" si="510"/>
        <v>0</v>
      </c>
      <c r="H25" s="8">
        <f t="shared" ca="1" si="510"/>
        <v>0</v>
      </c>
      <c r="I25" s="8">
        <f t="shared" ca="1" si="510"/>
        <v>0</v>
      </c>
      <c r="J25" s="8">
        <f t="shared" ca="1" si="510"/>
        <v>0</v>
      </c>
      <c r="K25" s="8">
        <f t="shared" ca="1" si="510"/>
        <v>0</v>
      </c>
      <c r="L25" s="8">
        <f t="shared" ca="1" si="510"/>
        <v>0</v>
      </c>
      <c r="M25" s="8">
        <f t="shared" ca="1" si="510"/>
        <v>0</v>
      </c>
      <c r="N25" s="8">
        <f t="shared" ca="1" si="510"/>
        <v>0</v>
      </c>
      <c r="O25" s="8">
        <f t="shared" ca="1" si="510"/>
        <v>0</v>
      </c>
      <c r="P25" s="431">
        <f t="shared" ca="1" si="510"/>
        <v>0</v>
      </c>
      <c r="Q25" s="8">
        <f t="shared" ref="Q25" ca="1" si="511">P25</f>
        <v>0</v>
      </c>
      <c r="R25" s="8">
        <f t="shared" ref="R25" ca="1" si="512">Q25</f>
        <v>0</v>
      </c>
      <c r="S25" s="8">
        <f t="shared" ref="S25" ca="1" si="513">R25</f>
        <v>0</v>
      </c>
      <c r="T25" s="8">
        <f t="shared" ref="T25" ca="1" si="514">S25</f>
        <v>0</v>
      </c>
      <c r="U25" s="8">
        <f t="shared" ref="U25" ca="1" si="515">T25</f>
        <v>0</v>
      </c>
      <c r="V25" s="8">
        <f t="shared" ref="V25" ca="1" si="516">U25</f>
        <v>0</v>
      </c>
      <c r="W25" s="8">
        <f t="shared" ref="W25" ca="1" si="517">V25</f>
        <v>0</v>
      </c>
      <c r="X25" s="8">
        <f t="shared" ref="X25" ca="1" si="518">W25</f>
        <v>0</v>
      </c>
      <c r="Y25" s="8">
        <f t="shared" ref="Y25" ca="1" si="519">X25</f>
        <v>0</v>
      </c>
      <c r="Z25" s="8">
        <f t="shared" ref="Z25" ca="1" si="520">Y25</f>
        <v>0</v>
      </c>
      <c r="AA25" s="8">
        <f t="shared" ref="AA25" ca="1" si="521">Z25</f>
        <v>0</v>
      </c>
      <c r="AB25" s="8">
        <f t="shared" ref="AB25" ca="1" si="522">AA25</f>
        <v>0</v>
      </c>
      <c r="AC25" s="431">
        <f t="shared" ref="AC25" ca="1" si="523">AB25</f>
        <v>0</v>
      </c>
      <c r="AD25" s="8">
        <f t="shared" ref="AD25" ca="1" si="524">AC25</f>
        <v>0</v>
      </c>
      <c r="AE25" s="8">
        <f t="shared" ref="AE25" ca="1" si="525">AD25</f>
        <v>0</v>
      </c>
      <c r="AF25" s="8">
        <f t="shared" ref="AF25" ca="1" si="526">AE25</f>
        <v>0</v>
      </c>
      <c r="AG25" s="8">
        <f t="shared" ref="AG25" ca="1" si="527">AF25</f>
        <v>0</v>
      </c>
      <c r="AH25" s="8">
        <f t="shared" ref="AH25" ca="1" si="528">AG25</f>
        <v>0</v>
      </c>
      <c r="AI25" s="8">
        <f t="shared" ref="AI25" ca="1" si="529">AH25</f>
        <v>0</v>
      </c>
      <c r="AJ25" s="8">
        <f t="shared" ref="AJ25" ca="1" si="530">AI25</f>
        <v>0</v>
      </c>
      <c r="AK25" s="8">
        <f t="shared" ref="AK25" ca="1" si="531">AJ25</f>
        <v>0</v>
      </c>
      <c r="AL25" s="8">
        <f t="shared" ref="AL25" ca="1" si="532">AK25</f>
        <v>0</v>
      </c>
      <c r="AM25" s="8">
        <f t="shared" ref="AM25" ca="1" si="533">AL25</f>
        <v>0</v>
      </c>
      <c r="AN25" s="8">
        <f t="shared" ref="AN25" ca="1" si="534">AM25</f>
        <v>0</v>
      </c>
      <c r="AO25" s="8">
        <f t="shared" ref="AO25" ca="1" si="535">AN25</f>
        <v>0</v>
      </c>
      <c r="AP25" s="431">
        <f t="shared" ref="AP25" ca="1" si="536">AO25</f>
        <v>0</v>
      </c>
      <c r="AQ25" s="8">
        <f ca="1">AP25</f>
        <v>0</v>
      </c>
      <c r="AR25" s="8">
        <f t="shared" ref="AR25" ca="1" si="537">AQ25</f>
        <v>0</v>
      </c>
      <c r="AS25" s="8">
        <f t="shared" ref="AS25" ca="1" si="538">AR25</f>
        <v>0</v>
      </c>
      <c r="AT25" s="8">
        <f t="shared" ref="AT25" ca="1" si="539">AS25</f>
        <v>0</v>
      </c>
      <c r="AU25" s="8">
        <f t="shared" ref="AU25" ca="1" si="540">AT25</f>
        <v>0</v>
      </c>
      <c r="AV25" s="8">
        <f t="shared" ref="AV25" ca="1" si="541">AU25</f>
        <v>0</v>
      </c>
      <c r="AW25" s="8">
        <f t="shared" ref="AW25" ca="1" si="542">AV25</f>
        <v>0</v>
      </c>
      <c r="AX25" s="8">
        <f t="shared" ref="AX25" ca="1" si="543">AW25</f>
        <v>0</v>
      </c>
      <c r="AY25" s="8">
        <f t="shared" ref="AY25" ca="1" si="544">AX25</f>
        <v>0</v>
      </c>
      <c r="AZ25" s="8">
        <f t="shared" ref="AZ25" ca="1" si="545">AY25</f>
        <v>0</v>
      </c>
      <c r="BA25" s="8">
        <f t="shared" ref="BA25" ca="1" si="546">AZ25</f>
        <v>0</v>
      </c>
      <c r="BB25" s="8">
        <f t="shared" ref="BB25" ca="1" si="547">BA25</f>
        <v>0</v>
      </c>
      <c r="BC25" s="431">
        <f t="shared" ref="BC25" ca="1" si="548">BB25</f>
        <v>0</v>
      </c>
      <c r="BD25" s="8">
        <f t="shared" ref="BD25" ca="1" si="549">BC25</f>
        <v>0</v>
      </c>
      <c r="BE25" s="8">
        <f t="shared" ref="BE25" ca="1" si="550">BD25</f>
        <v>0</v>
      </c>
      <c r="BF25" s="8">
        <f t="shared" ref="BF25" ca="1" si="551">BE25</f>
        <v>0</v>
      </c>
      <c r="BG25" s="8">
        <f t="shared" ref="BG25" ca="1" si="552">BF25</f>
        <v>0</v>
      </c>
      <c r="BH25" s="8">
        <f t="shared" ref="BH25" ca="1" si="553">BG25</f>
        <v>0</v>
      </c>
      <c r="BI25" s="8">
        <f t="shared" ref="BI25" ca="1" si="554">BH25</f>
        <v>0</v>
      </c>
      <c r="BJ25" s="8">
        <f t="shared" ref="BJ25" ca="1" si="555">BI25</f>
        <v>0</v>
      </c>
      <c r="BK25" s="8">
        <f t="shared" ref="BK25" ca="1" si="556">BJ25</f>
        <v>0</v>
      </c>
      <c r="BL25" s="8">
        <f t="shared" ref="BL25" ca="1" si="557">BK25</f>
        <v>0</v>
      </c>
      <c r="BM25" s="8">
        <f t="shared" ref="BM25" ca="1" si="558">BL25</f>
        <v>0</v>
      </c>
      <c r="BN25" s="8">
        <f t="shared" ref="BN25" ca="1" si="559">BM25</f>
        <v>0</v>
      </c>
      <c r="BO25" s="8">
        <f t="shared" ref="BO25" ca="1" si="560">BN25</f>
        <v>0</v>
      </c>
      <c r="BP25" s="431">
        <f t="shared" ref="BP25" ca="1" si="561">BO25</f>
        <v>0</v>
      </c>
      <c r="BQ25" s="8">
        <f t="shared" ref="BQ25" ca="1" si="562">BP25</f>
        <v>0</v>
      </c>
      <c r="BR25" s="8">
        <f t="shared" ref="BR25" ca="1" si="563">BQ25</f>
        <v>0</v>
      </c>
      <c r="BS25" s="8">
        <f t="shared" ref="BS25" ca="1" si="564">BR25</f>
        <v>0</v>
      </c>
      <c r="BT25" s="8">
        <f t="shared" ref="BT25" ca="1" si="565">BS25</f>
        <v>0</v>
      </c>
      <c r="BU25" s="8">
        <f t="shared" ref="BU25" ca="1" si="566">BT25</f>
        <v>0</v>
      </c>
      <c r="BV25" s="8">
        <f t="shared" ref="BV25" ca="1" si="567">BU25</f>
        <v>0</v>
      </c>
      <c r="BW25" s="8">
        <f t="shared" ref="BW25" ca="1" si="568">BV25</f>
        <v>0</v>
      </c>
      <c r="BX25" s="8">
        <f t="shared" ref="BX25" ca="1" si="569">BW25</f>
        <v>0</v>
      </c>
      <c r="BY25" s="8">
        <f t="shared" ref="BY25" ca="1" si="570">BX25</f>
        <v>0</v>
      </c>
      <c r="BZ25" s="8">
        <f t="shared" ref="BZ25" ca="1" si="571">BY25</f>
        <v>0</v>
      </c>
      <c r="CA25" s="8">
        <f t="shared" ref="CA25" ca="1" si="572">BZ25</f>
        <v>0</v>
      </c>
      <c r="CB25" s="8">
        <f t="shared" ref="CB25" ca="1" si="573">CA25</f>
        <v>0</v>
      </c>
      <c r="CC25" s="431">
        <f t="shared" ref="CC25" ca="1" si="574">CB25</f>
        <v>0</v>
      </c>
      <c r="CD25" s="8">
        <f t="shared" ref="CD25" ca="1" si="575">CC25</f>
        <v>0</v>
      </c>
      <c r="CE25" s="8">
        <f t="shared" ref="CE25" ca="1" si="576">CD25</f>
        <v>0</v>
      </c>
      <c r="CF25" s="8">
        <f t="shared" ref="CF25" ca="1" si="577">CE25</f>
        <v>0</v>
      </c>
      <c r="CG25" s="8">
        <f t="shared" ref="CG25" ca="1" si="578">CF25</f>
        <v>0</v>
      </c>
      <c r="CH25" s="8">
        <f t="shared" ref="CH25" ca="1" si="579">CG25</f>
        <v>0</v>
      </c>
      <c r="CI25" s="8">
        <f t="shared" ref="CI25" ca="1" si="580">CH25</f>
        <v>0</v>
      </c>
      <c r="CJ25" s="8">
        <f t="shared" ref="CJ25" ca="1" si="581">CI25</f>
        <v>0</v>
      </c>
      <c r="CK25" s="8">
        <f t="shared" ref="CK25" ca="1" si="582">CJ25</f>
        <v>0</v>
      </c>
      <c r="CL25" s="8">
        <f t="shared" ref="CL25" ca="1" si="583">CK25</f>
        <v>0</v>
      </c>
      <c r="CM25" s="8">
        <f t="shared" ref="CM25" ca="1" si="584">CL25</f>
        <v>0</v>
      </c>
      <c r="CN25" s="8">
        <f t="shared" ref="CN25" ca="1" si="585">CM25</f>
        <v>0</v>
      </c>
      <c r="CO25" s="8">
        <f t="shared" ref="CO25" ca="1" si="586">CN25</f>
        <v>0</v>
      </c>
      <c r="CP25" s="431">
        <f t="shared" ref="CP25" ca="1" si="587">CO25</f>
        <v>0</v>
      </c>
    </row>
    <row r="26" spans="1:94" ht="20.100000000000001" hidden="1" customHeight="1">
      <c r="A26" s="791"/>
      <c r="B26" s="248" t="s">
        <v>611</v>
      </c>
      <c r="C26" s="249">
        <f t="shared" ref="C26:O26" ca="1" si="588">C24*C25</f>
        <v>0</v>
      </c>
      <c r="D26" s="248">
        <f t="shared" ca="1" si="588"/>
        <v>0</v>
      </c>
      <c r="E26" s="248">
        <f t="shared" ca="1" si="588"/>
        <v>0</v>
      </c>
      <c r="F26" s="248">
        <f t="shared" ca="1" si="588"/>
        <v>0</v>
      </c>
      <c r="G26" s="248">
        <f t="shared" ca="1" si="588"/>
        <v>0</v>
      </c>
      <c r="H26" s="248">
        <f t="shared" ca="1" si="588"/>
        <v>0</v>
      </c>
      <c r="I26" s="248">
        <f t="shared" ca="1" si="588"/>
        <v>0</v>
      </c>
      <c r="J26" s="248">
        <f t="shared" ca="1" si="588"/>
        <v>0</v>
      </c>
      <c r="K26" s="248">
        <f t="shared" ca="1" si="588"/>
        <v>0</v>
      </c>
      <c r="L26" s="248">
        <f t="shared" ca="1" si="588"/>
        <v>0</v>
      </c>
      <c r="M26" s="248">
        <f t="shared" ca="1" si="588"/>
        <v>0</v>
      </c>
      <c r="N26" s="248">
        <f t="shared" ca="1" si="588"/>
        <v>0</v>
      </c>
      <c r="O26" s="248">
        <f t="shared" ca="1" si="588"/>
        <v>0</v>
      </c>
      <c r="P26" s="432">
        <f ca="1">SUM(D26:O26)</f>
        <v>0</v>
      </c>
      <c r="Q26" s="248">
        <f t="shared" ref="Q26:AB26" ca="1" si="589">Q24*Q25</f>
        <v>0</v>
      </c>
      <c r="R26" s="248">
        <f t="shared" ca="1" si="589"/>
        <v>0</v>
      </c>
      <c r="S26" s="248">
        <f t="shared" ca="1" si="589"/>
        <v>0</v>
      </c>
      <c r="T26" s="248">
        <f t="shared" ca="1" si="589"/>
        <v>0</v>
      </c>
      <c r="U26" s="248">
        <f t="shared" ca="1" si="589"/>
        <v>0</v>
      </c>
      <c r="V26" s="248">
        <f t="shared" ca="1" si="589"/>
        <v>0</v>
      </c>
      <c r="W26" s="248">
        <f t="shared" ca="1" si="589"/>
        <v>0</v>
      </c>
      <c r="X26" s="248">
        <f t="shared" ca="1" si="589"/>
        <v>0</v>
      </c>
      <c r="Y26" s="248">
        <f t="shared" ca="1" si="589"/>
        <v>0</v>
      </c>
      <c r="Z26" s="248">
        <f t="shared" ca="1" si="589"/>
        <v>0</v>
      </c>
      <c r="AA26" s="248">
        <f t="shared" ca="1" si="589"/>
        <v>0</v>
      </c>
      <c r="AB26" s="248">
        <f t="shared" ca="1" si="589"/>
        <v>0</v>
      </c>
      <c r="AC26" s="432">
        <f ca="1">SUM(Q26:AB26)</f>
        <v>0</v>
      </c>
      <c r="AD26" s="248">
        <f t="shared" ref="AD26:AO26" ca="1" si="590">AD24*AD25</f>
        <v>0</v>
      </c>
      <c r="AE26" s="248">
        <f t="shared" ca="1" si="590"/>
        <v>0</v>
      </c>
      <c r="AF26" s="248">
        <f t="shared" ca="1" si="590"/>
        <v>0</v>
      </c>
      <c r="AG26" s="248">
        <f t="shared" ca="1" si="590"/>
        <v>0</v>
      </c>
      <c r="AH26" s="248">
        <f t="shared" ca="1" si="590"/>
        <v>0</v>
      </c>
      <c r="AI26" s="248">
        <f t="shared" ca="1" si="590"/>
        <v>0</v>
      </c>
      <c r="AJ26" s="248">
        <f t="shared" ca="1" si="590"/>
        <v>0</v>
      </c>
      <c r="AK26" s="248">
        <f t="shared" ca="1" si="590"/>
        <v>0</v>
      </c>
      <c r="AL26" s="248">
        <f t="shared" ca="1" si="590"/>
        <v>0</v>
      </c>
      <c r="AM26" s="248">
        <f t="shared" ca="1" si="590"/>
        <v>0</v>
      </c>
      <c r="AN26" s="248">
        <f t="shared" ca="1" si="590"/>
        <v>0</v>
      </c>
      <c r="AO26" s="248">
        <f t="shared" ca="1" si="590"/>
        <v>0</v>
      </c>
      <c r="AP26" s="432">
        <f ca="1">SUM(AD26:AO26)</f>
        <v>0</v>
      </c>
      <c r="AQ26" s="248">
        <f t="shared" ref="AQ26:BB26" ca="1" si="591">AQ24*AQ25</f>
        <v>0</v>
      </c>
      <c r="AR26" s="248">
        <f t="shared" ca="1" si="591"/>
        <v>0</v>
      </c>
      <c r="AS26" s="248">
        <f t="shared" ca="1" si="591"/>
        <v>0</v>
      </c>
      <c r="AT26" s="248">
        <f t="shared" ca="1" si="591"/>
        <v>0</v>
      </c>
      <c r="AU26" s="248">
        <f t="shared" ca="1" si="591"/>
        <v>0</v>
      </c>
      <c r="AV26" s="248">
        <f t="shared" ca="1" si="591"/>
        <v>0</v>
      </c>
      <c r="AW26" s="248">
        <f t="shared" ca="1" si="591"/>
        <v>0</v>
      </c>
      <c r="AX26" s="248">
        <f t="shared" ca="1" si="591"/>
        <v>0</v>
      </c>
      <c r="AY26" s="248">
        <f t="shared" ca="1" si="591"/>
        <v>0</v>
      </c>
      <c r="AZ26" s="248">
        <f t="shared" ca="1" si="591"/>
        <v>0</v>
      </c>
      <c r="BA26" s="248">
        <f t="shared" ca="1" si="591"/>
        <v>0</v>
      </c>
      <c r="BB26" s="248">
        <f t="shared" ca="1" si="591"/>
        <v>0</v>
      </c>
      <c r="BC26" s="432">
        <f ca="1">SUM(AQ26:BB26)</f>
        <v>0</v>
      </c>
      <c r="BD26" s="248">
        <f t="shared" ref="BD26:BO26" ca="1" si="592">BD24*BD25</f>
        <v>0</v>
      </c>
      <c r="BE26" s="248">
        <f t="shared" ca="1" si="592"/>
        <v>0</v>
      </c>
      <c r="BF26" s="248">
        <f t="shared" ca="1" si="592"/>
        <v>0</v>
      </c>
      <c r="BG26" s="248">
        <f t="shared" ca="1" si="592"/>
        <v>0</v>
      </c>
      <c r="BH26" s="248">
        <f t="shared" ca="1" si="592"/>
        <v>0</v>
      </c>
      <c r="BI26" s="248">
        <f t="shared" ca="1" si="592"/>
        <v>0</v>
      </c>
      <c r="BJ26" s="248">
        <f t="shared" ca="1" si="592"/>
        <v>0</v>
      </c>
      <c r="BK26" s="248">
        <f t="shared" ca="1" si="592"/>
        <v>0</v>
      </c>
      <c r="BL26" s="248">
        <f t="shared" ca="1" si="592"/>
        <v>0</v>
      </c>
      <c r="BM26" s="248">
        <f t="shared" ca="1" si="592"/>
        <v>0</v>
      </c>
      <c r="BN26" s="248">
        <f t="shared" ca="1" si="592"/>
        <v>0</v>
      </c>
      <c r="BO26" s="248">
        <f t="shared" ca="1" si="592"/>
        <v>0</v>
      </c>
      <c r="BP26" s="432">
        <f ca="1">SUM(BD26:BO26)</f>
        <v>0</v>
      </c>
      <c r="BQ26" s="248">
        <f t="shared" ref="BQ26:CB26" ca="1" si="593">BQ24*BQ25</f>
        <v>0</v>
      </c>
      <c r="BR26" s="248">
        <f t="shared" ca="1" si="593"/>
        <v>0</v>
      </c>
      <c r="BS26" s="248">
        <f t="shared" ca="1" si="593"/>
        <v>0</v>
      </c>
      <c r="BT26" s="248">
        <f t="shared" ca="1" si="593"/>
        <v>0</v>
      </c>
      <c r="BU26" s="248">
        <f t="shared" ca="1" si="593"/>
        <v>0</v>
      </c>
      <c r="BV26" s="248">
        <f t="shared" ca="1" si="593"/>
        <v>0</v>
      </c>
      <c r="BW26" s="248">
        <f t="shared" ca="1" si="593"/>
        <v>0</v>
      </c>
      <c r="BX26" s="248">
        <f t="shared" ca="1" si="593"/>
        <v>0</v>
      </c>
      <c r="BY26" s="248">
        <f t="shared" ca="1" si="593"/>
        <v>0</v>
      </c>
      <c r="BZ26" s="248">
        <f t="shared" ca="1" si="593"/>
        <v>0</v>
      </c>
      <c r="CA26" s="248">
        <f t="shared" ca="1" si="593"/>
        <v>0</v>
      </c>
      <c r="CB26" s="248">
        <f t="shared" ca="1" si="593"/>
        <v>0</v>
      </c>
      <c r="CC26" s="432">
        <f ca="1">SUM(BQ26:CB26)</f>
        <v>0</v>
      </c>
      <c r="CD26" s="248">
        <f t="shared" ref="CD26:CO26" ca="1" si="594">CD24*CD25</f>
        <v>0</v>
      </c>
      <c r="CE26" s="248">
        <f t="shared" ca="1" si="594"/>
        <v>0</v>
      </c>
      <c r="CF26" s="248">
        <f t="shared" ca="1" si="594"/>
        <v>0</v>
      </c>
      <c r="CG26" s="248">
        <f t="shared" ca="1" si="594"/>
        <v>0</v>
      </c>
      <c r="CH26" s="248">
        <f t="shared" ca="1" si="594"/>
        <v>0</v>
      </c>
      <c r="CI26" s="248">
        <f t="shared" ca="1" si="594"/>
        <v>0</v>
      </c>
      <c r="CJ26" s="248">
        <f t="shared" ca="1" si="594"/>
        <v>0</v>
      </c>
      <c r="CK26" s="248">
        <f t="shared" ca="1" si="594"/>
        <v>0</v>
      </c>
      <c r="CL26" s="248">
        <f t="shared" ca="1" si="594"/>
        <v>0</v>
      </c>
      <c r="CM26" s="248">
        <f t="shared" ca="1" si="594"/>
        <v>0</v>
      </c>
      <c r="CN26" s="248">
        <f t="shared" ca="1" si="594"/>
        <v>0</v>
      </c>
      <c r="CO26" s="248">
        <f t="shared" ca="1" si="594"/>
        <v>0</v>
      </c>
      <c r="CP26" s="432">
        <f ca="1">SUM(CD26:CO26)</f>
        <v>0</v>
      </c>
    </row>
    <row r="27" spans="1:94" ht="20.100000000000001" hidden="1" customHeight="1">
      <c r="A27" s="789">
        <f ca="1">OFFSET('Summary. Assumptions. Inputs'!$A$45,'Internmediate sheet'!A26/3,0)</f>
        <v>0</v>
      </c>
      <c r="B27" s="17" t="s">
        <v>609</v>
      </c>
      <c r="C27" s="18"/>
      <c r="D27" s="17">
        <f ca="1">OFFSET('Sales, Production, &amp; Other Assu'!D$18,'Internmediate sheet'!$A26/3,0)*Capacity</f>
        <v>0</v>
      </c>
      <c r="E27" s="17">
        <f ca="1">OFFSET('Sales, Production, &amp; Other Assu'!E$18,'Internmediate sheet'!$A26/3,0)*Capacity</f>
        <v>0</v>
      </c>
      <c r="F27" s="17">
        <f ca="1">OFFSET('Sales, Production, &amp; Other Assu'!F$18,'Internmediate sheet'!$A26/3,0)*Capacity</f>
        <v>0</v>
      </c>
      <c r="G27" s="17">
        <f ca="1">OFFSET('Sales, Production, &amp; Other Assu'!G$18,'Internmediate sheet'!$A26/3,0)*Capacity</f>
        <v>0</v>
      </c>
      <c r="H27" s="17">
        <f ca="1">OFFSET('Sales, Production, &amp; Other Assu'!H$18,'Internmediate sheet'!$A26/3,0)*Capacity</f>
        <v>0</v>
      </c>
      <c r="I27" s="17">
        <f ca="1">OFFSET('Sales, Production, &amp; Other Assu'!I$18,'Internmediate sheet'!$A26/3,0)*Capacity</f>
        <v>0</v>
      </c>
      <c r="J27" s="17">
        <f ca="1">OFFSET('Sales, Production, &amp; Other Assu'!J$18,'Internmediate sheet'!$A26/3,0)*Capacity</f>
        <v>0</v>
      </c>
      <c r="K27" s="17">
        <f ca="1">OFFSET('Sales, Production, &amp; Other Assu'!K$18,'Internmediate sheet'!$A26/3,0)*Capacity</f>
        <v>0</v>
      </c>
      <c r="L27" s="17">
        <f ca="1">OFFSET('Sales, Production, &amp; Other Assu'!L$18,'Internmediate sheet'!$A26/3,0)*Capacity</f>
        <v>0</v>
      </c>
      <c r="M27" s="17">
        <f ca="1">OFFSET('Sales, Production, &amp; Other Assu'!M$18,'Internmediate sheet'!$A26/3,0)*Capacity</f>
        <v>0</v>
      </c>
      <c r="N27" s="17">
        <f ca="1">OFFSET('Sales, Production, &amp; Other Assu'!N$18,'Internmediate sheet'!$A26/3,0)*Capacity</f>
        <v>0</v>
      </c>
      <c r="O27" s="17">
        <f ca="1">OFFSET('Sales, Production, &amp; Other Assu'!O$18,'Internmediate sheet'!$A26/3,0)*Capacity</f>
        <v>0</v>
      </c>
      <c r="P27" s="430">
        <f ca="1">SUM(D27:O27)</f>
        <v>0</v>
      </c>
      <c r="Q27" s="17">
        <f ca="1">OFFSET('Sales, Production, &amp; Other Assu'!Q$18,'Internmediate sheet'!$A26/3,0)*Capacity</f>
        <v>0</v>
      </c>
      <c r="R27" s="17">
        <f ca="1">OFFSET('Sales, Production, &amp; Other Assu'!R$18,'Internmediate sheet'!$A26/3,0)*Capacity</f>
        <v>0</v>
      </c>
      <c r="S27" s="17">
        <f ca="1">OFFSET('Sales, Production, &amp; Other Assu'!S$18,'Internmediate sheet'!$A26/3,0)*Capacity</f>
        <v>0</v>
      </c>
      <c r="T27" s="17">
        <f ca="1">OFFSET('Sales, Production, &amp; Other Assu'!T$18,'Internmediate sheet'!$A26/3,0)*Capacity</f>
        <v>0</v>
      </c>
      <c r="U27" s="17">
        <f ca="1">OFFSET('Sales, Production, &amp; Other Assu'!U$18,'Internmediate sheet'!$A26/3,0)*Capacity</f>
        <v>0</v>
      </c>
      <c r="V27" s="17">
        <f ca="1">OFFSET('Sales, Production, &amp; Other Assu'!V$18,'Internmediate sheet'!$A26/3,0)*Capacity</f>
        <v>0</v>
      </c>
      <c r="W27" s="17">
        <f ca="1">OFFSET('Sales, Production, &amp; Other Assu'!W$18,'Internmediate sheet'!$A26/3,0)*Capacity</f>
        <v>0</v>
      </c>
      <c r="X27" s="17">
        <f ca="1">OFFSET('Sales, Production, &amp; Other Assu'!X$18,'Internmediate sheet'!$A26/3,0)*Capacity</f>
        <v>0</v>
      </c>
      <c r="Y27" s="17">
        <f ca="1">OFFSET('Sales, Production, &amp; Other Assu'!Y$18,'Internmediate sheet'!$A26/3,0)*Capacity</f>
        <v>0</v>
      </c>
      <c r="Z27" s="17">
        <f ca="1">OFFSET('Sales, Production, &amp; Other Assu'!Z$18,'Internmediate sheet'!$A26/3,0)*Capacity</f>
        <v>0</v>
      </c>
      <c r="AA27" s="17">
        <f ca="1">OFFSET('Sales, Production, &amp; Other Assu'!AA$18,'Internmediate sheet'!$A26/3,0)*Capacity</f>
        <v>0</v>
      </c>
      <c r="AB27" s="17">
        <f ca="1">OFFSET('Sales, Production, &amp; Other Assu'!AB$18,'Internmediate sheet'!$A26/3,0)*Capacity</f>
        <v>0</v>
      </c>
      <c r="AC27" s="430">
        <f ca="1">SUM(Q27:AB27)</f>
        <v>0</v>
      </c>
      <c r="AD27" s="17">
        <f ca="1">OFFSET('Sales, Production, &amp; Other Assu'!AD$18,'Internmediate sheet'!$A26/3,0)*Capacity</f>
        <v>0</v>
      </c>
      <c r="AE27" s="17">
        <f ca="1">OFFSET('Sales, Production, &amp; Other Assu'!AE$18,'Internmediate sheet'!$A26/3,0)*Capacity</f>
        <v>0</v>
      </c>
      <c r="AF27" s="17">
        <f ca="1">OFFSET('Sales, Production, &amp; Other Assu'!AF$18,'Internmediate sheet'!$A26/3,0)*Capacity</f>
        <v>0</v>
      </c>
      <c r="AG27" s="17">
        <f ca="1">OFFSET('Sales, Production, &amp; Other Assu'!AG$18,'Internmediate sheet'!$A26/3,0)*Capacity</f>
        <v>0</v>
      </c>
      <c r="AH27" s="17">
        <f ca="1">OFFSET('Sales, Production, &amp; Other Assu'!AH$18,'Internmediate sheet'!$A26/3,0)*Capacity</f>
        <v>0</v>
      </c>
      <c r="AI27" s="17">
        <f ca="1">OFFSET('Sales, Production, &amp; Other Assu'!AI$18,'Internmediate sheet'!$A26/3,0)*Capacity</f>
        <v>0</v>
      </c>
      <c r="AJ27" s="17">
        <f ca="1">OFFSET('Sales, Production, &amp; Other Assu'!AJ$18,'Internmediate sheet'!$A26/3,0)*Capacity</f>
        <v>0</v>
      </c>
      <c r="AK27" s="17">
        <f ca="1">OFFSET('Sales, Production, &amp; Other Assu'!AK$18,'Internmediate sheet'!$A26/3,0)*Capacity</f>
        <v>0</v>
      </c>
      <c r="AL27" s="17">
        <f ca="1">OFFSET('Sales, Production, &amp; Other Assu'!AL$18,'Internmediate sheet'!$A26/3,0)*Capacity</f>
        <v>0</v>
      </c>
      <c r="AM27" s="17">
        <f ca="1">OFFSET('Sales, Production, &amp; Other Assu'!AM$18,'Internmediate sheet'!$A26/3,0)*Capacity</f>
        <v>0</v>
      </c>
      <c r="AN27" s="17">
        <f ca="1">OFFSET('Sales, Production, &amp; Other Assu'!AN$18,'Internmediate sheet'!$A26/3,0)*Capacity</f>
        <v>0</v>
      </c>
      <c r="AO27" s="17">
        <f ca="1">OFFSET('Sales, Production, &amp; Other Assu'!AO$18,'Internmediate sheet'!$A26/3,0)*Capacity</f>
        <v>0</v>
      </c>
      <c r="AP27" s="430">
        <f ca="1">SUM(AD27:AO27)</f>
        <v>0</v>
      </c>
      <c r="AQ27" s="17">
        <f ca="1">OFFSET('Sales, Production, &amp; Other Assu'!AQ$18,'Internmediate sheet'!$A26/3,0)*Capacity</f>
        <v>0</v>
      </c>
      <c r="AR27" s="17">
        <f ca="1">OFFSET('Sales, Production, &amp; Other Assu'!AR$18,'Internmediate sheet'!$A26/3,0)*Capacity</f>
        <v>0</v>
      </c>
      <c r="AS27" s="17">
        <f ca="1">OFFSET('Sales, Production, &amp; Other Assu'!AS$18,'Internmediate sheet'!$A26/3,0)*Capacity</f>
        <v>0</v>
      </c>
      <c r="AT27" s="17">
        <f ca="1">OFFSET('Sales, Production, &amp; Other Assu'!AT$18,'Internmediate sheet'!$A26/3,0)*Capacity</f>
        <v>0</v>
      </c>
      <c r="AU27" s="17">
        <f ca="1">OFFSET('Sales, Production, &amp; Other Assu'!AU$18,'Internmediate sheet'!$A26/3,0)*Capacity</f>
        <v>0</v>
      </c>
      <c r="AV27" s="17">
        <f ca="1">OFFSET('Sales, Production, &amp; Other Assu'!AV$18,'Internmediate sheet'!$A26/3,0)*Capacity</f>
        <v>0</v>
      </c>
      <c r="AW27" s="17">
        <f ca="1">OFFSET('Sales, Production, &amp; Other Assu'!AW$18,'Internmediate sheet'!$A26/3,0)*Capacity</f>
        <v>0</v>
      </c>
      <c r="AX27" s="17">
        <f ca="1">OFFSET('Sales, Production, &amp; Other Assu'!AX$18,'Internmediate sheet'!$A26/3,0)*Capacity</f>
        <v>0</v>
      </c>
      <c r="AY27" s="17">
        <f ca="1">OFFSET('Sales, Production, &amp; Other Assu'!AY$18,'Internmediate sheet'!$A26/3,0)*Capacity</f>
        <v>0</v>
      </c>
      <c r="AZ27" s="17">
        <f ca="1">OFFSET('Sales, Production, &amp; Other Assu'!AZ$18,'Internmediate sheet'!$A26/3,0)*Capacity</f>
        <v>0</v>
      </c>
      <c r="BA27" s="17">
        <f ca="1">OFFSET('Sales, Production, &amp; Other Assu'!BA$18,'Internmediate sheet'!$A26/3,0)*Capacity</f>
        <v>0</v>
      </c>
      <c r="BB27" s="17">
        <f ca="1">OFFSET('Sales, Production, &amp; Other Assu'!BB$18,'Internmediate sheet'!$A26/3,0)*Capacity</f>
        <v>0</v>
      </c>
      <c r="BC27" s="430">
        <f ca="1">SUM(AQ27:BB27)</f>
        <v>0</v>
      </c>
      <c r="BD27" s="17">
        <f ca="1">OFFSET('Sales, Production, &amp; Other Assu'!BD$18,'Internmediate sheet'!$A26/3,0)*Capacity</f>
        <v>0</v>
      </c>
      <c r="BE27" s="17">
        <f ca="1">OFFSET('Sales, Production, &amp; Other Assu'!BE$18,'Internmediate sheet'!$A26/3,0)*Capacity</f>
        <v>0</v>
      </c>
      <c r="BF27" s="17">
        <f ca="1">OFFSET('Sales, Production, &amp; Other Assu'!BF$18,'Internmediate sheet'!$A26/3,0)*Capacity</f>
        <v>0</v>
      </c>
      <c r="BG27" s="17">
        <f ca="1">OFFSET('Sales, Production, &amp; Other Assu'!BG$18,'Internmediate sheet'!$A26/3,0)*Capacity</f>
        <v>0</v>
      </c>
      <c r="BH27" s="17">
        <f ca="1">OFFSET('Sales, Production, &amp; Other Assu'!BH$18,'Internmediate sheet'!$A26/3,0)*Capacity</f>
        <v>0</v>
      </c>
      <c r="BI27" s="17">
        <f ca="1">OFFSET('Sales, Production, &amp; Other Assu'!BI$18,'Internmediate sheet'!$A26/3,0)*Capacity</f>
        <v>0</v>
      </c>
      <c r="BJ27" s="17">
        <f ca="1">OFFSET('Sales, Production, &amp; Other Assu'!BJ$18,'Internmediate sheet'!$A26/3,0)*Capacity</f>
        <v>0</v>
      </c>
      <c r="BK27" s="17">
        <f ca="1">OFFSET('Sales, Production, &amp; Other Assu'!BK$18,'Internmediate sheet'!$A26/3,0)*Capacity</f>
        <v>0</v>
      </c>
      <c r="BL27" s="17">
        <f ca="1">OFFSET('Sales, Production, &amp; Other Assu'!BL$18,'Internmediate sheet'!$A26/3,0)*Capacity</f>
        <v>0</v>
      </c>
      <c r="BM27" s="17">
        <f ca="1">OFFSET('Sales, Production, &amp; Other Assu'!BM$18,'Internmediate sheet'!$A26/3,0)*Capacity</f>
        <v>0</v>
      </c>
      <c r="BN27" s="17">
        <f ca="1">OFFSET('Sales, Production, &amp; Other Assu'!BN$18,'Internmediate sheet'!$A26/3,0)*Capacity</f>
        <v>0</v>
      </c>
      <c r="BO27" s="17">
        <f ca="1">OFFSET('Sales, Production, &amp; Other Assu'!BO$18,'Internmediate sheet'!$A26/3,0)*Capacity</f>
        <v>0</v>
      </c>
      <c r="BP27" s="430">
        <f ca="1">SUM(BD27:BO27)</f>
        <v>0</v>
      </c>
      <c r="BQ27" s="17">
        <f ca="1">OFFSET('Sales, Production, &amp; Other Assu'!BQ$18,'Internmediate sheet'!$A26/3,0)*Capacity</f>
        <v>0</v>
      </c>
      <c r="BR27" s="17">
        <f ca="1">OFFSET('Sales, Production, &amp; Other Assu'!BR$18,'Internmediate sheet'!$A26/3,0)*Capacity</f>
        <v>0</v>
      </c>
      <c r="BS27" s="17">
        <f ca="1">OFFSET('Sales, Production, &amp; Other Assu'!BS$18,'Internmediate sheet'!$A26/3,0)*Capacity</f>
        <v>0</v>
      </c>
      <c r="BT27" s="17">
        <f ca="1">OFFSET('Sales, Production, &amp; Other Assu'!BT$18,'Internmediate sheet'!$A26/3,0)*Capacity</f>
        <v>0</v>
      </c>
      <c r="BU27" s="17">
        <f ca="1">OFFSET('Sales, Production, &amp; Other Assu'!BU$18,'Internmediate sheet'!$A26/3,0)*Capacity</f>
        <v>0</v>
      </c>
      <c r="BV27" s="17">
        <f ca="1">OFFSET('Sales, Production, &amp; Other Assu'!BV$18,'Internmediate sheet'!$A26/3,0)*Capacity</f>
        <v>0</v>
      </c>
      <c r="BW27" s="17">
        <f ca="1">OFFSET('Sales, Production, &amp; Other Assu'!BW$18,'Internmediate sheet'!$A26/3,0)*Capacity</f>
        <v>0</v>
      </c>
      <c r="BX27" s="17">
        <f ca="1">OFFSET('Sales, Production, &amp; Other Assu'!BX$18,'Internmediate sheet'!$A26/3,0)*Capacity</f>
        <v>0</v>
      </c>
      <c r="BY27" s="17">
        <f ca="1">OFFSET('Sales, Production, &amp; Other Assu'!BY$18,'Internmediate sheet'!$A26/3,0)*Capacity</f>
        <v>0</v>
      </c>
      <c r="BZ27" s="17">
        <f ca="1">OFFSET('Sales, Production, &amp; Other Assu'!BZ$18,'Internmediate sheet'!$A26/3,0)*Capacity</f>
        <v>0</v>
      </c>
      <c r="CA27" s="17">
        <f ca="1">OFFSET('Sales, Production, &amp; Other Assu'!CA$18,'Internmediate sheet'!$A26/3,0)*Capacity</f>
        <v>0</v>
      </c>
      <c r="CB27" s="17">
        <f ca="1">OFFSET('Sales, Production, &amp; Other Assu'!CB$18,'Internmediate sheet'!$A26/3,0)*Capacity</f>
        <v>0</v>
      </c>
      <c r="CC27" s="430">
        <f ca="1">SUM(BQ27:CB27)</f>
        <v>0</v>
      </c>
      <c r="CD27" s="17">
        <f ca="1">OFFSET('Sales, Production, &amp; Other Assu'!CD$18,'Internmediate sheet'!$A26/3,0)*Capacity</f>
        <v>0</v>
      </c>
      <c r="CE27" s="17">
        <f ca="1">OFFSET('Sales, Production, &amp; Other Assu'!CE$18,'Internmediate sheet'!$A26/3,0)*Capacity</f>
        <v>0</v>
      </c>
      <c r="CF27" s="17">
        <f ca="1">OFFSET('Sales, Production, &amp; Other Assu'!CF$18,'Internmediate sheet'!$A26/3,0)*Capacity</f>
        <v>0</v>
      </c>
      <c r="CG27" s="17">
        <f ca="1">OFFSET('Sales, Production, &amp; Other Assu'!CG$18,'Internmediate sheet'!$A26/3,0)*Capacity</f>
        <v>0</v>
      </c>
      <c r="CH27" s="17">
        <f ca="1">OFFSET('Sales, Production, &amp; Other Assu'!CH$18,'Internmediate sheet'!$A26/3,0)*Capacity</f>
        <v>0</v>
      </c>
      <c r="CI27" s="17">
        <f ca="1">OFFSET('Sales, Production, &amp; Other Assu'!CI$18,'Internmediate sheet'!$A26/3,0)*Capacity</f>
        <v>0</v>
      </c>
      <c r="CJ27" s="17">
        <f ca="1">OFFSET('Sales, Production, &amp; Other Assu'!CJ$18,'Internmediate sheet'!$A26/3,0)*Capacity</f>
        <v>0</v>
      </c>
      <c r="CK27" s="17">
        <f ca="1">OFFSET('Sales, Production, &amp; Other Assu'!CK$18,'Internmediate sheet'!$A26/3,0)*Capacity</f>
        <v>0</v>
      </c>
      <c r="CL27" s="17">
        <f ca="1">OFFSET('Sales, Production, &amp; Other Assu'!CL$18,'Internmediate sheet'!$A26/3,0)*Capacity</f>
        <v>0</v>
      </c>
      <c r="CM27" s="17">
        <f ca="1">OFFSET('Sales, Production, &amp; Other Assu'!CM$18,'Internmediate sheet'!$A26/3,0)*Capacity</f>
        <v>0</v>
      </c>
      <c r="CN27" s="17">
        <f ca="1">OFFSET('Sales, Production, &amp; Other Assu'!CN$18,'Internmediate sheet'!$A26/3,0)*Capacity</f>
        <v>0</v>
      </c>
      <c r="CO27" s="17">
        <f ca="1">OFFSET('Sales, Production, &amp; Other Assu'!CO$18,'Internmediate sheet'!$A26/3,0)*Capacity</f>
        <v>0</v>
      </c>
      <c r="CP27" s="430">
        <f ca="1">SUM(CD27:CO27)</f>
        <v>0</v>
      </c>
    </row>
    <row r="28" spans="1:94" ht="20.100000000000001" hidden="1" customHeight="1">
      <c r="A28" s="790"/>
      <c r="B28" s="8" t="s">
        <v>610</v>
      </c>
      <c r="C28" s="8">
        <f ca="1">OFFSET('Summary. Assumptions. Inputs'!$F$46,'Internmediate sheet'!A23/3,0)</f>
        <v>0</v>
      </c>
      <c r="D28" s="8">
        <f t="shared" ref="D28:P28" ca="1" si="595">C28</f>
        <v>0</v>
      </c>
      <c r="E28" s="8">
        <f t="shared" ca="1" si="595"/>
        <v>0</v>
      </c>
      <c r="F28" s="8">
        <f t="shared" ca="1" si="595"/>
        <v>0</v>
      </c>
      <c r="G28" s="8">
        <f t="shared" ca="1" si="595"/>
        <v>0</v>
      </c>
      <c r="H28" s="8">
        <f t="shared" ca="1" si="595"/>
        <v>0</v>
      </c>
      <c r="I28" s="8">
        <f t="shared" ca="1" si="595"/>
        <v>0</v>
      </c>
      <c r="J28" s="8">
        <f t="shared" ca="1" si="595"/>
        <v>0</v>
      </c>
      <c r="K28" s="8">
        <f t="shared" ca="1" si="595"/>
        <v>0</v>
      </c>
      <c r="L28" s="8">
        <f t="shared" ca="1" si="595"/>
        <v>0</v>
      </c>
      <c r="M28" s="8">
        <f t="shared" ca="1" si="595"/>
        <v>0</v>
      </c>
      <c r="N28" s="8">
        <f t="shared" ca="1" si="595"/>
        <v>0</v>
      </c>
      <c r="O28" s="8">
        <f t="shared" ca="1" si="595"/>
        <v>0</v>
      </c>
      <c r="P28" s="431">
        <f t="shared" ca="1" si="595"/>
        <v>0</v>
      </c>
      <c r="Q28" s="8">
        <f t="shared" ref="Q28" ca="1" si="596">P28</f>
        <v>0</v>
      </c>
      <c r="R28" s="8">
        <f t="shared" ref="R28" ca="1" si="597">Q28</f>
        <v>0</v>
      </c>
      <c r="S28" s="8">
        <f t="shared" ref="S28" ca="1" si="598">R28</f>
        <v>0</v>
      </c>
      <c r="T28" s="8">
        <f t="shared" ref="T28" ca="1" si="599">S28</f>
        <v>0</v>
      </c>
      <c r="U28" s="8">
        <f t="shared" ref="U28" ca="1" si="600">T28</f>
        <v>0</v>
      </c>
      <c r="V28" s="8">
        <f t="shared" ref="V28" ca="1" si="601">U28</f>
        <v>0</v>
      </c>
      <c r="W28" s="8">
        <f t="shared" ref="W28" ca="1" si="602">V28</f>
        <v>0</v>
      </c>
      <c r="X28" s="8">
        <f t="shared" ref="X28" ca="1" si="603">W28</f>
        <v>0</v>
      </c>
      <c r="Y28" s="8">
        <f t="shared" ref="Y28" ca="1" si="604">X28</f>
        <v>0</v>
      </c>
      <c r="Z28" s="8">
        <f t="shared" ref="Z28" ca="1" si="605">Y28</f>
        <v>0</v>
      </c>
      <c r="AA28" s="8">
        <f t="shared" ref="AA28" ca="1" si="606">Z28</f>
        <v>0</v>
      </c>
      <c r="AB28" s="8">
        <f t="shared" ref="AB28" ca="1" si="607">AA28</f>
        <v>0</v>
      </c>
      <c r="AC28" s="431">
        <f t="shared" ref="AC28" ca="1" si="608">AB28</f>
        <v>0</v>
      </c>
      <c r="AD28" s="8">
        <f t="shared" ref="AD28" ca="1" si="609">AC28</f>
        <v>0</v>
      </c>
      <c r="AE28" s="8">
        <f t="shared" ref="AE28" ca="1" si="610">AD28</f>
        <v>0</v>
      </c>
      <c r="AF28" s="8">
        <f t="shared" ref="AF28" ca="1" si="611">AE28</f>
        <v>0</v>
      </c>
      <c r="AG28" s="8">
        <f t="shared" ref="AG28" ca="1" si="612">AF28</f>
        <v>0</v>
      </c>
      <c r="AH28" s="8">
        <f t="shared" ref="AH28" ca="1" si="613">AG28</f>
        <v>0</v>
      </c>
      <c r="AI28" s="8">
        <f t="shared" ref="AI28" ca="1" si="614">AH28</f>
        <v>0</v>
      </c>
      <c r="AJ28" s="8">
        <f t="shared" ref="AJ28" ca="1" si="615">AI28</f>
        <v>0</v>
      </c>
      <c r="AK28" s="8">
        <f t="shared" ref="AK28" ca="1" si="616">AJ28</f>
        <v>0</v>
      </c>
      <c r="AL28" s="8">
        <f t="shared" ref="AL28" ca="1" si="617">AK28</f>
        <v>0</v>
      </c>
      <c r="AM28" s="8">
        <f t="shared" ref="AM28" ca="1" si="618">AL28</f>
        <v>0</v>
      </c>
      <c r="AN28" s="8">
        <f t="shared" ref="AN28" ca="1" si="619">AM28</f>
        <v>0</v>
      </c>
      <c r="AO28" s="8">
        <f t="shared" ref="AO28" ca="1" si="620">AN28</f>
        <v>0</v>
      </c>
      <c r="AP28" s="431">
        <f t="shared" ref="AP28" ca="1" si="621">AO28</f>
        <v>0</v>
      </c>
      <c r="AQ28" s="8">
        <f ca="1">AP28</f>
        <v>0</v>
      </c>
      <c r="AR28" s="8">
        <f t="shared" ref="AR28" ca="1" si="622">AQ28</f>
        <v>0</v>
      </c>
      <c r="AS28" s="8">
        <f t="shared" ref="AS28" ca="1" si="623">AR28</f>
        <v>0</v>
      </c>
      <c r="AT28" s="8">
        <f t="shared" ref="AT28" ca="1" si="624">AS28</f>
        <v>0</v>
      </c>
      <c r="AU28" s="8">
        <f t="shared" ref="AU28" ca="1" si="625">AT28</f>
        <v>0</v>
      </c>
      <c r="AV28" s="8">
        <f t="shared" ref="AV28" ca="1" si="626">AU28</f>
        <v>0</v>
      </c>
      <c r="AW28" s="8">
        <f t="shared" ref="AW28" ca="1" si="627">AV28</f>
        <v>0</v>
      </c>
      <c r="AX28" s="8">
        <f t="shared" ref="AX28" ca="1" si="628">AW28</f>
        <v>0</v>
      </c>
      <c r="AY28" s="8">
        <f t="shared" ref="AY28" ca="1" si="629">AX28</f>
        <v>0</v>
      </c>
      <c r="AZ28" s="8">
        <f t="shared" ref="AZ28" ca="1" si="630">AY28</f>
        <v>0</v>
      </c>
      <c r="BA28" s="8">
        <f t="shared" ref="BA28" ca="1" si="631">AZ28</f>
        <v>0</v>
      </c>
      <c r="BB28" s="8">
        <f t="shared" ref="BB28" ca="1" si="632">BA28</f>
        <v>0</v>
      </c>
      <c r="BC28" s="431">
        <f t="shared" ref="BC28" ca="1" si="633">BB28</f>
        <v>0</v>
      </c>
      <c r="BD28" s="8">
        <f t="shared" ref="BD28" ca="1" si="634">BC28</f>
        <v>0</v>
      </c>
      <c r="BE28" s="8">
        <f t="shared" ref="BE28" ca="1" si="635">BD28</f>
        <v>0</v>
      </c>
      <c r="BF28" s="8">
        <f t="shared" ref="BF28" ca="1" si="636">BE28</f>
        <v>0</v>
      </c>
      <c r="BG28" s="8">
        <f t="shared" ref="BG28" ca="1" si="637">BF28</f>
        <v>0</v>
      </c>
      <c r="BH28" s="8">
        <f t="shared" ref="BH28" ca="1" si="638">BG28</f>
        <v>0</v>
      </c>
      <c r="BI28" s="8">
        <f t="shared" ref="BI28" ca="1" si="639">BH28</f>
        <v>0</v>
      </c>
      <c r="BJ28" s="8">
        <f t="shared" ref="BJ28" ca="1" si="640">BI28</f>
        <v>0</v>
      </c>
      <c r="BK28" s="8">
        <f t="shared" ref="BK28" ca="1" si="641">BJ28</f>
        <v>0</v>
      </c>
      <c r="BL28" s="8">
        <f t="shared" ref="BL28" ca="1" si="642">BK28</f>
        <v>0</v>
      </c>
      <c r="BM28" s="8">
        <f t="shared" ref="BM28" ca="1" si="643">BL28</f>
        <v>0</v>
      </c>
      <c r="BN28" s="8">
        <f t="shared" ref="BN28" ca="1" si="644">BM28</f>
        <v>0</v>
      </c>
      <c r="BO28" s="8">
        <f t="shared" ref="BO28" ca="1" si="645">BN28</f>
        <v>0</v>
      </c>
      <c r="BP28" s="431">
        <f t="shared" ref="BP28" ca="1" si="646">BO28</f>
        <v>0</v>
      </c>
      <c r="BQ28" s="8">
        <f t="shared" ref="BQ28" ca="1" si="647">BP28</f>
        <v>0</v>
      </c>
      <c r="BR28" s="8">
        <f t="shared" ref="BR28" ca="1" si="648">BQ28</f>
        <v>0</v>
      </c>
      <c r="BS28" s="8">
        <f t="shared" ref="BS28" ca="1" si="649">BR28</f>
        <v>0</v>
      </c>
      <c r="BT28" s="8">
        <f t="shared" ref="BT28" ca="1" si="650">BS28</f>
        <v>0</v>
      </c>
      <c r="BU28" s="8">
        <f t="shared" ref="BU28" ca="1" si="651">BT28</f>
        <v>0</v>
      </c>
      <c r="BV28" s="8">
        <f t="shared" ref="BV28" ca="1" si="652">BU28</f>
        <v>0</v>
      </c>
      <c r="BW28" s="8">
        <f t="shared" ref="BW28" ca="1" si="653">BV28</f>
        <v>0</v>
      </c>
      <c r="BX28" s="8">
        <f t="shared" ref="BX28" ca="1" si="654">BW28</f>
        <v>0</v>
      </c>
      <c r="BY28" s="8">
        <f t="shared" ref="BY28" ca="1" si="655">BX28</f>
        <v>0</v>
      </c>
      <c r="BZ28" s="8">
        <f t="shared" ref="BZ28" ca="1" si="656">BY28</f>
        <v>0</v>
      </c>
      <c r="CA28" s="8">
        <f t="shared" ref="CA28" ca="1" si="657">BZ28</f>
        <v>0</v>
      </c>
      <c r="CB28" s="8">
        <f t="shared" ref="CB28" ca="1" si="658">CA28</f>
        <v>0</v>
      </c>
      <c r="CC28" s="431">
        <f t="shared" ref="CC28" ca="1" si="659">CB28</f>
        <v>0</v>
      </c>
      <c r="CD28" s="8">
        <f t="shared" ref="CD28" ca="1" si="660">CC28</f>
        <v>0</v>
      </c>
      <c r="CE28" s="8">
        <f t="shared" ref="CE28" ca="1" si="661">CD28</f>
        <v>0</v>
      </c>
      <c r="CF28" s="8">
        <f t="shared" ref="CF28" ca="1" si="662">CE28</f>
        <v>0</v>
      </c>
      <c r="CG28" s="8">
        <f t="shared" ref="CG28" ca="1" si="663">CF28</f>
        <v>0</v>
      </c>
      <c r="CH28" s="8">
        <f t="shared" ref="CH28" ca="1" si="664">CG28</f>
        <v>0</v>
      </c>
      <c r="CI28" s="8">
        <f t="shared" ref="CI28" ca="1" si="665">CH28</f>
        <v>0</v>
      </c>
      <c r="CJ28" s="8">
        <f t="shared" ref="CJ28" ca="1" si="666">CI28</f>
        <v>0</v>
      </c>
      <c r="CK28" s="8">
        <f t="shared" ref="CK28" ca="1" si="667">CJ28</f>
        <v>0</v>
      </c>
      <c r="CL28" s="8">
        <f t="shared" ref="CL28" ca="1" si="668">CK28</f>
        <v>0</v>
      </c>
      <c r="CM28" s="8">
        <f t="shared" ref="CM28" ca="1" si="669">CL28</f>
        <v>0</v>
      </c>
      <c r="CN28" s="8">
        <f t="shared" ref="CN28" ca="1" si="670">CM28</f>
        <v>0</v>
      </c>
      <c r="CO28" s="8">
        <f t="shared" ref="CO28" ca="1" si="671">CN28</f>
        <v>0</v>
      </c>
      <c r="CP28" s="431">
        <f t="shared" ref="CP28" ca="1" si="672">CO28</f>
        <v>0</v>
      </c>
    </row>
    <row r="29" spans="1:94" ht="20.100000000000001" hidden="1" customHeight="1">
      <c r="A29" s="791"/>
      <c r="B29" s="248" t="s">
        <v>611</v>
      </c>
      <c r="C29" s="249">
        <f t="shared" ref="C29:O29" ca="1" si="673">C27*C28</f>
        <v>0</v>
      </c>
      <c r="D29" s="248">
        <f t="shared" ca="1" si="673"/>
        <v>0</v>
      </c>
      <c r="E29" s="248">
        <f t="shared" ca="1" si="673"/>
        <v>0</v>
      </c>
      <c r="F29" s="248">
        <f t="shared" ca="1" si="673"/>
        <v>0</v>
      </c>
      <c r="G29" s="248">
        <f t="shared" ca="1" si="673"/>
        <v>0</v>
      </c>
      <c r="H29" s="248">
        <f t="shared" ca="1" si="673"/>
        <v>0</v>
      </c>
      <c r="I29" s="248">
        <f t="shared" ca="1" si="673"/>
        <v>0</v>
      </c>
      <c r="J29" s="248">
        <f t="shared" ca="1" si="673"/>
        <v>0</v>
      </c>
      <c r="K29" s="248">
        <f t="shared" ca="1" si="673"/>
        <v>0</v>
      </c>
      <c r="L29" s="248">
        <f t="shared" ca="1" si="673"/>
        <v>0</v>
      </c>
      <c r="M29" s="248">
        <f t="shared" ca="1" si="673"/>
        <v>0</v>
      </c>
      <c r="N29" s="248">
        <f t="shared" ca="1" si="673"/>
        <v>0</v>
      </c>
      <c r="O29" s="248">
        <f t="shared" ca="1" si="673"/>
        <v>0</v>
      </c>
      <c r="P29" s="432">
        <f ca="1">SUM(D29:O29)</f>
        <v>0</v>
      </c>
      <c r="Q29" s="248">
        <f t="shared" ref="Q29:AB29" ca="1" si="674">Q27*Q28</f>
        <v>0</v>
      </c>
      <c r="R29" s="248">
        <f t="shared" ca="1" si="674"/>
        <v>0</v>
      </c>
      <c r="S29" s="248">
        <f t="shared" ca="1" si="674"/>
        <v>0</v>
      </c>
      <c r="T29" s="248">
        <f t="shared" ca="1" si="674"/>
        <v>0</v>
      </c>
      <c r="U29" s="248">
        <f t="shared" ca="1" si="674"/>
        <v>0</v>
      </c>
      <c r="V29" s="248">
        <f t="shared" ca="1" si="674"/>
        <v>0</v>
      </c>
      <c r="W29" s="248">
        <f t="shared" ca="1" si="674"/>
        <v>0</v>
      </c>
      <c r="X29" s="248">
        <f t="shared" ca="1" si="674"/>
        <v>0</v>
      </c>
      <c r="Y29" s="248">
        <f t="shared" ca="1" si="674"/>
        <v>0</v>
      </c>
      <c r="Z29" s="248">
        <f t="shared" ca="1" si="674"/>
        <v>0</v>
      </c>
      <c r="AA29" s="248">
        <f t="shared" ca="1" si="674"/>
        <v>0</v>
      </c>
      <c r="AB29" s="248">
        <f t="shared" ca="1" si="674"/>
        <v>0</v>
      </c>
      <c r="AC29" s="432">
        <f ca="1">SUM(Q29:AB29)</f>
        <v>0</v>
      </c>
      <c r="AD29" s="248">
        <f t="shared" ref="AD29:AO29" ca="1" si="675">AD27*AD28</f>
        <v>0</v>
      </c>
      <c r="AE29" s="248">
        <f t="shared" ca="1" si="675"/>
        <v>0</v>
      </c>
      <c r="AF29" s="248">
        <f t="shared" ca="1" si="675"/>
        <v>0</v>
      </c>
      <c r="AG29" s="248">
        <f t="shared" ca="1" si="675"/>
        <v>0</v>
      </c>
      <c r="AH29" s="248">
        <f t="shared" ca="1" si="675"/>
        <v>0</v>
      </c>
      <c r="AI29" s="248">
        <f t="shared" ca="1" si="675"/>
        <v>0</v>
      </c>
      <c r="AJ29" s="248">
        <f t="shared" ca="1" si="675"/>
        <v>0</v>
      </c>
      <c r="AK29" s="248">
        <f t="shared" ca="1" si="675"/>
        <v>0</v>
      </c>
      <c r="AL29" s="248">
        <f t="shared" ca="1" si="675"/>
        <v>0</v>
      </c>
      <c r="AM29" s="248">
        <f t="shared" ca="1" si="675"/>
        <v>0</v>
      </c>
      <c r="AN29" s="248">
        <f t="shared" ca="1" si="675"/>
        <v>0</v>
      </c>
      <c r="AO29" s="248">
        <f t="shared" ca="1" si="675"/>
        <v>0</v>
      </c>
      <c r="AP29" s="432">
        <f ca="1">SUM(AD29:AO29)</f>
        <v>0</v>
      </c>
      <c r="AQ29" s="248">
        <f t="shared" ref="AQ29:BB29" ca="1" si="676">AQ27*AQ28</f>
        <v>0</v>
      </c>
      <c r="AR29" s="248">
        <f t="shared" ca="1" si="676"/>
        <v>0</v>
      </c>
      <c r="AS29" s="248">
        <f t="shared" ca="1" si="676"/>
        <v>0</v>
      </c>
      <c r="AT29" s="248">
        <f t="shared" ca="1" si="676"/>
        <v>0</v>
      </c>
      <c r="AU29" s="248">
        <f t="shared" ca="1" si="676"/>
        <v>0</v>
      </c>
      <c r="AV29" s="248">
        <f t="shared" ca="1" si="676"/>
        <v>0</v>
      </c>
      <c r="AW29" s="248">
        <f t="shared" ca="1" si="676"/>
        <v>0</v>
      </c>
      <c r="AX29" s="248">
        <f t="shared" ca="1" si="676"/>
        <v>0</v>
      </c>
      <c r="AY29" s="248">
        <f t="shared" ca="1" si="676"/>
        <v>0</v>
      </c>
      <c r="AZ29" s="248">
        <f t="shared" ca="1" si="676"/>
        <v>0</v>
      </c>
      <c r="BA29" s="248">
        <f t="shared" ca="1" si="676"/>
        <v>0</v>
      </c>
      <c r="BB29" s="248">
        <f t="shared" ca="1" si="676"/>
        <v>0</v>
      </c>
      <c r="BC29" s="432">
        <f ca="1">SUM(AQ29:BB29)</f>
        <v>0</v>
      </c>
      <c r="BD29" s="248">
        <f t="shared" ref="BD29:BO29" ca="1" si="677">BD27*BD28</f>
        <v>0</v>
      </c>
      <c r="BE29" s="248">
        <f t="shared" ca="1" si="677"/>
        <v>0</v>
      </c>
      <c r="BF29" s="248">
        <f t="shared" ca="1" si="677"/>
        <v>0</v>
      </c>
      <c r="BG29" s="248">
        <f t="shared" ca="1" si="677"/>
        <v>0</v>
      </c>
      <c r="BH29" s="248">
        <f t="shared" ca="1" si="677"/>
        <v>0</v>
      </c>
      <c r="BI29" s="248">
        <f t="shared" ca="1" si="677"/>
        <v>0</v>
      </c>
      <c r="BJ29" s="248">
        <f t="shared" ca="1" si="677"/>
        <v>0</v>
      </c>
      <c r="BK29" s="248">
        <f t="shared" ca="1" si="677"/>
        <v>0</v>
      </c>
      <c r="BL29" s="248">
        <f t="shared" ca="1" si="677"/>
        <v>0</v>
      </c>
      <c r="BM29" s="248">
        <f t="shared" ca="1" si="677"/>
        <v>0</v>
      </c>
      <c r="BN29" s="248">
        <f t="shared" ca="1" si="677"/>
        <v>0</v>
      </c>
      <c r="BO29" s="248">
        <f t="shared" ca="1" si="677"/>
        <v>0</v>
      </c>
      <c r="BP29" s="432">
        <f ca="1">SUM(BD29:BO29)</f>
        <v>0</v>
      </c>
      <c r="BQ29" s="248">
        <f t="shared" ref="BQ29:CB29" ca="1" si="678">BQ27*BQ28</f>
        <v>0</v>
      </c>
      <c r="BR29" s="248">
        <f t="shared" ca="1" si="678"/>
        <v>0</v>
      </c>
      <c r="BS29" s="248">
        <f t="shared" ca="1" si="678"/>
        <v>0</v>
      </c>
      <c r="BT29" s="248">
        <f t="shared" ca="1" si="678"/>
        <v>0</v>
      </c>
      <c r="BU29" s="248">
        <f t="shared" ca="1" si="678"/>
        <v>0</v>
      </c>
      <c r="BV29" s="248">
        <f t="shared" ca="1" si="678"/>
        <v>0</v>
      </c>
      <c r="BW29" s="248">
        <f t="shared" ca="1" si="678"/>
        <v>0</v>
      </c>
      <c r="BX29" s="248">
        <f t="shared" ca="1" si="678"/>
        <v>0</v>
      </c>
      <c r="BY29" s="248">
        <f t="shared" ca="1" si="678"/>
        <v>0</v>
      </c>
      <c r="BZ29" s="248">
        <f t="shared" ca="1" si="678"/>
        <v>0</v>
      </c>
      <c r="CA29" s="248">
        <f t="shared" ca="1" si="678"/>
        <v>0</v>
      </c>
      <c r="CB29" s="248">
        <f t="shared" ca="1" si="678"/>
        <v>0</v>
      </c>
      <c r="CC29" s="432">
        <f ca="1">SUM(BQ29:CB29)</f>
        <v>0</v>
      </c>
      <c r="CD29" s="248">
        <f t="shared" ref="CD29:CO29" ca="1" si="679">CD27*CD28</f>
        <v>0</v>
      </c>
      <c r="CE29" s="248">
        <f t="shared" ca="1" si="679"/>
        <v>0</v>
      </c>
      <c r="CF29" s="248">
        <f t="shared" ca="1" si="679"/>
        <v>0</v>
      </c>
      <c r="CG29" s="248">
        <f t="shared" ca="1" si="679"/>
        <v>0</v>
      </c>
      <c r="CH29" s="248">
        <f t="shared" ca="1" si="679"/>
        <v>0</v>
      </c>
      <c r="CI29" s="248">
        <f t="shared" ca="1" si="679"/>
        <v>0</v>
      </c>
      <c r="CJ29" s="248">
        <f t="shared" ca="1" si="679"/>
        <v>0</v>
      </c>
      <c r="CK29" s="248">
        <f t="shared" ca="1" si="679"/>
        <v>0</v>
      </c>
      <c r="CL29" s="248">
        <f t="shared" ca="1" si="679"/>
        <v>0</v>
      </c>
      <c r="CM29" s="248">
        <f t="shared" ca="1" si="679"/>
        <v>0</v>
      </c>
      <c r="CN29" s="248">
        <f t="shared" ca="1" si="679"/>
        <v>0</v>
      </c>
      <c r="CO29" s="248">
        <f t="shared" ca="1" si="679"/>
        <v>0</v>
      </c>
      <c r="CP29" s="432">
        <f ca="1">SUM(CD29:CO29)</f>
        <v>0</v>
      </c>
    </row>
    <row r="30" spans="1:94" ht="20.100000000000001" hidden="1" customHeight="1">
      <c r="A30" s="789">
        <f ca="1">OFFSET('Summary. Assumptions. Inputs'!$A$45,'Internmediate sheet'!A29/3,0)</f>
        <v>0</v>
      </c>
      <c r="B30" s="17" t="s">
        <v>609</v>
      </c>
      <c r="C30" s="18"/>
      <c r="D30" s="17">
        <f ca="1">OFFSET('Sales, Production, &amp; Other Assu'!D$18,'Internmediate sheet'!$A29/3,0)*Capacity</f>
        <v>0</v>
      </c>
      <c r="E30" s="17">
        <f ca="1">OFFSET('Sales, Production, &amp; Other Assu'!E$18,'Internmediate sheet'!$A29/3,0)*Capacity</f>
        <v>0</v>
      </c>
      <c r="F30" s="17">
        <f ca="1">OFFSET('Sales, Production, &amp; Other Assu'!F$18,'Internmediate sheet'!$A29/3,0)*Capacity</f>
        <v>0</v>
      </c>
      <c r="G30" s="17">
        <f ca="1">OFFSET('Sales, Production, &amp; Other Assu'!G$18,'Internmediate sheet'!$A29/3,0)*Capacity</f>
        <v>0</v>
      </c>
      <c r="H30" s="17">
        <f ca="1">OFFSET('Sales, Production, &amp; Other Assu'!H$18,'Internmediate sheet'!$A29/3,0)*Capacity</f>
        <v>0</v>
      </c>
      <c r="I30" s="17">
        <f ca="1">OFFSET('Sales, Production, &amp; Other Assu'!I$18,'Internmediate sheet'!$A29/3,0)*Capacity</f>
        <v>0</v>
      </c>
      <c r="J30" s="17">
        <f ca="1">OFFSET('Sales, Production, &amp; Other Assu'!J$18,'Internmediate sheet'!$A29/3,0)*Capacity</f>
        <v>0</v>
      </c>
      <c r="K30" s="17">
        <f ca="1">OFFSET('Sales, Production, &amp; Other Assu'!K$18,'Internmediate sheet'!$A29/3,0)*Capacity</f>
        <v>0</v>
      </c>
      <c r="L30" s="17">
        <f ca="1">OFFSET('Sales, Production, &amp; Other Assu'!L$18,'Internmediate sheet'!$A29/3,0)*Capacity</f>
        <v>0</v>
      </c>
      <c r="M30" s="17">
        <f ca="1">OFFSET('Sales, Production, &amp; Other Assu'!M$18,'Internmediate sheet'!$A29/3,0)*Capacity</f>
        <v>0</v>
      </c>
      <c r="N30" s="17">
        <f ca="1">OFFSET('Sales, Production, &amp; Other Assu'!N$18,'Internmediate sheet'!$A29/3,0)*Capacity</f>
        <v>0</v>
      </c>
      <c r="O30" s="17">
        <f ca="1">OFFSET('Sales, Production, &amp; Other Assu'!O$18,'Internmediate sheet'!$A29/3,0)*Capacity</f>
        <v>0</v>
      </c>
      <c r="P30" s="430">
        <f ca="1">SUM(D30:O30)</f>
        <v>0</v>
      </c>
      <c r="Q30" s="17">
        <f ca="1">OFFSET('Sales, Production, &amp; Other Assu'!Q$18,'Internmediate sheet'!$A29/3,0)*Capacity</f>
        <v>0</v>
      </c>
      <c r="R30" s="17">
        <f ca="1">OFFSET('Sales, Production, &amp; Other Assu'!R$18,'Internmediate sheet'!$A29/3,0)*Capacity</f>
        <v>0</v>
      </c>
      <c r="S30" s="17">
        <f ca="1">OFFSET('Sales, Production, &amp; Other Assu'!S$18,'Internmediate sheet'!$A29/3,0)*Capacity</f>
        <v>0</v>
      </c>
      <c r="T30" s="17">
        <f ca="1">OFFSET('Sales, Production, &amp; Other Assu'!T$18,'Internmediate sheet'!$A29/3,0)*Capacity</f>
        <v>0</v>
      </c>
      <c r="U30" s="17">
        <f ca="1">OFFSET('Sales, Production, &amp; Other Assu'!U$18,'Internmediate sheet'!$A29/3,0)*Capacity</f>
        <v>0</v>
      </c>
      <c r="V30" s="17">
        <f ca="1">OFFSET('Sales, Production, &amp; Other Assu'!V$18,'Internmediate sheet'!$A29/3,0)*Capacity</f>
        <v>0</v>
      </c>
      <c r="W30" s="17">
        <f ca="1">OFFSET('Sales, Production, &amp; Other Assu'!W$18,'Internmediate sheet'!$A29/3,0)*Capacity</f>
        <v>0</v>
      </c>
      <c r="X30" s="17">
        <f ca="1">OFFSET('Sales, Production, &amp; Other Assu'!X$18,'Internmediate sheet'!$A29/3,0)*Capacity</f>
        <v>0</v>
      </c>
      <c r="Y30" s="17">
        <f ca="1">OFFSET('Sales, Production, &amp; Other Assu'!Y$18,'Internmediate sheet'!$A29/3,0)*Capacity</f>
        <v>0</v>
      </c>
      <c r="Z30" s="17">
        <f ca="1">OFFSET('Sales, Production, &amp; Other Assu'!Z$18,'Internmediate sheet'!$A29/3,0)*Capacity</f>
        <v>0</v>
      </c>
      <c r="AA30" s="17">
        <f ca="1">OFFSET('Sales, Production, &amp; Other Assu'!AA$18,'Internmediate sheet'!$A29/3,0)*Capacity</f>
        <v>0</v>
      </c>
      <c r="AB30" s="17">
        <f ca="1">OFFSET('Sales, Production, &amp; Other Assu'!AB$18,'Internmediate sheet'!$A29/3,0)*Capacity</f>
        <v>0</v>
      </c>
      <c r="AC30" s="430">
        <f ca="1">SUM(Q30:AB30)</f>
        <v>0</v>
      </c>
      <c r="AD30" s="17">
        <f ca="1">OFFSET('Sales, Production, &amp; Other Assu'!AD$18,'Internmediate sheet'!$A29/3,0)*Capacity</f>
        <v>0</v>
      </c>
      <c r="AE30" s="17">
        <f ca="1">OFFSET('Sales, Production, &amp; Other Assu'!AE$18,'Internmediate sheet'!$A29/3,0)*Capacity</f>
        <v>0</v>
      </c>
      <c r="AF30" s="17">
        <f ca="1">OFFSET('Sales, Production, &amp; Other Assu'!AF$18,'Internmediate sheet'!$A29/3,0)*Capacity</f>
        <v>0</v>
      </c>
      <c r="AG30" s="17">
        <f ca="1">OFFSET('Sales, Production, &amp; Other Assu'!AG$18,'Internmediate sheet'!$A29/3,0)*Capacity</f>
        <v>0</v>
      </c>
      <c r="AH30" s="17">
        <f ca="1">OFFSET('Sales, Production, &amp; Other Assu'!AH$18,'Internmediate sheet'!$A29/3,0)*Capacity</f>
        <v>0</v>
      </c>
      <c r="AI30" s="17">
        <f ca="1">OFFSET('Sales, Production, &amp; Other Assu'!AI$18,'Internmediate sheet'!$A29/3,0)*Capacity</f>
        <v>0</v>
      </c>
      <c r="AJ30" s="17">
        <f ca="1">OFFSET('Sales, Production, &amp; Other Assu'!AJ$18,'Internmediate sheet'!$A29/3,0)*Capacity</f>
        <v>0</v>
      </c>
      <c r="AK30" s="17">
        <f ca="1">OFFSET('Sales, Production, &amp; Other Assu'!AK$18,'Internmediate sheet'!$A29/3,0)*Capacity</f>
        <v>0</v>
      </c>
      <c r="AL30" s="17">
        <f ca="1">OFFSET('Sales, Production, &amp; Other Assu'!AL$18,'Internmediate sheet'!$A29/3,0)*Capacity</f>
        <v>0</v>
      </c>
      <c r="AM30" s="17">
        <f ca="1">OFFSET('Sales, Production, &amp; Other Assu'!AM$18,'Internmediate sheet'!$A29/3,0)*Capacity</f>
        <v>0</v>
      </c>
      <c r="AN30" s="17">
        <f ca="1">OFFSET('Sales, Production, &amp; Other Assu'!AN$18,'Internmediate sheet'!$A29/3,0)*Capacity</f>
        <v>0</v>
      </c>
      <c r="AO30" s="17">
        <f ca="1">OFFSET('Sales, Production, &amp; Other Assu'!AO$18,'Internmediate sheet'!$A29/3,0)*Capacity</f>
        <v>0</v>
      </c>
      <c r="AP30" s="430">
        <f ca="1">SUM(AD30:AO30)</f>
        <v>0</v>
      </c>
      <c r="AQ30" s="17">
        <f ca="1">OFFSET('Sales, Production, &amp; Other Assu'!AQ$18,'Internmediate sheet'!$A29/3,0)*Capacity</f>
        <v>0</v>
      </c>
      <c r="AR30" s="17">
        <f ca="1">OFFSET('Sales, Production, &amp; Other Assu'!AR$18,'Internmediate sheet'!$A29/3,0)*Capacity</f>
        <v>0</v>
      </c>
      <c r="AS30" s="17">
        <f ca="1">OFFSET('Sales, Production, &amp; Other Assu'!AS$18,'Internmediate sheet'!$A29/3,0)*Capacity</f>
        <v>0</v>
      </c>
      <c r="AT30" s="17">
        <f ca="1">OFFSET('Sales, Production, &amp; Other Assu'!AT$18,'Internmediate sheet'!$A29/3,0)*Capacity</f>
        <v>0</v>
      </c>
      <c r="AU30" s="17">
        <f ca="1">OFFSET('Sales, Production, &amp; Other Assu'!AU$18,'Internmediate sheet'!$A29/3,0)*Capacity</f>
        <v>0</v>
      </c>
      <c r="AV30" s="17">
        <f ca="1">OFFSET('Sales, Production, &amp; Other Assu'!AV$18,'Internmediate sheet'!$A29/3,0)*Capacity</f>
        <v>0</v>
      </c>
      <c r="AW30" s="17">
        <f ca="1">OFFSET('Sales, Production, &amp; Other Assu'!AW$18,'Internmediate sheet'!$A29/3,0)*Capacity</f>
        <v>0</v>
      </c>
      <c r="AX30" s="17">
        <f ca="1">OFFSET('Sales, Production, &amp; Other Assu'!AX$18,'Internmediate sheet'!$A29/3,0)*Capacity</f>
        <v>0</v>
      </c>
      <c r="AY30" s="17">
        <f ca="1">OFFSET('Sales, Production, &amp; Other Assu'!AY$18,'Internmediate sheet'!$A29/3,0)*Capacity</f>
        <v>0</v>
      </c>
      <c r="AZ30" s="17">
        <f ca="1">OFFSET('Sales, Production, &amp; Other Assu'!AZ$18,'Internmediate sheet'!$A29/3,0)*Capacity</f>
        <v>0</v>
      </c>
      <c r="BA30" s="17">
        <f ca="1">OFFSET('Sales, Production, &amp; Other Assu'!BA$18,'Internmediate sheet'!$A29/3,0)*Capacity</f>
        <v>0</v>
      </c>
      <c r="BB30" s="17">
        <f ca="1">OFFSET('Sales, Production, &amp; Other Assu'!BB$18,'Internmediate sheet'!$A29/3,0)*Capacity</f>
        <v>0</v>
      </c>
      <c r="BC30" s="430">
        <f ca="1">SUM(AQ30:BB30)</f>
        <v>0</v>
      </c>
      <c r="BD30" s="17">
        <f ca="1">OFFSET('Sales, Production, &amp; Other Assu'!BD$18,'Internmediate sheet'!$A29/3,0)*Capacity</f>
        <v>0</v>
      </c>
      <c r="BE30" s="17">
        <f ca="1">OFFSET('Sales, Production, &amp; Other Assu'!BE$18,'Internmediate sheet'!$A29/3,0)*Capacity</f>
        <v>0</v>
      </c>
      <c r="BF30" s="17">
        <f ca="1">OFFSET('Sales, Production, &amp; Other Assu'!BF$18,'Internmediate sheet'!$A29/3,0)*Capacity</f>
        <v>0</v>
      </c>
      <c r="BG30" s="17">
        <f ca="1">OFFSET('Sales, Production, &amp; Other Assu'!BG$18,'Internmediate sheet'!$A29/3,0)*Capacity</f>
        <v>0</v>
      </c>
      <c r="BH30" s="17">
        <f ca="1">OFFSET('Sales, Production, &amp; Other Assu'!BH$18,'Internmediate sheet'!$A29/3,0)*Capacity</f>
        <v>0</v>
      </c>
      <c r="BI30" s="17">
        <f ca="1">OFFSET('Sales, Production, &amp; Other Assu'!BI$18,'Internmediate sheet'!$A29/3,0)*Capacity</f>
        <v>0</v>
      </c>
      <c r="BJ30" s="17">
        <f ca="1">OFFSET('Sales, Production, &amp; Other Assu'!BJ$18,'Internmediate sheet'!$A29/3,0)*Capacity</f>
        <v>0</v>
      </c>
      <c r="BK30" s="17">
        <f ca="1">OFFSET('Sales, Production, &amp; Other Assu'!BK$18,'Internmediate sheet'!$A29/3,0)*Capacity</f>
        <v>0</v>
      </c>
      <c r="BL30" s="17">
        <f ca="1">OFFSET('Sales, Production, &amp; Other Assu'!BL$18,'Internmediate sheet'!$A29/3,0)*Capacity</f>
        <v>0</v>
      </c>
      <c r="BM30" s="17">
        <f ca="1">OFFSET('Sales, Production, &amp; Other Assu'!BM$18,'Internmediate sheet'!$A29/3,0)*Capacity</f>
        <v>0</v>
      </c>
      <c r="BN30" s="17">
        <f ca="1">OFFSET('Sales, Production, &amp; Other Assu'!BN$18,'Internmediate sheet'!$A29/3,0)*Capacity</f>
        <v>0</v>
      </c>
      <c r="BO30" s="17">
        <f ca="1">OFFSET('Sales, Production, &amp; Other Assu'!BO$18,'Internmediate sheet'!$A29/3,0)*Capacity</f>
        <v>0</v>
      </c>
      <c r="BP30" s="430">
        <f ca="1">SUM(BD30:BO30)</f>
        <v>0</v>
      </c>
      <c r="BQ30" s="17">
        <f ca="1">OFFSET('Sales, Production, &amp; Other Assu'!BQ$18,'Internmediate sheet'!$A29/3,0)*Capacity</f>
        <v>0</v>
      </c>
      <c r="BR30" s="17">
        <f ca="1">OFFSET('Sales, Production, &amp; Other Assu'!BR$18,'Internmediate sheet'!$A29/3,0)*Capacity</f>
        <v>0</v>
      </c>
      <c r="BS30" s="17">
        <f ca="1">OFFSET('Sales, Production, &amp; Other Assu'!BS$18,'Internmediate sheet'!$A29/3,0)*Capacity</f>
        <v>0</v>
      </c>
      <c r="BT30" s="17">
        <f ca="1">OFFSET('Sales, Production, &amp; Other Assu'!BT$18,'Internmediate sheet'!$A29/3,0)*Capacity</f>
        <v>0</v>
      </c>
      <c r="BU30" s="17">
        <f ca="1">OFFSET('Sales, Production, &amp; Other Assu'!BU$18,'Internmediate sheet'!$A29/3,0)*Capacity</f>
        <v>0</v>
      </c>
      <c r="BV30" s="17">
        <f ca="1">OFFSET('Sales, Production, &amp; Other Assu'!BV$18,'Internmediate sheet'!$A29/3,0)*Capacity</f>
        <v>0</v>
      </c>
      <c r="BW30" s="17">
        <f ca="1">OFFSET('Sales, Production, &amp; Other Assu'!BW$18,'Internmediate sheet'!$A29/3,0)*Capacity</f>
        <v>0</v>
      </c>
      <c r="BX30" s="17">
        <f ca="1">OFFSET('Sales, Production, &amp; Other Assu'!BX$18,'Internmediate sheet'!$A29/3,0)*Capacity</f>
        <v>0</v>
      </c>
      <c r="BY30" s="17">
        <f ca="1">OFFSET('Sales, Production, &amp; Other Assu'!BY$18,'Internmediate sheet'!$A29/3,0)*Capacity</f>
        <v>0</v>
      </c>
      <c r="BZ30" s="17">
        <f ca="1">OFFSET('Sales, Production, &amp; Other Assu'!BZ$18,'Internmediate sheet'!$A29/3,0)*Capacity</f>
        <v>0</v>
      </c>
      <c r="CA30" s="17">
        <f ca="1">OFFSET('Sales, Production, &amp; Other Assu'!CA$18,'Internmediate sheet'!$A29/3,0)*Capacity</f>
        <v>0</v>
      </c>
      <c r="CB30" s="17">
        <f ca="1">OFFSET('Sales, Production, &amp; Other Assu'!CB$18,'Internmediate sheet'!$A29/3,0)*Capacity</f>
        <v>0</v>
      </c>
      <c r="CC30" s="430">
        <f ca="1">SUM(BQ30:CB30)</f>
        <v>0</v>
      </c>
      <c r="CD30" s="17">
        <f ca="1">OFFSET('Sales, Production, &amp; Other Assu'!CD$18,'Internmediate sheet'!$A29/3,0)*Capacity</f>
        <v>0</v>
      </c>
      <c r="CE30" s="17">
        <f ca="1">OFFSET('Sales, Production, &amp; Other Assu'!CE$18,'Internmediate sheet'!$A29/3,0)*Capacity</f>
        <v>0</v>
      </c>
      <c r="CF30" s="17">
        <f ca="1">OFFSET('Sales, Production, &amp; Other Assu'!CF$18,'Internmediate sheet'!$A29/3,0)*Capacity</f>
        <v>0</v>
      </c>
      <c r="CG30" s="17">
        <f ca="1">OFFSET('Sales, Production, &amp; Other Assu'!CG$18,'Internmediate sheet'!$A29/3,0)*Capacity</f>
        <v>0</v>
      </c>
      <c r="CH30" s="17">
        <f ca="1">OFFSET('Sales, Production, &amp; Other Assu'!CH$18,'Internmediate sheet'!$A29/3,0)*Capacity</f>
        <v>0</v>
      </c>
      <c r="CI30" s="17">
        <f ca="1">OFFSET('Sales, Production, &amp; Other Assu'!CI$18,'Internmediate sheet'!$A29/3,0)*Capacity</f>
        <v>0</v>
      </c>
      <c r="CJ30" s="17">
        <f ca="1">OFFSET('Sales, Production, &amp; Other Assu'!CJ$18,'Internmediate sheet'!$A29/3,0)*Capacity</f>
        <v>0</v>
      </c>
      <c r="CK30" s="17">
        <f ca="1">OFFSET('Sales, Production, &amp; Other Assu'!CK$18,'Internmediate sheet'!$A29/3,0)*Capacity</f>
        <v>0</v>
      </c>
      <c r="CL30" s="17">
        <f ca="1">OFFSET('Sales, Production, &amp; Other Assu'!CL$18,'Internmediate sheet'!$A29/3,0)*Capacity</f>
        <v>0</v>
      </c>
      <c r="CM30" s="17">
        <f ca="1">OFFSET('Sales, Production, &amp; Other Assu'!CM$18,'Internmediate sheet'!$A29/3,0)*Capacity</f>
        <v>0</v>
      </c>
      <c r="CN30" s="17">
        <f ca="1">OFFSET('Sales, Production, &amp; Other Assu'!CN$18,'Internmediate sheet'!$A29/3,0)*Capacity</f>
        <v>0</v>
      </c>
      <c r="CO30" s="17">
        <f ca="1">OFFSET('Sales, Production, &amp; Other Assu'!CO$18,'Internmediate sheet'!$A29/3,0)*Capacity</f>
        <v>0</v>
      </c>
      <c r="CP30" s="430">
        <f ca="1">SUM(CD30:CO30)</f>
        <v>0</v>
      </c>
    </row>
    <row r="31" spans="1:94" ht="20.100000000000001" hidden="1" customHeight="1">
      <c r="A31" s="790"/>
      <c r="B31" s="8" t="s">
        <v>610</v>
      </c>
      <c r="C31" s="8">
        <f ca="1">OFFSET('Summary. Assumptions. Inputs'!$F$46,'Internmediate sheet'!A26/3,0)</f>
        <v>0</v>
      </c>
      <c r="D31" s="8">
        <f t="shared" ref="D31:P31" ca="1" si="680">C31</f>
        <v>0</v>
      </c>
      <c r="E31" s="8">
        <f t="shared" ca="1" si="680"/>
        <v>0</v>
      </c>
      <c r="F31" s="8">
        <f t="shared" ca="1" si="680"/>
        <v>0</v>
      </c>
      <c r="G31" s="8">
        <f t="shared" ca="1" si="680"/>
        <v>0</v>
      </c>
      <c r="H31" s="8">
        <f t="shared" ca="1" si="680"/>
        <v>0</v>
      </c>
      <c r="I31" s="8">
        <f t="shared" ca="1" si="680"/>
        <v>0</v>
      </c>
      <c r="J31" s="8">
        <f t="shared" ca="1" si="680"/>
        <v>0</v>
      </c>
      <c r="K31" s="8">
        <f t="shared" ca="1" si="680"/>
        <v>0</v>
      </c>
      <c r="L31" s="8">
        <f t="shared" ca="1" si="680"/>
        <v>0</v>
      </c>
      <c r="M31" s="8">
        <f t="shared" ca="1" si="680"/>
        <v>0</v>
      </c>
      <c r="N31" s="8">
        <f t="shared" ca="1" si="680"/>
        <v>0</v>
      </c>
      <c r="O31" s="8">
        <f t="shared" ca="1" si="680"/>
        <v>0</v>
      </c>
      <c r="P31" s="431">
        <f t="shared" ca="1" si="680"/>
        <v>0</v>
      </c>
      <c r="Q31" s="8">
        <f t="shared" ref="Q31" ca="1" si="681">P31</f>
        <v>0</v>
      </c>
      <c r="R31" s="8">
        <f t="shared" ref="R31" ca="1" si="682">Q31</f>
        <v>0</v>
      </c>
      <c r="S31" s="8">
        <f t="shared" ref="S31" ca="1" si="683">R31</f>
        <v>0</v>
      </c>
      <c r="T31" s="8">
        <f t="shared" ref="T31" ca="1" si="684">S31</f>
        <v>0</v>
      </c>
      <c r="U31" s="8">
        <f t="shared" ref="U31" ca="1" si="685">T31</f>
        <v>0</v>
      </c>
      <c r="V31" s="8">
        <f t="shared" ref="V31" ca="1" si="686">U31</f>
        <v>0</v>
      </c>
      <c r="W31" s="8">
        <f t="shared" ref="W31" ca="1" si="687">V31</f>
        <v>0</v>
      </c>
      <c r="X31" s="8">
        <f t="shared" ref="X31" ca="1" si="688">W31</f>
        <v>0</v>
      </c>
      <c r="Y31" s="8">
        <f t="shared" ref="Y31" ca="1" si="689">X31</f>
        <v>0</v>
      </c>
      <c r="Z31" s="8">
        <f t="shared" ref="Z31" ca="1" si="690">Y31</f>
        <v>0</v>
      </c>
      <c r="AA31" s="8">
        <f t="shared" ref="AA31" ca="1" si="691">Z31</f>
        <v>0</v>
      </c>
      <c r="AB31" s="8">
        <f t="shared" ref="AB31" ca="1" si="692">AA31</f>
        <v>0</v>
      </c>
      <c r="AC31" s="431">
        <f t="shared" ref="AC31" ca="1" si="693">AB31</f>
        <v>0</v>
      </c>
      <c r="AD31" s="8">
        <f t="shared" ref="AD31" ca="1" si="694">AC31</f>
        <v>0</v>
      </c>
      <c r="AE31" s="8">
        <f t="shared" ref="AE31" ca="1" si="695">AD31</f>
        <v>0</v>
      </c>
      <c r="AF31" s="8">
        <f t="shared" ref="AF31" ca="1" si="696">AE31</f>
        <v>0</v>
      </c>
      <c r="AG31" s="8">
        <f t="shared" ref="AG31" ca="1" si="697">AF31</f>
        <v>0</v>
      </c>
      <c r="AH31" s="8">
        <f t="shared" ref="AH31" ca="1" si="698">AG31</f>
        <v>0</v>
      </c>
      <c r="AI31" s="8">
        <f t="shared" ref="AI31" ca="1" si="699">AH31</f>
        <v>0</v>
      </c>
      <c r="AJ31" s="8">
        <f t="shared" ref="AJ31" ca="1" si="700">AI31</f>
        <v>0</v>
      </c>
      <c r="AK31" s="8">
        <f t="shared" ref="AK31" ca="1" si="701">AJ31</f>
        <v>0</v>
      </c>
      <c r="AL31" s="8">
        <f t="shared" ref="AL31" ca="1" si="702">AK31</f>
        <v>0</v>
      </c>
      <c r="AM31" s="8">
        <f t="shared" ref="AM31" ca="1" si="703">AL31</f>
        <v>0</v>
      </c>
      <c r="AN31" s="8">
        <f t="shared" ref="AN31" ca="1" si="704">AM31</f>
        <v>0</v>
      </c>
      <c r="AO31" s="8">
        <f t="shared" ref="AO31" ca="1" si="705">AN31</f>
        <v>0</v>
      </c>
      <c r="AP31" s="431">
        <f t="shared" ref="AP31" ca="1" si="706">AO31</f>
        <v>0</v>
      </c>
      <c r="AQ31" s="8">
        <f ca="1">AP31</f>
        <v>0</v>
      </c>
      <c r="AR31" s="8">
        <f t="shared" ref="AR31" ca="1" si="707">AQ31</f>
        <v>0</v>
      </c>
      <c r="AS31" s="8">
        <f t="shared" ref="AS31" ca="1" si="708">AR31</f>
        <v>0</v>
      </c>
      <c r="AT31" s="8">
        <f t="shared" ref="AT31" ca="1" si="709">AS31</f>
        <v>0</v>
      </c>
      <c r="AU31" s="8">
        <f t="shared" ref="AU31" ca="1" si="710">AT31</f>
        <v>0</v>
      </c>
      <c r="AV31" s="8">
        <f t="shared" ref="AV31" ca="1" si="711">AU31</f>
        <v>0</v>
      </c>
      <c r="AW31" s="8">
        <f t="shared" ref="AW31" ca="1" si="712">AV31</f>
        <v>0</v>
      </c>
      <c r="AX31" s="8">
        <f t="shared" ref="AX31" ca="1" si="713">AW31</f>
        <v>0</v>
      </c>
      <c r="AY31" s="8">
        <f t="shared" ref="AY31" ca="1" si="714">AX31</f>
        <v>0</v>
      </c>
      <c r="AZ31" s="8">
        <f t="shared" ref="AZ31" ca="1" si="715">AY31</f>
        <v>0</v>
      </c>
      <c r="BA31" s="8">
        <f t="shared" ref="BA31" ca="1" si="716">AZ31</f>
        <v>0</v>
      </c>
      <c r="BB31" s="8">
        <f t="shared" ref="BB31" ca="1" si="717">BA31</f>
        <v>0</v>
      </c>
      <c r="BC31" s="431">
        <f t="shared" ref="BC31" ca="1" si="718">BB31</f>
        <v>0</v>
      </c>
      <c r="BD31" s="8">
        <f t="shared" ref="BD31" ca="1" si="719">BC31</f>
        <v>0</v>
      </c>
      <c r="BE31" s="8">
        <f t="shared" ref="BE31" ca="1" si="720">BD31</f>
        <v>0</v>
      </c>
      <c r="BF31" s="8">
        <f t="shared" ref="BF31" ca="1" si="721">BE31</f>
        <v>0</v>
      </c>
      <c r="BG31" s="8">
        <f t="shared" ref="BG31" ca="1" si="722">BF31</f>
        <v>0</v>
      </c>
      <c r="BH31" s="8">
        <f t="shared" ref="BH31" ca="1" si="723">BG31</f>
        <v>0</v>
      </c>
      <c r="BI31" s="8">
        <f t="shared" ref="BI31" ca="1" si="724">BH31</f>
        <v>0</v>
      </c>
      <c r="BJ31" s="8">
        <f t="shared" ref="BJ31" ca="1" si="725">BI31</f>
        <v>0</v>
      </c>
      <c r="BK31" s="8">
        <f t="shared" ref="BK31" ca="1" si="726">BJ31</f>
        <v>0</v>
      </c>
      <c r="BL31" s="8">
        <f t="shared" ref="BL31" ca="1" si="727">BK31</f>
        <v>0</v>
      </c>
      <c r="BM31" s="8">
        <f t="shared" ref="BM31" ca="1" si="728">BL31</f>
        <v>0</v>
      </c>
      <c r="BN31" s="8">
        <f t="shared" ref="BN31" ca="1" si="729">BM31</f>
        <v>0</v>
      </c>
      <c r="BO31" s="8">
        <f t="shared" ref="BO31" ca="1" si="730">BN31</f>
        <v>0</v>
      </c>
      <c r="BP31" s="431">
        <f t="shared" ref="BP31" ca="1" si="731">BO31</f>
        <v>0</v>
      </c>
      <c r="BQ31" s="8">
        <f t="shared" ref="BQ31" ca="1" si="732">BP31</f>
        <v>0</v>
      </c>
      <c r="BR31" s="8">
        <f t="shared" ref="BR31" ca="1" si="733">BQ31</f>
        <v>0</v>
      </c>
      <c r="BS31" s="8">
        <f t="shared" ref="BS31" ca="1" si="734">BR31</f>
        <v>0</v>
      </c>
      <c r="BT31" s="8">
        <f t="shared" ref="BT31" ca="1" si="735">BS31</f>
        <v>0</v>
      </c>
      <c r="BU31" s="8">
        <f t="shared" ref="BU31" ca="1" si="736">BT31</f>
        <v>0</v>
      </c>
      <c r="BV31" s="8">
        <f t="shared" ref="BV31" ca="1" si="737">BU31</f>
        <v>0</v>
      </c>
      <c r="BW31" s="8">
        <f t="shared" ref="BW31" ca="1" si="738">BV31</f>
        <v>0</v>
      </c>
      <c r="BX31" s="8">
        <f t="shared" ref="BX31" ca="1" si="739">BW31</f>
        <v>0</v>
      </c>
      <c r="BY31" s="8">
        <f t="shared" ref="BY31" ca="1" si="740">BX31</f>
        <v>0</v>
      </c>
      <c r="BZ31" s="8">
        <f t="shared" ref="BZ31" ca="1" si="741">BY31</f>
        <v>0</v>
      </c>
      <c r="CA31" s="8">
        <f t="shared" ref="CA31" ca="1" si="742">BZ31</f>
        <v>0</v>
      </c>
      <c r="CB31" s="8">
        <f t="shared" ref="CB31" ca="1" si="743">CA31</f>
        <v>0</v>
      </c>
      <c r="CC31" s="431">
        <f t="shared" ref="CC31" ca="1" si="744">CB31</f>
        <v>0</v>
      </c>
      <c r="CD31" s="8">
        <f t="shared" ref="CD31" ca="1" si="745">CC31</f>
        <v>0</v>
      </c>
      <c r="CE31" s="8">
        <f t="shared" ref="CE31" ca="1" si="746">CD31</f>
        <v>0</v>
      </c>
      <c r="CF31" s="8">
        <f t="shared" ref="CF31" ca="1" si="747">CE31</f>
        <v>0</v>
      </c>
      <c r="CG31" s="8">
        <f t="shared" ref="CG31" ca="1" si="748">CF31</f>
        <v>0</v>
      </c>
      <c r="CH31" s="8">
        <f t="shared" ref="CH31" ca="1" si="749">CG31</f>
        <v>0</v>
      </c>
      <c r="CI31" s="8">
        <f t="shared" ref="CI31" ca="1" si="750">CH31</f>
        <v>0</v>
      </c>
      <c r="CJ31" s="8">
        <f t="shared" ref="CJ31" ca="1" si="751">CI31</f>
        <v>0</v>
      </c>
      <c r="CK31" s="8">
        <f t="shared" ref="CK31" ca="1" si="752">CJ31</f>
        <v>0</v>
      </c>
      <c r="CL31" s="8">
        <f t="shared" ref="CL31" ca="1" si="753">CK31</f>
        <v>0</v>
      </c>
      <c r="CM31" s="8">
        <f t="shared" ref="CM31" ca="1" si="754">CL31</f>
        <v>0</v>
      </c>
      <c r="CN31" s="8">
        <f t="shared" ref="CN31" ca="1" si="755">CM31</f>
        <v>0</v>
      </c>
      <c r="CO31" s="8">
        <f t="shared" ref="CO31" ca="1" si="756">CN31</f>
        <v>0</v>
      </c>
      <c r="CP31" s="431">
        <f t="shared" ref="CP31" ca="1" si="757">CO31</f>
        <v>0</v>
      </c>
    </row>
    <row r="32" spans="1:94" ht="20.100000000000001" hidden="1" customHeight="1">
      <c r="A32" s="791"/>
      <c r="B32" s="248" t="s">
        <v>611</v>
      </c>
      <c r="C32" s="249">
        <f t="shared" ref="C32:O32" ca="1" si="758">C30*C31</f>
        <v>0</v>
      </c>
      <c r="D32" s="248">
        <f t="shared" ca="1" si="758"/>
        <v>0</v>
      </c>
      <c r="E32" s="248">
        <f t="shared" ca="1" si="758"/>
        <v>0</v>
      </c>
      <c r="F32" s="248">
        <f t="shared" ca="1" si="758"/>
        <v>0</v>
      </c>
      <c r="G32" s="248">
        <f t="shared" ca="1" si="758"/>
        <v>0</v>
      </c>
      <c r="H32" s="248">
        <f t="shared" ca="1" si="758"/>
        <v>0</v>
      </c>
      <c r="I32" s="248">
        <f t="shared" ca="1" si="758"/>
        <v>0</v>
      </c>
      <c r="J32" s="248">
        <f t="shared" ca="1" si="758"/>
        <v>0</v>
      </c>
      <c r="K32" s="248">
        <f t="shared" ca="1" si="758"/>
        <v>0</v>
      </c>
      <c r="L32" s="248">
        <f t="shared" ca="1" si="758"/>
        <v>0</v>
      </c>
      <c r="M32" s="248">
        <f t="shared" ca="1" si="758"/>
        <v>0</v>
      </c>
      <c r="N32" s="248">
        <f t="shared" ca="1" si="758"/>
        <v>0</v>
      </c>
      <c r="O32" s="248">
        <f t="shared" ca="1" si="758"/>
        <v>0</v>
      </c>
      <c r="P32" s="432">
        <f ca="1">SUM(D32:O32)</f>
        <v>0</v>
      </c>
      <c r="Q32" s="248">
        <f t="shared" ref="Q32:AB32" ca="1" si="759">Q30*Q31</f>
        <v>0</v>
      </c>
      <c r="R32" s="248">
        <f t="shared" ca="1" si="759"/>
        <v>0</v>
      </c>
      <c r="S32" s="248">
        <f t="shared" ca="1" si="759"/>
        <v>0</v>
      </c>
      <c r="T32" s="248">
        <f t="shared" ca="1" si="759"/>
        <v>0</v>
      </c>
      <c r="U32" s="248">
        <f t="shared" ca="1" si="759"/>
        <v>0</v>
      </c>
      <c r="V32" s="248">
        <f t="shared" ca="1" si="759"/>
        <v>0</v>
      </c>
      <c r="W32" s="248">
        <f t="shared" ca="1" si="759"/>
        <v>0</v>
      </c>
      <c r="X32" s="248">
        <f t="shared" ca="1" si="759"/>
        <v>0</v>
      </c>
      <c r="Y32" s="248">
        <f t="shared" ca="1" si="759"/>
        <v>0</v>
      </c>
      <c r="Z32" s="248">
        <f t="shared" ca="1" si="759"/>
        <v>0</v>
      </c>
      <c r="AA32" s="248">
        <f t="shared" ca="1" si="759"/>
        <v>0</v>
      </c>
      <c r="AB32" s="248">
        <f t="shared" ca="1" si="759"/>
        <v>0</v>
      </c>
      <c r="AC32" s="432">
        <f ca="1">SUM(Q32:AB32)</f>
        <v>0</v>
      </c>
      <c r="AD32" s="248">
        <f t="shared" ref="AD32:AO32" ca="1" si="760">AD30*AD31</f>
        <v>0</v>
      </c>
      <c r="AE32" s="248">
        <f t="shared" ca="1" si="760"/>
        <v>0</v>
      </c>
      <c r="AF32" s="248">
        <f t="shared" ca="1" si="760"/>
        <v>0</v>
      </c>
      <c r="AG32" s="248">
        <f t="shared" ca="1" si="760"/>
        <v>0</v>
      </c>
      <c r="AH32" s="248">
        <f t="shared" ca="1" si="760"/>
        <v>0</v>
      </c>
      <c r="AI32" s="248">
        <f t="shared" ca="1" si="760"/>
        <v>0</v>
      </c>
      <c r="AJ32" s="248">
        <f t="shared" ca="1" si="760"/>
        <v>0</v>
      </c>
      <c r="AK32" s="248">
        <f t="shared" ca="1" si="760"/>
        <v>0</v>
      </c>
      <c r="AL32" s="248">
        <f t="shared" ca="1" si="760"/>
        <v>0</v>
      </c>
      <c r="AM32" s="248">
        <f t="shared" ca="1" si="760"/>
        <v>0</v>
      </c>
      <c r="AN32" s="248">
        <f t="shared" ca="1" si="760"/>
        <v>0</v>
      </c>
      <c r="AO32" s="248">
        <f t="shared" ca="1" si="760"/>
        <v>0</v>
      </c>
      <c r="AP32" s="432">
        <f ca="1">SUM(AD32:AO32)</f>
        <v>0</v>
      </c>
      <c r="AQ32" s="248">
        <f t="shared" ref="AQ32:BB32" ca="1" si="761">AQ30*AQ31</f>
        <v>0</v>
      </c>
      <c r="AR32" s="248">
        <f t="shared" ca="1" si="761"/>
        <v>0</v>
      </c>
      <c r="AS32" s="248">
        <f t="shared" ca="1" si="761"/>
        <v>0</v>
      </c>
      <c r="AT32" s="248">
        <f t="shared" ca="1" si="761"/>
        <v>0</v>
      </c>
      <c r="AU32" s="248">
        <f t="shared" ca="1" si="761"/>
        <v>0</v>
      </c>
      <c r="AV32" s="248">
        <f t="shared" ca="1" si="761"/>
        <v>0</v>
      </c>
      <c r="AW32" s="248">
        <f t="shared" ca="1" si="761"/>
        <v>0</v>
      </c>
      <c r="AX32" s="248">
        <f t="shared" ca="1" si="761"/>
        <v>0</v>
      </c>
      <c r="AY32" s="248">
        <f t="shared" ca="1" si="761"/>
        <v>0</v>
      </c>
      <c r="AZ32" s="248">
        <f t="shared" ca="1" si="761"/>
        <v>0</v>
      </c>
      <c r="BA32" s="248">
        <f t="shared" ca="1" si="761"/>
        <v>0</v>
      </c>
      <c r="BB32" s="248">
        <f t="shared" ca="1" si="761"/>
        <v>0</v>
      </c>
      <c r="BC32" s="432">
        <f ca="1">SUM(AQ32:BB32)</f>
        <v>0</v>
      </c>
      <c r="BD32" s="248">
        <f t="shared" ref="BD32:BO32" ca="1" si="762">BD30*BD31</f>
        <v>0</v>
      </c>
      <c r="BE32" s="248">
        <f t="shared" ca="1" si="762"/>
        <v>0</v>
      </c>
      <c r="BF32" s="248">
        <f t="shared" ca="1" si="762"/>
        <v>0</v>
      </c>
      <c r="BG32" s="248">
        <f t="shared" ca="1" si="762"/>
        <v>0</v>
      </c>
      <c r="BH32" s="248">
        <f t="shared" ca="1" si="762"/>
        <v>0</v>
      </c>
      <c r="BI32" s="248">
        <f t="shared" ca="1" si="762"/>
        <v>0</v>
      </c>
      <c r="BJ32" s="248">
        <f t="shared" ca="1" si="762"/>
        <v>0</v>
      </c>
      <c r="BK32" s="248">
        <f t="shared" ca="1" si="762"/>
        <v>0</v>
      </c>
      <c r="BL32" s="248">
        <f t="shared" ca="1" si="762"/>
        <v>0</v>
      </c>
      <c r="BM32" s="248">
        <f t="shared" ca="1" si="762"/>
        <v>0</v>
      </c>
      <c r="BN32" s="248">
        <f t="shared" ca="1" si="762"/>
        <v>0</v>
      </c>
      <c r="BO32" s="248">
        <f t="shared" ca="1" si="762"/>
        <v>0</v>
      </c>
      <c r="BP32" s="432">
        <f ca="1">SUM(BD32:BO32)</f>
        <v>0</v>
      </c>
      <c r="BQ32" s="248">
        <f t="shared" ref="BQ32:CB32" ca="1" si="763">BQ30*BQ31</f>
        <v>0</v>
      </c>
      <c r="BR32" s="248">
        <f t="shared" ca="1" si="763"/>
        <v>0</v>
      </c>
      <c r="BS32" s="248">
        <f t="shared" ca="1" si="763"/>
        <v>0</v>
      </c>
      <c r="BT32" s="248">
        <f t="shared" ca="1" si="763"/>
        <v>0</v>
      </c>
      <c r="BU32" s="248">
        <f t="shared" ca="1" si="763"/>
        <v>0</v>
      </c>
      <c r="BV32" s="248">
        <f t="shared" ca="1" si="763"/>
        <v>0</v>
      </c>
      <c r="BW32" s="248">
        <f t="shared" ca="1" si="763"/>
        <v>0</v>
      </c>
      <c r="BX32" s="248">
        <f t="shared" ca="1" si="763"/>
        <v>0</v>
      </c>
      <c r="BY32" s="248">
        <f t="shared" ca="1" si="763"/>
        <v>0</v>
      </c>
      <c r="BZ32" s="248">
        <f t="shared" ca="1" si="763"/>
        <v>0</v>
      </c>
      <c r="CA32" s="248">
        <f t="shared" ca="1" si="763"/>
        <v>0</v>
      </c>
      <c r="CB32" s="248">
        <f t="shared" ca="1" si="763"/>
        <v>0</v>
      </c>
      <c r="CC32" s="432">
        <f ca="1">SUM(BQ32:CB32)</f>
        <v>0</v>
      </c>
      <c r="CD32" s="248">
        <f t="shared" ref="CD32:CO32" ca="1" si="764">CD30*CD31</f>
        <v>0</v>
      </c>
      <c r="CE32" s="248">
        <f t="shared" ca="1" si="764"/>
        <v>0</v>
      </c>
      <c r="CF32" s="248">
        <f t="shared" ca="1" si="764"/>
        <v>0</v>
      </c>
      <c r="CG32" s="248">
        <f t="shared" ca="1" si="764"/>
        <v>0</v>
      </c>
      <c r="CH32" s="248">
        <f t="shared" ca="1" si="764"/>
        <v>0</v>
      </c>
      <c r="CI32" s="248">
        <f t="shared" ca="1" si="764"/>
        <v>0</v>
      </c>
      <c r="CJ32" s="248">
        <f t="shared" ca="1" si="764"/>
        <v>0</v>
      </c>
      <c r="CK32" s="248">
        <f t="shared" ca="1" si="764"/>
        <v>0</v>
      </c>
      <c r="CL32" s="248">
        <f t="shared" ca="1" si="764"/>
        <v>0</v>
      </c>
      <c r="CM32" s="248">
        <f t="shared" ca="1" si="764"/>
        <v>0</v>
      </c>
      <c r="CN32" s="248">
        <f t="shared" ca="1" si="764"/>
        <v>0</v>
      </c>
      <c r="CO32" s="248">
        <f t="shared" ca="1" si="764"/>
        <v>0</v>
      </c>
      <c r="CP32" s="432">
        <f ca="1">SUM(CD32:CO32)</f>
        <v>0</v>
      </c>
    </row>
    <row r="33" spans="1:94" ht="20.100000000000001" hidden="1" customHeight="1">
      <c r="A33" s="789">
        <f ca="1">OFFSET('Summary. Assumptions. Inputs'!$A$45,'Internmediate sheet'!A32/3,0)</f>
        <v>0</v>
      </c>
      <c r="B33" s="17" t="s">
        <v>609</v>
      </c>
      <c r="C33" s="18"/>
      <c r="D33" s="17">
        <f ca="1">OFFSET('Sales, Production, &amp; Other Assu'!D$18,'Internmediate sheet'!$A32/3,0)*Capacity</f>
        <v>0</v>
      </c>
      <c r="E33" s="17">
        <f ca="1">OFFSET('Sales, Production, &amp; Other Assu'!E$18,'Internmediate sheet'!$A32/3,0)*Capacity</f>
        <v>0</v>
      </c>
      <c r="F33" s="17">
        <f ca="1">OFFSET('Sales, Production, &amp; Other Assu'!F$18,'Internmediate sheet'!$A32/3,0)*Capacity</f>
        <v>0</v>
      </c>
      <c r="G33" s="17">
        <f ca="1">OFFSET('Sales, Production, &amp; Other Assu'!G$18,'Internmediate sheet'!$A32/3,0)*Capacity</f>
        <v>0</v>
      </c>
      <c r="H33" s="17">
        <f ca="1">OFFSET('Sales, Production, &amp; Other Assu'!H$18,'Internmediate sheet'!$A32/3,0)*Capacity</f>
        <v>0</v>
      </c>
      <c r="I33" s="17">
        <f ca="1">OFFSET('Sales, Production, &amp; Other Assu'!I$18,'Internmediate sheet'!$A32/3,0)*Capacity</f>
        <v>0</v>
      </c>
      <c r="J33" s="17">
        <f ca="1">OFFSET('Sales, Production, &amp; Other Assu'!J$18,'Internmediate sheet'!$A32/3,0)*Capacity</f>
        <v>0</v>
      </c>
      <c r="K33" s="17">
        <f ca="1">OFFSET('Sales, Production, &amp; Other Assu'!K$18,'Internmediate sheet'!$A32/3,0)*Capacity</f>
        <v>0</v>
      </c>
      <c r="L33" s="17">
        <f ca="1">OFFSET('Sales, Production, &amp; Other Assu'!L$18,'Internmediate sheet'!$A32/3,0)*Capacity</f>
        <v>0</v>
      </c>
      <c r="M33" s="17">
        <f ca="1">OFFSET('Sales, Production, &amp; Other Assu'!M$18,'Internmediate sheet'!$A32/3,0)*Capacity</f>
        <v>0</v>
      </c>
      <c r="N33" s="17">
        <f ca="1">OFFSET('Sales, Production, &amp; Other Assu'!N$18,'Internmediate sheet'!$A32/3,0)*Capacity</f>
        <v>0</v>
      </c>
      <c r="O33" s="17">
        <f ca="1">OFFSET('Sales, Production, &amp; Other Assu'!O$18,'Internmediate sheet'!$A32/3,0)*Capacity</f>
        <v>0</v>
      </c>
      <c r="P33" s="430">
        <f ca="1">SUM(D33:O33)</f>
        <v>0</v>
      </c>
      <c r="Q33" s="17">
        <f ca="1">OFFSET('Sales, Production, &amp; Other Assu'!Q$18,'Internmediate sheet'!$A32/3,0)*Capacity</f>
        <v>0</v>
      </c>
      <c r="R33" s="17">
        <f ca="1">OFFSET('Sales, Production, &amp; Other Assu'!R$18,'Internmediate sheet'!$A32/3,0)*Capacity</f>
        <v>0</v>
      </c>
      <c r="S33" s="17">
        <f ca="1">OFFSET('Sales, Production, &amp; Other Assu'!S$18,'Internmediate sheet'!$A32/3,0)*Capacity</f>
        <v>0</v>
      </c>
      <c r="T33" s="17">
        <f ca="1">OFFSET('Sales, Production, &amp; Other Assu'!T$18,'Internmediate sheet'!$A32/3,0)*Capacity</f>
        <v>0</v>
      </c>
      <c r="U33" s="17">
        <f ca="1">OFFSET('Sales, Production, &amp; Other Assu'!U$18,'Internmediate sheet'!$A32/3,0)*Capacity</f>
        <v>0</v>
      </c>
      <c r="V33" s="17">
        <f ca="1">OFFSET('Sales, Production, &amp; Other Assu'!V$18,'Internmediate sheet'!$A32/3,0)*Capacity</f>
        <v>0</v>
      </c>
      <c r="W33" s="17">
        <f ca="1">OFFSET('Sales, Production, &amp; Other Assu'!W$18,'Internmediate sheet'!$A32/3,0)*Capacity</f>
        <v>0</v>
      </c>
      <c r="X33" s="17">
        <f ca="1">OFFSET('Sales, Production, &amp; Other Assu'!X$18,'Internmediate sheet'!$A32/3,0)*Capacity</f>
        <v>0</v>
      </c>
      <c r="Y33" s="17">
        <f ca="1">OFFSET('Sales, Production, &amp; Other Assu'!Y$18,'Internmediate sheet'!$A32/3,0)*Capacity</f>
        <v>0</v>
      </c>
      <c r="Z33" s="17">
        <f ca="1">OFFSET('Sales, Production, &amp; Other Assu'!Z$18,'Internmediate sheet'!$A32/3,0)*Capacity</f>
        <v>0</v>
      </c>
      <c r="AA33" s="17">
        <f ca="1">OFFSET('Sales, Production, &amp; Other Assu'!AA$18,'Internmediate sheet'!$A32/3,0)*Capacity</f>
        <v>0</v>
      </c>
      <c r="AB33" s="17">
        <f ca="1">OFFSET('Sales, Production, &amp; Other Assu'!AB$18,'Internmediate sheet'!$A32/3,0)*Capacity</f>
        <v>0</v>
      </c>
      <c r="AC33" s="430">
        <f ca="1">SUM(Q33:AB33)</f>
        <v>0</v>
      </c>
      <c r="AD33" s="17">
        <f ca="1">OFFSET('Sales, Production, &amp; Other Assu'!AD$18,'Internmediate sheet'!$A32/3,0)*Capacity</f>
        <v>0</v>
      </c>
      <c r="AE33" s="17">
        <f ca="1">OFFSET('Sales, Production, &amp; Other Assu'!AE$18,'Internmediate sheet'!$A32/3,0)*Capacity</f>
        <v>0</v>
      </c>
      <c r="AF33" s="17">
        <f ca="1">OFFSET('Sales, Production, &amp; Other Assu'!AF$18,'Internmediate sheet'!$A32/3,0)*Capacity</f>
        <v>0</v>
      </c>
      <c r="AG33" s="17">
        <f ca="1">OFFSET('Sales, Production, &amp; Other Assu'!AG$18,'Internmediate sheet'!$A32/3,0)*Capacity</f>
        <v>0</v>
      </c>
      <c r="AH33" s="17">
        <f ca="1">OFFSET('Sales, Production, &amp; Other Assu'!AH$18,'Internmediate sheet'!$A32/3,0)*Capacity</f>
        <v>0</v>
      </c>
      <c r="AI33" s="17">
        <f ca="1">OFFSET('Sales, Production, &amp; Other Assu'!AI$18,'Internmediate sheet'!$A32/3,0)*Capacity</f>
        <v>0</v>
      </c>
      <c r="AJ33" s="17">
        <f ca="1">OFFSET('Sales, Production, &amp; Other Assu'!AJ$18,'Internmediate sheet'!$A32/3,0)*Capacity</f>
        <v>0</v>
      </c>
      <c r="AK33" s="17">
        <f ca="1">OFFSET('Sales, Production, &amp; Other Assu'!AK$18,'Internmediate sheet'!$A32/3,0)*Capacity</f>
        <v>0</v>
      </c>
      <c r="AL33" s="17">
        <f ca="1">OFFSET('Sales, Production, &amp; Other Assu'!AL$18,'Internmediate sheet'!$A32/3,0)*Capacity</f>
        <v>0</v>
      </c>
      <c r="AM33" s="17">
        <f ca="1">OFFSET('Sales, Production, &amp; Other Assu'!AM$18,'Internmediate sheet'!$A32/3,0)*Capacity</f>
        <v>0</v>
      </c>
      <c r="AN33" s="17">
        <f ca="1">OFFSET('Sales, Production, &amp; Other Assu'!AN$18,'Internmediate sheet'!$A32/3,0)*Capacity</f>
        <v>0</v>
      </c>
      <c r="AO33" s="17">
        <f ca="1">OFFSET('Sales, Production, &amp; Other Assu'!AO$18,'Internmediate sheet'!$A32/3,0)*Capacity</f>
        <v>0</v>
      </c>
      <c r="AP33" s="430">
        <f ca="1">SUM(AD33:AO33)</f>
        <v>0</v>
      </c>
      <c r="AQ33" s="17">
        <f ca="1">OFFSET('Sales, Production, &amp; Other Assu'!AQ$18,'Internmediate sheet'!$A32/3,0)*Capacity</f>
        <v>0</v>
      </c>
      <c r="AR33" s="17">
        <f ca="1">OFFSET('Sales, Production, &amp; Other Assu'!AR$18,'Internmediate sheet'!$A32/3,0)*Capacity</f>
        <v>0</v>
      </c>
      <c r="AS33" s="17">
        <f ca="1">OFFSET('Sales, Production, &amp; Other Assu'!AS$18,'Internmediate sheet'!$A32/3,0)*Capacity</f>
        <v>0</v>
      </c>
      <c r="AT33" s="17">
        <f ca="1">OFFSET('Sales, Production, &amp; Other Assu'!AT$18,'Internmediate sheet'!$A32/3,0)*Capacity</f>
        <v>0</v>
      </c>
      <c r="AU33" s="17">
        <f ca="1">OFFSET('Sales, Production, &amp; Other Assu'!AU$18,'Internmediate sheet'!$A32/3,0)*Capacity</f>
        <v>0</v>
      </c>
      <c r="AV33" s="17">
        <f ca="1">OFFSET('Sales, Production, &amp; Other Assu'!AV$18,'Internmediate sheet'!$A32/3,0)*Capacity</f>
        <v>0</v>
      </c>
      <c r="AW33" s="17">
        <f ca="1">OFFSET('Sales, Production, &amp; Other Assu'!AW$18,'Internmediate sheet'!$A32/3,0)*Capacity</f>
        <v>0</v>
      </c>
      <c r="AX33" s="17">
        <f ca="1">OFFSET('Sales, Production, &amp; Other Assu'!AX$18,'Internmediate sheet'!$A32/3,0)*Capacity</f>
        <v>0</v>
      </c>
      <c r="AY33" s="17">
        <f ca="1">OFFSET('Sales, Production, &amp; Other Assu'!AY$18,'Internmediate sheet'!$A32/3,0)*Capacity</f>
        <v>0</v>
      </c>
      <c r="AZ33" s="17">
        <f ca="1">OFFSET('Sales, Production, &amp; Other Assu'!AZ$18,'Internmediate sheet'!$A32/3,0)*Capacity</f>
        <v>0</v>
      </c>
      <c r="BA33" s="17">
        <f ca="1">OFFSET('Sales, Production, &amp; Other Assu'!BA$18,'Internmediate sheet'!$A32/3,0)*Capacity</f>
        <v>0</v>
      </c>
      <c r="BB33" s="17">
        <f ca="1">OFFSET('Sales, Production, &amp; Other Assu'!BB$18,'Internmediate sheet'!$A32/3,0)*Capacity</f>
        <v>0</v>
      </c>
      <c r="BC33" s="430">
        <f ca="1">SUM(AQ33:BB33)</f>
        <v>0</v>
      </c>
      <c r="BD33" s="17">
        <f ca="1">OFFSET('Sales, Production, &amp; Other Assu'!BD$18,'Internmediate sheet'!$A32/3,0)*Capacity</f>
        <v>0</v>
      </c>
      <c r="BE33" s="17">
        <f ca="1">OFFSET('Sales, Production, &amp; Other Assu'!BE$18,'Internmediate sheet'!$A32/3,0)*Capacity</f>
        <v>0</v>
      </c>
      <c r="BF33" s="17">
        <f ca="1">OFFSET('Sales, Production, &amp; Other Assu'!BF$18,'Internmediate sheet'!$A32/3,0)*Capacity</f>
        <v>0</v>
      </c>
      <c r="BG33" s="17">
        <f ca="1">OFFSET('Sales, Production, &amp; Other Assu'!BG$18,'Internmediate sheet'!$A32/3,0)*Capacity</f>
        <v>0</v>
      </c>
      <c r="BH33" s="17">
        <f ca="1">OFFSET('Sales, Production, &amp; Other Assu'!BH$18,'Internmediate sheet'!$A32/3,0)*Capacity</f>
        <v>0</v>
      </c>
      <c r="BI33" s="17">
        <f ca="1">OFFSET('Sales, Production, &amp; Other Assu'!BI$18,'Internmediate sheet'!$A32/3,0)*Capacity</f>
        <v>0</v>
      </c>
      <c r="BJ33" s="17">
        <f ca="1">OFFSET('Sales, Production, &amp; Other Assu'!BJ$18,'Internmediate sheet'!$A32/3,0)*Capacity</f>
        <v>0</v>
      </c>
      <c r="BK33" s="17">
        <f ca="1">OFFSET('Sales, Production, &amp; Other Assu'!BK$18,'Internmediate sheet'!$A32/3,0)*Capacity</f>
        <v>0</v>
      </c>
      <c r="BL33" s="17">
        <f ca="1">OFFSET('Sales, Production, &amp; Other Assu'!BL$18,'Internmediate sheet'!$A32/3,0)*Capacity</f>
        <v>0</v>
      </c>
      <c r="BM33" s="17">
        <f ca="1">OFFSET('Sales, Production, &amp; Other Assu'!BM$18,'Internmediate sheet'!$A32/3,0)*Capacity</f>
        <v>0</v>
      </c>
      <c r="BN33" s="17">
        <f ca="1">OFFSET('Sales, Production, &amp; Other Assu'!BN$18,'Internmediate sheet'!$A32/3,0)*Capacity</f>
        <v>0</v>
      </c>
      <c r="BO33" s="17">
        <f ca="1">OFFSET('Sales, Production, &amp; Other Assu'!BO$18,'Internmediate sheet'!$A32/3,0)*Capacity</f>
        <v>0</v>
      </c>
      <c r="BP33" s="430">
        <f ca="1">SUM(BD33:BO33)</f>
        <v>0</v>
      </c>
      <c r="BQ33" s="17">
        <f ca="1">OFFSET('Sales, Production, &amp; Other Assu'!BQ$18,'Internmediate sheet'!$A32/3,0)*Capacity</f>
        <v>0</v>
      </c>
      <c r="BR33" s="17">
        <f ca="1">OFFSET('Sales, Production, &amp; Other Assu'!BR$18,'Internmediate sheet'!$A32/3,0)*Capacity</f>
        <v>0</v>
      </c>
      <c r="BS33" s="17">
        <f ca="1">OFFSET('Sales, Production, &amp; Other Assu'!BS$18,'Internmediate sheet'!$A32/3,0)*Capacity</f>
        <v>0</v>
      </c>
      <c r="BT33" s="17">
        <f ca="1">OFFSET('Sales, Production, &amp; Other Assu'!BT$18,'Internmediate sheet'!$A32/3,0)*Capacity</f>
        <v>0</v>
      </c>
      <c r="BU33" s="17">
        <f ca="1">OFFSET('Sales, Production, &amp; Other Assu'!BU$18,'Internmediate sheet'!$A32/3,0)*Capacity</f>
        <v>0</v>
      </c>
      <c r="BV33" s="17">
        <f ca="1">OFFSET('Sales, Production, &amp; Other Assu'!BV$18,'Internmediate sheet'!$A32/3,0)*Capacity</f>
        <v>0</v>
      </c>
      <c r="BW33" s="17">
        <f ca="1">OFFSET('Sales, Production, &amp; Other Assu'!BW$18,'Internmediate sheet'!$A32/3,0)*Capacity</f>
        <v>0</v>
      </c>
      <c r="BX33" s="17">
        <f ca="1">OFFSET('Sales, Production, &amp; Other Assu'!BX$18,'Internmediate sheet'!$A32/3,0)*Capacity</f>
        <v>0</v>
      </c>
      <c r="BY33" s="17">
        <f ca="1">OFFSET('Sales, Production, &amp; Other Assu'!BY$18,'Internmediate sheet'!$A32/3,0)*Capacity</f>
        <v>0</v>
      </c>
      <c r="BZ33" s="17">
        <f ca="1">OFFSET('Sales, Production, &amp; Other Assu'!BZ$18,'Internmediate sheet'!$A32/3,0)*Capacity</f>
        <v>0</v>
      </c>
      <c r="CA33" s="17">
        <f ca="1">OFFSET('Sales, Production, &amp; Other Assu'!CA$18,'Internmediate sheet'!$A32/3,0)*Capacity</f>
        <v>0</v>
      </c>
      <c r="CB33" s="17">
        <f ca="1">OFFSET('Sales, Production, &amp; Other Assu'!CB$18,'Internmediate sheet'!$A32/3,0)*Capacity</f>
        <v>0</v>
      </c>
      <c r="CC33" s="430">
        <f ca="1">SUM(BQ33:CB33)</f>
        <v>0</v>
      </c>
      <c r="CD33" s="17">
        <f ca="1">OFFSET('Sales, Production, &amp; Other Assu'!CD$18,'Internmediate sheet'!$A32/3,0)*Capacity</f>
        <v>0</v>
      </c>
      <c r="CE33" s="17">
        <f ca="1">OFFSET('Sales, Production, &amp; Other Assu'!CE$18,'Internmediate sheet'!$A32/3,0)*Capacity</f>
        <v>0</v>
      </c>
      <c r="CF33" s="17">
        <f ca="1">OFFSET('Sales, Production, &amp; Other Assu'!CF$18,'Internmediate sheet'!$A32/3,0)*Capacity</f>
        <v>0</v>
      </c>
      <c r="CG33" s="17">
        <f ca="1">OFFSET('Sales, Production, &amp; Other Assu'!CG$18,'Internmediate sheet'!$A32/3,0)*Capacity</f>
        <v>0</v>
      </c>
      <c r="CH33" s="17">
        <f ca="1">OFFSET('Sales, Production, &amp; Other Assu'!CH$18,'Internmediate sheet'!$A32/3,0)*Capacity</f>
        <v>0</v>
      </c>
      <c r="CI33" s="17">
        <f ca="1">OFFSET('Sales, Production, &amp; Other Assu'!CI$18,'Internmediate sheet'!$A32/3,0)*Capacity</f>
        <v>0</v>
      </c>
      <c r="CJ33" s="17">
        <f ca="1">OFFSET('Sales, Production, &amp; Other Assu'!CJ$18,'Internmediate sheet'!$A32/3,0)*Capacity</f>
        <v>0</v>
      </c>
      <c r="CK33" s="17">
        <f ca="1">OFFSET('Sales, Production, &amp; Other Assu'!CK$18,'Internmediate sheet'!$A32/3,0)*Capacity</f>
        <v>0</v>
      </c>
      <c r="CL33" s="17">
        <f ca="1">OFFSET('Sales, Production, &amp; Other Assu'!CL$18,'Internmediate sheet'!$A32/3,0)*Capacity</f>
        <v>0</v>
      </c>
      <c r="CM33" s="17">
        <f ca="1">OFFSET('Sales, Production, &amp; Other Assu'!CM$18,'Internmediate sheet'!$A32/3,0)*Capacity</f>
        <v>0</v>
      </c>
      <c r="CN33" s="17">
        <f ca="1">OFFSET('Sales, Production, &amp; Other Assu'!CN$18,'Internmediate sheet'!$A32/3,0)*Capacity</f>
        <v>0</v>
      </c>
      <c r="CO33" s="17">
        <f ca="1">OFFSET('Sales, Production, &amp; Other Assu'!CO$18,'Internmediate sheet'!$A32/3,0)*Capacity</f>
        <v>0</v>
      </c>
      <c r="CP33" s="430">
        <f ca="1">SUM(CD33:CO33)</f>
        <v>0</v>
      </c>
    </row>
    <row r="34" spans="1:94" ht="20.100000000000001" hidden="1" customHeight="1">
      <c r="A34" s="790"/>
      <c r="B34" s="8" t="s">
        <v>610</v>
      </c>
      <c r="C34" s="8">
        <f ca="1">OFFSET('Summary. Assumptions. Inputs'!$F$46,'Internmediate sheet'!A29/3,0)</f>
        <v>0</v>
      </c>
      <c r="D34" s="8">
        <f t="shared" ref="D34:P34" ca="1" si="765">C34</f>
        <v>0</v>
      </c>
      <c r="E34" s="8">
        <f t="shared" ca="1" si="765"/>
        <v>0</v>
      </c>
      <c r="F34" s="8">
        <f t="shared" ca="1" si="765"/>
        <v>0</v>
      </c>
      <c r="G34" s="8">
        <f t="shared" ca="1" si="765"/>
        <v>0</v>
      </c>
      <c r="H34" s="8">
        <f t="shared" ca="1" si="765"/>
        <v>0</v>
      </c>
      <c r="I34" s="8">
        <f t="shared" ca="1" si="765"/>
        <v>0</v>
      </c>
      <c r="J34" s="8">
        <f t="shared" ca="1" si="765"/>
        <v>0</v>
      </c>
      <c r="K34" s="8">
        <f t="shared" ca="1" si="765"/>
        <v>0</v>
      </c>
      <c r="L34" s="8">
        <f t="shared" ca="1" si="765"/>
        <v>0</v>
      </c>
      <c r="M34" s="8">
        <f t="shared" ca="1" si="765"/>
        <v>0</v>
      </c>
      <c r="N34" s="8">
        <f t="shared" ca="1" si="765"/>
        <v>0</v>
      </c>
      <c r="O34" s="8">
        <f t="shared" ca="1" si="765"/>
        <v>0</v>
      </c>
      <c r="P34" s="431">
        <f t="shared" ca="1" si="765"/>
        <v>0</v>
      </c>
      <c r="Q34" s="8">
        <f t="shared" ref="Q34" ca="1" si="766">P34</f>
        <v>0</v>
      </c>
      <c r="R34" s="8">
        <f t="shared" ref="R34" ca="1" si="767">Q34</f>
        <v>0</v>
      </c>
      <c r="S34" s="8">
        <f t="shared" ref="S34" ca="1" si="768">R34</f>
        <v>0</v>
      </c>
      <c r="T34" s="8">
        <f t="shared" ref="T34" ca="1" si="769">S34</f>
        <v>0</v>
      </c>
      <c r="U34" s="8">
        <f t="shared" ref="U34" ca="1" si="770">T34</f>
        <v>0</v>
      </c>
      <c r="V34" s="8">
        <f t="shared" ref="V34" ca="1" si="771">U34</f>
        <v>0</v>
      </c>
      <c r="W34" s="8">
        <f t="shared" ref="W34" ca="1" si="772">V34</f>
        <v>0</v>
      </c>
      <c r="X34" s="8">
        <f t="shared" ref="X34" ca="1" si="773">W34</f>
        <v>0</v>
      </c>
      <c r="Y34" s="8">
        <f t="shared" ref="Y34" ca="1" si="774">X34</f>
        <v>0</v>
      </c>
      <c r="Z34" s="8">
        <f t="shared" ref="Z34" ca="1" si="775">Y34</f>
        <v>0</v>
      </c>
      <c r="AA34" s="8">
        <f t="shared" ref="AA34" ca="1" si="776">Z34</f>
        <v>0</v>
      </c>
      <c r="AB34" s="8">
        <f t="shared" ref="AB34" ca="1" si="777">AA34</f>
        <v>0</v>
      </c>
      <c r="AC34" s="431">
        <f t="shared" ref="AC34" ca="1" si="778">AB34</f>
        <v>0</v>
      </c>
      <c r="AD34" s="8">
        <f t="shared" ref="AD34" ca="1" si="779">AC34</f>
        <v>0</v>
      </c>
      <c r="AE34" s="8">
        <f t="shared" ref="AE34" ca="1" si="780">AD34</f>
        <v>0</v>
      </c>
      <c r="AF34" s="8">
        <f t="shared" ref="AF34" ca="1" si="781">AE34</f>
        <v>0</v>
      </c>
      <c r="AG34" s="8">
        <f t="shared" ref="AG34" ca="1" si="782">AF34</f>
        <v>0</v>
      </c>
      <c r="AH34" s="8">
        <f t="shared" ref="AH34" ca="1" si="783">AG34</f>
        <v>0</v>
      </c>
      <c r="AI34" s="8">
        <f t="shared" ref="AI34" ca="1" si="784">AH34</f>
        <v>0</v>
      </c>
      <c r="AJ34" s="8">
        <f t="shared" ref="AJ34" ca="1" si="785">AI34</f>
        <v>0</v>
      </c>
      <c r="AK34" s="8">
        <f t="shared" ref="AK34" ca="1" si="786">AJ34</f>
        <v>0</v>
      </c>
      <c r="AL34" s="8">
        <f t="shared" ref="AL34" ca="1" si="787">AK34</f>
        <v>0</v>
      </c>
      <c r="AM34" s="8">
        <f t="shared" ref="AM34" ca="1" si="788">AL34</f>
        <v>0</v>
      </c>
      <c r="AN34" s="8">
        <f t="shared" ref="AN34" ca="1" si="789">AM34</f>
        <v>0</v>
      </c>
      <c r="AO34" s="8">
        <f t="shared" ref="AO34" ca="1" si="790">AN34</f>
        <v>0</v>
      </c>
      <c r="AP34" s="431">
        <f t="shared" ref="AP34" ca="1" si="791">AO34</f>
        <v>0</v>
      </c>
      <c r="AQ34" s="8">
        <f ca="1">AP34</f>
        <v>0</v>
      </c>
      <c r="AR34" s="8">
        <f t="shared" ref="AR34" ca="1" si="792">AQ34</f>
        <v>0</v>
      </c>
      <c r="AS34" s="8">
        <f t="shared" ref="AS34" ca="1" si="793">AR34</f>
        <v>0</v>
      </c>
      <c r="AT34" s="8">
        <f t="shared" ref="AT34" ca="1" si="794">AS34</f>
        <v>0</v>
      </c>
      <c r="AU34" s="8">
        <f t="shared" ref="AU34" ca="1" si="795">AT34</f>
        <v>0</v>
      </c>
      <c r="AV34" s="8">
        <f t="shared" ref="AV34" ca="1" si="796">AU34</f>
        <v>0</v>
      </c>
      <c r="AW34" s="8">
        <f t="shared" ref="AW34" ca="1" si="797">AV34</f>
        <v>0</v>
      </c>
      <c r="AX34" s="8">
        <f t="shared" ref="AX34" ca="1" si="798">AW34</f>
        <v>0</v>
      </c>
      <c r="AY34" s="8">
        <f t="shared" ref="AY34" ca="1" si="799">AX34</f>
        <v>0</v>
      </c>
      <c r="AZ34" s="8">
        <f t="shared" ref="AZ34" ca="1" si="800">AY34</f>
        <v>0</v>
      </c>
      <c r="BA34" s="8">
        <f t="shared" ref="BA34" ca="1" si="801">AZ34</f>
        <v>0</v>
      </c>
      <c r="BB34" s="8">
        <f t="shared" ref="BB34" ca="1" si="802">BA34</f>
        <v>0</v>
      </c>
      <c r="BC34" s="431">
        <f t="shared" ref="BC34" ca="1" si="803">BB34</f>
        <v>0</v>
      </c>
      <c r="BD34" s="8">
        <f t="shared" ref="BD34" ca="1" si="804">BC34</f>
        <v>0</v>
      </c>
      <c r="BE34" s="8">
        <f t="shared" ref="BE34" ca="1" si="805">BD34</f>
        <v>0</v>
      </c>
      <c r="BF34" s="8">
        <f t="shared" ref="BF34" ca="1" si="806">BE34</f>
        <v>0</v>
      </c>
      <c r="BG34" s="8">
        <f t="shared" ref="BG34" ca="1" si="807">BF34</f>
        <v>0</v>
      </c>
      <c r="BH34" s="8">
        <f t="shared" ref="BH34" ca="1" si="808">BG34</f>
        <v>0</v>
      </c>
      <c r="BI34" s="8">
        <f t="shared" ref="BI34" ca="1" si="809">BH34</f>
        <v>0</v>
      </c>
      <c r="BJ34" s="8">
        <f t="shared" ref="BJ34" ca="1" si="810">BI34</f>
        <v>0</v>
      </c>
      <c r="BK34" s="8">
        <f t="shared" ref="BK34" ca="1" si="811">BJ34</f>
        <v>0</v>
      </c>
      <c r="BL34" s="8">
        <f t="shared" ref="BL34" ca="1" si="812">BK34</f>
        <v>0</v>
      </c>
      <c r="BM34" s="8">
        <f t="shared" ref="BM34" ca="1" si="813">BL34</f>
        <v>0</v>
      </c>
      <c r="BN34" s="8">
        <f t="shared" ref="BN34" ca="1" si="814">BM34</f>
        <v>0</v>
      </c>
      <c r="BO34" s="8">
        <f t="shared" ref="BO34" ca="1" si="815">BN34</f>
        <v>0</v>
      </c>
      <c r="BP34" s="431">
        <f t="shared" ref="BP34" ca="1" si="816">BO34</f>
        <v>0</v>
      </c>
      <c r="BQ34" s="8">
        <f t="shared" ref="BQ34" ca="1" si="817">BP34</f>
        <v>0</v>
      </c>
      <c r="BR34" s="8">
        <f t="shared" ref="BR34" ca="1" si="818">BQ34</f>
        <v>0</v>
      </c>
      <c r="BS34" s="8">
        <f t="shared" ref="BS34" ca="1" si="819">BR34</f>
        <v>0</v>
      </c>
      <c r="BT34" s="8">
        <f t="shared" ref="BT34" ca="1" si="820">BS34</f>
        <v>0</v>
      </c>
      <c r="BU34" s="8">
        <f t="shared" ref="BU34" ca="1" si="821">BT34</f>
        <v>0</v>
      </c>
      <c r="BV34" s="8">
        <f t="shared" ref="BV34" ca="1" si="822">BU34</f>
        <v>0</v>
      </c>
      <c r="BW34" s="8">
        <f t="shared" ref="BW34" ca="1" si="823">BV34</f>
        <v>0</v>
      </c>
      <c r="BX34" s="8">
        <f t="shared" ref="BX34" ca="1" si="824">BW34</f>
        <v>0</v>
      </c>
      <c r="BY34" s="8">
        <f t="shared" ref="BY34" ca="1" si="825">BX34</f>
        <v>0</v>
      </c>
      <c r="BZ34" s="8">
        <f t="shared" ref="BZ34" ca="1" si="826">BY34</f>
        <v>0</v>
      </c>
      <c r="CA34" s="8">
        <f t="shared" ref="CA34" ca="1" si="827">BZ34</f>
        <v>0</v>
      </c>
      <c r="CB34" s="8">
        <f t="shared" ref="CB34" ca="1" si="828">CA34</f>
        <v>0</v>
      </c>
      <c r="CC34" s="431">
        <f t="shared" ref="CC34" ca="1" si="829">CB34</f>
        <v>0</v>
      </c>
      <c r="CD34" s="8">
        <f t="shared" ref="CD34" ca="1" si="830">CC34</f>
        <v>0</v>
      </c>
      <c r="CE34" s="8">
        <f t="shared" ref="CE34" ca="1" si="831">CD34</f>
        <v>0</v>
      </c>
      <c r="CF34" s="8">
        <f t="shared" ref="CF34" ca="1" si="832">CE34</f>
        <v>0</v>
      </c>
      <c r="CG34" s="8">
        <f t="shared" ref="CG34" ca="1" si="833">CF34</f>
        <v>0</v>
      </c>
      <c r="CH34" s="8">
        <f t="shared" ref="CH34" ca="1" si="834">CG34</f>
        <v>0</v>
      </c>
      <c r="CI34" s="8">
        <f t="shared" ref="CI34" ca="1" si="835">CH34</f>
        <v>0</v>
      </c>
      <c r="CJ34" s="8">
        <f t="shared" ref="CJ34" ca="1" si="836">CI34</f>
        <v>0</v>
      </c>
      <c r="CK34" s="8">
        <f t="shared" ref="CK34" ca="1" si="837">CJ34</f>
        <v>0</v>
      </c>
      <c r="CL34" s="8">
        <f t="shared" ref="CL34" ca="1" si="838">CK34</f>
        <v>0</v>
      </c>
      <c r="CM34" s="8">
        <f t="shared" ref="CM34" ca="1" si="839">CL34</f>
        <v>0</v>
      </c>
      <c r="CN34" s="8">
        <f t="shared" ref="CN34" ca="1" si="840">CM34</f>
        <v>0</v>
      </c>
      <c r="CO34" s="8">
        <f t="shared" ref="CO34" ca="1" si="841">CN34</f>
        <v>0</v>
      </c>
      <c r="CP34" s="431">
        <f t="shared" ref="CP34" ca="1" si="842">CO34</f>
        <v>0</v>
      </c>
    </row>
    <row r="35" spans="1:94" ht="20.100000000000001" hidden="1" customHeight="1">
      <c r="A35" s="791"/>
      <c r="B35" s="248" t="s">
        <v>611</v>
      </c>
      <c r="C35" s="249">
        <f t="shared" ref="C35:O35" ca="1" si="843">C33*C34</f>
        <v>0</v>
      </c>
      <c r="D35" s="248">
        <f t="shared" ca="1" si="843"/>
        <v>0</v>
      </c>
      <c r="E35" s="248">
        <f t="shared" ca="1" si="843"/>
        <v>0</v>
      </c>
      <c r="F35" s="248">
        <f t="shared" ca="1" si="843"/>
        <v>0</v>
      </c>
      <c r="G35" s="248">
        <f t="shared" ca="1" si="843"/>
        <v>0</v>
      </c>
      <c r="H35" s="248">
        <f t="shared" ca="1" si="843"/>
        <v>0</v>
      </c>
      <c r="I35" s="248">
        <f t="shared" ca="1" si="843"/>
        <v>0</v>
      </c>
      <c r="J35" s="248">
        <f t="shared" ca="1" si="843"/>
        <v>0</v>
      </c>
      <c r="K35" s="248">
        <f t="shared" ca="1" si="843"/>
        <v>0</v>
      </c>
      <c r="L35" s="248">
        <f t="shared" ca="1" si="843"/>
        <v>0</v>
      </c>
      <c r="M35" s="248">
        <f t="shared" ca="1" si="843"/>
        <v>0</v>
      </c>
      <c r="N35" s="248">
        <f t="shared" ca="1" si="843"/>
        <v>0</v>
      </c>
      <c r="O35" s="248">
        <f t="shared" ca="1" si="843"/>
        <v>0</v>
      </c>
      <c r="P35" s="432">
        <f ca="1">SUM(D35:O35)</f>
        <v>0</v>
      </c>
      <c r="Q35" s="248">
        <f t="shared" ref="Q35:AB35" ca="1" si="844">Q33*Q34</f>
        <v>0</v>
      </c>
      <c r="R35" s="248">
        <f t="shared" ca="1" si="844"/>
        <v>0</v>
      </c>
      <c r="S35" s="248">
        <f t="shared" ca="1" si="844"/>
        <v>0</v>
      </c>
      <c r="T35" s="248">
        <f t="shared" ca="1" si="844"/>
        <v>0</v>
      </c>
      <c r="U35" s="248">
        <f t="shared" ca="1" si="844"/>
        <v>0</v>
      </c>
      <c r="V35" s="248">
        <f t="shared" ca="1" si="844"/>
        <v>0</v>
      </c>
      <c r="W35" s="248">
        <f t="shared" ca="1" si="844"/>
        <v>0</v>
      </c>
      <c r="X35" s="248">
        <f t="shared" ca="1" si="844"/>
        <v>0</v>
      </c>
      <c r="Y35" s="248">
        <f t="shared" ca="1" si="844"/>
        <v>0</v>
      </c>
      <c r="Z35" s="248">
        <f t="shared" ca="1" si="844"/>
        <v>0</v>
      </c>
      <c r="AA35" s="248">
        <f t="shared" ca="1" si="844"/>
        <v>0</v>
      </c>
      <c r="AB35" s="248">
        <f t="shared" ca="1" si="844"/>
        <v>0</v>
      </c>
      <c r="AC35" s="432">
        <f ca="1">SUM(Q35:AB35)</f>
        <v>0</v>
      </c>
      <c r="AD35" s="248">
        <f t="shared" ref="AD35:AO35" ca="1" si="845">AD33*AD34</f>
        <v>0</v>
      </c>
      <c r="AE35" s="248">
        <f t="shared" ca="1" si="845"/>
        <v>0</v>
      </c>
      <c r="AF35" s="248">
        <f t="shared" ca="1" si="845"/>
        <v>0</v>
      </c>
      <c r="AG35" s="248">
        <f t="shared" ca="1" si="845"/>
        <v>0</v>
      </c>
      <c r="AH35" s="248">
        <f t="shared" ca="1" si="845"/>
        <v>0</v>
      </c>
      <c r="AI35" s="248">
        <f t="shared" ca="1" si="845"/>
        <v>0</v>
      </c>
      <c r="AJ35" s="248">
        <f t="shared" ca="1" si="845"/>
        <v>0</v>
      </c>
      <c r="AK35" s="248">
        <f t="shared" ca="1" si="845"/>
        <v>0</v>
      </c>
      <c r="AL35" s="248">
        <f t="shared" ca="1" si="845"/>
        <v>0</v>
      </c>
      <c r="AM35" s="248">
        <f t="shared" ca="1" si="845"/>
        <v>0</v>
      </c>
      <c r="AN35" s="248">
        <f t="shared" ca="1" si="845"/>
        <v>0</v>
      </c>
      <c r="AO35" s="248">
        <f t="shared" ca="1" si="845"/>
        <v>0</v>
      </c>
      <c r="AP35" s="432">
        <f ca="1">SUM(AD35:AO35)</f>
        <v>0</v>
      </c>
      <c r="AQ35" s="248">
        <f t="shared" ref="AQ35:BB35" ca="1" si="846">AQ33*AQ34</f>
        <v>0</v>
      </c>
      <c r="AR35" s="248">
        <f t="shared" ca="1" si="846"/>
        <v>0</v>
      </c>
      <c r="AS35" s="248">
        <f t="shared" ca="1" si="846"/>
        <v>0</v>
      </c>
      <c r="AT35" s="248">
        <f t="shared" ca="1" si="846"/>
        <v>0</v>
      </c>
      <c r="AU35" s="248">
        <f t="shared" ca="1" si="846"/>
        <v>0</v>
      </c>
      <c r="AV35" s="248">
        <f t="shared" ca="1" si="846"/>
        <v>0</v>
      </c>
      <c r="AW35" s="248">
        <f t="shared" ca="1" si="846"/>
        <v>0</v>
      </c>
      <c r="AX35" s="248">
        <f t="shared" ca="1" si="846"/>
        <v>0</v>
      </c>
      <c r="AY35" s="248">
        <f t="shared" ca="1" si="846"/>
        <v>0</v>
      </c>
      <c r="AZ35" s="248">
        <f t="shared" ca="1" si="846"/>
        <v>0</v>
      </c>
      <c r="BA35" s="248">
        <f t="shared" ca="1" si="846"/>
        <v>0</v>
      </c>
      <c r="BB35" s="248">
        <f t="shared" ca="1" si="846"/>
        <v>0</v>
      </c>
      <c r="BC35" s="432">
        <f ca="1">SUM(AQ35:BB35)</f>
        <v>0</v>
      </c>
      <c r="BD35" s="248">
        <f t="shared" ref="BD35:BO35" ca="1" si="847">BD33*BD34</f>
        <v>0</v>
      </c>
      <c r="BE35" s="248">
        <f t="shared" ca="1" si="847"/>
        <v>0</v>
      </c>
      <c r="BF35" s="248">
        <f t="shared" ca="1" si="847"/>
        <v>0</v>
      </c>
      <c r="BG35" s="248">
        <f t="shared" ca="1" si="847"/>
        <v>0</v>
      </c>
      <c r="BH35" s="248">
        <f t="shared" ca="1" si="847"/>
        <v>0</v>
      </c>
      <c r="BI35" s="248">
        <f t="shared" ca="1" si="847"/>
        <v>0</v>
      </c>
      <c r="BJ35" s="248">
        <f t="shared" ca="1" si="847"/>
        <v>0</v>
      </c>
      <c r="BK35" s="248">
        <f t="shared" ca="1" si="847"/>
        <v>0</v>
      </c>
      <c r="BL35" s="248">
        <f t="shared" ca="1" si="847"/>
        <v>0</v>
      </c>
      <c r="BM35" s="248">
        <f t="shared" ca="1" si="847"/>
        <v>0</v>
      </c>
      <c r="BN35" s="248">
        <f t="shared" ca="1" si="847"/>
        <v>0</v>
      </c>
      <c r="BO35" s="248">
        <f t="shared" ca="1" si="847"/>
        <v>0</v>
      </c>
      <c r="BP35" s="432">
        <f ca="1">SUM(BD35:BO35)</f>
        <v>0</v>
      </c>
      <c r="BQ35" s="248">
        <f t="shared" ref="BQ35:CB35" ca="1" si="848">BQ33*BQ34</f>
        <v>0</v>
      </c>
      <c r="BR35" s="248">
        <f t="shared" ca="1" si="848"/>
        <v>0</v>
      </c>
      <c r="BS35" s="248">
        <f t="shared" ca="1" si="848"/>
        <v>0</v>
      </c>
      <c r="BT35" s="248">
        <f t="shared" ca="1" si="848"/>
        <v>0</v>
      </c>
      <c r="BU35" s="248">
        <f t="shared" ca="1" si="848"/>
        <v>0</v>
      </c>
      <c r="BV35" s="248">
        <f t="shared" ca="1" si="848"/>
        <v>0</v>
      </c>
      <c r="BW35" s="248">
        <f t="shared" ca="1" si="848"/>
        <v>0</v>
      </c>
      <c r="BX35" s="248">
        <f t="shared" ca="1" si="848"/>
        <v>0</v>
      </c>
      <c r="BY35" s="248">
        <f t="shared" ca="1" si="848"/>
        <v>0</v>
      </c>
      <c r="BZ35" s="248">
        <f t="shared" ca="1" si="848"/>
        <v>0</v>
      </c>
      <c r="CA35" s="248">
        <f t="shared" ca="1" si="848"/>
        <v>0</v>
      </c>
      <c r="CB35" s="248">
        <f t="shared" ca="1" si="848"/>
        <v>0</v>
      </c>
      <c r="CC35" s="432">
        <f ca="1">SUM(BQ35:CB35)</f>
        <v>0</v>
      </c>
      <c r="CD35" s="248">
        <f t="shared" ref="CD35:CO35" ca="1" si="849">CD33*CD34</f>
        <v>0</v>
      </c>
      <c r="CE35" s="248">
        <f t="shared" ca="1" si="849"/>
        <v>0</v>
      </c>
      <c r="CF35" s="248">
        <f t="shared" ca="1" si="849"/>
        <v>0</v>
      </c>
      <c r="CG35" s="248">
        <f t="shared" ca="1" si="849"/>
        <v>0</v>
      </c>
      <c r="CH35" s="248">
        <f t="shared" ca="1" si="849"/>
        <v>0</v>
      </c>
      <c r="CI35" s="248">
        <f t="shared" ca="1" si="849"/>
        <v>0</v>
      </c>
      <c r="CJ35" s="248">
        <f t="shared" ca="1" si="849"/>
        <v>0</v>
      </c>
      <c r="CK35" s="248">
        <f t="shared" ca="1" si="849"/>
        <v>0</v>
      </c>
      <c r="CL35" s="248">
        <f t="shared" ca="1" si="849"/>
        <v>0</v>
      </c>
      <c r="CM35" s="248">
        <f t="shared" ca="1" si="849"/>
        <v>0</v>
      </c>
      <c r="CN35" s="248">
        <f t="shared" ca="1" si="849"/>
        <v>0</v>
      </c>
      <c r="CO35" s="248">
        <f t="shared" ca="1" si="849"/>
        <v>0</v>
      </c>
      <c r="CP35" s="432">
        <f ca="1">SUM(CD35:CO35)</f>
        <v>0</v>
      </c>
    </row>
    <row r="36" spans="1:94" ht="20.100000000000001" hidden="1" customHeight="1">
      <c r="A36" s="789">
        <f ca="1">OFFSET('Summary. Assumptions. Inputs'!$A$45,'Internmediate sheet'!A35/3,0)</f>
        <v>0</v>
      </c>
      <c r="B36" s="17" t="s">
        <v>609</v>
      </c>
      <c r="C36" s="18"/>
      <c r="D36" s="17">
        <f ca="1">OFFSET('Sales, Production, &amp; Other Assu'!D$18,'Internmediate sheet'!$A35/3,0)*Capacity</f>
        <v>0</v>
      </c>
      <c r="E36" s="17">
        <f ca="1">OFFSET('Sales, Production, &amp; Other Assu'!E$18,'Internmediate sheet'!$A35/3,0)*Capacity</f>
        <v>0</v>
      </c>
      <c r="F36" s="17">
        <f ca="1">OFFSET('Sales, Production, &amp; Other Assu'!F$18,'Internmediate sheet'!$A35/3,0)*Capacity</f>
        <v>0</v>
      </c>
      <c r="G36" s="17">
        <f ca="1">OFFSET('Sales, Production, &amp; Other Assu'!G$18,'Internmediate sheet'!$A35/3,0)*Capacity</f>
        <v>0</v>
      </c>
      <c r="H36" s="17">
        <f ca="1">OFFSET('Sales, Production, &amp; Other Assu'!H$18,'Internmediate sheet'!$A35/3,0)*Capacity</f>
        <v>0</v>
      </c>
      <c r="I36" s="17">
        <f ca="1">OFFSET('Sales, Production, &amp; Other Assu'!I$18,'Internmediate sheet'!$A35/3,0)*Capacity</f>
        <v>0</v>
      </c>
      <c r="J36" s="17">
        <f ca="1">OFFSET('Sales, Production, &amp; Other Assu'!J$18,'Internmediate sheet'!$A35/3,0)*Capacity</f>
        <v>0</v>
      </c>
      <c r="K36" s="17">
        <f ca="1">OFFSET('Sales, Production, &amp; Other Assu'!K$18,'Internmediate sheet'!$A35/3,0)*Capacity</f>
        <v>0</v>
      </c>
      <c r="L36" s="17">
        <f ca="1">OFFSET('Sales, Production, &amp; Other Assu'!L$18,'Internmediate sheet'!$A35/3,0)*Capacity</f>
        <v>0</v>
      </c>
      <c r="M36" s="17">
        <f ca="1">OFFSET('Sales, Production, &amp; Other Assu'!M$18,'Internmediate sheet'!$A35/3,0)*Capacity</f>
        <v>0</v>
      </c>
      <c r="N36" s="17">
        <f ca="1">OFFSET('Sales, Production, &amp; Other Assu'!N$18,'Internmediate sheet'!$A35/3,0)*Capacity</f>
        <v>0</v>
      </c>
      <c r="O36" s="17">
        <f ca="1">OFFSET('Sales, Production, &amp; Other Assu'!O$18,'Internmediate sheet'!$A35/3,0)*Capacity</f>
        <v>0</v>
      </c>
      <c r="P36" s="430">
        <f ca="1">SUM(D36:O36)</f>
        <v>0</v>
      </c>
      <c r="Q36" s="17">
        <f ca="1">OFFSET('Sales, Production, &amp; Other Assu'!Q$18,'Internmediate sheet'!$A35/3,0)*Capacity</f>
        <v>0</v>
      </c>
      <c r="R36" s="17">
        <f ca="1">OFFSET('Sales, Production, &amp; Other Assu'!R$18,'Internmediate sheet'!$A35/3,0)*Capacity</f>
        <v>0</v>
      </c>
      <c r="S36" s="17">
        <f ca="1">OFFSET('Sales, Production, &amp; Other Assu'!S$18,'Internmediate sheet'!$A35/3,0)*Capacity</f>
        <v>0</v>
      </c>
      <c r="T36" s="17">
        <f ca="1">OFFSET('Sales, Production, &amp; Other Assu'!T$18,'Internmediate sheet'!$A35/3,0)*Capacity</f>
        <v>0</v>
      </c>
      <c r="U36" s="17">
        <f ca="1">OFFSET('Sales, Production, &amp; Other Assu'!U$18,'Internmediate sheet'!$A35/3,0)*Capacity</f>
        <v>0</v>
      </c>
      <c r="V36" s="17">
        <f ca="1">OFFSET('Sales, Production, &amp; Other Assu'!V$18,'Internmediate sheet'!$A35/3,0)*Capacity</f>
        <v>0</v>
      </c>
      <c r="W36" s="17">
        <f ca="1">OFFSET('Sales, Production, &amp; Other Assu'!W$18,'Internmediate sheet'!$A35/3,0)*Capacity</f>
        <v>0</v>
      </c>
      <c r="X36" s="17">
        <f ca="1">OFFSET('Sales, Production, &amp; Other Assu'!X$18,'Internmediate sheet'!$A35/3,0)*Capacity</f>
        <v>0</v>
      </c>
      <c r="Y36" s="17">
        <f ca="1">OFFSET('Sales, Production, &amp; Other Assu'!Y$18,'Internmediate sheet'!$A35/3,0)*Capacity</f>
        <v>0</v>
      </c>
      <c r="Z36" s="17">
        <f ca="1">OFFSET('Sales, Production, &amp; Other Assu'!Z$18,'Internmediate sheet'!$A35/3,0)*Capacity</f>
        <v>0</v>
      </c>
      <c r="AA36" s="17">
        <f ca="1">OFFSET('Sales, Production, &amp; Other Assu'!AA$18,'Internmediate sheet'!$A35/3,0)*Capacity</f>
        <v>0</v>
      </c>
      <c r="AB36" s="17">
        <f ca="1">OFFSET('Sales, Production, &amp; Other Assu'!AB$18,'Internmediate sheet'!$A35/3,0)*Capacity</f>
        <v>0</v>
      </c>
      <c r="AC36" s="430">
        <f ca="1">SUM(Q36:AB36)</f>
        <v>0</v>
      </c>
      <c r="AD36" s="17">
        <f ca="1">OFFSET('Sales, Production, &amp; Other Assu'!AD$18,'Internmediate sheet'!$A35/3,0)*Capacity</f>
        <v>0</v>
      </c>
      <c r="AE36" s="17">
        <f ca="1">OFFSET('Sales, Production, &amp; Other Assu'!AE$18,'Internmediate sheet'!$A35/3,0)*Capacity</f>
        <v>0</v>
      </c>
      <c r="AF36" s="17">
        <f ca="1">OFFSET('Sales, Production, &amp; Other Assu'!AF$18,'Internmediate sheet'!$A35/3,0)*Capacity</f>
        <v>0</v>
      </c>
      <c r="AG36" s="17">
        <f ca="1">OFFSET('Sales, Production, &amp; Other Assu'!AG$18,'Internmediate sheet'!$A35/3,0)*Capacity</f>
        <v>0</v>
      </c>
      <c r="AH36" s="17">
        <f ca="1">OFFSET('Sales, Production, &amp; Other Assu'!AH$18,'Internmediate sheet'!$A35/3,0)*Capacity</f>
        <v>0</v>
      </c>
      <c r="AI36" s="17">
        <f ca="1">OFFSET('Sales, Production, &amp; Other Assu'!AI$18,'Internmediate sheet'!$A35/3,0)*Capacity</f>
        <v>0</v>
      </c>
      <c r="AJ36" s="17">
        <f ca="1">OFFSET('Sales, Production, &amp; Other Assu'!AJ$18,'Internmediate sheet'!$A35/3,0)*Capacity</f>
        <v>0</v>
      </c>
      <c r="AK36" s="17">
        <f ca="1">OFFSET('Sales, Production, &amp; Other Assu'!AK$18,'Internmediate sheet'!$A35/3,0)*Capacity</f>
        <v>0</v>
      </c>
      <c r="AL36" s="17">
        <f ca="1">OFFSET('Sales, Production, &amp; Other Assu'!AL$18,'Internmediate sheet'!$A35/3,0)*Capacity</f>
        <v>0</v>
      </c>
      <c r="AM36" s="17">
        <f ca="1">OFFSET('Sales, Production, &amp; Other Assu'!AM$18,'Internmediate sheet'!$A35/3,0)*Capacity</f>
        <v>0</v>
      </c>
      <c r="AN36" s="17">
        <f ca="1">OFFSET('Sales, Production, &amp; Other Assu'!AN$18,'Internmediate sheet'!$A35/3,0)*Capacity</f>
        <v>0</v>
      </c>
      <c r="AO36" s="17">
        <f ca="1">OFFSET('Sales, Production, &amp; Other Assu'!AO$18,'Internmediate sheet'!$A35/3,0)*Capacity</f>
        <v>0</v>
      </c>
      <c r="AP36" s="430">
        <f ca="1">SUM(AD36:AO36)</f>
        <v>0</v>
      </c>
      <c r="AQ36" s="17">
        <f ca="1">OFFSET('Sales, Production, &amp; Other Assu'!AQ$18,'Internmediate sheet'!$A35/3,0)*Capacity</f>
        <v>0</v>
      </c>
      <c r="AR36" s="17">
        <f ca="1">OFFSET('Sales, Production, &amp; Other Assu'!AR$18,'Internmediate sheet'!$A35/3,0)*Capacity</f>
        <v>0</v>
      </c>
      <c r="AS36" s="17">
        <f ca="1">OFFSET('Sales, Production, &amp; Other Assu'!AS$18,'Internmediate sheet'!$A35/3,0)*Capacity</f>
        <v>0</v>
      </c>
      <c r="AT36" s="17">
        <f ca="1">OFFSET('Sales, Production, &amp; Other Assu'!AT$18,'Internmediate sheet'!$A35/3,0)*Capacity</f>
        <v>0</v>
      </c>
      <c r="AU36" s="17">
        <f ca="1">OFFSET('Sales, Production, &amp; Other Assu'!AU$18,'Internmediate sheet'!$A35/3,0)*Capacity</f>
        <v>0</v>
      </c>
      <c r="AV36" s="17">
        <f ca="1">OFFSET('Sales, Production, &amp; Other Assu'!AV$18,'Internmediate sheet'!$A35/3,0)*Capacity</f>
        <v>0</v>
      </c>
      <c r="AW36" s="17">
        <f ca="1">OFFSET('Sales, Production, &amp; Other Assu'!AW$18,'Internmediate sheet'!$A35/3,0)*Capacity</f>
        <v>0</v>
      </c>
      <c r="AX36" s="17">
        <f ca="1">OFFSET('Sales, Production, &amp; Other Assu'!AX$18,'Internmediate sheet'!$A35/3,0)*Capacity</f>
        <v>0</v>
      </c>
      <c r="AY36" s="17">
        <f ca="1">OFFSET('Sales, Production, &amp; Other Assu'!AY$18,'Internmediate sheet'!$A35/3,0)*Capacity</f>
        <v>0</v>
      </c>
      <c r="AZ36" s="17">
        <f ca="1">OFFSET('Sales, Production, &amp; Other Assu'!AZ$18,'Internmediate sheet'!$A35/3,0)*Capacity</f>
        <v>0</v>
      </c>
      <c r="BA36" s="17">
        <f ca="1">OFFSET('Sales, Production, &amp; Other Assu'!BA$18,'Internmediate sheet'!$A35/3,0)*Capacity</f>
        <v>0</v>
      </c>
      <c r="BB36" s="17">
        <f ca="1">OFFSET('Sales, Production, &amp; Other Assu'!BB$18,'Internmediate sheet'!$A35/3,0)*Capacity</f>
        <v>0</v>
      </c>
      <c r="BC36" s="430">
        <f ca="1">SUM(AQ36:BB36)</f>
        <v>0</v>
      </c>
      <c r="BD36" s="17">
        <f ca="1">OFFSET('Sales, Production, &amp; Other Assu'!BD$18,'Internmediate sheet'!$A35/3,0)*Capacity</f>
        <v>0</v>
      </c>
      <c r="BE36" s="17">
        <f ca="1">OFFSET('Sales, Production, &amp; Other Assu'!BE$18,'Internmediate sheet'!$A35/3,0)*Capacity</f>
        <v>0</v>
      </c>
      <c r="BF36" s="17">
        <f ca="1">OFFSET('Sales, Production, &amp; Other Assu'!BF$18,'Internmediate sheet'!$A35/3,0)*Capacity</f>
        <v>0</v>
      </c>
      <c r="BG36" s="17">
        <f ca="1">OFFSET('Sales, Production, &amp; Other Assu'!BG$18,'Internmediate sheet'!$A35/3,0)*Capacity</f>
        <v>0</v>
      </c>
      <c r="BH36" s="17">
        <f ca="1">OFFSET('Sales, Production, &amp; Other Assu'!BH$18,'Internmediate sheet'!$A35/3,0)*Capacity</f>
        <v>0</v>
      </c>
      <c r="BI36" s="17">
        <f ca="1">OFFSET('Sales, Production, &amp; Other Assu'!BI$18,'Internmediate sheet'!$A35/3,0)*Capacity</f>
        <v>0</v>
      </c>
      <c r="BJ36" s="17">
        <f ca="1">OFFSET('Sales, Production, &amp; Other Assu'!BJ$18,'Internmediate sheet'!$A35/3,0)*Capacity</f>
        <v>0</v>
      </c>
      <c r="BK36" s="17">
        <f ca="1">OFFSET('Sales, Production, &amp; Other Assu'!BK$18,'Internmediate sheet'!$A35/3,0)*Capacity</f>
        <v>0</v>
      </c>
      <c r="BL36" s="17">
        <f ca="1">OFFSET('Sales, Production, &amp; Other Assu'!BL$18,'Internmediate sheet'!$A35/3,0)*Capacity</f>
        <v>0</v>
      </c>
      <c r="BM36" s="17">
        <f ca="1">OFFSET('Sales, Production, &amp; Other Assu'!BM$18,'Internmediate sheet'!$A35/3,0)*Capacity</f>
        <v>0</v>
      </c>
      <c r="BN36" s="17">
        <f ca="1">OFFSET('Sales, Production, &amp; Other Assu'!BN$18,'Internmediate sheet'!$A35/3,0)*Capacity</f>
        <v>0</v>
      </c>
      <c r="BO36" s="17">
        <f ca="1">OFFSET('Sales, Production, &amp; Other Assu'!BO$18,'Internmediate sheet'!$A35/3,0)*Capacity</f>
        <v>0</v>
      </c>
      <c r="BP36" s="430">
        <f ca="1">SUM(BD36:BO36)</f>
        <v>0</v>
      </c>
      <c r="BQ36" s="17">
        <f ca="1">OFFSET('Sales, Production, &amp; Other Assu'!BQ$18,'Internmediate sheet'!$A35/3,0)*Capacity</f>
        <v>0</v>
      </c>
      <c r="BR36" s="17">
        <f ca="1">OFFSET('Sales, Production, &amp; Other Assu'!BR$18,'Internmediate sheet'!$A35/3,0)*Capacity</f>
        <v>0</v>
      </c>
      <c r="BS36" s="17">
        <f ca="1">OFFSET('Sales, Production, &amp; Other Assu'!BS$18,'Internmediate sheet'!$A35/3,0)*Capacity</f>
        <v>0</v>
      </c>
      <c r="BT36" s="17">
        <f ca="1">OFFSET('Sales, Production, &amp; Other Assu'!BT$18,'Internmediate sheet'!$A35/3,0)*Capacity</f>
        <v>0</v>
      </c>
      <c r="BU36" s="17">
        <f ca="1">OFFSET('Sales, Production, &amp; Other Assu'!BU$18,'Internmediate sheet'!$A35/3,0)*Capacity</f>
        <v>0</v>
      </c>
      <c r="BV36" s="17">
        <f ca="1">OFFSET('Sales, Production, &amp; Other Assu'!BV$18,'Internmediate sheet'!$A35/3,0)*Capacity</f>
        <v>0</v>
      </c>
      <c r="BW36" s="17">
        <f ca="1">OFFSET('Sales, Production, &amp; Other Assu'!BW$18,'Internmediate sheet'!$A35/3,0)*Capacity</f>
        <v>0</v>
      </c>
      <c r="BX36" s="17">
        <f ca="1">OFFSET('Sales, Production, &amp; Other Assu'!BX$18,'Internmediate sheet'!$A35/3,0)*Capacity</f>
        <v>0</v>
      </c>
      <c r="BY36" s="17">
        <f ca="1">OFFSET('Sales, Production, &amp; Other Assu'!BY$18,'Internmediate sheet'!$A35/3,0)*Capacity</f>
        <v>0</v>
      </c>
      <c r="BZ36" s="17">
        <f ca="1">OFFSET('Sales, Production, &amp; Other Assu'!BZ$18,'Internmediate sheet'!$A35/3,0)*Capacity</f>
        <v>0</v>
      </c>
      <c r="CA36" s="17">
        <f ca="1">OFFSET('Sales, Production, &amp; Other Assu'!CA$18,'Internmediate sheet'!$A35/3,0)*Capacity</f>
        <v>0</v>
      </c>
      <c r="CB36" s="17">
        <f ca="1">OFFSET('Sales, Production, &amp; Other Assu'!CB$18,'Internmediate sheet'!$A35/3,0)*Capacity</f>
        <v>0</v>
      </c>
      <c r="CC36" s="430">
        <f ca="1">SUM(BQ36:CB36)</f>
        <v>0</v>
      </c>
      <c r="CD36" s="17">
        <f ca="1">OFFSET('Sales, Production, &amp; Other Assu'!CD$18,'Internmediate sheet'!$A35/3,0)*Capacity</f>
        <v>0</v>
      </c>
      <c r="CE36" s="17">
        <f ca="1">OFFSET('Sales, Production, &amp; Other Assu'!CE$18,'Internmediate sheet'!$A35/3,0)*Capacity</f>
        <v>0</v>
      </c>
      <c r="CF36" s="17">
        <f ca="1">OFFSET('Sales, Production, &amp; Other Assu'!CF$18,'Internmediate sheet'!$A35/3,0)*Capacity</f>
        <v>0</v>
      </c>
      <c r="CG36" s="17">
        <f ca="1">OFFSET('Sales, Production, &amp; Other Assu'!CG$18,'Internmediate sheet'!$A35/3,0)*Capacity</f>
        <v>0</v>
      </c>
      <c r="CH36" s="17">
        <f ca="1">OFFSET('Sales, Production, &amp; Other Assu'!CH$18,'Internmediate sheet'!$A35/3,0)*Capacity</f>
        <v>0</v>
      </c>
      <c r="CI36" s="17">
        <f ca="1">OFFSET('Sales, Production, &amp; Other Assu'!CI$18,'Internmediate sheet'!$A35/3,0)*Capacity</f>
        <v>0</v>
      </c>
      <c r="CJ36" s="17">
        <f ca="1">OFFSET('Sales, Production, &amp; Other Assu'!CJ$18,'Internmediate sheet'!$A35/3,0)*Capacity</f>
        <v>0</v>
      </c>
      <c r="CK36" s="17">
        <f ca="1">OFFSET('Sales, Production, &amp; Other Assu'!CK$18,'Internmediate sheet'!$A35/3,0)*Capacity</f>
        <v>0</v>
      </c>
      <c r="CL36" s="17">
        <f ca="1">OFFSET('Sales, Production, &amp; Other Assu'!CL$18,'Internmediate sheet'!$A35/3,0)*Capacity</f>
        <v>0</v>
      </c>
      <c r="CM36" s="17">
        <f ca="1">OFFSET('Sales, Production, &amp; Other Assu'!CM$18,'Internmediate sheet'!$A35/3,0)*Capacity</f>
        <v>0</v>
      </c>
      <c r="CN36" s="17">
        <f ca="1">OFFSET('Sales, Production, &amp; Other Assu'!CN$18,'Internmediate sheet'!$A35/3,0)*Capacity</f>
        <v>0</v>
      </c>
      <c r="CO36" s="17">
        <f ca="1">OFFSET('Sales, Production, &amp; Other Assu'!CO$18,'Internmediate sheet'!$A35/3,0)*Capacity</f>
        <v>0</v>
      </c>
      <c r="CP36" s="430">
        <f ca="1">SUM(CD36:CO36)</f>
        <v>0</v>
      </c>
    </row>
    <row r="37" spans="1:94" ht="20.100000000000001" hidden="1" customHeight="1">
      <c r="A37" s="790"/>
      <c r="B37" s="8" t="s">
        <v>610</v>
      </c>
      <c r="C37" s="8">
        <f ca="1">OFFSET('Summary. Assumptions. Inputs'!$F$46,'Internmediate sheet'!A32/3,0)</f>
        <v>0</v>
      </c>
      <c r="D37" s="8">
        <f t="shared" ref="D37:P37" ca="1" si="850">C37</f>
        <v>0</v>
      </c>
      <c r="E37" s="8">
        <f t="shared" ca="1" si="850"/>
        <v>0</v>
      </c>
      <c r="F37" s="8">
        <f t="shared" ca="1" si="850"/>
        <v>0</v>
      </c>
      <c r="G37" s="8">
        <f t="shared" ca="1" si="850"/>
        <v>0</v>
      </c>
      <c r="H37" s="8">
        <f t="shared" ca="1" si="850"/>
        <v>0</v>
      </c>
      <c r="I37" s="8">
        <f t="shared" ca="1" si="850"/>
        <v>0</v>
      </c>
      <c r="J37" s="8">
        <f t="shared" ca="1" si="850"/>
        <v>0</v>
      </c>
      <c r="K37" s="8">
        <f t="shared" ca="1" si="850"/>
        <v>0</v>
      </c>
      <c r="L37" s="8">
        <f t="shared" ca="1" si="850"/>
        <v>0</v>
      </c>
      <c r="M37" s="8">
        <f t="shared" ca="1" si="850"/>
        <v>0</v>
      </c>
      <c r="N37" s="8">
        <f t="shared" ca="1" si="850"/>
        <v>0</v>
      </c>
      <c r="O37" s="8">
        <f t="shared" ca="1" si="850"/>
        <v>0</v>
      </c>
      <c r="P37" s="431">
        <f t="shared" ca="1" si="850"/>
        <v>0</v>
      </c>
      <c r="Q37" s="8">
        <f t="shared" ref="Q37" ca="1" si="851">P37</f>
        <v>0</v>
      </c>
      <c r="R37" s="8">
        <f t="shared" ref="R37" ca="1" si="852">Q37</f>
        <v>0</v>
      </c>
      <c r="S37" s="8">
        <f t="shared" ref="S37" ca="1" si="853">R37</f>
        <v>0</v>
      </c>
      <c r="T37" s="8">
        <f t="shared" ref="T37" ca="1" si="854">S37</f>
        <v>0</v>
      </c>
      <c r="U37" s="8">
        <f t="shared" ref="U37" ca="1" si="855">T37</f>
        <v>0</v>
      </c>
      <c r="V37" s="8">
        <f t="shared" ref="V37" ca="1" si="856">U37</f>
        <v>0</v>
      </c>
      <c r="W37" s="8">
        <f t="shared" ref="W37" ca="1" si="857">V37</f>
        <v>0</v>
      </c>
      <c r="X37" s="8">
        <f t="shared" ref="X37" ca="1" si="858">W37</f>
        <v>0</v>
      </c>
      <c r="Y37" s="8">
        <f t="shared" ref="Y37" ca="1" si="859">X37</f>
        <v>0</v>
      </c>
      <c r="Z37" s="8">
        <f t="shared" ref="Z37" ca="1" si="860">Y37</f>
        <v>0</v>
      </c>
      <c r="AA37" s="8">
        <f t="shared" ref="AA37" ca="1" si="861">Z37</f>
        <v>0</v>
      </c>
      <c r="AB37" s="8">
        <f t="shared" ref="AB37" ca="1" si="862">AA37</f>
        <v>0</v>
      </c>
      <c r="AC37" s="431">
        <f t="shared" ref="AC37" ca="1" si="863">AB37</f>
        <v>0</v>
      </c>
      <c r="AD37" s="8">
        <f t="shared" ref="AD37" ca="1" si="864">AC37</f>
        <v>0</v>
      </c>
      <c r="AE37" s="8">
        <f t="shared" ref="AE37" ca="1" si="865">AD37</f>
        <v>0</v>
      </c>
      <c r="AF37" s="8">
        <f t="shared" ref="AF37" ca="1" si="866">AE37</f>
        <v>0</v>
      </c>
      <c r="AG37" s="8">
        <f t="shared" ref="AG37" ca="1" si="867">AF37</f>
        <v>0</v>
      </c>
      <c r="AH37" s="8">
        <f t="shared" ref="AH37" ca="1" si="868">AG37</f>
        <v>0</v>
      </c>
      <c r="AI37" s="8">
        <f t="shared" ref="AI37" ca="1" si="869">AH37</f>
        <v>0</v>
      </c>
      <c r="AJ37" s="8">
        <f t="shared" ref="AJ37" ca="1" si="870">AI37</f>
        <v>0</v>
      </c>
      <c r="AK37" s="8">
        <f t="shared" ref="AK37" ca="1" si="871">AJ37</f>
        <v>0</v>
      </c>
      <c r="AL37" s="8">
        <f t="shared" ref="AL37" ca="1" si="872">AK37</f>
        <v>0</v>
      </c>
      <c r="AM37" s="8">
        <f t="shared" ref="AM37" ca="1" si="873">AL37</f>
        <v>0</v>
      </c>
      <c r="AN37" s="8">
        <f t="shared" ref="AN37" ca="1" si="874">AM37</f>
        <v>0</v>
      </c>
      <c r="AO37" s="8">
        <f t="shared" ref="AO37" ca="1" si="875">AN37</f>
        <v>0</v>
      </c>
      <c r="AP37" s="431">
        <f t="shared" ref="AP37" ca="1" si="876">AO37</f>
        <v>0</v>
      </c>
      <c r="AQ37" s="8">
        <f ca="1">AP37</f>
        <v>0</v>
      </c>
      <c r="AR37" s="8">
        <f t="shared" ref="AR37" ca="1" si="877">AQ37</f>
        <v>0</v>
      </c>
      <c r="AS37" s="8">
        <f t="shared" ref="AS37" ca="1" si="878">AR37</f>
        <v>0</v>
      </c>
      <c r="AT37" s="8">
        <f t="shared" ref="AT37" ca="1" si="879">AS37</f>
        <v>0</v>
      </c>
      <c r="AU37" s="8">
        <f t="shared" ref="AU37" ca="1" si="880">AT37</f>
        <v>0</v>
      </c>
      <c r="AV37" s="8">
        <f t="shared" ref="AV37" ca="1" si="881">AU37</f>
        <v>0</v>
      </c>
      <c r="AW37" s="8">
        <f t="shared" ref="AW37" ca="1" si="882">AV37</f>
        <v>0</v>
      </c>
      <c r="AX37" s="8">
        <f t="shared" ref="AX37" ca="1" si="883">AW37</f>
        <v>0</v>
      </c>
      <c r="AY37" s="8">
        <f t="shared" ref="AY37" ca="1" si="884">AX37</f>
        <v>0</v>
      </c>
      <c r="AZ37" s="8">
        <f t="shared" ref="AZ37" ca="1" si="885">AY37</f>
        <v>0</v>
      </c>
      <c r="BA37" s="8">
        <f t="shared" ref="BA37" ca="1" si="886">AZ37</f>
        <v>0</v>
      </c>
      <c r="BB37" s="8">
        <f t="shared" ref="BB37" ca="1" si="887">BA37</f>
        <v>0</v>
      </c>
      <c r="BC37" s="431">
        <f t="shared" ref="BC37" ca="1" si="888">BB37</f>
        <v>0</v>
      </c>
      <c r="BD37" s="8">
        <f t="shared" ref="BD37" ca="1" si="889">BC37</f>
        <v>0</v>
      </c>
      <c r="BE37" s="8">
        <f t="shared" ref="BE37" ca="1" si="890">BD37</f>
        <v>0</v>
      </c>
      <c r="BF37" s="8">
        <f t="shared" ref="BF37" ca="1" si="891">BE37</f>
        <v>0</v>
      </c>
      <c r="BG37" s="8">
        <f t="shared" ref="BG37" ca="1" si="892">BF37</f>
        <v>0</v>
      </c>
      <c r="BH37" s="8">
        <f t="shared" ref="BH37" ca="1" si="893">BG37</f>
        <v>0</v>
      </c>
      <c r="BI37" s="8">
        <f t="shared" ref="BI37" ca="1" si="894">BH37</f>
        <v>0</v>
      </c>
      <c r="BJ37" s="8">
        <f t="shared" ref="BJ37" ca="1" si="895">BI37</f>
        <v>0</v>
      </c>
      <c r="BK37" s="8">
        <f t="shared" ref="BK37" ca="1" si="896">BJ37</f>
        <v>0</v>
      </c>
      <c r="BL37" s="8">
        <f t="shared" ref="BL37" ca="1" si="897">BK37</f>
        <v>0</v>
      </c>
      <c r="BM37" s="8">
        <f t="shared" ref="BM37" ca="1" si="898">BL37</f>
        <v>0</v>
      </c>
      <c r="BN37" s="8">
        <f t="shared" ref="BN37" ca="1" si="899">BM37</f>
        <v>0</v>
      </c>
      <c r="BO37" s="8">
        <f t="shared" ref="BO37" ca="1" si="900">BN37</f>
        <v>0</v>
      </c>
      <c r="BP37" s="431">
        <f t="shared" ref="BP37" ca="1" si="901">BO37</f>
        <v>0</v>
      </c>
      <c r="BQ37" s="8">
        <f t="shared" ref="BQ37" ca="1" si="902">BP37</f>
        <v>0</v>
      </c>
      <c r="BR37" s="8">
        <f t="shared" ref="BR37" ca="1" si="903">BQ37</f>
        <v>0</v>
      </c>
      <c r="BS37" s="8">
        <f t="shared" ref="BS37" ca="1" si="904">BR37</f>
        <v>0</v>
      </c>
      <c r="BT37" s="8">
        <f t="shared" ref="BT37" ca="1" si="905">BS37</f>
        <v>0</v>
      </c>
      <c r="BU37" s="8">
        <f t="shared" ref="BU37" ca="1" si="906">BT37</f>
        <v>0</v>
      </c>
      <c r="BV37" s="8">
        <f t="shared" ref="BV37" ca="1" si="907">BU37</f>
        <v>0</v>
      </c>
      <c r="BW37" s="8">
        <f t="shared" ref="BW37" ca="1" si="908">BV37</f>
        <v>0</v>
      </c>
      <c r="BX37" s="8">
        <f t="shared" ref="BX37" ca="1" si="909">BW37</f>
        <v>0</v>
      </c>
      <c r="BY37" s="8">
        <f t="shared" ref="BY37" ca="1" si="910">BX37</f>
        <v>0</v>
      </c>
      <c r="BZ37" s="8">
        <f t="shared" ref="BZ37" ca="1" si="911">BY37</f>
        <v>0</v>
      </c>
      <c r="CA37" s="8">
        <f t="shared" ref="CA37" ca="1" si="912">BZ37</f>
        <v>0</v>
      </c>
      <c r="CB37" s="8">
        <f t="shared" ref="CB37" ca="1" si="913">CA37</f>
        <v>0</v>
      </c>
      <c r="CC37" s="431">
        <f t="shared" ref="CC37" ca="1" si="914">CB37</f>
        <v>0</v>
      </c>
      <c r="CD37" s="8">
        <f t="shared" ref="CD37" ca="1" si="915">CC37</f>
        <v>0</v>
      </c>
      <c r="CE37" s="8">
        <f t="shared" ref="CE37" ca="1" si="916">CD37</f>
        <v>0</v>
      </c>
      <c r="CF37" s="8">
        <f t="shared" ref="CF37" ca="1" si="917">CE37</f>
        <v>0</v>
      </c>
      <c r="CG37" s="8">
        <f t="shared" ref="CG37" ca="1" si="918">CF37</f>
        <v>0</v>
      </c>
      <c r="CH37" s="8">
        <f t="shared" ref="CH37" ca="1" si="919">CG37</f>
        <v>0</v>
      </c>
      <c r="CI37" s="8">
        <f t="shared" ref="CI37" ca="1" si="920">CH37</f>
        <v>0</v>
      </c>
      <c r="CJ37" s="8">
        <f t="shared" ref="CJ37" ca="1" si="921">CI37</f>
        <v>0</v>
      </c>
      <c r="CK37" s="8">
        <f t="shared" ref="CK37" ca="1" si="922">CJ37</f>
        <v>0</v>
      </c>
      <c r="CL37" s="8">
        <f t="shared" ref="CL37" ca="1" si="923">CK37</f>
        <v>0</v>
      </c>
      <c r="CM37" s="8">
        <f t="shared" ref="CM37" ca="1" si="924">CL37</f>
        <v>0</v>
      </c>
      <c r="CN37" s="8">
        <f t="shared" ref="CN37" ca="1" si="925">CM37</f>
        <v>0</v>
      </c>
      <c r="CO37" s="8">
        <f t="shared" ref="CO37" ca="1" si="926">CN37</f>
        <v>0</v>
      </c>
      <c r="CP37" s="431">
        <f t="shared" ref="CP37" ca="1" si="927">CO37</f>
        <v>0</v>
      </c>
    </row>
    <row r="38" spans="1:94" ht="20.100000000000001" hidden="1" customHeight="1">
      <c r="A38" s="791"/>
      <c r="B38" s="248" t="s">
        <v>611</v>
      </c>
      <c r="C38" s="249">
        <f t="shared" ref="C38:O38" ca="1" si="928">C36*C37</f>
        <v>0</v>
      </c>
      <c r="D38" s="248">
        <f t="shared" ca="1" si="928"/>
        <v>0</v>
      </c>
      <c r="E38" s="248">
        <f t="shared" ca="1" si="928"/>
        <v>0</v>
      </c>
      <c r="F38" s="248">
        <f t="shared" ca="1" si="928"/>
        <v>0</v>
      </c>
      <c r="G38" s="248">
        <f t="shared" ca="1" si="928"/>
        <v>0</v>
      </c>
      <c r="H38" s="248">
        <f t="shared" ca="1" si="928"/>
        <v>0</v>
      </c>
      <c r="I38" s="248">
        <f t="shared" ca="1" si="928"/>
        <v>0</v>
      </c>
      <c r="J38" s="248">
        <f t="shared" ca="1" si="928"/>
        <v>0</v>
      </c>
      <c r="K38" s="248">
        <f t="shared" ca="1" si="928"/>
        <v>0</v>
      </c>
      <c r="L38" s="248">
        <f t="shared" ca="1" si="928"/>
        <v>0</v>
      </c>
      <c r="M38" s="248">
        <f t="shared" ca="1" si="928"/>
        <v>0</v>
      </c>
      <c r="N38" s="248">
        <f t="shared" ca="1" si="928"/>
        <v>0</v>
      </c>
      <c r="O38" s="248">
        <f t="shared" ca="1" si="928"/>
        <v>0</v>
      </c>
      <c r="P38" s="432">
        <f ca="1">SUM(D38:O38)</f>
        <v>0</v>
      </c>
      <c r="Q38" s="248">
        <f t="shared" ref="Q38:AB38" ca="1" si="929">Q36*Q37</f>
        <v>0</v>
      </c>
      <c r="R38" s="248">
        <f t="shared" ca="1" si="929"/>
        <v>0</v>
      </c>
      <c r="S38" s="248">
        <f t="shared" ca="1" si="929"/>
        <v>0</v>
      </c>
      <c r="T38" s="248">
        <f t="shared" ca="1" si="929"/>
        <v>0</v>
      </c>
      <c r="U38" s="248">
        <f t="shared" ca="1" si="929"/>
        <v>0</v>
      </c>
      <c r="V38" s="248">
        <f t="shared" ca="1" si="929"/>
        <v>0</v>
      </c>
      <c r="W38" s="248">
        <f t="shared" ca="1" si="929"/>
        <v>0</v>
      </c>
      <c r="X38" s="248">
        <f t="shared" ca="1" si="929"/>
        <v>0</v>
      </c>
      <c r="Y38" s="248">
        <f t="shared" ca="1" si="929"/>
        <v>0</v>
      </c>
      <c r="Z38" s="248">
        <f t="shared" ca="1" si="929"/>
        <v>0</v>
      </c>
      <c r="AA38" s="248">
        <f t="shared" ca="1" si="929"/>
        <v>0</v>
      </c>
      <c r="AB38" s="248">
        <f t="shared" ca="1" si="929"/>
        <v>0</v>
      </c>
      <c r="AC38" s="432">
        <f ca="1">SUM(Q38:AB38)</f>
        <v>0</v>
      </c>
      <c r="AD38" s="248">
        <f t="shared" ref="AD38:AO38" ca="1" si="930">AD36*AD37</f>
        <v>0</v>
      </c>
      <c r="AE38" s="248">
        <f t="shared" ca="1" si="930"/>
        <v>0</v>
      </c>
      <c r="AF38" s="248">
        <f t="shared" ca="1" si="930"/>
        <v>0</v>
      </c>
      <c r="AG38" s="248">
        <f t="shared" ca="1" si="930"/>
        <v>0</v>
      </c>
      <c r="AH38" s="248">
        <f t="shared" ca="1" si="930"/>
        <v>0</v>
      </c>
      <c r="AI38" s="248">
        <f t="shared" ca="1" si="930"/>
        <v>0</v>
      </c>
      <c r="AJ38" s="248">
        <f t="shared" ca="1" si="930"/>
        <v>0</v>
      </c>
      <c r="AK38" s="248">
        <f t="shared" ca="1" si="930"/>
        <v>0</v>
      </c>
      <c r="AL38" s="248">
        <f t="shared" ca="1" si="930"/>
        <v>0</v>
      </c>
      <c r="AM38" s="248">
        <f t="shared" ca="1" si="930"/>
        <v>0</v>
      </c>
      <c r="AN38" s="248">
        <f t="shared" ca="1" si="930"/>
        <v>0</v>
      </c>
      <c r="AO38" s="248">
        <f t="shared" ca="1" si="930"/>
        <v>0</v>
      </c>
      <c r="AP38" s="432">
        <f ca="1">SUM(AD38:AO38)</f>
        <v>0</v>
      </c>
      <c r="AQ38" s="248">
        <f t="shared" ref="AQ38:BB38" ca="1" si="931">AQ36*AQ37</f>
        <v>0</v>
      </c>
      <c r="AR38" s="248">
        <f t="shared" ca="1" si="931"/>
        <v>0</v>
      </c>
      <c r="AS38" s="248">
        <f t="shared" ca="1" si="931"/>
        <v>0</v>
      </c>
      <c r="AT38" s="248">
        <f t="shared" ca="1" si="931"/>
        <v>0</v>
      </c>
      <c r="AU38" s="248">
        <f t="shared" ca="1" si="931"/>
        <v>0</v>
      </c>
      <c r="AV38" s="248">
        <f t="shared" ca="1" si="931"/>
        <v>0</v>
      </c>
      <c r="AW38" s="248">
        <f t="shared" ca="1" si="931"/>
        <v>0</v>
      </c>
      <c r="AX38" s="248">
        <f t="shared" ca="1" si="931"/>
        <v>0</v>
      </c>
      <c r="AY38" s="248">
        <f t="shared" ca="1" si="931"/>
        <v>0</v>
      </c>
      <c r="AZ38" s="248">
        <f t="shared" ca="1" si="931"/>
        <v>0</v>
      </c>
      <c r="BA38" s="248">
        <f t="shared" ca="1" si="931"/>
        <v>0</v>
      </c>
      <c r="BB38" s="248">
        <f t="shared" ca="1" si="931"/>
        <v>0</v>
      </c>
      <c r="BC38" s="432">
        <f ca="1">SUM(AQ38:BB38)</f>
        <v>0</v>
      </c>
      <c r="BD38" s="248">
        <f t="shared" ref="BD38:BO38" ca="1" si="932">BD36*BD37</f>
        <v>0</v>
      </c>
      <c r="BE38" s="248">
        <f t="shared" ca="1" si="932"/>
        <v>0</v>
      </c>
      <c r="BF38" s="248">
        <f t="shared" ca="1" si="932"/>
        <v>0</v>
      </c>
      <c r="BG38" s="248">
        <f t="shared" ca="1" si="932"/>
        <v>0</v>
      </c>
      <c r="BH38" s="248">
        <f t="shared" ca="1" si="932"/>
        <v>0</v>
      </c>
      <c r="BI38" s="248">
        <f t="shared" ca="1" si="932"/>
        <v>0</v>
      </c>
      <c r="BJ38" s="248">
        <f t="shared" ca="1" si="932"/>
        <v>0</v>
      </c>
      <c r="BK38" s="248">
        <f t="shared" ca="1" si="932"/>
        <v>0</v>
      </c>
      <c r="BL38" s="248">
        <f t="shared" ca="1" si="932"/>
        <v>0</v>
      </c>
      <c r="BM38" s="248">
        <f t="shared" ca="1" si="932"/>
        <v>0</v>
      </c>
      <c r="BN38" s="248">
        <f t="shared" ca="1" si="932"/>
        <v>0</v>
      </c>
      <c r="BO38" s="248">
        <f t="shared" ca="1" si="932"/>
        <v>0</v>
      </c>
      <c r="BP38" s="432">
        <f ca="1">SUM(BD38:BO38)</f>
        <v>0</v>
      </c>
      <c r="BQ38" s="248">
        <f t="shared" ref="BQ38:CB38" ca="1" si="933">BQ36*BQ37</f>
        <v>0</v>
      </c>
      <c r="BR38" s="248">
        <f t="shared" ca="1" si="933"/>
        <v>0</v>
      </c>
      <c r="BS38" s="248">
        <f t="shared" ca="1" si="933"/>
        <v>0</v>
      </c>
      <c r="BT38" s="248">
        <f t="shared" ca="1" si="933"/>
        <v>0</v>
      </c>
      <c r="BU38" s="248">
        <f t="shared" ca="1" si="933"/>
        <v>0</v>
      </c>
      <c r="BV38" s="248">
        <f t="shared" ca="1" si="933"/>
        <v>0</v>
      </c>
      <c r="BW38" s="248">
        <f t="shared" ca="1" si="933"/>
        <v>0</v>
      </c>
      <c r="BX38" s="248">
        <f t="shared" ca="1" si="933"/>
        <v>0</v>
      </c>
      <c r="BY38" s="248">
        <f t="shared" ca="1" si="933"/>
        <v>0</v>
      </c>
      <c r="BZ38" s="248">
        <f t="shared" ca="1" si="933"/>
        <v>0</v>
      </c>
      <c r="CA38" s="248">
        <f t="shared" ca="1" si="933"/>
        <v>0</v>
      </c>
      <c r="CB38" s="248">
        <f t="shared" ca="1" si="933"/>
        <v>0</v>
      </c>
      <c r="CC38" s="432">
        <f ca="1">SUM(BQ38:CB38)</f>
        <v>0</v>
      </c>
      <c r="CD38" s="248">
        <f t="shared" ref="CD38:CO38" ca="1" si="934">CD36*CD37</f>
        <v>0</v>
      </c>
      <c r="CE38" s="248">
        <f t="shared" ca="1" si="934"/>
        <v>0</v>
      </c>
      <c r="CF38" s="248">
        <f t="shared" ca="1" si="934"/>
        <v>0</v>
      </c>
      <c r="CG38" s="248">
        <f t="shared" ca="1" si="934"/>
        <v>0</v>
      </c>
      <c r="CH38" s="248">
        <f t="shared" ca="1" si="934"/>
        <v>0</v>
      </c>
      <c r="CI38" s="248">
        <f t="shared" ca="1" si="934"/>
        <v>0</v>
      </c>
      <c r="CJ38" s="248">
        <f t="shared" ca="1" si="934"/>
        <v>0</v>
      </c>
      <c r="CK38" s="248">
        <f t="shared" ca="1" si="934"/>
        <v>0</v>
      </c>
      <c r="CL38" s="248">
        <f t="shared" ca="1" si="934"/>
        <v>0</v>
      </c>
      <c r="CM38" s="248">
        <f t="shared" ca="1" si="934"/>
        <v>0</v>
      </c>
      <c r="CN38" s="248">
        <f t="shared" ca="1" si="934"/>
        <v>0</v>
      </c>
      <c r="CO38" s="248">
        <f t="shared" ca="1" si="934"/>
        <v>0</v>
      </c>
      <c r="CP38" s="432">
        <f ca="1">SUM(CD38:CO38)</f>
        <v>0</v>
      </c>
    </row>
    <row r="39" spans="1:94" ht="20.100000000000001" hidden="1" customHeight="1">
      <c r="A39" s="789">
        <f ca="1">OFFSET('Summary. Assumptions. Inputs'!$A$45,'Internmediate sheet'!A38/3,0)</f>
        <v>0</v>
      </c>
      <c r="B39" s="17" t="s">
        <v>609</v>
      </c>
      <c r="C39" s="18"/>
      <c r="D39" s="17">
        <f ca="1">OFFSET('Sales, Production, &amp; Other Assu'!D$18,'Internmediate sheet'!$A38/3,0)*Capacity</f>
        <v>0</v>
      </c>
      <c r="E39" s="17">
        <f ca="1">OFFSET('Sales, Production, &amp; Other Assu'!E$18,'Internmediate sheet'!$A38/3,0)*Capacity</f>
        <v>0</v>
      </c>
      <c r="F39" s="17">
        <f ca="1">OFFSET('Sales, Production, &amp; Other Assu'!F$18,'Internmediate sheet'!$A38/3,0)*Capacity</f>
        <v>0</v>
      </c>
      <c r="G39" s="17">
        <f ca="1">OFFSET('Sales, Production, &amp; Other Assu'!G$18,'Internmediate sheet'!$A38/3,0)*Capacity</f>
        <v>0</v>
      </c>
      <c r="H39" s="17">
        <f ca="1">OFFSET('Sales, Production, &amp; Other Assu'!H$18,'Internmediate sheet'!$A38/3,0)*Capacity</f>
        <v>0</v>
      </c>
      <c r="I39" s="17">
        <f ca="1">OFFSET('Sales, Production, &amp; Other Assu'!I$18,'Internmediate sheet'!$A38/3,0)*Capacity</f>
        <v>0</v>
      </c>
      <c r="J39" s="17">
        <f ca="1">OFFSET('Sales, Production, &amp; Other Assu'!J$18,'Internmediate sheet'!$A38/3,0)*Capacity</f>
        <v>0</v>
      </c>
      <c r="K39" s="17">
        <f ca="1">OFFSET('Sales, Production, &amp; Other Assu'!K$18,'Internmediate sheet'!$A38/3,0)*Capacity</f>
        <v>0</v>
      </c>
      <c r="L39" s="17">
        <f ca="1">OFFSET('Sales, Production, &amp; Other Assu'!L$18,'Internmediate sheet'!$A38/3,0)*Capacity</f>
        <v>0</v>
      </c>
      <c r="M39" s="17">
        <f ca="1">OFFSET('Sales, Production, &amp; Other Assu'!M$18,'Internmediate sheet'!$A38/3,0)*Capacity</f>
        <v>0</v>
      </c>
      <c r="N39" s="17">
        <f ca="1">OFFSET('Sales, Production, &amp; Other Assu'!N$18,'Internmediate sheet'!$A38/3,0)*Capacity</f>
        <v>0</v>
      </c>
      <c r="O39" s="17">
        <f ca="1">OFFSET('Sales, Production, &amp; Other Assu'!O$18,'Internmediate sheet'!$A38/3,0)*Capacity</f>
        <v>0</v>
      </c>
      <c r="P39" s="430">
        <f ca="1">SUM(D39:O39)</f>
        <v>0</v>
      </c>
      <c r="Q39" s="17">
        <f ca="1">OFFSET('Sales, Production, &amp; Other Assu'!Q$18,'Internmediate sheet'!$A38/3,0)*Capacity</f>
        <v>0</v>
      </c>
      <c r="R39" s="17">
        <f ca="1">OFFSET('Sales, Production, &amp; Other Assu'!R$18,'Internmediate sheet'!$A38/3,0)*Capacity</f>
        <v>0</v>
      </c>
      <c r="S39" s="17">
        <f ca="1">OFFSET('Sales, Production, &amp; Other Assu'!S$18,'Internmediate sheet'!$A38/3,0)*Capacity</f>
        <v>0</v>
      </c>
      <c r="T39" s="17">
        <f ca="1">OFFSET('Sales, Production, &amp; Other Assu'!T$18,'Internmediate sheet'!$A38/3,0)*Capacity</f>
        <v>0</v>
      </c>
      <c r="U39" s="17">
        <f ca="1">OFFSET('Sales, Production, &amp; Other Assu'!U$18,'Internmediate sheet'!$A38/3,0)*Capacity</f>
        <v>0</v>
      </c>
      <c r="V39" s="17">
        <f ca="1">OFFSET('Sales, Production, &amp; Other Assu'!V$18,'Internmediate sheet'!$A38/3,0)*Capacity</f>
        <v>0</v>
      </c>
      <c r="W39" s="17">
        <f ca="1">OFFSET('Sales, Production, &amp; Other Assu'!W$18,'Internmediate sheet'!$A38/3,0)*Capacity</f>
        <v>0</v>
      </c>
      <c r="X39" s="17">
        <f ca="1">OFFSET('Sales, Production, &amp; Other Assu'!X$18,'Internmediate sheet'!$A38/3,0)*Capacity</f>
        <v>0</v>
      </c>
      <c r="Y39" s="17">
        <f ca="1">OFFSET('Sales, Production, &amp; Other Assu'!Y$18,'Internmediate sheet'!$A38/3,0)*Capacity</f>
        <v>0</v>
      </c>
      <c r="Z39" s="17">
        <f ca="1">OFFSET('Sales, Production, &amp; Other Assu'!Z$18,'Internmediate sheet'!$A38/3,0)*Capacity</f>
        <v>0</v>
      </c>
      <c r="AA39" s="17">
        <f ca="1">OFFSET('Sales, Production, &amp; Other Assu'!AA$18,'Internmediate sheet'!$A38/3,0)*Capacity</f>
        <v>0</v>
      </c>
      <c r="AB39" s="17">
        <f ca="1">OFFSET('Sales, Production, &amp; Other Assu'!AB$18,'Internmediate sheet'!$A38/3,0)*Capacity</f>
        <v>0</v>
      </c>
      <c r="AC39" s="430">
        <f ca="1">SUM(Q39:AB39)</f>
        <v>0</v>
      </c>
      <c r="AD39" s="17">
        <f ca="1">OFFSET('Sales, Production, &amp; Other Assu'!AD$18,'Internmediate sheet'!$A38/3,0)*Capacity</f>
        <v>0</v>
      </c>
      <c r="AE39" s="17">
        <f ca="1">OFFSET('Sales, Production, &amp; Other Assu'!AE$18,'Internmediate sheet'!$A38/3,0)*Capacity</f>
        <v>0</v>
      </c>
      <c r="AF39" s="17">
        <f ca="1">OFFSET('Sales, Production, &amp; Other Assu'!AF$18,'Internmediate sheet'!$A38/3,0)*Capacity</f>
        <v>0</v>
      </c>
      <c r="AG39" s="17">
        <f ca="1">OFFSET('Sales, Production, &amp; Other Assu'!AG$18,'Internmediate sheet'!$A38/3,0)*Capacity</f>
        <v>0</v>
      </c>
      <c r="AH39" s="17">
        <f ca="1">OFFSET('Sales, Production, &amp; Other Assu'!AH$18,'Internmediate sheet'!$A38/3,0)*Capacity</f>
        <v>0</v>
      </c>
      <c r="AI39" s="17">
        <f ca="1">OFFSET('Sales, Production, &amp; Other Assu'!AI$18,'Internmediate sheet'!$A38/3,0)*Capacity</f>
        <v>0</v>
      </c>
      <c r="AJ39" s="17">
        <f ca="1">OFFSET('Sales, Production, &amp; Other Assu'!AJ$18,'Internmediate sheet'!$A38/3,0)*Capacity</f>
        <v>0</v>
      </c>
      <c r="AK39" s="17">
        <f ca="1">OFFSET('Sales, Production, &amp; Other Assu'!AK$18,'Internmediate sheet'!$A38/3,0)*Capacity</f>
        <v>0</v>
      </c>
      <c r="AL39" s="17">
        <f ca="1">OFFSET('Sales, Production, &amp; Other Assu'!AL$18,'Internmediate sheet'!$A38/3,0)*Capacity</f>
        <v>0</v>
      </c>
      <c r="AM39" s="17">
        <f ca="1">OFFSET('Sales, Production, &amp; Other Assu'!AM$18,'Internmediate sheet'!$A38/3,0)*Capacity</f>
        <v>0</v>
      </c>
      <c r="AN39" s="17">
        <f ca="1">OFFSET('Sales, Production, &amp; Other Assu'!AN$18,'Internmediate sheet'!$A38/3,0)*Capacity</f>
        <v>0</v>
      </c>
      <c r="AO39" s="17">
        <f ca="1">OFFSET('Sales, Production, &amp; Other Assu'!AO$18,'Internmediate sheet'!$A38/3,0)*Capacity</f>
        <v>0</v>
      </c>
      <c r="AP39" s="430">
        <f ca="1">SUM(AD39:AO39)</f>
        <v>0</v>
      </c>
      <c r="AQ39" s="17">
        <f ca="1">OFFSET('Sales, Production, &amp; Other Assu'!AQ$18,'Internmediate sheet'!$A38/3,0)*Capacity</f>
        <v>0</v>
      </c>
      <c r="AR39" s="17">
        <f ca="1">OFFSET('Sales, Production, &amp; Other Assu'!AR$18,'Internmediate sheet'!$A38/3,0)*Capacity</f>
        <v>0</v>
      </c>
      <c r="AS39" s="17">
        <f ca="1">OFFSET('Sales, Production, &amp; Other Assu'!AS$18,'Internmediate sheet'!$A38/3,0)*Capacity</f>
        <v>0</v>
      </c>
      <c r="AT39" s="17">
        <f ca="1">OFFSET('Sales, Production, &amp; Other Assu'!AT$18,'Internmediate sheet'!$A38/3,0)*Capacity</f>
        <v>0</v>
      </c>
      <c r="AU39" s="17">
        <f ca="1">OFFSET('Sales, Production, &amp; Other Assu'!AU$18,'Internmediate sheet'!$A38/3,0)*Capacity</f>
        <v>0</v>
      </c>
      <c r="AV39" s="17">
        <f ca="1">OFFSET('Sales, Production, &amp; Other Assu'!AV$18,'Internmediate sheet'!$A38/3,0)*Capacity</f>
        <v>0</v>
      </c>
      <c r="AW39" s="17">
        <f ca="1">OFFSET('Sales, Production, &amp; Other Assu'!AW$18,'Internmediate sheet'!$A38/3,0)*Capacity</f>
        <v>0</v>
      </c>
      <c r="AX39" s="17">
        <f ca="1">OFFSET('Sales, Production, &amp; Other Assu'!AX$18,'Internmediate sheet'!$A38/3,0)*Capacity</f>
        <v>0</v>
      </c>
      <c r="AY39" s="17">
        <f ca="1">OFFSET('Sales, Production, &amp; Other Assu'!AY$18,'Internmediate sheet'!$A38/3,0)*Capacity</f>
        <v>0</v>
      </c>
      <c r="AZ39" s="17">
        <f ca="1">OFFSET('Sales, Production, &amp; Other Assu'!AZ$18,'Internmediate sheet'!$A38/3,0)*Capacity</f>
        <v>0</v>
      </c>
      <c r="BA39" s="17">
        <f ca="1">OFFSET('Sales, Production, &amp; Other Assu'!BA$18,'Internmediate sheet'!$A38/3,0)*Capacity</f>
        <v>0</v>
      </c>
      <c r="BB39" s="17">
        <f ca="1">OFFSET('Sales, Production, &amp; Other Assu'!BB$18,'Internmediate sheet'!$A38/3,0)*Capacity</f>
        <v>0</v>
      </c>
      <c r="BC39" s="430">
        <f ca="1">SUM(AQ39:BB39)</f>
        <v>0</v>
      </c>
      <c r="BD39" s="17">
        <f ca="1">OFFSET('Sales, Production, &amp; Other Assu'!BD$18,'Internmediate sheet'!$A38/3,0)*Capacity</f>
        <v>0</v>
      </c>
      <c r="BE39" s="17">
        <f ca="1">OFFSET('Sales, Production, &amp; Other Assu'!BE$18,'Internmediate sheet'!$A38/3,0)*Capacity</f>
        <v>0</v>
      </c>
      <c r="BF39" s="17">
        <f ca="1">OFFSET('Sales, Production, &amp; Other Assu'!BF$18,'Internmediate sheet'!$A38/3,0)*Capacity</f>
        <v>0</v>
      </c>
      <c r="BG39" s="17">
        <f ca="1">OFFSET('Sales, Production, &amp; Other Assu'!BG$18,'Internmediate sheet'!$A38/3,0)*Capacity</f>
        <v>0</v>
      </c>
      <c r="BH39" s="17">
        <f ca="1">OFFSET('Sales, Production, &amp; Other Assu'!BH$18,'Internmediate sheet'!$A38/3,0)*Capacity</f>
        <v>0</v>
      </c>
      <c r="BI39" s="17">
        <f ca="1">OFFSET('Sales, Production, &amp; Other Assu'!BI$18,'Internmediate sheet'!$A38/3,0)*Capacity</f>
        <v>0</v>
      </c>
      <c r="BJ39" s="17">
        <f ca="1">OFFSET('Sales, Production, &amp; Other Assu'!BJ$18,'Internmediate sheet'!$A38/3,0)*Capacity</f>
        <v>0</v>
      </c>
      <c r="BK39" s="17">
        <f ca="1">OFFSET('Sales, Production, &amp; Other Assu'!BK$18,'Internmediate sheet'!$A38/3,0)*Capacity</f>
        <v>0</v>
      </c>
      <c r="BL39" s="17">
        <f ca="1">OFFSET('Sales, Production, &amp; Other Assu'!BL$18,'Internmediate sheet'!$A38/3,0)*Capacity</f>
        <v>0</v>
      </c>
      <c r="BM39" s="17">
        <f ca="1">OFFSET('Sales, Production, &amp; Other Assu'!BM$18,'Internmediate sheet'!$A38/3,0)*Capacity</f>
        <v>0</v>
      </c>
      <c r="BN39" s="17">
        <f ca="1">OFFSET('Sales, Production, &amp; Other Assu'!BN$18,'Internmediate sheet'!$A38/3,0)*Capacity</f>
        <v>0</v>
      </c>
      <c r="BO39" s="17">
        <f ca="1">OFFSET('Sales, Production, &amp; Other Assu'!BO$18,'Internmediate sheet'!$A38/3,0)*Capacity</f>
        <v>0</v>
      </c>
      <c r="BP39" s="430">
        <f ca="1">SUM(BD39:BO39)</f>
        <v>0</v>
      </c>
      <c r="BQ39" s="17">
        <f ca="1">OFFSET('Sales, Production, &amp; Other Assu'!BQ$18,'Internmediate sheet'!$A38/3,0)*Capacity</f>
        <v>0</v>
      </c>
      <c r="BR39" s="17">
        <f ca="1">OFFSET('Sales, Production, &amp; Other Assu'!BR$18,'Internmediate sheet'!$A38/3,0)*Capacity</f>
        <v>0</v>
      </c>
      <c r="BS39" s="17">
        <f ca="1">OFFSET('Sales, Production, &amp; Other Assu'!BS$18,'Internmediate sheet'!$A38/3,0)*Capacity</f>
        <v>0</v>
      </c>
      <c r="BT39" s="17">
        <f ca="1">OFFSET('Sales, Production, &amp; Other Assu'!BT$18,'Internmediate sheet'!$A38/3,0)*Capacity</f>
        <v>0</v>
      </c>
      <c r="BU39" s="17">
        <f ca="1">OFFSET('Sales, Production, &amp; Other Assu'!BU$18,'Internmediate sheet'!$A38/3,0)*Capacity</f>
        <v>0</v>
      </c>
      <c r="BV39" s="17">
        <f ca="1">OFFSET('Sales, Production, &amp; Other Assu'!BV$18,'Internmediate sheet'!$A38/3,0)*Capacity</f>
        <v>0</v>
      </c>
      <c r="BW39" s="17">
        <f ca="1">OFFSET('Sales, Production, &amp; Other Assu'!BW$18,'Internmediate sheet'!$A38/3,0)*Capacity</f>
        <v>0</v>
      </c>
      <c r="BX39" s="17">
        <f ca="1">OFFSET('Sales, Production, &amp; Other Assu'!BX$18,'Internmediate sheet'!$A38/3,0)*Capacity</f>
        <v>0</v>
      </c>
      <c r="BY39" s="17">
        <f ca="1">OFFSET('Sales, Production, &amp; Other Assu'!BY$18,'Internmediate sheet'!$A38/3,0)*Capacity</f>
        <v>0</v>
      </c>
      <c r="BZ39" s="17">
        <f ca="1">OFFSET('Sales, Production, &amp; Other Assu'!BZ$18,'Internmediate sheet'!$A38/3,0)*Capacity</f>
        <v>0</v>
      </c>
      <c r="CA39" s="17">
        <f ca="1">OFFSET('Sales, Production, &amp; Other Assu'!CA$18,'Internmediate sheet'!$A38/3,0)*Capacity</f>
        <v>0</v>
      </c>
      <c r="CB39" s="17">
        <f ca="1">OFFSET('Sales, Production, &amp; Other Assu'!CB$18,'Internmediate sheet'!$A38/3,0)*Capacity</f>
        <v>0</v>
      </c>
      <c r="CC39" s="430">
        <f ca="1">SUM(BQ39:CB39)</f>
        <v>0</v>
      </c>
      <c r="CD39" s="17">
        <f ca="1">OFFSET('Sales, Production, &amp; Other Assu'!CD$18,'Internmediate sheet'!$A38/3,0)*Capacity</f>
        <v>0</v>
      </c>
      <c r="CE39" s="17">
        <f ca="1">OFFSET('Sales, Production, &amp; Other Assu'!CE$18,'Internmediate sheet'!$A38/3,0)*Capacity</f>
        <v>0</v>
      </c>
      <c r="CF39" s="17">
        <f ca="1">OFFSET('Sales, Production, &amp; Other Assu'!CF$18,'Internmediate sheet'!$A38/3,0)*Capacity</f>
        <v>0</v>
      </c>
      <c r="CG39" s="17">
        <f ca="1">OFFSET('Sales, Production, &amp; Other Assu'!CG$18,'Internmediate sheet'!$A38/3,0)*Capacity</f>
        <v>0</v>
      </c>
      <c r="CH39" s="17">
        <f ca="1">OFFSET('Sales, Production, &amp; Other Assu'!CH$18,'Internmediate sheet'!$A38/3,0)*Capacity</f>
        <v>0</v>
      </c>
      <c r="CI39" s="17">
        <f ca="1">OFFSET('Sales, Production, &amp; Other Assu'!CI$18,'Internmediate sheet'!$A38/3,0)*Capacity</f>
        <v>0</v>
      </c>
      <c r="CJ39" s="17">
        <f ca="1">OFFSET('Sales, Production, &amp; Other Assu'!CJ$18,'Internmediate sheet'!$A38/3,0)*Capacity</f>
        <v>0</v>
      </c>
      <c r="CK39" s="17">
        <f ca="1">OFFSET('Sales, Production, &amp; Other Assu'!CK$18,'Internmediate sheet'!$A38/3,0)*Capacity</f>
        <v>0</v>
      </c>
      <c r="CL39" s="17">
        <f ca="1">OFFSET('Sales, Production, &amp; Other Assu'!CL$18,'Internmediate sheet'!$A38/3,0)*Capacity</f>
        <v>0</v>
      </c>
      <c r="CM39" s="17">
        <f ca="1">OFFSET('Sales, Production, &amp; Other Assu'!CM$18,'Internmediate sheet'!$A38/3,0)*Capacity</f>
        <v>0</v>
      </c>
      <c r="CN39" s="17">
        <f ca="1">OFFSET('Sales, Production, &amp; Other Assu'!CN$18,'Internmediate sheet'!$A38/3,0)*Capacity</f>
        <v>0</v>
      </c>
      <c r="CO39" s="17">
        <f ca="1">OFFSET('Sales, Production, &amp; Other Assu'!CO$18,'Internmediate sheet'!$A38/3,0)*Capacity</f>
        <v>0</v>
      </c>
      <c r="CP39" s="430">
        <f ca="1">SUM(CD39:CO39)</f>
        <v>0</v>
      </c>
    </row>
    <row r="40" spans="1:94" ht="20.100000000000001" hidden="1" customHeight="1">
      <c r="A40" s="790"/>
      <c r="B40" s="8" t="s">
        <v>610</v>
      </c>
      <c r="C40" s="8">
        <f ca="1">OFFSET('Summary. Assumptions. Inputs'!$F$46,'Internmediate sheet'!A35/3,0)</f>
        <v>0</v>
      </c>
      <c r="D40" s="8">
        <f t="shared" ref="D40:P40" ca="1" si="935">C40</f>
        <v>0</v>
      </c>
      <c r="E40" s="8">
        <f t="shared" ca="1" si="935"/>
        <v>0</v>
      </c>
      <c r="F40" s="8">
        <f t="shared" ca="1" si="935"/>
        <v>0</v>
      </c>
      <c r="G40" s="8">
        <f t="shared" ca="1" si="935"/>
        <v>0</v>
      </c>
      <c r="H40" s="8">
        <f t="shared" ca="1" si="935"/>
        <v>0</v>
      </c>
      <c r="I40" s="8">
        <f t="shared" ca="1" si="935"/>
        <v>0</v>
      </c>
      <c r="J40" s="8">
        <f t="shared" ca="1" si="935"/>
        <v>0</v>
      </c>
      <c r="K40" s="8">
        <f t="shared" ca="1" si="935"/>
        <v>0</v>
      </c>
      <c r="L40" s="8">
        <f t="shared" ca="1" si="935"/>
        <v>0</v>
      </c>
      <c r="M40" s="8">
        <f t="shared" ca="1" si="935"/>
        <v>0</v>
      </c>
      <c r="N40" s="8">
        <f t="shared" ca="1" si="935"/>
        <v>0</v>
      </c>
      <c r="O40" s="8">
        <f t="shared" ca="1" si="935"/>
        <v>0</v>
      </c>
      <c r="P40" s="431">
        <f t="shared" ca="1" si="935"/>
        <v>0</v>
      </c>
      <c r="Q40" s="8">
        <f t="shared" ref="Q40" ca="1" si="936">P40</f>
        <v>0</v>
      </c>
      <c r="R40" s="8">
        <f t="shared" ref="R40" ca="1" si="937">Q40</f>
        <v>0</v>
      </c>
      <c r="S40" s="8">
        <f t="shared" ref="S40" ca="1" si="938">R40</f>
        <v>0</v>
      </c>
      <c r="T40" s="8">
        <f t="shared" ref="T40" ca="1" si="939">S40</f>
        <v>0</v>
      </c>
      <c r="U40" s="8">
        <f t="shared" ref="U40" ca="1" si="940">T40</f>
        <v>0</v>
      </c>
      <c r="V40" s="8">
        <f t="shared" ref="V40" ca="1" si="941">U40</f>
        <v>0</v>
      </c>
      <c r="W40" s="8">
        <f t="shared" ref="W40" ca="1" si="942">V40</f>
        <v>0</v>
      </c>
      <c r="X40" s="8">
        <f t="shared" ref="X40" ca="1" si="943">W40</f>
        <v>0</v>
      </c>
      <c r="Y40" s="8">
        <f t="shared" ref="Y40" ca="1" si="944">X40</f>
        <v>0</v>
      </c>
      <c r="Z40" s="8">
        <f t="shared" ref="Z40" ca="1" si="945">Y40</f>
        <v>0</v>
      </c>
      <c r="AA40" s="8">
        <f t="shared" ref="AA40" ca="1" si="946">Z40</f>
        <v>0</v>
      </c>
      <c r="AB40" s="8">
        <f t="shared" ref="AB40" ca="1" si="947">AA40</f>
        <v>0</v>
      </c>
      <c r="AC40" s="431">
        <f t="shared" ref="AC40" ca="1" si="948">AB40</f>
        <v>0</v>
      </c>
      <c r="AD40" s="8">
        <f t="shared" ref="AD40" ca="1" si="949">AC40</f>
        <v>0</v>
      </c>
      <c r="AE40" s="8">
        <f t="shared" ref="AE40" ca="1" si="950">AD40</f>
        <v>0</v>
      </c>
      <c r="AF40" s="8">
        <f t="shared" ref="AF40" ca="1" si="951">AE40</f>
        <v>0</v>
      </c>
      <c r="AG40" s="8">
        <f t="shared" ref="AG40" ca="1" si="952">AF40</f>
        <v>0</v>
      </c>
      <c r="AH40" s="8">
        <f t="shared" ref="AH40" ca="1" si="953">AG40</f>
        <v>0</v>
      </c>
      <c r="AI40" s="8">
        <f t="shared" ref="AI40" ca="1" si="954">AH40</f>
        <v>0</v>
      </c>
      <c r="AJ40" s="8">
        <f t="shared" ref="AJ40" ca="1" si="955">AI40</f>
        <v>0</v>
      </c>
      <c r="AK40" s="8">
        <f t="shared" ref="AK40" ca="1" si="956">AJ40</f>
        <v>0</v>
      </c>
      <c r="AL40" s="8">
        <f t="shared" ref="AL40" ca="1" si="957">AK40</f>
        <v>0</v>
      </c>
      <c r="AM40" s="8">
        <f t="shared" ref="AM40" ca="1" si="958">AL40</f>
        <v>0</v>
      </c>
      <c r="AN40" s="8">
        <f t="shared" ref="AN40" ca="1" si="959">AM40</f>
        <v>0</v>
      </c>
      <c r="AO40" s="8">
        <f t="shared" ref="AO40" ca="1" si="960">AN40</f>
        <v>0</v>
      </c>
      <c r="AP40" s="431">
        <f t="shared" ref="AP40" ca="1" si="961">AO40</f>
        <v>0</v>
      </c>
      <c r="AQ40" s="8">
        <f ca="1">AP40</f>
        <v>0</v>
      </c>
      <c r="AR40" s="8">
        <f t="shared" ref="AR40" ca="1" si="962">AQ40</f>
        <v>0</v>
      </c>
      <c r="AS40" s="8">
        <f t="shared" ref="AS40" ca="1" si="963">AR40</f>
        <v>0</v>
      </c>
      <c r="AT40" s="8">
        <f t="shared" ref="AT40" ca="1" si="964">AS40</f>
        <v>0</v>
      </c>
      <c r="AU40" s="8">
        <f t="shared" ref="AU40" ca="1" si="965">AT40</f>
        <v>0</v>
      </c>
      <c r="AV40" s="8">
        <f t="shared" ref="AV40" ca="1" si="966">AU40</f>
        <v>0</v>
      </c>
      <c r="AW40" s="8">
        <f t="shared" ref="AW40" ca="1" si="967">AV40</f>
        <v>0</v>
      </c>
      <c r="AX40" s="8">
        <f t="shared" ref="AX40" ca="1" si="968">AW40</f>
        <v>0</v>
      </c>
      <c r="AY40" s="8">
        <f t="shared" ref="AY40" ca="1" si="969">AX40</f>
        <v>0</v>
      </c>
      <c r="AZ40" s="8">
        <f t="shared" ref="AZ40" ca="1" si="970">AY40</f>
        <v>0</v>
      </c>
      <c r="BA40" s="8">
        <f t="shared" ref="BA40" ca="1" si="971">AZ40</f>
        <v>0</v>
      </c>
      <c r="BB40" s="8">
        <f t="shared" ref="BB40" ca="1" si="972">BA40</f>
        <v>0</v>
      </c>
      <c r="BC40" s="431">
        <f t="shared" ref="BC40" ca="1" si="973">BB40</f>
        <v>0</v>
      </c>
      <c r="BD40" s="8">
        <f t="shared" ref="BD40" ca="1" si="974">BC40</f>
        <v>0</v>
      </c>
      <c r="BE40" s="8">
        <f t="shared" ref="BE40" ca="1" si="975">BD40</f>
        <v>0</v>
      </c>
      <c r="BF40" s="8">
        <f t="shared" ref="BF40" ca="1" si="976">BE40</f>
        <v>0</v>
      </c>
      <c r="BG40" s="8">
        <f t="shared" ref="BG40" ca="1" si="977">BF40</f>
        <v>0</v>
      </c>
      <c r="BH40" s="8">
        <f t="shared" ref="BH40" ca="1" si="978">BG40</f>
        <v>0</v>
      </c>
      <c r="BI40" s="8">
        <f t="shared" ref="BI40" ca="1" si="979">BH40</f>
        <v>0</v>
      </c>
      <c r="BJ40" s="8">
        <f t="shared" ref="BJ40" ca="1" si="980">BI40</f>
        <v>0</v>
      </c>
      <c r="BK40" s="8">
        <f t="shared" ref="BK40" ca="1" si="981">BJ40</f>
        <v>0</v>
      </c>
      <c r="BL40" s="8">
        <f t="shared" ref="BL40" ca="1" si="982">BK40</f>
        <v>0</v>
      </c>
      <c r="BM40" s="8">
        <f t="shared" ref="BM40" ca="1" si="983">BL40</f>
        <v>0</v>
      </c>
      <c r="BN40" s="8">
        <f t="shared" ref="BN40" ca="1" si="984">BM40</f>
        <v>0</v>
      </c>
      <c r="BO40" s="8">
        <f t="shared" ref="BO40" ca="1" si="985">BN40</f>
        <v>0</v>
      </c>
      <c r="BP40" s="431">
        <f t="shared" ref="BP40" ca="1" si="986">BO40</f>
        <v>0</v>
      </c>
      <c r="BQ40" s="8">
        <f t="shared" ref="BQ40" ca="1" si="987">BP40</f>
        <v>0</v>
      </c>
      <c r="BR40" s="8">
        <f t="shared" ref="BR40" ca="1" si="988">BQ40</f>
        <v>0</v>
      </c>
      <c r="BS40" s="8">
        <f t="shared" ref="BS40" ca="1" si="989">BR40</f>
        <v>0</v>
      </c>
      <c r="BT40" s="8">
        <f t="shared" ref="BT40" ca="1" si="990">BS40</f>
        <v>0</v>
      </c>
      <c r="BU40" s="8">
        <f t="shared" ref="BU40" ca="1" si="991">BT40</f>
        <v>0</v>
      </c>
      <c r="BV40" s="8">
        <f t="shared" ref="BV40" ca="1" si="992">BU40</f>
        <v>0</v>
      </c>
      <c r="BW40" s="8">
        <f t="shared" ref="BW40" ca="1" si="993">BV40</f>
        <v>0</v>
      </c>
      <c r="BX40" s="8">
        <f t="shared" ref="BX40" ca="1" si="994">BW40</f>
        <v>0</v>
      </c>
      <c r="BY40" s="8">
        <f t="shared" ref="BY40" ca="1" si="995">BX40</f>
        <v>0</v>
      </c>
      <c r="BZ40" s="8">
        <f t="shared" ref="BZ40" ca="1" si="996">BY40</f>
        <v>0</v>
      </c>
      <c r="CA40" s="8">
        <f t="shared" ref="CA40" ca="1" si="997">BZ40</f>
        <v>0</v>
      </c>
      <c r="CB40" s="8">
        <f t="shared" ref="CB40" ca="1" si="998">CA40</f>
        <v>0</v>
      </c>
      <c r="CC40" s="431">
        <f t="shared" ref="CC40" ca="1" si="999">CB40</f>
        <v>0</v>
      </c>
      <c r="CD40" s="8">
        <f t="shared" ref="CD40" ca="1" si="1000">CC40</f>
        <v>0</v>
      </c>
      <c r="CE40" s="8">
        <f t="shared" ref="CE40" ca="1" si="1001">CD40</f>
        <v>0</v>
      </c>
      <c r="CF40" s="8">
        <f t="shared" ref="CF40" ca="1" si="1002">CE40</f>
        <v>0</v>
      </c>
      <c r="CG40" s="8">
        <f t="shared" ref="CG40" ca="1" si="1003">CF40</f>
        <v>0</v>
      </c>
      <c r="CH40" s="8">
        <f t="shared" ref="CH40" ca="1" si="1004">CG40</f>
        <v>0</v>
      </c>
      <c r="CI40" s="8">
        <f t="shared" ref="CI40" ca="1" si="1005">CH40</f>
        <v>0</v>
      </c>
      <c r="CJ40" s="8">
        <f t="shared" ref="CJ40" ca="1" si="1006">CI40</f>
        <v>0</v>
      </c>
      <c r="CK40" s="8">
        <f t="shared" ref="CK40" ca="1" si="1007">CJ40</f>
        <v>0</v>
      </c>
      <c r="CL40" s="8">
        <f t="shared" ref="CL40" ca="1" si="1008">CK40</f>
        <v>0</v>
      </c>
      <c r="CM40" s="8">
        <f t="shared" ref="CM40" ca="1" si="1009">CL40</f>
        <v>0</v>
      </c>
      <c r="CN40" s="8">
        <f t="shared" ref="CN40" ca="1" si="1010">CM40</f>
        <v>0</v>
      </c>
      <c r="CO40" s="8">
        <f t="shared" ref="CO40" ca="1" si="1011">CN40</f>
        <v>0</v>
      </c>
      <c r="CP40" s="431">
        <f t="shared" ref="CP40" ca="1" si="1012">CO40</f>
        <v>0</v>
      </c>
    </row>
    <row r="41" spans="1:94" ht="20.100000000000001" hidden="1" customHeight="1">
      <c r="A41" s="791"/>
      <c r="B41" s="248" t="s">
        <v>611</v>
      </c>
      <c r="C41" s="249">
        <f t="shared" ref="C41:O41" ca="1" si="1013">C39*C40</f>
        <v>0</v>
      </c>
      <c r="D41" s="248">
        <f t="shared" ca="1" si="1013"/>
        <v>0</v>
      </c>
      <c r="E41" s="248">
        <f t="shared" ca="1" si="1013"/>
        <v>0</v>
      </c>
      <c r="F41" s="248">
        <f t="shared" ca="1" si="1013"/>
        <v>0</v>
      </c>
      <c r="G41" s="248">
        <f t="shared" ca="1" si="1013"/>
        <v>0</v>
      </c>
      <c r="H41" s="248">
        <f t="shared" ca="1" si="1013"/>
        <v>0</v>
      </c>
      <c r="I41" s="248">
        <f t="shared" ca="1" si="1013"/>
        <v>0</v>
      </c>
      <c r="J41" s="248">
        <f t="shared" ca="1" si="1013"/>
        <v>0</v>
      </c>
      <c r="K41" s="248">
        <f t="shared" ca="1" si="1013"/>
        <v>0</v>
      </c>
      <c r="L41" s="248">
        <f t="shared" ca="1" si="1013"/>
        <v>0</v>
      </c>
      <c r="M41" s="248">
        <f t="shared" ca="1" si="1013"/>
        <v>0</v>
      </c>
      <c r="N41" s="248">
        <f t="shared" ca="1" si="1013"/>
        <v>0</v>
      </c>
      <c r="O41" s="248">
        <f t="shared" ca="1" si="1013"/>
        <v>0</v>
      </c>
      <c r="P41" s="432">
        <f ca="1">SUM(D41:O41)</f>
        <v>0</v>
      </c>
      <c r="Q41" s="248">
        <f t="shared" ref="Q41:AB41" ca="1" si="1014">Q39*Q40</f>
        <v>0</v>
      </c>
      <c r="R41" s="248">
        <f t="shared" ca="1" si="1014"/>
        <v>0</v>
      </c>
      <c r="S41" s="248">
        <f t="shared" ca="1" si="1014"/>
        <v>0</v>
      </c>
      <c r="T41" s="248">
        <f t="shared" ca="1" si="1014"/>
        <v>0</v>
      </c>
      <c r="U41" s="248">
        <f t="shared" ca="1" si="1014"/>
        <v>0</v>
      </c>
      <c r="V41" s="248">
        <f t="shared" ca="1" si="1014"/>
        <v>0</v>
      </c>
      <c r="W41" s="248">
        <f t="shared" ca="1" si="1014"/>
        <v>0</v>
      </c>
      <c r="X41" s="248">
        <f t="shared" ca="1" si="1014"/>
        <v>0</v>
      </c>
      <c r="Y41" s="248">
        <f t="shared" ca="1" si="1014"/>
        <v>0</v>
      </c>
      <c r="Z41" s="248">
        <f t="shared" ca="1" si="1014"/>
        <v>0</v>
      </c>
      <c r="AA41" s="248">
        <f t="shared" ca="1" si="1014"/>
        <v>0</v>
      </c>
      <c r="AB41" s="248">
        <f t="shared" ca="1" si="1014"/>
        <v>0</v>
      </c>
      <c r="AC41" s="432">
        <f ca="1">SUM(Q41:AB41)</f>
        <v>0</v>
      </c>
      <c r="AD41" s="248">
        <f t="shared" ref="AD41:AO41" ca="1" si="1015">AD39*AD40</f>
        <v>0</v>
      </c>
      <c r="AE41" s="248">
        <f t="shared" ca="1" si="1015"/>
        <v>0</v>
      </c>
      <c r="AF41" s="248">
        <f t="shared" ca="1" si="1015"/>
        <v>0</v>
      </c>
      <c r="AG41" s="248">
        <f t="shared" ca="1" si="1015"/>
        <v>0</v>
      </c>
      <c r="AH41" s="248">
        <f t="shared" ca="1" si="1015"/>
        <v>0</v>
      </c>
      <c r="AI41" s="248">
        <f t="shared" ca="1" si="1015"/>
        <v>0</v>
      </c>
      <c r="AJ41" s="248">
        <f t="shared" ca="1" si="1015"/>
        <v>0</v>
      </c>
      <c r="AK41" s="248">
        <f t="shared" ca="1" si="1015"/>
        <v>0</v>
      </c>
      <c r="AL41" s="248">
        <f t="shared" ca="1" si="1015"/>
        <v>0</v>
      </c>
      <c r="AM41" s="248">
        <f t="shared" ca="1" si="1015"/>
        <v>0</v>
      </c>
      <c r="AN41" s="248">
        <f t="shared" ca="1" si="1015"/>
        <v>0</v>
      </c>
      <c r="AO41" s="248">
        <f t="shared" ca="1" si="1015"/>
        <v>0</v>
      </c>
      <c r="AP41" s="432">
        <f ca="1">SUM(AD41:AO41)</f>
        <v>0</v>
      </c>
      <c r="AQ41" s="248">
        <f t="shared" ref="AQ41:BB41" ca="1" si="1016">AQ39*AQ40</f>
        <v>0</v>
      </c>
      <c r="AR41" s="248">
        <f t="shared" ca="1" si="1016"/>
        <v>0</v>
      </c>
      <c r="AS41" s="248">
        <f t="shared" ca="1" si="1016"/>
        <v>0</v>
      </c>
      <c r="AT41" s="248">
        <f t="shared" ca="1" si="1016"/>
        <v>0</v>
      </c>
      <c r="AU41" s="248">
        <f t="shared" ca="1" si="1016"/>
        <v>0</v>
      </c>
      <c r="AV41" s="248">
        <f t="shared" ca="1" si="1016"/>
        <v>0</v>
      </c>
      <c r="AW41" s="248">
        <f t="shared" ca="1" si="1016"/>
        <v>0</v>
      </c>
      <c r="AX41" s="248">
        <f t="shared" ca="1" si="1016"/>
        <v>0</v>
      </c>
      <c r="AY41" s="248">
        <f t="shared" ca="1" si="1016"/>
        <v>0</v>
      </c>
      <c r="AZ41" s="248">
        <f t="shared" ca="1" si="1016"/>
        <v>0</v>
      </c>
      <c r="BA41" s="248">
        <f t="shared" ca="1" si="1016"/>
        <v>0</v>
      </c>
      <c r="BB41" s="248">
        <f t="shared" ca="1" si="1016"/>
        <v>0</v>
      </c>
      <c r="BC41" s="432">
        <f ca="1">SUM(AQ41:BB41)</f>
        <v>0</v>
      </c>
      <c r="BD41" s="248">
        <f t="shared" ref="BD41:BO41" ca="1" si="1017">BD39*BD40</f>
        <v>0</v>
      </c>
      <c r="BE41" s="248">
        <f t="shared" ca="1" si="1017"/>
        <v>0</v>
      </c>
      <c r="BF41" s="248">
        <f t="shared" ca="1" si="1017"/>
        <v>0</v>
      </c>
      <c r="BG41" s="248">
        <f t="shared" ca="1" si="1017"/>
        <v>0</v>
      </c>
      <c r="BH41" s="248">
        <f t="shared" ca="1" si="1017"/>
        <v>0</v>
      </c>
      <c r="BI41" s="248">
        <f t="shared" ca="1" si="1017"/>
        <v>0</v>
      </c>
      <c r="BJ41" s="248">
        <f t="shared" ca="1" si="1017"/>
        <v>0</v>
      </c>
      <c r="BK41" s="248">
        <f t="shared" ca="1" si="1017"/>
        <v>0</v>
      </c>
      <c r="BL41" s="248">
        <f t="shared" ca="1" si="1017"/>
        <v>0</v>
      </c>
      <c r="BM41" s="248">
        <f t="shared" ca="1" si="1017"/>
        <v>0</v>
      </c>
      <c r="BN41" s="248">
        <f t="shared" ca="1" si="1017"/>
        <v>0</v>
      </c>
      <c r="BO41" s="248">
        <f t="shared" ca="1" si="1017"/>
        <v>0</v>
      </c>
      <c r="BP41" s="432">
        <f ca="1">SUM(BD41:BO41)</f>
        <v>0</v>
      </c>
      <c r="BQ41" s="248">
        <f t="shared" ref="BQ41:CB41" ca="1" si="1018">BQ39*BQ40</f>
        <v>0</v>
      </c>
      <c r="BR41" s="248">
        <f t="shared" ca="1" si="1018"/>
        <v>0</v>
      </c>
      <c r="BS41" s="248">
        <f t="shared" ca="1" si="1018"/>
        <v>0</v>
      </c>
      <c r="BT41" s="248">
        <f t="shared" ca="1" si="1018"/>
        <v>0</v>
      </c>
      <c r="BU41" s="248">
        <f t="shared" ca="1" si="1018"/>
        <v>0</v>
      </c>
      <c r="BV41" s="248">
        <f t="shared" ca="1" si="1018"/>
        <v>0</v>
      </c>
      <c r="BW41" s="248">
        <f t="shared" ca="1" si="1018"/>
        <v>0</v>
      </c>
      <c r="BX41" s="248">
        <f t="shared" ca="1" si="1018"/>
        <v>0</v>
      </c>
      <c r="BY41" s="248">
        <f t="shared" ca="1" si="1018"/>
        <v>0</v>
      </c>
      <c r="BZ41" s="248">
        <f t="shared" ca="1" si="1018"/>
        <v>0</v>
      </c>
      <c r="CA41" s="248">
        <f t="shared" ca="1" si="1018"/>
        <v>0</v>
      </c>
      <c r="CB41" s="248">
        <f t="shared" ca="1" si="1018"/>
        <v>0</v>
      </c>
      <c r="CC41" s="432">
        <f ca="1">SUM(BQ41:CB41)</f>
        <v>0</v>
      </c>
      <c r="CD41" s="248">
        <f t="shared" ref="CD41:CO41" ca="1" si="1019">CD39*CD40</f>
        <v>0</v>
      </c>
      <c r="CE41" s="248">
        <f t="shared" ca="1" si="1019"/>
        <v>0</v>
      </c>
      <c r="CF41" s="248">
        <f t="shared" ca="1" si="1019"/>
        <v>0</v>
      </c>
      <c r="CG41" s="248">
        <f t="shared" ca="1" si="1019"/>
        <v>0</v>
      </c>
      <c r="CH41" s="248">
        <f t="shared" ca="1" si="1019"/>
        <v>0</v>
      </c>
      <c r="CI41" s="248">
        <f t="shared" ca="1" si="1019"/>
        <v>0</v>
      </c>
      <c r="CJ41" s="248">
        <f t="shared" ca="1" si="1019"/>
        <v>0</v>
      </c>
      <c r="CK41" s="248">
        <f t="shared" ca="1" si="1019"/>
        <v>0</v>
      </c>
      <c r="CL41" s="248">
        <f t="shared" ca="1" si="1019"/>
        <v>0</v>
      </c>
      <c r="CM41" s="248">
        <f t="shared" ca="1" si="1019"/>
        <v>0</v>
      </c>
      <c r="CN41" s="248">
        <f t="shared" ca="1" si="1019"/>
        <v>0</v>
      </c>
      <c r="CO41" s="248">
        <f t="shared" ca="1" si="1019"/>
        <v>0</v>
      </c>
      <c r="CP41" s="432">
        <f ca="1">SUM(CD41:CO41)</f>
        <v>0</v>
      </c>
    </row>
    <row r="42" spans="1:94" ht="20.100000000000001" hidden="1" customHeight="1">
      <c r="A42" s="789">
        <f ca="1">OFFSET('Summary. Assumptions. Inputs'!$A$45,'Internmediate sheet'!A41/3,0)</f>
        <v>0</v>
      </c>
      <c r="B42" s="17" t="s">
        <v>609</v>
      </c>
      <c r="C42" s="18"/>
      <c r="D42" s="17">
        <f ca="1">OFFSET('Sales, Production, &amp; Other Assu'!D$18,'Internmediate sheet'!$A41/3,0)*Capacity</f>
        <v>0</v>
      </c>
      <c r="E42" s="17">
        <f ca="1">OFFSET('Sales, Production, &amp; Other Assu'!E$18,'Internmediate sheet'!$A41/3,0)*Capacity</f>
        <v>0</v>
      </c>
      <c r="F42" s="17">
        <f ca="1">OFFSET('Sales, Production, &amp; Other Assu'!F$18,'Internmediate sheet'!$A41/3,0)*Capacity</f>
        <v>0</v>
      </c>
      <c r="G42" s="17">
        <f ca="1">OFFSET('Sales, Production, &amp; Other Assu'!G$18,'Internmediate sheet'!$A41/3,0)*Capacity</f>
        <v>0</v>
      </c>
      <c r="H42" s="17">
        <f ca="1">OFFSET('Sales, Production, &amp; Other Assu'!H$18,'Internmediate sheet'!$A41/3,0)*Capacity</f>
        <v>0</v>
      </c>
      <c r="I42" s="17">
        <f ca="1">OFFSET('Sales, Production, &amp; Other Assu'!I$18,'Internmediate sheet'!$A41/3,0)*Capacity</f>
        <v>0</v>
      </c>
      <c r="J42" s="17">
        <f ca="1">OFFSET('Sales, Production, &amp; Other Assu'!J$18,'Internmediate sheet'!$A41/3,0)*Capacity</f>
        <v>0</v>
      </c>
      <c r="K42" s="17">
        <f ca="1">OFFSET('Sales, Production, &amp; Other Assu'!K$18,'Internmediate sheet'!$A41/3,0)*Capacity</f>
        <v>0</v>
      </c>
      <c r="L42" s="17">
        <f ca="1">OFFSET('Sales, Production, &amp; Other Assu'!L$18,'Internmediate sheet'!$A41/3,0)*Capacity</f>
        <v>0</v>
      </c>
      <c r="M42" s="17">
        <f ca="1">OFFSET('Sales, Production, &amp; Other Assu'!M$18,'Internmediate sheet'!$A41/3,0)*Capacity</f>
        <v>0</v>
      </c>
      <c r="N42" s="17">
        <f ca="1">OFFSET('Sales, Production, &amp; Other Assu'!N$18,'Internmediate sheet'!$A41/3,0)*Capacity</f>
        <v>0</v>
      </c>
      <c r="O42" s="17">
        <f ca="1">OFFSET('Sales, Production, &amp; Other Assu'!O$18,'Internmediate sheet'!$A41/3,0)*Capacity</f>
        <v>0</v>
      </c>
      <c r="P42" s="430">
        <f ca="1">SUM(D42:O42)</f>
        <v>0</v>
      </c>
      <c r="Q42" s="17">
        <f ca="1">OFFSET('Sales, Production, &amp; Other Assu'!Q$18,'Internmediate sheet'!$A41/3,0)*Capacity</f>
        <v>0</v>
      </c>
      <c r="R42" s="17">
        <f ca="1">OFFSET('Sales, Production, &amp; Other Assu'!R$18,'Internmediate sheet'!$A41/3,0)*Capacity</f>
        <v>0</v>
      </c>
      <c r="S42" s="17">
        <f ca="1">OFFSET('Sales, Production, &amp; Other Assu'!S$18,'Internmediate sheet'!$A41/3,0)*Capacity</f>
        <v>0</v>
      </c>
      <c r="T42" s="17">
        <f ca="1">OFFSET('Sales, Production, &amp; Other Assu'!T$18,'Internmediate sheet'!$A41/3,0)*Capacity</f>
        <v>0</v>
      </c>
      <c r="U42" s="17">
        <f ca="1">OFFSET('Sales, Production, &amp; Other Assu'!U$18,'Internmediate sheet'!$A41/3,0)*Capacity</f>
        <v>0</v>
      </c>
      <c r="V42" s="17">
        <f ca="1">OFFSET('Sales, Production, &amp; Other Assu'!V$18,'Internmediate sheet'!$A41/3,0)*Capacity</f>
        <v>0</v>
      </c>
      <c r="W42" s="17">
        <f ca="1">OFFSET('Sales, Production, &amp; Other Assu'!W$18,'Internmediate sheet'!$A41/3,0)*Capacity</f>
        <v>0</v>
      </c>
      <c r="X42" s="17">
        <f ca="1">OFFSET('Sales, Production, &amp; Other Assu'!X$18,'Internmediate sheet'!$A41/3,0)*Capacity</f>
        <v>0</v>
      </c>
      <c r="Y42" s="17">
        <f ca="1">OFFSET('Sales, Production, &amp; Other Assu'!Y$18,'Internmediate sheet'!$A41/3,0)*Capacity</f>
        <v>0</v>
      </c>
      <c r="Z42" s="17">
        <f ca="1">OFFSET('Sales, Production, &amp; Other Assu'!Z$18,'Internmediate sheet'!$A41/3,0)*Capacity</f>
        <v>0</v>
      </c>
      <c r="AA42" s="17">
        <f ca="1">OFFSET('Sales, Production, &amp; Other Assu'!AA$18,'Internmediate sheet'!$A41/3,0)*Capacity</f>
        <v>0</v>
      </c>
      <c r="AB42" s="17">
        <f ca="1">OFFSET('Sales, Production, &amp; Other Assu'!AB$18,'Internmediate sheet'!$A41/3,0)*Capacity</f>
        <v>0</v>
      </c>
      <c r="AC42" s="430">
        <f ca="1">SUM(Q42:AB42)</f>
        <v>0</v>
      </c>
      <c r="AD42" s="17">
        <f ca="1">OFFSET('Sales, Production, &amp; Other Assu'!AD$18,'Internmediate sheet'!$A41/3,0)*Capacity</f>
        <v>0</v>
      </c>
      <c r="AE42" s="17">
        <f ca="1">OFFSET('Sales, Production, &amp; Other Assu'!AE$18,'Internmediate sheet'!$A41/3,0)*Capacity</f>
        <v>0</v>
      </c>
      <c r="AF42" s="17">
        <f ca="1">OFFSET('Sales, Production, &amp; Other Assu'!AF$18,'Internmediate sheet'!$A41/3,0)*Capacity</f>
        <v>0</v>
      </c>
      <c r="AG42" s="17">
        <f ca="1">OFFSET('Sales, Production, &amp; Other Assu'!AG$18,'Internmediate sheet'!$A41/3,0)*Capacity</f>
        <v>0</v>
      </c>
      <c r="AH42" s="17">
        <f ca="1">OFFSET('Sales, Production, &amp; Other Assu'!AH$18,'Internmediate sheet'!$A41/3,0)*Capacity</f>
        <v>0</v>
      </c>
      <c r="AI42" s="17">
        <f ca="1">OFFSET('Sales, Production, &amp; Other Assu'!AI$18,'Internmediate sheet'!$A41/3,0)*Capacity</f>
        <v>0</v>
      </c>
      <c r="AJ42" s="17">
        <f ca="1">OFFSET('Sales, Production, &amp; Other Assu'!AJ$18,'Internmediate sheet'!$A41/3,0)*Capacity</f>
        <v>0</v>
      </c>
      <c r="AK42" s="17">
        <f ca="1">OFFSET('Sales, Production, &amp; Other Assu'!AK$18,'Internmediate sheet'!$A41/3,0)*Capacity</f>
        <v>0</v>
      </c>
      <c r="AL42" s="17">
        <f ca="1">OFFSET('Sales, Production, &amp; Other Assu'!AL$18,'Internmediate sheet'!$A41/3,0)*Capacity</f>
        <v>0</v>
      </c>
      <c r="AM42" s="17">
        <f ca="1">OFFSET('Sales, Production, &amp; Other Assu'!AM$18,'Internmediate sheet'!$A41/3,0)*Capacity</f>
        <v>0</v>
      </c>
      <c r="AN42" s="17">
        <f ca="1">OFFSET('Sales, Production, &amp; Other Assu'!AN$18,'Internmediate sheet'!$A41/3,0)*Capacity</f>
        <v>0</v>
      </c>
      <c r="AO42" s="17">
        <f ca="1">OFFSET('Sales, Production, &amp; Other Assu'!AO$18,'Internmediate sheet'!$A41/3,0)*Capacity</f>
        <v>0</v>
      </c>
      <c r="AP42" s="430">
        <f ca="1">SUM(AD42:AO42)</f>
        <v>0</v>
      </c>
      <c r="AQ42" s="17">
        <f ca="1">OFFSET('Sales, Production, &amp; Other Assu'!AQ$18,'Internmediate sheet'!$A41/3,0)*Capacity</f>
        <v>0</v>
      </c>
      <c r="AR42" s="17">
        <f ca="1">OFFSET('Sales, Production, &amp; Other Assu'!AR$18,'Internmediate sheet'!$A41/3,0)*Capacity</f>
        <v>0</v>
      </c>
      <c r="AS42" s="17">
        <f ca="1">OFFSET('Sales, Production, &amp; Other Assu'!AS$18,'Internmediate sheet'!$A41/3,0)*Capacity</f>
        <v>0</v>
      </c>
      <c r="AT42" s="17">
        <f ca="1">OFFSET('Sales, Production, &amp; Other Assu'!AT$18,'Internmediate sheet'!$A41/3,0)*Capacity</f>
        <v>0</v>
      </c>
      <c r="AU42" s="17">
        <f ca="1">OFFSET('Sales, Production, &amp; Other Assu'!AU$18,'Internmediate sheet'!$A41/3,0)*Capacity</f>
        <v>0</v>
      </c>
      <c r="AV42" s="17">
        <f ca="1">OFFSET('Sales, Production, &amp; Other Assu'!AV$18,'Internmediate sheet'!$A41/3,0)*Capacity</f>
        <v>0</v>
      </c>
      <c r="AW42" s="17">
        <f ca="1">OFFSET('Sales, Production, &amp; Other Assu'!AW$18,'Internmediate sheet'!$A41/3,0)*Capacity</f>
        <v>0</v>
      </c>
      <c r="AX42" s="17">
        <f ca="1">OFFSET('Sales, Production, &amp; Other Assu'!AX$18,'Internmediate sheet'!$A41/3,0)*Capacity</f>
        <v>0</v>
      </c>
      <c r="AY42" s="17">
        <f ca="1">OFFSET('Sales, Production, &amp; Other Assu'!AY$18,'Internmediate sheet'!$A41/3,0)*Capacity</f>
        <v>0</v>
      </c>
      <c r="AZ42" s="17">
        <f ca="1">OFFSET('Sales, Production, &amp; Other Assu'!AZ$18,'Internmediate sheet'!$A41/3,0)*Capacity</f>
        <v>0</v>
      </c>
      <c r="BA42" s="17">
        <f ca="1">OFFSET('Sales, Production, &amp; Other Assu'!BA$18,'Internmediate sheet'!$A41/3,0)*Capacity</f>
        <v>0</v>
      </c>
      <c r="BB42" s="17">
        <f ca="1">OFFSET('Sales, Production, &amp; Other Assu'!BB$18,'Internmediate sheet'!$A41/3,0)*Capacity</f>
        <v>0</v>
      </c>
      <c r="BC42" s="430">
        <f ca="1">SUM(AQ42:BB42)</f>
        <v>0</v>
      </c>
      <c r="BD42" s="17">
        <f ca="1">OFFSET('Sales, Production, &amp; Other Assu'!BD$18,'Internmediate sheet'!$A41/3,0)*Capacity</f>
        <v>0</v>
      </c>
      <c r="BE42" s="17">
        <f ca="1">OFFSET('Sales, Production, &amp; Other Assu'!BE$18,'Internmediate sheet'!$A41/3,0)*Capacity</f>
        <v>0</v>
      </c>
      <c r="BF42" s="17">
        <f ca="1">OFFSET('Sales, Production, &amp; Other Assu'!BF$18,'Internmediate sheet'!$A41/3,0)*Capacity</f>
        <v>0</v>
      </c>
      <c r="BG42" s="17">
        <f ca="1">OFFSET('Sales, Production, &amp; Other Assu'!BG$18,'Internmediate sheet'!$A41/3,0)*Capacity</f>
        <v>0</v>
      </c>
      <c r="BH42" s="17">
        <f ca="1">OFFSET('Sales, Production, &amp; Other Assu'!BH$18,'Internmediate sheet'!$A41/3,0)*Capacity</f>
        <v>0</v>
      </c>
      <c r="BI42" s="17">
        <f ca="1">OFFSET('Sales, Production, &amp; Other Assu'!BI$18,'Internmediate sheet'!$A41/3,0)*Capacity</f>
        <v>0</v>
      </c>
      <c r="BJ42" s="17">
        <f ca="1">OFFSET('Sales, Production, &amp; Other Assu'!BJ$18,'Internmediate sheet'!$A41/3,0)*Capacity</f>
        <v>0</v>
      </c>
      <c r="BK42" s="17">
        <f ca="1">OFFSET('Sales, Production, &amp; Other Assu'!BK$18,'Internmediate sheet'!$A41/3,0)*Capacity</f>
        <v>0</v>
      </c>
      <c r="BL42" s="17">
        <f ca="1">OFFSET('Sales, Production, &amp; Other Assu'!BL$18,'Internmediate sheet'!$A41/3,0)*Capacity</f>
        <v>0</v>
      </c>
      <c r="BM42" s="17">
        <f ca="1">OFFSET('Sales, Production, &amp; Other Assu'!BM$18,'Internmediate sheet'!$A41/3,0)*Capacity</f>
        <v>0</v>
      </c>
      <c r="BN42" s="17">
        <f ca="1">OFFSET('Sales, Production, &amp; Other Assu'!BN$18,'Internmediate sheet'!$A41/3,0)*Capacity</f>
        <v>0</v>
      </c>
      <c r="BO42" s="17">
        <f ca="1">OFFSET('Sales, Production, &amp; Other Assu'!BO$18,'Internmediate sheet'!$A41/3,0)*Capacity</f>
        <v>0</v>
      </c>
      <c r="BP42" s="430">
        <f ca="1">SUM(BD42:BO42)</f>
        <v>0</v>
      </c>
      <c r="BQ42" s="17">
        <f ca="1">OFFSET('Sales, Production, &amp; Other Assu'!BQ$18,'Internmediate sheet'!$A41/3,0)*Capacity</f>
        <v>0</v>
      </c>
      <c r="BR42" s="17">
        <f ca="1">OFFSET('Sales, Production, &amp; Other Assu'!BR$18,'Internmediate sheet'!$A41/3,0)*Capacity</f>
        <v>0</v>
      </c>
      <c r="BS42" s="17">
        <f ca="1">OFFSET('Sales, Production, &amp; Other Assu'!BS$18,'Internmediate sheet'!$A41/3,0)*Capacity</f>
        <v>0</v>
      </c>
      <c r="BT42" s="17">
        <f ca="1">OFFSET('Sales, Production, &amp; Other Assu'!BT$18,'Internmediate sheet'!$A41/3,0)*Capacity</f>
        <v>0</v>
      </c>
      <c r="BU42" s="17">
        <f ca="1">OFFSET('Sales, Production, &amp; Other Assu'!BU$18,'Internmediate sheet'!$A41/3,0)*Capacity</f>
        <v>0</v>
      </c>
      <c r="BV42" s="17">
        <f ca="1">OFFSET('Sales, Production, &amp; Other Assu'!BV$18,'Internmediate sheet'!$A41/3,0)*Capacity</f>
        <v>0</v>
      </c>
      <c r="BW42" s="17">
        <f ca="1">OFFSET('Sales, Production, &amp; Other Assu'!BW$18,'Internmediate sheet'!$A41/3,0)*Capacity</f>
        <v>0</v>
      </c>
      <c r="BX42" s="17">
        <f ca="1">OFFSET('Sales, Production, &amp; Other Assu'!BX$18,'Internmediate sheet'!$A41/3,0)*Capacity</f>
        <v>0</v>
      </c>
      <c r="BY42" s="17">
        <f ca="1">OFFSET('Sales, Production, &amp; Other Assu'!BY$18,'Internmediate sheet'!$A41/3,0)*Capacity</f>
        <v>0</v>
      </c>
      <c r="BZ42" s="17">
        <f ca="1">OFFSET('Sales, Production, &amp; Other Assu'!BZ$18,'Internmediate sheet'!$A41/3,0)*Capacity</f>
        <v>0</v>
      </c>
      <c r="CA42" s="17">
        <f ca="1">OFFSET('Sales, Production, &amp; Other Assu'!CA$18,'Internmediate sheet'!$A41/3,0)*Capacity</f>
        <v>0</v>
      </c>
      <c r="CB42" s="17">
        <f ca="1">OFFSET('Sales, Production, &amp; Other Assu'!CB$18,'Internmediate sheet'!$A41/3,0)*Capacity</f>
        <v>0</v>
      </c>
      <c r="CC42" s="430">
        <f ca="1">SUM(BQ42:CB42)</f>
        <v>0</v>
      </c>
      <c r="CD42" s="17">
        <f ca="1">OFFSET('Sales, Production, &amp; Other Assu'!CD$18,'Internmediate sheet'!$A41/3,0)*Capacity</f>
        <v>0</v>
      </c>
      <c r="CE42" s="17">
        <f ca="1">OFFSET('Sales, Production, &amp; Other Assu'!CE$18,'Internmediate sheet'!$A41/3,0)*Capacity</f>
        <v>0</v>
      </c>
      <c r="CF42" s="17">
        <f ca="1">OFFSET('Sales, Production, &amp; Other Assu'!CF$18,'Internmediate sheet'!$A41/3,0)*Capacity</f>
        <v>0</v>
      </c>
      <c r="CG42" s="17">
        <f ca="1">OFFSET('Sales, Production, &amp; Other Assu'!CG$18,'Internmediate sheet'!$A41/3,0)*Capacity</f>
        <v>0</v>
      </c>
      <c r="CH42" s="17">
        <f ca="1">OFFSET('Sales, Production, &amp; Other Assu'!CH$18,'Internmediate sheet'!$A41/3,0)*Capacity</f>
        <v>0</v>
      </c>
      <c r="CI42" s="17">
        <f ca="1">OFFSET('Sales, Production, &amp; Other Assu'!CI$18,'Internmediate sheet'!$A41/3,0)*Capacity</f>
        <v>0</v>
      </c>
      <c r="CJ42" s="17">
        <f ca="1">OFFSET('Sales, Production, &amp; Other Assu'!CJ$18,'Internmediate sheet'!$A41/3,0)*Capacity</f>
        <v>0</v>
      </c>
      <c r="CK42" s="17">
        <f ca="1">OFFSET('Sales, Production, &amp; Other Assu'!CK$18,'Internmediate sheet'!$A41/3,0)*Capacity</f>
        <v>0</v>
      </c>
      <c r="CL42" s="17">
        <f ca="1">OFFSET('Sales, Production, &amp; Other Assu'!CL$18,'Internmediate sheet'!$A41/3,0)*Capacity</f>
        <v>0</v>
      </c>
      <c r="CM42" s="17">
        <f ca="1">OFFSET('Sales, Production, &amp; Other Assu'!CM$18,'Internmediate sheet'!$A41/3,0)*Capacity</f>
        <v>0</v>
      </c>
      <c r="CN42" s="17">
        <f ca="1">OFFSET('Sales, Production, &amp; Other Assu'!CN$18,'Internmediate sheet'!$A41/3,0)*Capacity</f>
        <v>0</v>
      </c>
      <c r="CO42" s="17">
        <f ca="1">OFFSET('Sales, Production, &amp; Other Assu'!CO$18,'Internmediate sheet'!$A41/3,0)*Capacity</f>
        <v>0</v>
      </c>
      <c r="CP42" s="430">
        <f ca="1">SUM(CD42:CO42)</f>
        <v>0</v>
      </c>
    </row>
    <row r="43" spans="1:94" ht="20.100000000000001" hidden="1" customHeight="1">
      <c r="A43" s="790"/>
      <c r="B43" s="8" t="s">
        <v>610</v>
      </c>
      <c r="C43" s="8">
        <f ca="1">OFFSET('Summary. Assumptions. Inputs'!$F$46,'Internmediate sheet'!A38/3,0)</f>
        <v>0</v>
      </c>
      <c r="D43" s="8">
        <f t="shared" ref="D43:P43" ca="1" si="1020">C43</f>
        <v>0</v>
      </c>
      <c r="E43" s="8">
        <f t="shared" ca="1" si="1020"/>
        <v>0</v>
      </c>
      <c r="F43" s="8">
        <f t="shared" ca="1" si="1020"/>
        <v>0</v>
      </c>
      <c r="G43" s="8">
        <f t="shared" ca="1" si="1020"/>
        <v>0</v>
      </c>
      <c r="H43" s="8">
        <f t="shared" ca="1" si="1020"/>
        <v>0</v>
      </c>
      <c r="I43" s="8">
        <f t="shared" ca="1" si="1020"/>
        <v>0</v>
      </c>
      <c r="J43" s="8">
        <f t="shared" ca="1" si="1020"/>
        <v>0</v>
      </c>
      <c r="K43" s="8">
        <f t="shared" ca="1" si="1020"/>
        <v>0</v>
      </c>
      <c r="L43" s="8">
        <f t="shared" ca="1" si="1020"/>
        <v>0</v>
      </c>
      <c r="M43" s="8">
        <f t="shared" ca="1" si="1020"/>
        <v>0</v>
      </c>
      <c r="N43" s="8">
        <f t="shared" ca="1" si="1020"/>
        <v>0</v>
      </c>
      <c r="O43" s="8">
        <f t="shared" ca="1" si="1020"/>
        <v>0</v>
      </c>
      <c r="P43" s="431">
        <f t="shared" ca="1" si="1020"/>
        <v>0</v>
      </c>
      <c r="Q43" s="8">
        <f t="shared" ref="Q43" ca="1" si="1021">P43</f>
        <v>0</v>
      </c>
      <c r="R43" s="8">
        <f t="shared" ref="R43" ca="1" si="1022">Q43</f>
        <v>0</v>
      </c>
      <c r="S43" s="8">
        <f t="shared" ref="S43" ca="1" si="1023">R43</f>
        <v>0</v>
      </c>
      <c r="T43" s="8">
        <f t="shared" ref="T43" ca="1" si="1024">S43</f>
        <v>0</v>
      </c>
      <c r="U43" s="8">
        <f t="shared" ref="U43" ca="1" si="1025">T43</f>
        <v>0</v>
      </c>
      <c r="V43" s="8">
        <f t="shared" ref="V43" ca="1" si="1026">U43</f>
        <v>0</v>
      </c>
      <c r="W43" s="8">
        <f t="shared" ref="W43" ca="1" si="1027">V43</f>
        <v>0</v>
      </c>
      <c r="X43" s="8">
        <f t="shared" ref="X43" ca="1" si="1028">W43</f>
        <v>0</v>
      </c>
      <c r="Y43" s="8">
        <f t="shared" ref="Y43" ca="1" si="1029">X43</f>
        <v>0</v>
      </c>
      <c r="Z43" s="8">
        <f t="shared" ref="Z43" ca="1" si="1030">Y43</f>
        <v>0</v>
      </c>
      <c r="AA43" s="8">
        <f t="shared" ref="AA43" ca="1" si="1031">Z43</f>
        <v>0</v>
      </c>
      <c r="AB43" s="8">
        <f t="shared" ref="AB43" ca="1" si="1032">AA43</f>
        <v>0</v>
      </c>
      <c r="AC43" s="431">
        <f t="shared" ref="AC43" ca="1" si="1033">AB43</f>
        <v>0</v>
      </c>
      <c r="AD43" s="8">
        <f t="shared" ref="AD43" ca="1" si="1034">AC43</f>
        <v>0</v>
      </c>
      <c r="AE43" s="8">
        <f t="shared" ref="AE43" ca="1" si="1035">AD43</f>
        <v>0</v>
      </c>
      <c r="AF43" s="8">
        <f t="shared" ref="AF43" ca="1" si="1036">AE43</f>
        <v>0</v>
      </c>
      <c r="AG43" s="8">
        <f t="shared" ref="AG43" ca="1" si="1037">AF43</f>
        <v>0</v>
      </c>
      <c r="AH43" s="8">
        <f t="shared" ref="AH43" ca="1" si="1038">AG43</f>
        <v>0</v>
      </c>
      <c r="AI43" s="8">
        <f t="shared" ref="AI43" ca="1" si="1039">AH43</f>
        <v>0</v>
      </c>
      <c r="AJ43" s="8">
        <f t="shared" ref="AJ43" ca="1" si="1040">AI43</f>
        <v>0</v>
      </c>
      <c r="AK43" s="8">
        <f t="shared" ref="AK43" ca="1" si="1041">AJ43</f>
        <v>0</v>
      </c>
      <c r="AL43" s="8">
        <f t="shared" ref="AL43" ca="1" si="1042">AK43</f>
        <v>0</v>
      </c>
      <c r="AM43" s="8">
        <f t="shared" ref="AM43" ca="1" si="1043">AL43</f>
        <v>0</v>
      </c>
      <c r="AN43" s="8">
        <f t="shared" ref="AN43" ca="1" si="1044">AM43</f>
        <v>0</v>
      </c>
      <c r="AO43" s="8">
        <f t="shared" ref="AO43" ca="1" si="1045">AN43</f>
        <v>0</v>
      </c>
      <c r="AP43" s="431">
        <f t="shared" ref="AP43" ca="1" si="1046">AO43</f>
        <v>0</v>
      </c>
      <c r="AQ43" s="8">
        <f ca="1">AP43</f>
        <v>0</v>
      </c>
      <c r="AR43" s="8">
        <f t="shared" ref="AR43" ca="1" si="1047">AQ43</f>
        <v>0</v>
      </c>
      <c r="AS43" s="8">
        <f t="shared" ref="AS43" ca="1" si="1048">AR43</f>
        <v>0</v>
      </c>
      <c r="AT43" s="8">
        <f t="shared" ref="AT43" ca="1" si="1049">AS43</f>
        <v>0</v>
      </c>
      <c r="AU43" s="8">
        <f t="shared" ref="AU43" ca="1" si="1050">AT43</f>
        <v>0</v>
      </c>
      <c r="AV43" s="8">
        <f t="shared" ref="AV43" ca="1" si="1051">AU43</f>
        <v>0</v>
      </c>
      <c r="AW43" s="8">
        <f t="shared" ref="AW43" ca="1" si="1052">AV43</f>
        <v>0</v>
      </c>
      <c r="AX43" s="8">
        <f t="shared" ref="AX43" ca="1" si="1053">AW43</f>
        <v>0</v>
      </c>
      <c r="AY43" s="8">
        <f t="shared" ref="AY43" ca="1" si="1054">AX43</f>
        <v>0</v>
      </c>
      <c r="AZ43" s="8">
        <f t="shared" ref="AZ43" ca="1" si="1055">AY43</f>
        <v>0</v>
      </c>
      <c r="BA43" s="8">
        <f t="shared" ref="BA43" ca="1" si="1056">AZ43</f>
        <v>0</v>
      </c>
      <c r="BB43" s="8">
        <f t="shared" ref="BB43" ca="1" si="1057">BA43</f>
        <v>0</v>
      </c>
      <c r="BC43" s="431">
        <f t="shared" ref="BC43" ca="1" si="1058">BB43</f>
        <v>0</v>
      </c>
      <c r="BD43" s="8">
        <f t="shared" ref="BD43" ca="1" si="1059">BC43</f>
        <v>0</v>
      </c>
      <c r="BE43" s="8">
        <f t="shared" ref="BE43" ca="1" si="1060">BD43</f>
        <v>0</v>
      </c>
      <c r="BF43" s="8">
        <f t="shared" ref="BF43" ca="1" si="1061">BE43</f>
        <v>0</v>
      </c>
      <c r="BG43" s="8">
        <f t="shared" ref="BG43" ca="1" si="1062">BF43</f>
        <v>0</v>
      </c>
      <c r="BH43" s="8">
        <f t="shared" ref="BH43" ca="1" si="1063">BG43</f>
        <v>0</v>
      </c>
      <c r="BI43" s="8">
        <f t="shared" ref="BI43" ca="1" si="1064">BH43</f>
        <v>0</v>
      </c>
      <c r="BJ43" s="8">
        <f t="shared" ref="BJ43" ca="1" si="1065">BI43</f>
        <v>0</v>
      </c>
      <c r="BK43" s="8">
        <f t="shared" ref="BK43" ca="1" si="1066">BJ43</f>
        <v>0</v>
      </c>
      <c r="BL43" s="8">
        <f t="shared" ref="BL43" ca="1" si="1067">BK43</f>
        <v>0</v>
      </c>
      <c r="BM43" s="8">
        <f t="shared" ref="BM43" ca="1" si="1068">BL43</f>
        <v>0</v>
      </c>
      <c r="BN43" s="8">
        <f t="shared" ref="BN43" ca="1" si="1069">BM43</f>
        <v>0</v>
      </c>
      <c r="BO43" s="8">
        <f t="shared" ref="BO43" ca="1" si="1070">BN43</f>
        <v>0</v>
      </c>
      <c r="BP43" s="431">
        <f t="shared" ref="BP43" ca="1" si="1071">BO43</f>
        <v>0</v>
      </c>
      <c r="BQ43" s="8">
        <f t="shared" ref="BQ43" ca="1" si="1072">BP43</f>
        <v>0</v>
      </c>
      <c r="BR43" s="8">
        <f t="shared" ref="BR43" ca="1" si="1073">BQ43</f>
        <v>0</v>
      </c>
      <c r="BS43" s="8">
        <f t="shared" ref="BS43" ca="1" si="1074">BR43</f>
        <v>0</v>
      </c>
      <c r="BT43" s="8">
        <f t="shared" ref="BT43" ca="1" si="1075">BS43</f>
        <v>0</v>
      </c>
      <c r="BU43" s="8">
        <f t="shared" ref="BU43" ca="1" si="1076">BT43</f>
        <v>0</v>
      </c>
      <c r="BV43" s="8">
        <f t="shared" ref="BV43" ca="1" si="1077">BU43</f>
        <v>0</v>
      </c>
      <c r="BW43" s="8">
        <f t="shared" ref="BW43" ca="1" si="1078">BV43</f>
        <v>0</v>
      </c>
      <c r="BX43" s="8">
        <f t="shared" ref="BX43" ca="1" si="1079">BW43</f>
        <v>0</v>
      </c>
      <c r="BY43" s="8">
        <f t="shared" ref="BY43" ca="1" si="1080">BX43</f>
        <v>0</v>
      </c>
      <c r="BZ43" s="8">
        <f t="shared" ref="BZ43" ca="1" si="1081">BY43</f>
        <v>0</v>
      </c>
      <c r="CA43" s="8">
        <f t="shared" ref="CA43" ca="1" si="1082">BZ43</f>
        <v>0</v>
      </c>
      <c r="CB43" s="8">
        <f t="shared" ref="CB43" ca="1" si="1083">CA43</f>
        <v>0</v>
      </c>
      <c r="CC43" s="431">
        <f t="shared" ref="CC43" ca="1" si="1084">CB43</f>
        <v>0</v>
      </c>
      <c r="CD43" s="8">
        <f t="shared" ref="CD43" ca="1" si="1085">CC43</f>
        <v>0</v>
      </c>
      <c r="CE43" s="8">
        <f t="shared" ref="CE43" ca="1" si="1086">CD43</f>
        <v>0</v>
      </c>
      <c r="CF43" s="8">
        <f t="shared" ref="CF43" ca="1" si="1087">CE43</f>
        <v>0</v>
      </c>
      <c r="CG43" s="8">
        <f t="shared" ref="CG43" ca="1" si="1088">CF43</f>
        <v>0</v>
      </c>
      <c r="CH43" s="8">
        <f t="shared" ref="CH43" ca="1" si="1089">CG43</f>
        <v>0</v>
      </c>
      <c r="CI43" s="8">
        <f t="shared" ref="CI43" ca="1" si="1090">CH43</f>
        <v>0</v>
      </c>
      <c r="CJ43" s="8">
        <f t="shared" ref="CJ43" ca="1" si="1091">CI43</f>
        <v>0</v>
      </c>
      <c r="CK43" s="8">
        <f t="shared" ref="CK43" ca="1" si="1092">CJ43</f>
        <v>0</v>
      </c>
      <c r="CL43" s="8">
        <f t="shared" ref="CL43" ca="1" si="1093">CK43</f>
        <v>0</v>
      </c>
      <c r="CM43" s="8">
        <f t="shared" ref="CM43" ca="1" si="1094">CL43</f>
        <v>0</v>
      </c>
      <c r="CN43" s="8">
        <f t="shared" ref="CN43" ca="1" si="1095">CM43</f>
        <v>0</v>
      </c>
      <c r="CO43" s="8">
        <f t="shared" ref="CO43" ca="1" si="1096">CN43</f>
        <v>0</v>
      </c>
      <c r="CP43" s="431">
        <f t="shared" ref="CP43" ca="1" si="1097">CO43</f>
        <v>0</v>
      </c>
    </row>
    <row r="44" spans="1:94" ht="20.100000000000001" hidden="1" customHeight="1">
      <c r="A44" s="791"/>
      <c r="B44" s="248" t="s">
        <v>611</v>
      </c>
      <c r="C44" s="249">
        <f t="shared" ref="C44:O44" ca="1" si="1098">C42*C43</f>
        <v>0</v>
      </c>
      <c r="D44" s="248">
        <f t="shared" ca="1" si="1098"/>
        <v>0</v>
      </c>
      <c r="E44" s="248">
        <f t="shared" ca="1" si="1098"/>
        <v>0</v>
      </c>
      <c r="F44" s="248">
        <f t="shared" ca="1" si="1098"/>
        <v>0</v>
      </c>
      <c r="G44" s="248">
        <f t="shared" ca="1" si="1098"/>
        <v>0</v>
      </c>
      <c r="H44" s="248">
        <f t="shared" ca="1" si="1098"/>
        <v>0</v>
      </c>
      <c r="I44" s="248">
        <f t="shared" ca="1" si="1098"/>
        <v>0</v>
      </c>
      <c r="J44" s="248">
        <f t="shared" ca="1" si="1098"/>
        <v>0</v>
      </c>
      <c r="K44" s="248">
        <f t="shared" ca="1" si="1098"/>
        <v>0</v>
      </c>
      <c r="L44" s="248">
        <f t="shared" ca="1" si="1098"/>
        <v>0</v>
      </c>
      <c r="M44" s="248">
        <f t="shared" ca="1" si="1098"/>
        <v>0</v>
      </c>
      <c r="N44" s="248">
        <f t="shared" ca="1" si="1098"/>
        <v>0</v>
      </c>
      <c r="O44" s="248">
        <f t="shared" ca="1" si="1098"/>
        <v>0</v>
      </c>
      <c r="P44" s="432">
        <f ca="1">SUM(D44:O44)</f>
        <v>0</v>
      </c>
      <c r="Q44" s="248">
        <f t="shared" ref="Q44:AB44" ca="1" si="1099">Q42*Q43</f>
        <v>0</v>
      </c>
      <c r="R44" s="248">
        <f t="shared" ca="1" si="1099"/>
        <v>0</v>
      </c>
      <c r="S44" s="248">
        <f t="shared" ca="1" si="1099"/>
        <v>0</v>
      </c>
      <c r="T44" s="248">
        <f t="shared" ca="1" si="1099"/>
        <v>0</v>
      </c>
      <c r="U44" s="248">
        <f t="shared" ca="1" si="1099"/>
        <v>0</v>
      </c>
      <c r="V44" s="248">
        <f t="shared" ca="1" si="1099"/>
        <v>0</v>
      </c>
      <c r="W44" s="248">
        <f t="shared" ca="1" si="1099"/>
        <v>0</v>
      </c>
      <c r="X44" s="248">
        <f t="shared" ca="1" si="1099"/>
        <v>0</v>
      </c>
      <c r="Y44" s="248">
        <f t="shared" ca="1" si="1099"/>
        <v>0</v>
      </c>
      <c r="Z44" s="248">
        <f t="shared" ca="1" si="1099"/>
        <v>0</v>
      </c>
      <c r="AA44" s="248">
        <f t="shared" ca="1" si="1099"/>
        <v>0</v>
      </c>
      <c r="AB44" s="248">
        <f t="shared" ca="1" si="1099"/>
        <v>0</v>
      </c>
      <c r="AC44" s="432">
        <f ca="1">SUM(Q44:AB44)</f>
        <v>0</v>
      </c>
      <c r="AD44" s="248">
        <f t="shared" ref="AD44:AO44" ca="1" si="1100">AD42*AD43</f>
        <v>0</v>
      </c>
      <c r="AE44" s="248">
        <f t="shared" ca="1" si="1100"/>
        <v>0</v>
      </c>
      <c r="AF44" s="248">
        <f t="shared" ca="1" si="1100"/>
        <v>0</v>
      </c>
      <c r="AG44" s="248">
        <f t="shared" ca="1" si="1100"/>
        <v>0</v>
      </c>
      <c r="AH44" s="248">
        <f t="shared" ca="1" si="1100"/>
        <v>0</v>
      </c>
      <c r="AI44" s="248">
        <f t="shared" ca="1" si="1100"/>
        <v>0</v>
      </c>
      <c r="AJ44" s="248">
        <f t="shared" ca="1" si="1100"/>
        <v>0</v>
      </c>
      <c r="AK44" s="248">
        <f t="shared" ca="1" si="1100"/>
        <v>0</v>
      </c>
      <c r="AL44" s="248">
        <f t="shared" ca="1" si="1100"/>
        <v>0</v>
      </c>
      <c r="AM44" s="248">
        <f t="shared" ca="1" si="1100"/>
        <v>0</v>
      </c>
      <c r="AN44" s="248">
        <f t="shared" ca="1" si="1100"/>
        <v>0</v>
      </c>
      <c r="AO44" s="248">
        <f t="shared" ca="1" si="1100"/>
        <v>0</v>
      </c>
      <c r="AP44" s="432">
        <f ca="1">SUM(AD44:AO44)</f>
        <v>0</v>
      </c>
      <c r="AQ44" s="248">
        <f t="shared" ref="AQ44:BB44" ca="1" si="1101">AQ42*AQ43</f>
        <v>0</v>
      </c>
      <c r="AR44" s="248">
        <f t="shared" ca="1" si="1101"/>
        <v>0</v>
      </c>
      <c r="AS44" s="248">
        <f t="shared" ca="1" si="1101"/>
        <v>0</v>
      </c>
      <c r="AT44" s="248">
        <f t="shared" ca="1" si="1101"/>
        <v>0</v>
      </c>
      <c r="AU44" s="248">
        <f t="shared" ca="1" si="1101"/>
        <v>0</v>
      </c>
      <c r="AV44" s="248">
        <f t="shared" ca="1" si="1101"/>
        <v>0</v>
      </c>
      <c r="AW44" s="248">
        <f t="shared" ca="1" si="1101"/>
        <v>0</v>
      </c>
      <c r="AX44" s="248">
        <f t="shared" ca="1" si="1101"/>
        <v>0</v>
      </c>
      <c r="AY44" s="248">
        <f t="shared" ca="1" si="1101"/>
        <v>0</v>
      </c>
      <c r="AZ44" s="248">
        <f t="shared" ca="1" si="1101"/>
        <v>0</v>
      </c>
      <c r="BA44" s="248">
        <f t="shared" ca="1" si="1101"/>
        <v>0</v>
      </c>
      <c r="BB44" s="248">
        <f t="shared" ca="1" si="1101"/>
        <v>0</v>
      </c>
      <c r="BC44" s="432">
        <f ca="1">SUM(AQ44:BB44)</f>
        <v>0</v>
      </c>
      <c r="BD44" s="248">
        <f t="shared" ref="BD44:BO44" ca="1" si="1102">BD42*BD43</f>
        <v>0</v>
      </c>
      <c r="BE44" s="248">
        <f t="shared" ca="1" si="1102"/>
        <v>0</v>
      </c>
      <c r="BF44" s="248">
        <f t="shared" ca="1" si="1102"/>
        <v>0</v>
      </c>
      <c r="BG44" s="248">
        <f t="shared" ca="1" si="1102"/>
        <v>0</v>
      </c>
      <c r="BH44" s="248">
        <f t="shared" ca="1" si="1102"/>
        <v>0</v>
      </c>
      <c r="BI44" s="248">
        <f t="shared" ca="1" si="1102"/>
        <v>0</v>
      </c>
      <c r="BJ44" s="248">
        <f t="shared" ca="1" si="1102"/>
        <v>0</v>
      </c>
      <c r="BK44" s="248">
        <f t="shared" ca="1" si="1102"/>
        <v>0</v>
      </c>
      <c r="BL44" s="248">
        <f t="shared" ca="1" si="1102"/>
        <v>0</v>
      </c>
      <c r="BM44" s="248">
        <f t="shared" ca="1" si="1102"/>
        <v>0</v>
      </c>
      <c r="BN44" s="248">
        <f t="shared" ca="1" si="1102"/>
        <v>0</v>
      </c>
      <c r="BO44" s="248">
        <f t="shared" ca="1" si="1102"/>
        <v>0</v>
      </c>
      <c r="BP44" s="432">
        <f ca="1">SUM(BD44:BO44)</f>
        <v>0</v>
      </c>
      <c r="BQ44" s="248">
        <f t="shared" ref="BQ44:CB44" ca="1" si="1103">BQ42*BQ43</f>
        <v>0</v>
      </c>
      <c r="BR44" s="248">
        <f t="shared" ca="1" si="1103"/>
        <v>0</v>
      </c>
      <c r="BS44" s="248">
        <f t="shared" ca="1" si="1103"/>
        <v>0</v>
      </c>
      <c r="BT44" s="248">
        <f t="shared" ca="1" si="1103"/>
        <v>0</v>
      </c>
      <c r="BU44" s="248">
        <f t="shared" ca="1" si="1103"/>
        <v>0</v>
      </c>
      <c r="BV44" s="248">
        <f t="shared" ca="1" si="1103"/>
        <v>0</v>
      </c>
      <c r="BW44" s="248">
        <f t="shared" ca="1" si="1103"/>
        <v>0</v>
      </c>
      <c r="BX44" s="248">
        <f t="shared" ca="1" si="1103"/>
        <v>0</v>
      </c>
      <c r="BY44" s="248">
        <f t="shared" ca="1" si="1103"/>
        <v>0</v>
      </c>
      <c r="BZ44" s="248">
        <f t="shared" ca="1" si="1103"/>
        <v>0</v>
      </c>
      <c r="CA44" s="248">
        <f t="shared" ca="1" si="1103"/>
        <v>0</v>
      </c>
      <c r="CB44" s="248">
        <f t="shared" ca="1" si="1103"/>
        <v>0</v>
      </c>
      <c r="CC44" s="432">
        <f ca="1">SUM(BQ44:CB44)</f>
        <v>0</v>
      </c>
      <c r="CD44" s="248">
        <f t="shared" ref="CD44:CO44" ca="1" si="1104">CD42*CD43</f>
        <v>0</v>
      </c>
      <c r="CE44" s="248">
        <f t="shared" ca="1" si="1104"/>
        <v>0</v>
      </c>
      <c r="CF44" s="248">
        <f t="shared" ca="1" si="1104"/>
        <v>0</v>
      </c>
      <c r="CG44" s="248">
        <f t="shared" ca="1" si="1104"/>
        <v>0</v>
      </c>
      <c r="CH44" s="248">
        <f t="shared" ca="1" si="1104"/>
        <v>0</v>
      </c>
      <c r="CI44" s="248">
        <f t="shared" ca="1" si="1104"/>
        <v>0</v>
      </c>
      <c r="CJ44" s="248">
        <f t="shared" ca="1" si="1104"/>
        <v>0</v>
      </c>
      <c r="CK44" s="248">
        <f t="shared" ca="1" si="1104"/>
        <v>0</v>
      </c>
      <c r="CL44" s="248">
        <f t="shared" ca="1" si="1104"/>
        <v>0</v>
      </c>
      <c r="CM44" s="248">
        <f t="shared" ca="1" si="1104"/>
        <v>0</v>
      </c>
      <c r="CN44" s="248">
        <f t="shared" ca="1" si="1104"/>
        <v>0</v>
      </c>
      <c r="CO44" s="248">
        <f t="shared" ca="1" si="1104"/>
        <v>0</v>
      </c>
      <c r="CP44" s="432">
        <f ca="1">SUM(CD44:CO44)</f>
        <v>0</v>
      </c>
    </row>
    <row r="45" spans="1:94" ht="20.100000000000001" hidden="1" customHeight="1">
      <c r="A45" s="789">
        <f ca="1">OFFSET('Summary. Assumptions. Inputs'!$A$45,'Internmediate sheet'!A44/3,0)</f>
        <v>0</v>
      </c>
      <c r="B45" s="17" t="s">
        <v>609</v>
      </c>
      <c r="C45" s="18"/>
      <c r="D45" s="17">
        <f ca="1">OFFSET('Sales, Production, &amp; Other Assu'!D$18,'Internmediate sheet'!$A44/3,0)*Capacity</f>
        <v>0</v>
      </c>
      <c r="E45" s="17">
        <f ca="1">OFFSET('Sales, Production, &amp; Other Assu'!E$18,'Internmediate sheet'!$A44/3,0)*Capacity</f>
        <v>0</v>
      </c>
      <c r="F45" s="17">
        <f ca="1">OFFSET('Sales, Production, &amp; Other Assu'!F$18,'Internmediate sheet'!$A44/3,0)*Capacity</f>
        <v>0</v>
      </c>
      <c r="G45" s="17">
        <f ca="1">OFFSET('Sales, Production, &amp; Other Assu'!G$18,'Internmediate sheet'!$A44/3,0)*Capacity</f>
        <v>0</v>
      </c>
      <c r="H45" s="17">
        <f ca="1">OFFSET('Sales, Production, &amp; Other Assu'!H$18,'Internmediate sheet'!$A44/3,0)*Capacity</f>
        <v>0</v>
      </c>
      <c r="I45" s="17">
        <f ca="1">OFFSET('Sales, Production, &amp; Other Assu'!I$18,'Internmediate sheet'!$A44/3,0)*Capacity</f>
        <v>0</v>
      </c>
      <c r="J45" s="17">
        <f ca="1">OFFSET('Sales, Production, &amp; Other Assu'!J$18,'Internmediate sheet'!$A44/3,0)*Capacity</f>
        <v>0</v>
      </c>
      <c r="K45" s="17">
        <f ca="1">OFFSET('Sales, Production, &amp; Other Assu'!K$18,'Internmediate sheet'!$A44/3,0)*Capacity</f>
        <v>0</v>
      </c>
      <c r="L45" s="17">
        <f ca="1">OFFSET('Sales, Production, &amp; Other Assu'!L$18,'Internmediate sheet'!$A44/3,0)*Capacity</f>
        <v>0</v>
      </c>
      <c r="M45" s="17">
        <f ca="1">OFFSET('Sales, Production, &amp; Other Assu'!M$18,'Internmediate sheet'!$A44/3,0)*Capacity</f>
        <v>0</v>
      </c>
      <c r="N45" s="17">
        <f ca="1">OFFSET('Sales, Production, &amp; Other Assu'!N$18,'Internmediate sheet'!$A44/3,0)*Capacity</f>
        <v>0</v>
      </c>
      <c r="O45" s="17">
        <f ca="1">OFFSET('Sales, Production, &amp; Other Assu'!O$18,'Internmediate sheet'!$A44/3,0)*Capacity</f>
        <v>0</v>
      </c>
      <c r="P45" s="430">
        <f ca="1">SUM(D45:O45)</f>
        <v>0</v>
      </c>
      <c r="Q45" s="17">
        <f ca="1">OFFSET('Sales, Production, &amp; Other Assu'!Q$18,'Internmediate sheet'!$A44/3,0)*Capacity</f>
        <v>0</v>
      </c>
      <c r="R45" s="17">
        <f ca="1">OFFSET('Sales, Production, &amp; Other Assu'!R$18,'Internmediate sheet'!$A44/3,0)*Capacity</f>
        <v>0</v>
      </c>
      <c r="S45" s="17">
        <f ca="1">OFFSET('Sales, Production, &amp; Other Assu'!S$18,'Internmediate sheet'!$A44/3,0)*Capacity</f>
        <v>0</v>
      </c>
      <c r="T45" s="17">
        <f ca="1">OFFSET('Sales, Production, &amp; Other Assu'!T$18,'Internmediate sheet'!$A44/3,0)*Capacity</f>
        <v>0</v>
      </c>
      <c r="U45" s="17">
        <f ca="1">OFFSET('Sales, Production, &amp; Other Assu'!U$18,'Internmediate sheet'!$A44/3,0)*Capacity</f>
        <v>0</v>
      </c>
      <c r="V45" s="17">
        <f ca="1">OFFSET('Sales, Production, &amp; Other Assu'!V$18,'Internmediate sheet'!$A44/3,0)*Capacity</f>
        <v>0</v>
      </c>
      <c r="W45" s="17">
        <f ca="1">OFFSET('Sales, Production, &amp; Other Assu'!W$18,'Internmediate sheet'!$A44/3,0)*Capacity</f>
        <v>0</v>
      </c>
      <c r="X45" s="17">
        <f ca="1">OFFSET('Sales, Production, &amp; Other Assu'!X$18,'Internmediate sheet'!$A44/3,0)*Capacity</f>
        <v>0</v>
      </c>
      <c r="Y45" s="17">
        <f ca="1">OFFSET('Sales, Production, &amp; Other Assu'!Y$18,'Internmediate sheet'!$A44/3,0)*Capacity</f>
        <v>0</v>
      </c>
      <c r="Z45" s="17">
        <f ca="1">OFFSET('Sales, Production, &amp; Other Assu'!Z$18,'Internmediate sheet'!$A44/3,0)*Capacity</f>
        <v>0</v>
      </c>
      <c r="AA45" s="17">
        <f ca="1">OFFSET('Sales, Production, &amp; Other Assu'!AA$18,'Internmediate sheet'!$A44/3,0)*Capacity</f>
        <v>0</v>
      </c>
      <c r="AB45" s="17">
        <f ca="1">OFFSET('Sales, Production, &amp; Other Assu'!AB$18,'Internmediate sheet'!$A44/3,0)*Capacity</f>
        <v>0</v>
      </c>
      <c r="AC45" s="430">
        <f ca="1">SUM(Q45:AB45)</f>
        <v>0</v>
      </c>
      <c r="AD45" s="17">
        <f ca="1">OFFSET('Sales, Production, &amp; Other Assu'!AD$18,'Internmediate sheet'!$A44/3,0)*Capacity</f>
        <v>0</v>
      </c>
      <c r="AE45" s="17">
        <f ca="1">OFFSET('Sales, Production, &amp; Other Assu'!AE$18,'Internmediate sheet'!$A44/3,0)*Capacity</f>
        <v>0</v>
      </c>
      <c r="AF45" s="17">
        <f ca="1">OFFSET('Sales, Production, &amp; Other Assu'!AF$18,'Internmediate sheet'!$A44/3,0)*Capacity</f>
        <v>0</v>
      </c>
      <c r="AG45" s="17">
        <f ca="1">OFFSET('Sales, Production, &amp; Other Assu'!AG$18,'Internmediate sheet'!$A44/3,0)*Capacity</f>
        <v>0</v>
      </c>
      <c r="AH45" s="17">
        <f ca="1">OFFSET('Sales, Production, &amp; Other Assu'!AH$18,'Internmediate sheet'!$A44/3,0)*Capacity</f>
        <v>0</v>
      </c>
      <c r="AI45" s="17">
        <f ca="1">OFFSET('Sales, Production, &amp; Other Assu'!AI$18,'Internmediate sheet'!$A44/3,0)*Capacity</f>
        <v>0</v>
      </c>
      <c r="AJ45" s="17">
        <f ca="1">OFFSET('Sales, Production, &amp; Other Assu'!AJ$18,'Internmediate sheet'!$A44/3,0)*Capacity</f>
        <v>0</v>
      </c>
      <c r="AK45" s="17">
        <f ca="1">OFFSET('Sales, Production, &amp; Other Assu'!AK$18,'Internmediate sheet'!$A44/3,0)*Capacity</f>
        <v>0</v>
      </c>
      <c r="AL45" s="17">
        <f ca="1">OFFSET('Sales, Production, &amp; Other Assu'!AL$18,'Internmediate sheet'!$A44/3,0)*Capacity</f>
        <v>0</v>
      </c>
      <c r="AM45" s="17">
        <f ca="1">OFFSET('Sales, Production, &amp; Other Assu'!AM$18,'Internmediate sheet'!$A44/3,0)*Capacity</f>
        <v>0</v>
      </c>
      <c r="AN45" s="17">
        <f ca="1">OFFSET('Sales, Production, &amp; Other Assu'!AN$18,'Internmediate sheet'!$A44/3,0)*Capacity</f>
        <v>0</v>
      </c>
      <c r="AO45" s="17">
        <f ca="1">OFFSET('Sales, Production, &amp; Other Assu'!AO$18,'Internmediate sheet'!$A44/3,0)*Capacity</f>
        <v>0</v>
      </c>
      <c r="AP45" s="430">
        <f ca="1">SUM(AD45:AO45)</f>
        <v>0</v>
      </c>
      <c r="AQ45" s="17">
        <f ca="1">OFFSET('Sales, Production, &amp; Other Assu'!AQ$18,'Internmediate sheet'!$A44/3,0)*Capacity</f>
        <v>0</v>
      </c>
      <c r="AR45" s="17">
        <f ca="1">OFFSET('Sales, Production, &amp; Other Assu'!AR$18,'Internmediate sheet'!$A44/3,0)*Capacity</f>
        <v>0</v>
      </c>
      <c r="AS45" s="17">
        <f ca="1">OFFSET('Sales, Production, &amp; Other Assu'!AS$18,'Internmediate sheet'!$A44/3,0)*Capacity</f>
        <v>0</v>
      </c>
      <c r="AT45" s="17">
        <f ca="1">OFFSET('Sales, Production, &amp; Other Assu'!AT$18,'Internmediate sheet'!$A44/3,0)*Capacity</f>
        <v>0</v>
      </c>
      <c r="AU45" s="17">
        <f ca="1">OFFSET('Sales, Production, &amp; Other Assu'!AU$18,'Internmediate sheet'!$A44/3,0)*Capacity</f>
        <v>0</v>
      </c>
      <c r="AV45" s="17">
        <f ca="1">OFFSET('Sales, Production, &amp; Other Assu'!AV$18,'Internmediate sheet'!$A44/3,0)*Capacity</f>
        <v>0</v>
      </c>
      <c r="AW45" s="17">
        <f ca="1">OFFSET('Sales, Production, &amp; Other Assu'!AW$18,'Internmediate sheet'!$A44/3,0)*Capacity</f>
        <v>0</v>
      </c>
      <c r="AX45" s="17">
        <f ca="1">OFFSET('Sales, Production, &amp; Other Assu'!AX$18,'Internmediate sheet'!$A44/3,0)*Capacity</f>
        <v>0</v>
      </c>
      <c r="AY45" s="17">
        <f ca="1">OFFSET('Sales, Production, &amp; Other Assu'!AY$18,'Internmediate sheet'!$A44/3,0)*Capacity</f>
        <v>0</v>
      </c>
      <c r="AZ45" s="17">
        <f ca="1">OFFSET('Sales, Production, &amp; Other Assu'!AZ$18,'Internmediate sheet'!$A44/3,0)*Capacity</f>
        <v>0</v>
      </c>
      <c r="BA45" s="17">
        <f ca="1">OFFSET('Sales, Production, &amp; Other Assu'!BA$18,'Internmediate sheet'!$A44/3,0)*Capacity</f>
        <v>0</v>
      </c>
      <c r="BB45" s="17">
        <f ca="1">OFFSET('Sales, Production, &amp; Other Assu'!BB$18,'Internmediate sheet'!$A44/3,0)*Capacity</f>
        <v>0</v>
      </c>
      <c r="BC45" s="430">
        <f ca="1">SUM(AQ45:BB45)</f>
        <v>0</v>
      </c>
      <c r="BD45" s="17">
        <f ca="1">OFFSET('Sales, Production, &amp; Other Assu'!BD$18,'Internmediate sheet'!$A44/3,0)*Capacity</f>
        <v>0</v>
      </c>
      <c r="BE45" s="17">
        <f ca="1">OFFSET('Sales, Production, &amp; Other Assu'!BE$18,'Internmediate sheet'!$A44/3,0)*Capacity</f>
        <v>0</v>
      </c>
      <c r="BF45" s="17">
        <f ca="1">OFFSET('Sales, Production, &amp; Other Assu'!BF$18,'Internmediate sheet'!$A44/3,0)*Capacity</f>
        <v>0</v>
      </c>
      <c r="BG45" s="17">
        <f ca="1">OFFSET('Sales, Production, &amp; Other Assu'!BG$18,'Internmediate sheet'!$A44/3,0)*Capacity</f>
        <v>0</v>
      </c>
      <c r="BH45" s="17">
        <f ca="1">OFFSET('Sales, Production, &amp; Other Assu'!BH$18,'Internmediate sheet'!$A44/3,0)*Capacity</f>
        <v>0</v>
      </c>
      <c r="BI45" s="17">
        <f ca="1">OFFSET('Sales, Production, &amp; Other Assu'!BI$18,'Internmediate sheet'!$A44/3,0)*Capacity</f>
        <v>0</v>
      </c>
      <c r="BJ45" s="17">
        <f ca="1">OFFSET('Sales, Production, &amp; Other Assu'!BJ$18,'Internmediate sheet'!$A44/3,0)*Capacity</f>
        <v>0</v>
      </c>
      <c r="BK45" s="17">
        <f ca="1">OFFSET('Sales, Production, &amp; Other Assu'!BK$18,'Internmediate sheet'!$A44/3,0)*Capacity</f>
        <v>0</v>
      </c>
      <c r="BL45" s="17">
        <f ca="1">OFFSET('Sales, Production, &amp; Other Assu'!BL$18,'Internmediate sheet'!$A44/3,0)*Capacity</f>
        <v>0</v>
      </c>
      <c r="BM45" s="17">
        <f ca="1">OFFSET('Sales, Production, &amp; Other Assu'!BM$18,'Internmediate sheet'!$A44/3,0)*Capacity</f>
        <v>0</v>
      </c>
      <c r="BN45" s="17">
        <f ca="1">OFFSET('Sales, Production, &amp; Other Assu'!BN$18,'Internmediate sheet'!$A44/3,0)*Capacity</f>
        <v>0</v>
      </c>
      <c r="BO45" s="17">
        <f ca="1">OFFSET('Sales, Production, &amp; Other Assu'!BO$18,'Internmediate sheet'!$A44/3,0)*Capacity</f>
        <v>0</v>
      </c>
      <c r="BP45" s="430">
        <f ca="1">SUM(BD45:BO45)</f>
        <v>0</v>
      </c>
      <c r="BQ45" s="17">
        <f ca="1">OFFSET('Sales, Production, &amp; Other Assu'!BQ$18,'Internmediate sheet'!$A44/3,0)*Capacity</f>
        <v>0</v>
      </c>
      <c r="BR45" s="17">
        <f ca="1">OFFSET('Sales, Production, &amp; Other Assu'!BR$18,'Internmediate sheet'!$A44/3,0)*Capacity</f>
        <v>0</v>
      </c>
      <c r="BS45" s="17">
        <f ca="1">OFFSET('Sales, Production, &amp; Other Assu'!BS$18,'Internmediate sheet'!$A44/3,0)*Capacity</f>
        <v>0</v>
      </c>
      <c r="BT45" s="17">
        <f ca="1">OFFSET('Sales, Production, &amp; Other Assu'!BT$18,'Internmediate sheet'!$A44/3,0)*Capacity</f>
        <v>0</v>
      </c>
      <c r="BU45" s="17">
        <f ca="1">OFFSET('Sales, Production, &amp; Other Assu'!BU$18,'Internmediate sheet'!$A44/3,0)*Capacity</f>
        <v>0</v>
      </c>
      <c r="BV45" s="17">
        <f ca="1">OFFSET('Sales, Production, &amp; Other Assu'!BV$18,'Internmediate sheet'!$A44/3,0)*Capacity</f>
        <v>0</v>
      </c>
      <c r="BW45" s="17">
        <f ca="1">OFFSET('Sales, Production, &amp; Other Assu'!BW$18,'Internmediate sheet'!$A44/3,0)*Capacity</f>
        <v>0</v>
      </c>
      <c r="BX45" s="17">
        <f ca="1">OFFSET('Sales, Production, &amp; Other Assu'!BX$18,'Internmediate sheet'!$A44/3,0)*Capacity</f>
        <v>0</v>
      </c>
      <c r="BY45" s="17">
        <f ca="1">OFFSET('Sales, Production, &amp; Other Assu'!BY$18,'Internmediate sheet'!$A44/3,0)*Capacity</f>
        <v>0</v>
      </c>
      <c r="BZ45" s="17">
        <f ca="1">OFFSET('Sales, Production, &amp; Other Assu'!BZ$18,'Internmediate sheet'!$A44/3,0)*Capacity</f>
        <v>0</v>
      </c>
      <c r="CA45" s="17">
        <f ca="1">OFFSET('Sales, Production, &amp; Other Assu'!CA$18,'Internmediate sheet'!$A44/3,0)*Capacity</f>
        <v>0</v>
      </c>
      <c r="CB45" s="17">
        <f ca="1">OFFSET('Sales, Production, &amp; Other Assu'!CB$18,'Internmediate sheet'!$A44/3,0)*Capacity</f>
        <v>0</v>
      </c>
      <c r="CC45" s="430">
        <f ca="1">SUM(BQ45:CB45)</f>
        <v>0</v>
      </c>
      <c r="CD45" s="17">
        <f ca="1">OFFSET('Sales, Production, &amp; Other Assu'!CD$18,'Internmediate sheet'!$A44/3,0)*Capacity</f>
        <v>0</v>
      </c>
      <c r="CE45" s="17">
        <f ca="1">OFFSET('Sales, Production, &amp; Other Assu'!CE$18,'Internmediate sheet'!$A44/3,0)*Capacity</f>
        <v>0</v>
      </c>
      <c r="CF45" s="17">
        <f ca="1">OFFSET('Sales, Production, &amp; Other Assu'!CF$18,'Internmediate sheet'!$A44/3,0)*Capacity</f>
        <v>0</v>
      </c>
      <c r="CG45" s="17">
        <f ca="1">OFFSET('Sales, Production, &amp; Other Assu'!CG$18,'Internmediate sheet'!$A44/3,0)*Capacity</f>
        <v>0</v>
      </c>
      <c r="CH45" s="17">
        <f ca="1">OFFSET('Sales, Production, &amp; Other Assu'!CH$18,'Internmediate sheet'!$A44/3,0)*Capacity</f>
        <v>0</v>
      </c>
      <c r="CI45" s="17">
        <f ca="1">OFFSET('Sales, Production, &amp; Other Assu'!CI$18,'Internmediate sheet'!$A44/3,0)*Capacity</f>
        <v>0</v>
      </c>
      <c r="CJ45" s="17">
        <f ca="1">OFFSET('Sales, Production, &amp; Other Assu'!CJ$18,'Internmediate sheet'!$A44/3,0)*Capacity</f>
        <v>0</v>
      </c>
      <c r="CK45" s="17">
        <f ca="1">OFFSET('Sales, Production, &amp; Other Assu'!CK$18,'Internmediate sheet'!$A44/3,0)*Capacity</f>
        <v>0</v>
      </c>
      <c r="CL45" s="17">
        <f ca="1">OFFSET('Sales, Production, &amp; Other Assu'!CL$18,'Internmediate sheet'!$A44/3,0)*Capacity</f>
        <v>0</v>
      </c>
      <c r="CM45" s="17">
        <f ca="1">OFFSET('Sales, Production, &amp; Other Assu'!CM$18,'Internmediate sheet'!$A44/3,0)*Capacity</f>
        <v>0</v>
      </c>
      <c r="CN45" s="17">
        <f ca="1">OFFSET('Sales, Production, &amp; Other Assu'!CN$18,'Internmediate sheet'!$A44/3,0)*Capacity</f>
        <v>0</v>
      </c>
      <c r="CO45" s="17">
        <f ca="1">OFFSET('Sales, Production, &amp; Other Assu'!CO$18,'Internmediate sheet'!$A44/3,0)*Capacity</f>
        <v>0</v>
      </c>
      <c r="CP45" s="430">
        <f ca="1">SUM(CD45:CO45)</f>
        <v>0</v>
      </c>
    </row>
    <row r="46" spans="1:94" ht="20.100000000000001" hidden="1" customHeight="1">
      <c r="A46" s="790"/>
      <c r="B46" s="8" t="s">
        <v>610</v>
      </c>
      <c r="C46" s="8">
        <f ca="1">OFFSET('Summary. Assumptions. Inputs'!$F$46,'Internmediate sheet'!A41/3,0)</f>
        <v>0</v>
      </c>
      <c r="D46" s="8">
        <f t="shared" ref="D46:P46" ca="1" si="1105">C46</f>
        <v>0</v>
      </c>
      <c r="E46" s="8">
        <f t="shared" ca="1" si="1105"/>
        <v>0</v>
      </c>
      <c r="F46" s="8">
        <f t="shared" ca="1" si="1105"/>
        <v>0</v>
      </c>
      <c r="G46" s="8">
        <f t="shared" ca="1" si="1105"/>
        <v>0</v>
      </c>
      <c r="H46" s="8">
        <f t="shared" ca="1" si="1105"/>
        <v>0</v>
      </c>
      <c r="I46" s="8">
        <f t="shared" ca="1" si="1105"/>
        <v>0</v>
      </c>
      <c r="J46" s="8">
        <f t="shared" ca="1" si="1105"/>
        <v>0</v>
      </c>
      <c r="K46" s="8">
        <f t="shared" ca="1" si="1105"/>
        <v>0</v>
      </c>
      <c r="L46" s="8">
        <f t="shared" ca="1" si="1105"/>
        <v>0</v>
      </c>
      <c r="M46" s="8">
        <f t="shared" ca="1" si="1105"/>
        <v>0</v>
      </c>
      <c r="N46" s="8">
        <f t="shared" ca="1" si="1105"/>
        <v>0</v>
      </c>
      <c r="O46" s="8">
        <f t="shared" ca="1" si="1105"/>
        <v>0</v>
      </c>
      <c r="P46" s="431">
        <f t="shared" ca="1" si="1105"/>
        <v>0</v>
      </c>
      <c r="Q46" s="8">
        <f t="shared" ref="Q46" ca="1" si="1106">P46</f>
        <v>0</v>
      </c>
      <c r="R46" s="8">
        <f t="shared" ref="R46" ca="1" si="1107">Q46</f>
        <v>0</v>
      </c>
      <c r="S46" s="8">
        <f t="shared" ref="S46" ca="1" si="1108">R46</f>
        <v>0</v>
      </c>
      <c r="T46" s="8">
        <f t="shared" ref="T46" ca="1" si="1109">S46</f>
        <v>0</v>
      </c>
      <c r="U46" s="8">
        <f t="shared" ref="U46" ca="1" si="1110">T46</f>
        <v>0</v>
      </c>
      <c r="V46" s="8">
        <f t="shared" ref="V46" ca="1" si="1111">U46</f>
        <v>0</v>
      </c>
      <c r="W46" s="8">
        <f t="shared" ref="W46" ca="1" si="1112">V46</f>
        <v>0</v>
      </c>
      <c r="X46" s="8">
        <f t="shared" ref="X46" ca="1" si="1113">W46</f>
        <v>0</v>
      </c>
      <c r="Y46" s="8">
        <f t="shared" ref="Y46" ca="1" si="1114">X46</f>
        <v>0</v>
      </c>
      <c r="Z46" s="8">
        <f t="shared" ref="Z46" ca="1" si="1115">Y46</f>
        <v>0</v>
      </c>
      <c r="AA46" s="8">
        <f t="shared" ref="AA46" ca="1" si="1116">Z46</f>
        <v>0</v>
      </c>
      <c r="AB46" s="8">
        <f t="shared" ref="AB46" ca="1" si="1117">AA46</f>
        <v>0</v>
      </c>
      <c r="AC46" s="431">
        <f t="shared" ref="AC46" ca="1" si="1118">AB46</f>
        <v>0</v>
      </c>
      <c r="AD46" s="8">
        <f t="shared" ref="AD46" ca="1" si="1119">AC46</f>
        <v>0</v>
      </c>
      <c r="AE46" s="8">
        <f t="shared" ref="AE46" ca="1" si="1120">AD46</f>
        <v>0</v>
      </c>
      <c r="AF46" s="8">
        <f t="shared" ref="AF46" ca="1" si="1121">AE46</f>
        <v>0</v>
      </c>
      <c r="AG46" s="8">
        <f t="shared" ref="AG46" ca="1" si="1122">AF46</f>
        <v>0</v>
      </c>
      <c r="AH46" s="8">
        <f t="shared" ref="AH46" ca="1" si="1123">AG46</f>
        <v>0</v>
      </c>
      <c r="AI46" s="8">
        <f t="shared" ref="AI46" ca="1" si="1124">AH46</f>
        <v>0</v>
      </c>
      <c r="AJ46" s="8">
        <f t="shared" ref="AJ46" ca="1" si="1125">AI46</f>
        <v>0</v>
      </c>
      <c r="AK46" s="8">
        <f t="shared" ref="AK46" ca="1" si="1126">AJ46</f>
        <v>0</v>
      </c>
      <c r="AL46" s="8">
        <f t="shared" ref="AL46" ca="1" si="1127">AK46</f>
        <v>0</v>
      </c>
      <c r="AM46" s="8">
        <f t="shared" ref="AM46" ca="1" si="1128">AL46</f>
        <v>0</v>
      </c>
      <c r="AN46" s="8">
        <f t="shared" ref="AN46" ca="1" si="1129">AM46</f>
        <v>0</v>
      </c>
      <c r="AO46" s="8">
        <f t="shared" ref="AO46" ca="1" si="1130">AN46</f>
        <v>0</v>
      </c>
      <c r="AP46" s="431">
        <f t="shared" ref="AP46" ca="1" si="1131">AO46</f>
        <v>0</v>
      </c>
      <c r="AQ46" s="8">
        <f ca="1">AP46</f>
        <v>0</v>
      </c>
      <c r="AR46" s="8">
        <f t="shared" ref="AR46" ca="1" si="1132">AQ46</f>
        <v>0</v>
      </c>
      <c r="AS46" s="8">
        <f t="shared" ref="AS46" ca="1" si="1133">AR46</f>
        <v>0</v>
      </c>
      <c r="AT46" s="8">
        <f t="shared" ref="AT46" ca="1" si="1134">AS46</f>
        <v>0</v>
      </c>
      <c r="AU46" s="8">
        <f t="shared" ref="AU46" ca="1" si="1135">AT46</f>
        <v>0</v>
      </c>
      <c r="AV46" s="8">
        <f t="shared" ref="AV46" ca="1" si="1136">AU46</f>
        <v>0</v>
      </c>
      <c r="AW46" s="8">
        <f t="shared" ref="AW46" ca="1" si="1137">AV46</f>
        <v>0</v>
      </c>
      <c r="AX46" s="8">
        <f t="shared" ref="AX46" ca="1" si="1138">AW46</f>
        <v>0</v>
      </c>
      <c r="AY46" s="8">
        <f t="shared" ref="AY46" ca="1" si="1139">AX46</f>
        <v>0</v>
      </c>
      <c r="AZ46" s="8">
        <f t="shared" ref="AZ46" ca="1" si="1140">AY46</f>
        <v>0</v>
      </c>
      <c r="BA46" s="8">
        <f t="shared" ref="BA46" ca="1" si="1141">AZ46</f>
        <v>0</v>
      </c>
      <c r="BB46" s="8">
        <f t="shared" ref="BB46" ca="1" si="1142">BA46</f>
        <v>0</v>
      </c>
      <c r="BC46" s="431">
        <f t="shared" ref="BC46" ca="1" si="1143">BB46</f>
        <v>0</v>
      </c>
      <c r="BD46" s="8">
        <f t="shared" ref="BD46" ca="1" si="1144">BC46</f>
        <v>0</v>
      </c>
      <c r="BE46" s="8">
        <f t="shared" ref="BE46" ca="1" si="1145">BD46</f>
        <v>0</v>
      </c>
      <c r="BF46" s="8">
        <f t="shared" ref="BF46" ca="1" si="1146">BE46</f>
        <v>0</v>
      </c>
      <c r="BG46" s="8">
        <f t="shared" ref="BG46" ca="1" si="1147">BF46</f>
        <v>0</v>
      </c>
      <c r="BH46" s="8">
        <f t="shared" ref="BH46" ca="1" si="1148">BG46</f>
        <v>0</v>
      </c>
      <c r="BI46" s="8">
        <f t="shared" ref="BI46" ca="1" si="1149">BH46</f>
        <v>0</v>
      </c>
      <c r="BJ46" s="8">
        <f t="shared" ref="BJ46" ca="1" si="1150">BI46</f>
        <v>0</v>
      </c>
      <c r="BK46" s="8">
        <f t="shared" ref="BK46" ca="1" si="1151">BJ46</f>
        <v>0</v>
      </c>
      <c r="BL46" s="8">
        <f t="shared" ref="BL46" ca="1" si="1152">BK46</f>
        <v>0</v>
      </c>
      <c r="BM46" s="8">
        <f t="shared" ref="BM46" ca="1" si="1153">BL46</f>
        <v>0</v>
      </c>
      <c r="BN46" s="8">
        <f t="shared" ref="BN46" ca="1" si="1154">BM46</f>
        <v>0</v>
      </c>
      <c r="BO46" s="8">
        <f t="shared" ref="BO46" ca="1" si="1155">BN46</f>
        <v>0</v>
      </c>
      <c r="BP46" s="431">
        <f t="shared" ref="BP46" ca="1" si="1156">BO46</f>
        <v>0</v>
      </c>
      <c r="BQ46" s="8">
        <f t="shared" ref="BQ46" ca="1" si="1157">BP46</f>
        <v>0</v>
      </c>
      <c r="BR46" s="8">
        <f t="shared" ref="BR46" ca="1" si="1158">BQ46</f>
        <v>0</v>
      </c>
      <c r="BS46" s="8">
        <f t="shared" ref="BS46" ca="1" si="1159">BR46</f>
        <v>0</v>
      </c>
      <c r="BT46" s="8">
        <f t="shared" ref="BT46" ca="1" si="1160">BS46</f>
        <v>0</v>
      </c>
      <c r="BU46" s="8">
        <f t="shared" ref="BU46" ca="1" si="1161">BT46</f>
        <v>0</v>
      </c>
      <c r="BV46" s="8">
        <f t="shared" ref="BV46" ca="1" si="1162">BU46</f>
        <v>0</v>
      </c>
      <c r="BW46" s="8">
        <f t="shared" ref="BW46" ca="1" si="1163">BV46</f>
        <v>0</v>
      </c>
      <c r="BX46" s="8">
        <f t="shared" ref="BX46" ca="1" si="1164">BW46</f>
        <v>0</v>
      </c>
      <c r="BY46" s="8">
        <f t="shared" ref="BY46" ca="1" si="1165">BX46</f>
        <v>0</v>
      </c>
      <c r="BZ46" s="8">
        <f t="shared" ref="BZ46" ca="1" si="1166">BY46</f>
        <v>0</v>
      </c>
      <c r="CA46" s="8">
        <f t="shared" ref="CA46" ca="1" si="1167">BZ46</f>
        <v>0</v>
      </c>
      <c r="CB46" s="8">
        <f t="shared" ref="CB46" ca="1" si="1168">CA46</f>
        <v>0</v>
      </c>
      <c r="CC46" s="431">
        <f t="shared" ref="CC46" ca="1" si="1169">CB46</f>
        <v>0</v>
      </c>
      <c r="CD46" s="8">
        <f t="shared" ref="CD46" ca="1" si="1170">CC46</f>
        <v>0</v>
      </c>
      <c r="CE46" s="8">
        <f t="shared" ref="CE46" ca="1" si="1171">CD46</f>
        <v>0</v>
      </c>
      <c r="CF46" s="8">
        <f t="shared" ref="CF46" ca="1" si="1172">CE46</f>
        <v>0</v>
      </c>
      <c r="CG46" s="8">
        <f t="shared" ref="CG46" ca="1" si="1173">CF46</f>
        <v>0</v>
      </c>
      <c r="CH46" s="8">
        <f t="shared" ref="CH46" ca="1" si="1174">CG46</f>
        <v>0</v>
      </c>
      <c r="CI46" s="8">
        <f t="shared" ref="CI46" ca="1" si="1175">CH46</f>
        <v>0</v>
      </c>
      <c r="CJ46" s="8">
        <f t="shared" ref="CJ46" ca="1" si="1176">CI46</f>
        <v>0</v>
      </c>
      <c r="CK46" s="8">
        <f t="shared" ref="CK46" ca="1" si="1177">CJ46</f>
        <v>0</v>
      </c>
      <c r="CL46" s="8">
        <f t="shared" ref="CL46" ca="1" si="1178">CK46</f>
        <v>0</v>
      </c>
      <c r="CM46" s="8">
        <f t="shared" ref="CM46" ca="1" si="1179">CL46</f>
        <v>0</v>
      </c>
      <c r="CN46" s="8">
        <f t="shared" ref="CN46" ca="1" si="1180">CM46</f>
        <v>0</v>
      </c>
      <c r="CO46" s="8">
        <f t="shared" ref="CO46" ca="1" si="1181">CN46</f>
        <v>0</v>
      </c>
      <c r="CP46" s="431">
        <f t="shared" ref="CP46" ca="1" si="1182">CO46</f>
        <v>0</v>
      </c>
    </row>
    <row r="47" spans="1:94" ht="20.100000000000001" hidden="1" customHeight="1">
      <c r="A47" s="791"/>
      <c r="B47" s="248" t="s">
        <v>611</v>
      </c>
      <c r="C47" s="249">
        <f t="shared" ref="C47:O47" ca="1" si="1183">C45*C46</f>
        <v>0</v>
      </c>
      <c r="D47" s="248">
        <f t="shared" ca="1" si="1183"/>
        <v>0</v>
      </c>
      <c r="E47" s="248">
        <f t="shared" ca="1" si="1183"/>
        <v>0</v>
      </c>
      <c r="F47" s="248">
        <f t="shared" ca="1" si="1183"/>
        <v>0</v>
      </c>
      <c r="G47" s="248">
        <f t="shared" ca="1" si="1183"/>
        <v>0</v>
      </c>
      <c r="H47" s="248">
        <f t="shared" ca="1" si="1183"/>
        <v>0</v>
      </c>
      <c r="I47" s="248">
        <f t="shared" ca="1" si="1183"/>
        <v>0</v>
      </c>
      <c r="J47" s="248">
        <f t="shared" ca="1" si="1183"/>
        <v>0</v>
      </c>
      <c r="K47" s="248">
        <f t="shared" ca="1" si="1183"/>
        <v>0</v>
      </c>
      <c r="L47" s="248">
        <f t="shared" ca="1" si="1183"/>
        <v>0</v>
      </c>
      <c r="M47" s="248">
        <f t="shared" ca="1" si="1183"/>
        <v>0</v>
      </c>
      <c r="N47" s="248">
        <f t="shared" ca="1" si="1183"/>
        <v>0</v>
      </c>
      <c r="O47" s="248">
        <f t="shared" ca="1" si="1183"/>
        <v>0</v>
      </c>
      <c r="P47" s="432">
        <f ca="1">SUM(D47:O47)</f>
        <v>0</v>
      </c>
      <c r="Q47" s="248">
        <f t="shared" ref="Q47:AB47" ca="1" si="1184">Q45*Q46</f>
        <v>0</v>
      </c>
      <c r="R47" s="248">
        <f t="shared" ca="1" si="1184"/>
        <v>0</v>
      </c>
      <c r="S47" s="248">
        <f t="shared" ca="1" si="1184"/>
        <v>0</v>
      </c>
      <c r="T47" s="248">
        <f t="shared" ca="1" si="1184"/>
        <v>0</v>
      </c>
      <c r="U47" s="248">
        <f t="shared" ca="1" si="1184"/>
        <v>0</v>
      </c>
      <c r="V47" s="248">
        <f t="shared" ca="1" si="1184"/>
        <v>0</v>
      </c>
      <c r="W47" s="248">
        <f t="shared" ca="1" si="1184"/>
        <v>0</v>
      </c>
      <c r="X47" s="248">
        <f t="shared" ca="1" si="1184"/>
        <v>0</v>
      </c>
      <c r="Y47" s="248">
        <f t="shared" ca="1" si="1184"/>
        <v>0</v>
      </c>
      <c r="Z47" s="248">
        <f t="shared" ca="1" si="1184"/>
        <v>0</v>
      </c>
      <c r="AA47" s="248">
        <f t="shared" ca="1" si="1184"/>
        <v>0</v>
      </c>
      <c r="AB47" s="248">
        <f t="shared" ca="1" si="1184"/>
        <v>0</v>
      </c>
      <c r="AC47" s="432">
        <f ca="1">SUM(Q47:AB47)</f>
        <v>0</v>
      </c>
      <c r="AD47" s="248">
        <f t="shared" ref="AD47:AO47" ca="1" si="1185">AD45*AD46</f>
        <v>0</v>
      </c>
      <c r="AE47" s="248">
        <f t="shared" ca="1" si="1185"/>
        <v>0</v>
      </c>
      <c r="AF47" s="248">
        <f t="shared" ca="1" si="1185"/>
        <v>0</v>
      </c>
      <c r="AG47" s="248">
        <f t="shared" ca="1" si="1185"/>
        <v>0</v>
      </c>
      <c r="AH47" s="248">
        <f t="shared" ca="1" si="1185"/>
        <v>0</v>
      </c>
      <c r="AI47" s="248">
        <f t="shared" ca="1" si="1185"/>
        <v>0</v>
      </c>
      <c r="AJ47" s="248">
        <f t="shared" ca="1" si="1185"/>
        <v>0</v>
      </c>
      <c r="AK47" s="248">
        <f t="shared" ca="1" si="1185"/>
        <v>0</v>
      </c>
      <c r="AL47" s="248">
        <f t="shared" ca="1" si="1185"/>
        <v>0</v>
      </c>
      <c r="AM47" s="248">
        <f t="shared" ca="1" si="1185"/>
        <v>0</v>
      </c>
      <c r="AN47" s="248">
        <f t="shared" ca="1" si="1185"/>
        <v>0</v>
      </c>
      <c r="AO47" s="248">
        <f t="shared" ca="1" si="1185"/>
        <v>0</v>
      </c>
      <c r="AP47" s="432">
        <f ca="1">SUM(AD47:AO47)</f>
        <v>0</v>
      </c>
      <c r="AQ47" s="248">
        <f t="shared" ref="AQ47:BB47" ca="1" si="1186">AQ45*AQ46</f>
        <v>0</v>
      </c>
      <c r="AR47" s="248">
        <f t="shared" ca="1" si="1186"/>
        <v>0</v>
      </c>
      <c r="AS47" s="248">
        <f t="shared" ca="1" si="1186"/>
        <v>0</v>
      </c>
      <c r="AT47" s="248">
        <f t="shared" ca="1" si="1186"/>
        <v>0</v>
      </c>
      <c r="AU47" s="248">
        <f t="shared" ca="1" si="1186"/>
        <v>0</v>
      </c>
      <c r="AV47" s="248">
        <f t="shared" ca="1" si="1186"/>
        <v>0</v>
      </c>
      <c r="AW47" s="248">
        <f t="shared" ca="1" si="1186"/>
        <v>0</v>
      </c>
      <c r="AX47" s="248">
        <f t="shared" ca="1" si="1186"/>
        <v>0</v>
      </c>
      <c r="AY47" s="248">
        <f t="shared" ca="1" si="1186"/>
        <v>0</v>
      </c>
      <c r="AZ47" s="248">
        <f t="shared" ca="1" si="1186"/>
        <v>0</v>
      </c>
      <c r="BA47" s="248">
        <f t="shared" ca="1" si="1186"/>
        <v>0</v>
      </c>
      <c r="BB47" s="248">
        <f t="shared" ca="1" si="1186"/>
        <v>0</v>
      </c>
      <c r="BC47" s="432">
        <f ca="1">SUM(AQ47:BB47)</f>
        <v>0</v>
      </c>
      <c r="BD47" s="248">
        <f t="shared" ref="BD47:BO47" ca="1" si="1187">BD45*BD46</f>
        <v>0</v>
      </c>
      <c r="BE47" s="248">
        <f t="shared" ca="1" si="1187"/>
        <v>0</v>
      </c>
      <c r="BF47" s="248">
        <f t="shared" ca="1" si="1187"/>
        <v>0</v>
      </c>
      <c r="BG47" s="248">
        <f t="shared" ca="1" si="1187"/>
        <v>0</v>
      </c>
      <c r="BH47" s="248">
        <f t="shared" ca="1" si="1187"/>
        <v>0</v>
      </c>
      <c r="BI47" s="248">
        <f t="shared" ca="1" si="1187"/>
        <v>0</v>
      </c>
      <c r="BJ47" s="248">
        <f t="shared" ca="1" si="1187"/>
        <v>0</v>
      </c>
      <c r="BK47" s="248">
        <f t="shared" ca="1" si="1187"/>
        <v>0</v>
      </c>
      <c r="BL47" s="248">
        <f t="shared" ca="1" si="1187"/>
        <v>0</v>
      </c>
      <c r="BM47" s="248">
        <f t="shared" ca="1" si="1187"/>
        <v>0</v>
      </c>
      <c r="BN47" s="248">
        <f t="shared" ca="1" si="1187"/>
        <v>0</v>
      </c>
      <c r="BO47" s="248">
        <f t="shared" ca="1" si="1187"/>
        <v>0</v>
      </c>
      <c r="BP47" s="432">
        <f ca="1">SUM(BD47:BO47)</f>
        <v>0</v>
      </c>
      <c r="BQ47" s="248">
        <f t="shared" ref="BQ47:CB47" ca="1" si="1188">BQ45*BQ46</f>
        <v>0</v>
      </c>
      <c r="BR47" s="248">
        <f t="shared" ca="1" si="1188"/>
        <v>0</v>
      </c>
      <c r="BS47" s="248">
        <f t="shared" ca="1" si="1188"/>
        <v>0</v>
      </c>
      <c r="BT47" s="248">
        <f t="shared" ca="1" si="1188"/>
        <v>0</v>
      </c>
      <c r="BU47" s="248">
        <f t="shared" ca="1" si="1188"/>
        <v>0</v>
      </c>
      <c r="BV47" s="248">
        <f t="shared" ca="1" si="1188"/>
        <v>0</v>
      </c>
      <c r="BW47" s="248">
        <f t="shared" ca="1" si="1188"/>
        <v>0</v>
      </c>
      <c r="BX47" s="248">
        <f t="shared" ca="1" si="1188"/>
        <v>0</v>
      </c>
      <c r="BY47" s="248">
        <f t="shared" ca="1" si="1188"/>
        <v>0</v>
      </c>
      <c r="BZ47" s="248">
        <f t="shared" ca="1" si="1188"/>
        <v>0</v>
      </c>
      <c r="CA47" s="248">
        <f t="shared" ca="1" si="1188"/>
        <v>0</v>
      </c>
      <c r="CB47" s="248">
        <f t="shared" ca="1" si="1188"/>
        <v>0</v>
      </c>
      <c r="CC47" s="432">
        <f ca="1">SUM(BQ47:CB47)</f>
        <v>0</v>
      </c>
      <c r="CD47" s="248">
        <f t="shared" ref="CD47:CO47" ca="1" si="1189">CD45*CD46</f>
        <v>0</v>
      </c>
      <c r="CE47" s="248">
        <f t="shared" ca="1" si="1189"/>
        <v>0</v>
      </c>
      <c r="CF47" s="248">
        <f t="shared" ca="1" si="1189"/>
        <v>0</v>
      </c>
      <c r="CG47" s="248">
        <f t="shared" ca="1" si="1189"/>
        <v>0</v>
      </c>
      <c r="CH47" s="248">
        <f t="shared" ca="1" si="1189"/>
        <v>0</v>
      </c>
      <c r="CI47" s="248">
        <f t="shared" ca="1" si="1189"/>
        <v>0</v>
      </c>
      <c r="CJ47" s="248">
        <f t="shared" ca="1" si="1189"/>
        <v>0</v>
      </c>
      <c r="CK47" s="248">
        <f t="shared" ca="1" si="1189"/>
        <v>0</v>
      </c>
      <c r="CL47" s="248">
        <f t="shared" ca="1" si="1189"/>
        <v>0</v>
      </c>
      <c r="CM47" s="248">
        <f t="shared" ca="1" si="1189"/>
        <v>0</v>
      </c>
      <c r="CN47" s="248">
        <f t="shared" ca="1" si="1189"/>
        <v>0</v>
      </c>
      <c r="CO47" s="248">
        <f t="shared" ca="1" si="1189"/>
        <v>0</v>
      </c>
      <c r="CP47" s="432">
        <f ca="1">SUM(CD47:CO47)</f>
        <v>0</v>
      </c>
    </row>
    <row r="48" spans="1:94" ht="20.100000000000001" hidden="1" customHeight="1">
      <c r="A48" s="789">
        <f ca="1">OFFSET('Summary. Assumptions. Inputs'!$A$45,'Internmediate sheet'!A47/3,0)</f>
        <v>0</v>
      </c>
      <c r="B48" s="17" t="s">
        <v>609</v>
      </c>
      <c r="C48" s="18"/>
      <c r="D48" s="17">
        <f ca="1">OFFSET('Sales, Production, &amp; Other Assu'!D$18,'Internmediate sheet'!$A47/3,0)*Capacity</f>
        <v>0</v>
      </c>
      <c r="E48" s="17">
        <f ca="1">OFFSET('Sales, Production, &amp; Other Assu'!E$18,'Internmediate sheet'!$A47/3,0)*Capacity</f>
        <v>0</v>
      </c>
      <c r="F48" s="17">
        <f ca="1">OFFSET('Sales, Production, &amp; Other Assu'!F$18,'Internmediate sheet'!$A47/3,0)*Capacity</f>
        <v>0</v>
      </c>
      <c r="G48" s="17">
        <f ca="1">OFFSET('Sales, Production, &amp; Other Assu'!G$18,'Internmediate sheet'!$A47/3,0)*Capacity</f>
        <v>0</v>
      </c>
      <c r="H48" s="17">
        <f ca="1">OFFSET('Sales, Production, &amp; Other Assu'!H$18,'Internmediate sheet'!$A47/3,0)*Capacity</f>
        <v>0</v>
      </c>
      <c r="I48" s="17">
        <f ca="1">OFFSET('Sales, Production, &amp; Other Assu'!I$18,'Internmediate sheet'!$A47/3,0)*Capacity</f>
        <v>0</v>
      </c>
      <c r="J48" s="17">
        <f ca="1">OFFSET('Sales, Production, &amp; Other Assu'!J$18,'Internmediate sheet'!$A47/3,0)*Capacity</f>
        <v>0</v>
      </c>
      <c r="K48" s="17">
        <f ca="1">OFFSET('Sales, Production, &amp; Other Assu'!K$18,'Internmediate sheet'!$A47/3,0)*Capacity</f>
        <v>0</v>
      </c>
      <c r="L48" s="17">
        <f ca="1">OFFSET('Sales, Production, &amp; Other Assu'!L$18,'Internmediate sheet'!$A47/3,0)*Capacity</f>
        <v>0</v>
      </c>
      <c r="M48" s="17">
        <f ca="1">OFFSET('Sales, Production, &amp; Other Assu'!M$18,'Internmediate sheet'!$A47/3,0)*Capacity</f>
        <v>0</v>
      </c>
      <c r="N48" s="17">
        <f ca="1">OFFSET('Sales, Production, &amp; Other Assu'!N$18,'Internmediate sheet'!$A47/3,0)*Capacity</f>
        <v>0</v>
      </c>
      <c r="O48" s="17">
        <f ca="1">OFFSET('Sales, Production, &amp; Other Assu'!O$18,'Internmediate sheet'!$A47/3,0)*Capacity</f>
        <v>0</v>
      </c>
      <c r="P48" s="430">
        <f ca="1">SUM(D48:O48)</f>
        <v>0</v>
      </c>
      <c r="Q48" s="17">
        <f ca="1">OFFSET('Sales, Production, &amp; Other Assu'!Q$18,'Internmediate sheet'!$A47/3,0)*Capacity</f>
        <v>0</v>
      </c>
      <c r="R48" s="17">
        <f ca="1">OFFSET('Sales, Production, &amp; Other Assu'!R$18,'Internmediate sheet'!$A47/3,0)*Capacity</f>
        <v>0</v>
      </c>
      <c r="S48" s="17">
        <f ca="1">OFFSET('Sales, Production, &amp; Other Assu'!S$18,'Internmediate sheet'!$A47/3,0)*Capacity</f>
        <v>0</v>
      </c>
      <c r="T48" s="17">
        <f ca="1">OFFSET('Sales, Production, &amp; Other Assu'!T$18,'Internmediate sheet'!$A47/3,0)*Capacity</f>
        <v>0</v>
      </c>
      <c r="U48" s="17">
        <f ca="1">OFFSET('Sales, Production, &amp; Other Assu'!U$18,'Internmediate sheet'!$A47/3,0)*Capacity</f>
        <v>0</v>
      </c>
      <c r="V48" s="17">
        <f ca="1">OFFSET('Sales, Production, &amp; Other Assu'!V$18,'Internmediate sheet'!$A47/3,0)*Capacity</f>
        <v>0</v>
      </c>
      <c r="W48" s="17">
        <f ca="1">OFFSET('Sales, Production, &amp; Other Assu'!W$18,'Internmediate sheet'!$A47/3,0)*Capacity</f>
        <v>0</v>
      </c>
      <c r="X48" s="17">
        <f ca="1">OFFSET('Sales, Production, &amp; Other Assu'!X$18,'Internmediate sheet'!$A47/3,0)*Capacity</f>
        <v>0</v>
      </c>
      <c r="Y48" s="17">
        <f ca="1">OFFSET('Sales, Production, &amp; Other Assu'!Y$18,'Internmediate sheet'!$A47/3,0)*Capacity</f>
        <v>0</v>
      </c>
      <c r="Z48" s="17">
        <f ca="1">OFFSET('Sales, Production, &amp; Other Assu'!Z$18,'Internmediate sheet'!$A47/3,0)*Capacity</f>
        <v>0</v>
      </c>
      <c r="AA48" s="17">
        <f ca="1">OFFSET('Sales, Production, &amp; Other Assu'!AA$18,'Internmediate sheet'!$A47/3,0)*Capacity</f>
        <v>0</v>
      </c>
      <c r="AB48" s="17">
        <f ca="1">OFFSET('Sales, Production, &amp; Other Assu'!AB$18,'Internmediate sheet'!$A47/3,0)*Capacity</f>
        <v>0</v>
      </c>
      <c r="AC48" s="430">
        <f ca="1">SUM(Q48:AB48)</f>
        <v>0</v>
      </c>
      <c r="AD48" s="17">
        <f ca="1">OFFSET('Sales, Production, &amp; Other Assu'!AD$18,'Internmediate sheet'!$A47/3,0)*Capacity</f>
        <v>0</v>
      </c>
      <c r="AE48" s="17">
        <f ca="1">OFFSET('Sales, Production, &amp; Other Assu'!AE$18,'Internmediate sheet'!$A47/3,0)*Capacity</f>
        <v>0</v>
      </c>
      <c r="AF48" s="17">
        <f ca="1">OFFSET('Sales, Production, &amp; Other Assu'!AF$18,'Internmediate sheet'!$A47/3,0)*Capacity</f>
        <v>0</v>
      </c>
      <c r="AG48" s="17">
        <f ca="1">OFFSET('Sales, Production, &amp; Other Assu'!AG$18,'Internmediate sheet'!$A47/3,0)*Capacity</f>
        <v>0</v>
      </c>
      <c r="AH48" s="17">
        <f ca="1">OFFSET('Sales, Production, &amp; Other Assu'!AH$18,'Internmediate sheet'!$A47/3,0)*Capacity</f>
        <v>0</v>
      </c>
      <c r="AI48" s="17">
        <f ca="1">OFFSET('Sales, Production, &amp; Other Assu'!AI$18,'Internmediate sheet'!$A47/3,0)*Capacity</f>
        <v>0</v>
      </c>
      <c r="AJ48" s="17">
        <f ca="1">OFFSET('Sales, Production, &amp; Other Assu'!AJ$18,'Internmediate sheet'!$A47/3,0)*Capacity</f>
        <v>0</v>
      </c>
      <c r="AK48" s="17">
        <f ca="1">OFFSET('Sales, Production, &amp; Other Assu'!AK$18,'Internmediate sheet'!$A47/3,0)*Capacity</f>
        <v>0</v>
      </c>
      <c r="AL48" s="17">
        <f ca="1">OFFSET('Sales, Production, &amp; Other Assu'!AL$18,'Internmediate sheet'!$A47/3,0)*Capacity</f>
        <v>0</v>
      </c>
      <c r="AM48" s="17">
        <f ca="1">OFFSET('Sales, Production, &amp; Other Assu'!AM$18,'Internmediate sheet'!$A47/3,0)*Capacity</f>
        <v>0</v>
      </c>
      <c r="AN48" s="17">
        <f ca="1">OFFSET('Sales, Production, &amp; Other Assu'!AN$18,'Internmediate sheet'!$A47/3,0)*Capacity</f>
        <v>0</v>
      </c>
      <c r="AO48" s="17">
        <f ca="1">OFFSET('Sales, Production, &amp; Other Assu'!AO$18,'Internmediate sheet'!$A47/3,0)*Capacity</f>
        <v>0</v>
      </c>
      <c r="AP48" s="430">
        <f ca="1">SUM(AD48:AO48)</f>
        <v>0</v>
      </c>
      <c r="AQ48" s="17">
        <f ca="1">OFFSET('Sales, Production, &amp; Other Assu'!AQ$18,'Internmediate sheet'!$A47/3,0)*Capacity</f>
        <v>0</v>
      </c>
      <c r="AR48" s="17">
        <f ca="1">OFFSET('Sales, Production, &amp; Other Assu'!AR$18,'Internmediate sheet'!$A47/3,0)*Capacity</f>
        <v>0</v>
      </c>
      <c r="AS48" s="17">
        <f ca="1">OFFSET('Sales, Production, &amp; Other Assu'!AS$18,'Internmediate sheet'!$A47/3,0)*Capacity</f>
        <v>0</v>
      </c>
      <c r="AT48" s="17">
        <f ca="1">OFFSET('Sales, Production, &amp; Other Assu'!AT$18,'Internmediate sheet'!$A47/3,0)*Capacity</f>
        <v>0</v>
      </c>
      <c r="AU48" s="17">
        <f ca="1">OFFSET('Sales, Production, &amp; Other Assu'!AU$18,'Internmediate sheet'!$A47/3,0)*Capacity</f>
        <v>0</v>
      </c>
      <c r="AV48" s="17">
        <f ca="1">OFFSET('Sales, Production, &amp; Other Assu'!AV$18,'Internmediate sheet'!$A47/3,0)*Capacity</f>
        <v>0</v>
      </c>
      <c r="AW48" s="17">
        <f ca="1">OFFSET('Sales, Production, &amp; Other Assu'!AW$18,'Internmediate sheet'!$A47/3,0)*Capacity</f>
        <v>0</v>
      </c>
      <c r="AX48" s="17">
        <f ca="1">OFFSET('Sales, Production, &amp; Other Assu'!AX$18,'Internmediate sheet'!$A47/3,0)*Capacity</f>
        <v>0</v>
      </c>
      <c r="AY48" s="17">
        <f ca="1">OFFSET('Sales, Production, &amp; Other Assu'!AY$18,'Internmediate sheet'!$A47/3,0)*Capacity</f>
        <v>0</v>
      </c>
      <c r="AZ48" s="17">
        <f ca="1">OFFSET('Sales, Production, &amp; Other Assu'!AZ$18,'Internmediate sheet'!$A47/3,0)*Capacity</f>
        <v>0</v>
      </c>
      <c r="BA48" s="17">
        <f ca="1">OFFSET('Sales, Production, &amp; Other Assu'!BA$18,'Internmediate sheet'!$A47/3,0)*Capacity</f>
        <v>0</v>
      </c>
      <c r="BB48" s="17">
        <f ca="1">OFFSET('Sales, Production, &amp; Other Assu'!BB$18,'Internmediate sheet'!$A47/3,0)*Capacity</f>
        <v>0</v>
      </c>
      <c r="BC48" s="430">
        <f ca="1">SUM(AQ48:BB48)</f>
        <v>0</v>
      </c>
      <c r="BD48" s="17">
        <f ca="1">OFFSET('Sales, Production, &amp; Other Assu'!BD$18,'Internmediate sheet'!$A47/3,0)*Capacity</f>
        <v>0</v>
      </c>
      <c r="BE48" s="17">
        <f ca="1">OFFSET('Sales, Production, &amp; Other Assu'!BE$18,'Internmediate sheet'!$A47/3,0)*Capacity</f>
        <v>0</v>
      </c>
      <c r="BF48" s="17">
        <f ca="1">OFFSET('Sales, Production, &amp; Other Assu'!BF$18,'Internmediate sheet'!$A47/3,0)*Capacity</f>
        <v>0</v>
      </c>
      <c r="BG48" s="17">
        <f ca="1">OFFSET('Sales, Production, &amp; Other Assu'!BG$18,'Internmediate sheet'!$A47/3,0)*Capacity</f>
        <v>0</v>
      </c>
      <c r="BH48" s="17">
        <f ca="1">OFFSET('Sales, Production, &amp; Other Assu'!BH$18,'Internmediate sheet'!$A47/3,0)*Capacity</f>
        <v>0</v>
      </c>
      <c r="BI48" s="17">
        <f ca="1">OFFSET('Sales, Production, &amp; Other Assu'!BI$18,'Internmediate sheet'!$A47/3,0)*Capacity</f>
        <v>0</v>
      </c>
      <c r="BJ48" s="17">
        <f ca="1">OFFSET('Sales, Production, &amp; Other Assu'!BJ$18,'Internmediate sheet'!$A47/3,0)*Capacity</f>
        <v>0</v>
      </c>
      <c r="BK48" s="17">
        <f ca="1">OFFSET('Sales, Production, &amp; Other Assu'!BK$18,'Internmediate sheet'!$A47/3,0)*Capacity</f>
        <v>0</v>
      </c>
      <c r="BL48" s="17">
        <f ca="1">OFFSET('Sales, Production, &amp; Other Assu'!BL$18,'Internmediate sheet'!$A47/3,0)*Capacity</f>
        <v>0</v>
      </c>
      <c r="BM48" s="17">
        <f ca="1">OFFSET('Sales, Production, &amp; Other Assu'!BM$18,'Internmediate sheet'!$A47/3,0)*Capacity</f>
        <v>0</v>
      </c>
      <c r="BN48" s="17">
        <f ca="1">OFFSET('Sales, Production, &amp; Other Assu'!BN$18,'Internmediate sheet'!$A47/3,0)*Capacity</f>
        <v>0</v>
      </c>
      <c r="BO48" s="17">
        <f ca="1">OFFSET('Sales, Production, &amp; Other Assu'!BO$18,'Internmediate sheet'!$A47/3,0)*Capacity</f>
        <v>0</v>
      </c>
      <c r="BP48" s="430">
        <f ca="1">SUM(BD48:BO48)</f>
        <v>0</v>
      </c>
      <c r="BQ48" s="17">
        <f ca="1">OFFSET('Sales, Production, &amp; Other Assu'!BQ$18,'Internmediate sheet'!$A47/3,0)*Capacity</f>
        <v>0</v>
      </c>
      <c r="BR48" s="17">
        <f ca="1">OFFSET('Sales, Production, &amp; Other Assu'!BR$18,'Internmediate sheet'!$A47/3,0)*Capacity</f>
        <v>0</v>
      </c>
      <c r="BS48" s="17">
        <f ca="1">OFFSET('Sales, Production, &amp; Other Assu'!BS$18,'Internmediate sheet'!$A47/3,0)*Capacity</f>
        <v>0</v>
      </c>
      <c r="BT48" s="17">
        <f ca="1">OFFSET('Sales, Production, &amp; Other Assu'!BT$18,'Internmediate sheet'!$A47/3,0)*Capacity</f>
        <v>0</v>
      </c>
      <c r="BU48" s="17">
        <f ca="1">OFFSET('Sales, Production, &amp; Other Assu'!BU$18,'Internmediate sheet'!$A47/3,0)*Capacity</f>
        <v>0</v>
      </c>
      <c r="BV48" s="17">
        <f ca="1">OFFSET('Sales, Production, &amp; Other Assu'!BV$18,'Internmediate sheet'!$A47/3,0)*Capacity</f>
        <v>0</v>
      </c>
      <c r="BW48" s="17">
        <f ca="1">OFFSET('Sales, Production, &amp; Other Assu'!BW$18,'Internmediate sheet'!$A47/3,0)*Capacity</f>
        <v>0</v>
      </c>
      <c r="BX48" s="17">
        <f ca="1">OFFSET('Sales, Production, &amp; Other Assu'!BX$18,'Internmediate sheet'!$A47/3,0)*Capacity</f>
        <v>0</v>
      </c>
      <c r="BY48" s="17">
        <f ca="1">OFFSET('Sales, Production, &amp; Other Assu'!BY$18,'Internmediate sheet'!$A47/3,0)*Capacity</f>
        <v>0</v>
      </c>
      <c r="BZ48" s="17">
        <f ca="1">OFFSET('Sales, Production, &amp; Other Assu'!BZ$18,'Internmediate sheet'!$A47/3,0)*Capacity</f>
        <v>0</v>
      </c>
      <c r="CA48" s="17">
        <f ca="1">OFFSET('Sales, Production, &amp; Other Assu'!CA$18,'Internmediate sheet'!$A47/3,0)*Capacity</f>
        <v>0</v>
      </c>
      <c r="CB48" s="17">
        <f ca="1">OFFSET('Sales, Production, &amp; Other Assu'!CB$18,'Internmediate sheet'!$A47/3,0)*Capacity</f>
        <v>0</v>
      </c>
      <c r="CC48" s="430">
        <f ca="1">SUM(BQ48:CB48)</f>
        <v>0</v>
      </c>
      <c r="CD48" s="17">
        <f ca="1">OFFSET('Sales, Production, &amp; Other Assu'!CD$18,'Internmediate sheet'!$A47/3,0)*Capacity</f>
        <v>0</v>
      </c>
      <c r="CE48" s="17">
        <f ca="1">OFFSET('Sales, Production, &amp; Other Assu'!CE$18,'Internmediate sheet'!$A47/3,0)*Capacity</f>
        <v>0</v>
      </c>
      <c r="CF48" s="17">
        <f ca="1">OFFSET('Sales, Production, &amp; Other Assu'!CF$18,'Internmediate sheet'!$A47/3,0)*Capacity</f>
        <v>0</v>
      </c>
      <c r="CG48" s="17">
        <f ca="1">OFFSET('Sales, Production, &amp; Other Assu'!CG$18,'Internmediate sheet'!$A47/3,0)*Capacity</f>
        <v>0</v>
      </c>
      <c r="CH48" s="17">
        <f ca="1">OFFSET('Sales, Production, &amp; Other Assu'!CH$18,'Internmediate sheet'!$A47/3,0)*Capacity</f>
        <v>0</v>
      </c>
      <c r="CI48" s="17">
        <f ca="1">OFFSET('Sales, Production, &amp; Other Assu'!CI$18,'Internmediate sheet'!$A47/3,0)*Capacity</f>
        <v>0</v>
      </c>
      <c r="CJ48" s="17">
        <f ca="1">OFFSET('Sales, Production, &amp; Other Assu'!CJ$18,'Internmediate sheet'!$A47/3,0)*Capacity</f>
        <v>0</v>
      </c>
      <c r="CK48" s="17">
        <f ca="1">OFFSET('Sales, Production, &amp; Other Assu'!CK$18,'Internmediate sheet'!$A47/3,0)*Capacity</f>
        <v>0</v>
      </c>
      <c r="CL48" s="17">
        <f ca="1">OFFSET('Sales, Production, &amp; Other Assu'!CL$18,'Internmediate sheet'!$A47/3,0)*Capacity</f>
        <v>0</v>
      </c>
      <c r="CM48" s="17">
        <f ca="1">OFFSET('Sales, Production, &amp; Other Assu'!CM$18,'Internmediate sheet'!$A47/3,0)*Capacity</f>
        <v>0</v>
      </c>
      <c r="CN48" s="17">
        <f ca="1">OFFSET('Sales, Production, &amp; Other Assu'!CN$18,'Internmediate sheet'!$A47/3,0)*Capacity</f>
        <v>0</v>
      </c>
      <c r="CO48" s="17">
        <f ca="1">OFFSET('Sales, Production, &amp; Other Assu'!CO$18,'Internmediate sheet'!$A47/3,0)*Capacity</f>
        <v>0</v>
      </c>
      <c r="CP48" s="430">
        <f ca="1">SUM(CD48:CO48)</f>
        <v>0</v>
      </c>
    </row>
    <row r="49" spans="1:94" ht="20.100000000000001" hidden="1" customHeight="1">
      <c r="A49" s="790"/>
      <c r="B49" s="8" t="s">
        <v>610</v>
      </c>
      <c r="C49" s="8">
        <f ca="1">OFFSET('Summary. Assumptions. Inputs'!$F$46,'Internmediate sheet'!A44/3,0)</f>
        <v>0</v>
      </c>
      <c r="D49" s="8">
        <f t="shared" ref="D49:P49" ca="1" si="1190">C49</f>
        <v>0</v>
      </c>
      <c r="E49" s="8">
        <f t="shared" ca="1" si="1190"/>
        <v>0</v>
      </c>
      <c r="F49" s="8">
        <f t="shared" ca="1" si="1190"/>
        <v>0</v>
      </c>
      <c r="G49" s="8">
        <f t="shared" ca="1" si="1190"/>
        <v>0</v>
      </c>
      <c r="H49" s="8">
        <f t="shared" ca="1" si="1190"/>
        <v>0</v>
      </c>
      <c r="I49" s="8">
        <f t="shared" ca="1" si="1190"/>
        <v>0</v>
      </c>
      <c r="J49" s="8">
        <f t="shared" ca="1" si="1190"/>
        <v>0</v>
      </c>
      <c r="K49" s="8">
        <f t="shared" ca="1" si="1190"/>
        <v>0</v>
      </c>
      <c r="L49" s="8">
        <f t="shared" ca="1" si="1190"/>
        <v>0</v>
      </c>
      <c r="M49" s="8">
        <f t="shared" ca="1" si="1190"/>
        <v>0</v>
      </c>
      <c r="N49" s="8">
        <f t="shared" ca="1" si="1190"/>
        <v>0</v>
      </c>
      <c r="O49" s="8">
        <f t="shared" ca="1" si="1190"/>
        <v>0</v>
      </c>
      <c r="P49" s="431">
        <f t="shared" ca="1" si="1190"/>
        <v>0</v>
      </c>
      <c r="Q49" s="8">
        <f t="shared" ref="Q49" ca="1" si="1191">P49</f>
        <v>0</v>
      </c>
      <c r="R49" s="8">
        <f t="shared" ref="R49" ca="1" si="1192">Q49</f>
        <v>0</v>
      </c>
      <c r="S49" s="8">
        <f t="shared" ref="S49" ca="1" si="1193">R49</f>
        <v>0</v>
      </c>
      <c r="T49" s="8">
        <f t="shared" ref="T49" ca="1" si="1194">S49</f>
        <v>0</v>
      </c>
      <c r="U49" s="8">
        <f t="shared" ref="U49" ca="1" si="1195">T49</f>
        <v>0</v>
      </c>
      <c r="V49" s="8">
        <f t="shared" ref="V49" ca="1" si="1196">U49</f>
        <v>0</v>
      </c>
      <c r="W49" s="8">
        <f t="shared" ref="W49" ca="1" si="1197">V49</f>
        <v>0</v>
      </c>
      <c r="X49" s="8">
        <f t="shared" ref="X49" ca="1" si="1198">W49</f>
        <v>0</v>
      </c>
      <c r="Y49" s="8">
        <f t="shared" ref="Y49" ca="1" si="1199">X49</f>
        <v>0</v>
      </c>
      <c r="Z49" s="8">
        <f t="shared" ref="Z49" ca="1" si="1200">Y49</f>
        <v>0</v>
      </c>
      <c r="AA49" s="8">
        <f t="shared" ref="AA49" ca="1" si="1201">Z49</f>
        <v>0</v>
      </c>
      <c r="AB49" s="8">
        <f t="shared" ref="AB49" ca="1" si="1202">AA49</f>
        <v>0</v>
      </c>
      <c r="AC49" s="431">
        <f t="shared" ref="AC49" ca="1" si="1203">AB49</f>
        <v>0</v>
      </c>
      <c r="AD49" s="8">
        <f t="shared" ref="AD49" ca="1" si="1204">AC49</f>
        <v>0</v>
      </c>
      <c r="AE49" s="8">
        <f t="shared" ref="AE49" ca="1" si="1205">AD49</f>
        <v>0</v>
      </c>
      <c r="AF49" s="8">
        <f t="shared" ref="AF49" ca="1" si="1206">AE49</f>
        <v>0</v>
      </c>
      <c r="AG49" s="8">
        <f t="shared" ref="AG49" ca="1" si="1207">AF49</f>
        <v>0</v>
      </c>
      <c r="AH49" s="8">
        <f t="shared" ref="AH49" ca="1" si="1208">AG49</f>
        <v>0</v>
      </c>
      <c r="AI49" s="8">
        <f t="shared" ref="AI49" ca="1" si="1209">AH49</f>
        <v>0</v>
      </c>
      <c r="AJ49" s="8">
        <f t="shared" ref="AJ49" ca="1" si="1210">AI49</f>
        <v>0</v>
      </c>
      <c r="AK49" s="8">
        <f t="shared" ref="AK49" ca="1" si="1211">AJ49</f>
        <v>0</v>
      </c>
      <c r="AL49" s="8">
        <f t="shared" ref="AL49" ca="1" si="1212">AK49</f>
        <v>0</v>
      </c>
      <c r="AM49" s="8">
        <f t="shared" ref="AM49" ca="1" si="1213">AL49</f>
        <v>0</v>
      </c>
      <c r="AN49" s="8">
        <f t="shared" ref="AN49" ca="1" si="1214">AM49</f>
        <v>0</v>
      </c>
      <c r="AO49" s="8">
        <f t="shared" ref="AO49" ca="1" si="1215">AN49</f>
        <v>0</v>
      </c>
      <c r="AP49" s="431">
        <f t="shared" ref="AP49" ca="1" si="1216">AO49</f>
        <v>0</v>
      </c>
      <c r="AQ49" s="8">
        <f ca="1">AP49</f>
        <v>0</v>
      </c>
      <c r="AR49" s="8">
        <f t="shared" ref="AR49" ca="1" si="1217">AQ49</f>
        <v>0</v>
      </c>
      <c r="AS49" s="8">
        <f t="shared" ref="AS49" ca="1" si="1218">AR49</f>
        <v>0</v>
      </c>
      <c r="AT49" s="8">
        <f t="shared" ref="AT49" ca="1" si="1219">AS49</f>
        <v>0</v>
      </c>
      <c r="AU49" s="8">
        <f t="shared" ref="AU49" ca="1" si="1220">AT49</f>
        <v>0</v>
      </c>
      <c r="AV49" s="8">
        <f t="shared" ref="AV49" ca="1" si="1221">AU49</f>
        <v>0</v>
      </c>
      <c r="AW49" s="8">
        <f t="shared" ref="AW49" ca="1" si="1222">AV49</f>
        <v>0</v>
      </c>
      <c r="AX49" s="8">
        <f t="shared" ref="AX49" ca="1" si="1223">AW49</f>
        <v>0</v>
      </c>
      <c r="AY49" s="8">
        <f t="shared" ref="AY49" ca="1" si="1224">AX49</f>
        <v>0</v>
      </c>
      <c r="AZ49" s="8">
        <f t="shared" ref="AZ49" ca="1" si="1225">AY49</f>
        <v>0</v>
      </c>
      <c r="BA49" s="8">
        <f t="shared" ref="BA49" ca="1" si="1226">AZ49</f>
        <v>0</v>
      </c>
      <c r="BB49" s="8">
        <f t="shared" ref="BB49" ca="1" si="1227">BA49</f>
        <v>0</v>
      </c>
      <c r="BC49" s="431">
        <f t="shared" ref="BC49" ca="1" si="1228">BB49</f>
        <v>0</v>
      </c>
      <c r="BD49" s="8">
        <f t="shared" ref="BD49" ca="1" si="1229">BC49</f>
        <v>0</v>
      </c>
      <c r="BE49" s="8">
        <f t="shared" ref="BE49" ca="1" si="1230">BD49</f>
        <v>0</v>
      </c>
      <c r="BF49" s="8">
        <f t="shared" ref="BF49" ca="1" si="1231">BE49</f>
        <v>0</v>
      </c>
      <c r="BG49" s="8">
        <f t="shared" ref="BG49" ca="1" si="1232">BF49</f>
        <v>0</v>
      </c>
      <c r="BH49" s="8">
        <f t="shared" ref="BH49" ca="1" si="1233">BG49</f>
        <v>0</v>
      </c>
      <c r="BI49" s="8">
        <f t="shared" ref="BI49" ca="1" si="1234">BH49</f>
        <v>0</v>
      </c>
      <c r="BJ49" s="8">
        <f t="shared" ref="BJ49" ca="1" si="1235">BI49</f>
        <v>0</v>
      </c>
      <c r="BK49" s="8">
        <f t="shared" ref="BK49" ca="1" si="1236">BJ49</f>
        <v>0</v>
      </c>
      <c r="BL49" s="8">
        <f t="shared" ref="BL49" ca="1" si="1237">BK49</f>
        <v>0</v>
      </c>
      <c r="BM49" s="8">
        <f t="shared" ref="BM49" ca="1" si="1238">BL49</f>
        <v>0</v>
      </c>
      <c r="BN49" s="8">
        <f t="shared" ref="BN49" ca="1" si="1239">BM49</f>
        <v>0</v>
      </c>
      <c r="BO49" s="8">
        <f t="shared" ref="BO49" ca="1" si="1240">BN49</f>
        <v>0</v>
      </c>
      <c r="BP49" s="431">
        <f t="shared" ref="BP49" ca="1" si="1241">BO49</f>
        <v>0</v>
      </c>
      <c r="BQ49" s="8">
        <f t="shared" ref="BQ49" ca="1" si="1242">BP49</f>
        <v>0</v>
      </c>
      <c r="BR49" s="8">
        <f t="shared" ref="BR49" ca="1" si="1243">BQ49</f>
        <v>0</v>
      </c>
      <c r="BS49" s="8">
        <f t="shared" ref="BS49" ca="1" si="1244">BR49</f>
        <v>0</v>
      </c>
      <c r="BT49" s="8">
        <f t="shared" ref="BT49" ca="1" si="1245">BS49</f>
        <v>0</v>
      </c>
      <c r="BU49" s="8">
        <f t="shared" ref="BU49" ca="1" si="1246">BT49</f>
        <v>0</v>
      </c>
      <c r="BV49" s="8">
        <f t="shared" ref="BV49" ca="1" si="1247">BU49</f>
        <v>0</v>
      </c>
      <c r="BW49" s="8">
        <f t="shared" ref="BW49" ca="1" si="1248">BV49</f>
        <v>0</v>
      </c>
      <c r="BX49" s="8">
        <f t="shared" ref="BX49" ca="1" si="1249">BW49</f>
        <v>0</v>
      </c>
      <c r="BY49" s="8">
        <f t="shared" ref="BY49" ca="1" si="1250">BX49</f>
        <v>0</v>
      </c>
      <c r="BZ49" s="8">
        <f t="shared" ref="BZ49" ca="1" si="1251">BY49</f>
        <v>0</v>
      </c>
      <c r="CA49" s="8">
        <f t="shared" ref="CA49" ca="1" si="1252">BZ49</f>
        <v>0</v>
      </c>
      <c r="CB49" s="8">
        <f t="shared" ref="CB49" ca="1" si="1253">CA49</f>
        <v>0</v>
      </c>
      <c r="CC49" s="431">
        <f t="shared" ref="CC49" ca="1" si="1254">CB49</f>
        <v>0</v>
      </c>
      <c r="CD49" s="8">
        <f t="shared" ref="CD49" ca="1" si="1255">CC49</f>
        <v>0</v>
      </c>
      <c r="CE49" s="8">
        <f t="shared" ref="CE49" ca="1" si="1256">CD49</f>
        <v>0</v>
      </c>
      <c r="CF49" s="8">
        <f t="shared" ref="CF49" ca="1" si="1257">CE49</f>
        <v>0</v>
      </c>
      <c r="CG49" s="8">
        <f t="shared" ref="CG49" ca="1" si="1258">CF49</f>
        <v>0</v>
      </c>
      <c r="CH49" s="8">
        <f t="shared" ref="CH49" ca="1" si="1259">CG49</f>
        <v>0</v>
      </c>
      <c r="CI49" s="8">
        <f t="shared" ref="CI49" ca="1" si="1260">CH49</f>
        <v>0</v>
      </c>
      <c r="CJ49" s="8">
        <f t="shared" ref="CJ49" ca="1" si="1261">CI49</f>
        <v>0</v>
      </c>
      <c r="CK49" s="8">
        <f t="shared" ref="CK49" ca="1" si="1262">CJ49</f>
        <v>0</v>
      </c>
      <c r="CL49" s="8">
        <f t="shared" ref="CL49" ca="1" si="1263">CK49</f>
        <v>0</v>
      </c>
      <c r="CM49" s="8">
        <f t="shared" ref="CM49" ca="1" si="1264">CL49</f>
        <v>0</v>
      </c>
      <c r="CN49" s="8">
        <f t="shared" ref="CN49" ca="1" si="1265">CM49</f>
        <v>0</v>
      </c>
      <c r="CO49" s="8">
        <f t="shared" ref="CO49" ca="1" si="1266">CN49</f>
        <v>0</v>
      </c>
      <c r="CP49" s="431">
        <f t="shared" ref="CP49" ca="1" si="1267">CO49</f>
        <v>0</v>
      </c>
    </row>
    <row r="50" spans="1:94" ht="20.100000000000001" hidden="1" customHeight="1">
      <c r="A50" s="791"/>
      <c r="B50" s="248" t="s">
        <v>611</v>
      </c>
      <c r="C50" s="249">
        <f t="shared" ref="C50:O50" ca="1" si="1268">C48*C49</f>
        <v>0</v>
      </c>
      <c r="D50" s="248">
        <f t="shared" ca="1" si="1268"/>
        <v>0</v>
      </c>
      <c r="E50" s="248">
        <f t="shared" ca="1" si="1268"/>
        <v>0</v>
      </c>
      <c r="F50" s="248">
        <f t="shared" ca="1" si="1268"/>
        <v>0</v>
      </c>
      <c r="G50" s="248">
        <f t="shared" ca="1" si="1268"/>
        <v>0</v>
      </c>
      <c r="H50" s="248">
        <f t="shared" ca="1" si="1268"/>
        <v>0</v>
      </c>
      <c r="I50" s="248">
        <f t="shared" ca="1" si="1268"/>
        <v>0</v>
      </c>
      <c r="J50" s="248">
        <f t="shared" ca="1" si="1268"/>
        <v>0</v>
      </c>
      <c r="K50" s="248">
        <f t="shared" ca="1" si="1268"/>
        <v>0</v>
      </c>
      <c r="L50" s="248">
        <f t="shared" ca="1" si="1268"/>
        <v>0</v>
      </c>
      <c r="M50" s="248">
        <f t="shared" ca="1" si="1268"/>
        <v>0</v>
      </c>
      <c r="N50" s="248">
        <f t="shared" ca="1" si="1268"/>
        <v>0</v>
      </c>
      <c r="O50" s="248">
        <f t="shared" ca="1" si="1268"/>
        <v>0</v>
      </c>
      <c r="P50" s="432">
        <f ca="1">SUM(D50:O50)</f>
        <v>0</v>
      </c>
      <c r="Q50" s="248">
        <f t="shared" ref="Q50:AB50" ca="1" si="1269">Q48*Q49</f>
        <v>0</v>
      </c>
      <c r="R50" s="248">
        <f t="shared" ca="1" si="1269"/>
        <v>0</v>
      </c>
      <c r="S50" s="248">
        <f t="shared" ca="1" si="1269"/>
        <v>0</v>
      </c>
      <c r="T50" s="248">
        <f t="shared" ca="1" si="1269"/>
        <v>0</v>
      </c>
      <c r="U50" s="248">
        <f t="shared" ca="1" si="1269"/>
        <v>0</v>
      </c>
      <c r="V50" s="248">
        <f t="shared" ca="1" si="1269"/>
        <v>0</v>
      </c>
      <c r="W50" s="248">
        <f t="shared" ca="1" si="1269"/>
        <v>0</v>
      </c>
      <c r="X50" s="248">
        <f t="shared" ca="1" si="1269"/>
        <v>0</v>
      </c>
      <c r="Y50" s="248">
        <f t="shared" ca="1" si="1269"/>
        <v>0</v>
      </c>
      <c r="Z50" s="248">
        <f t="shared" ca="1" si="1269"/>
        <v>0</v>
      </c>
      <c r="AA50" s="248">
        <f t="shared" ca="1" si="1269"/>
        <v>0</v>
      </c>
      <c r="AB50" s="248">
        <f t="shared" ca="1" si="1269"/>
        <v>0</v>
      </c>
      <c r="AC50" s="432">
        <f ca="1">SUM(Q50:AB50)</f>
        <v>0</v>
      </c>
      <c r="AD50" s="248">
        <f t="shared" ref="AD50:AO50" ca="1" si="1270">AD48*AD49</f>
        <v>0</v>
      </c>
      <c r="AE50" s="248">
        <f t="shared" ca="1" si="1270"/>
        <v>0</v>
      </c>
      <c r="AF50" s="248">
        <f t="shared" ca="1" si="1270"/>
        <v>0</v>
      </c>
      <c r="AG50" s="248">
        <f t="shared" ca="1" si="1270"/>
        <v>0</v>
      </c>
      <c r="AH50" s="248">
        <f t="shared" ca="1" si="1270"/>
        <v>0</v>
      </c>
      <c r="AI50" s="248">
        <f t="shared" ca="1" si="1270"/>
        <v>0</v>
      </c>
      <c r="AJ50" s="248">
        <f t="shared" ca="1" si="1270"/>
        <v>0</v>
      </c>
      <c r="AK50" s="248">
        <f t="shared" ca="1" si="1270"/>
        <v>0</v>
      </c>
      <c r="AL50" s="248">
        <f t="shared" ca="1" si="1270"/>
        <v>0</v>
      </c>
      <c r="AM50" s="248">
        <f t="shared" ca="1" si="1270"/>
        <v>0</v>
      </c>
      <c r="AN50" s="248">
        <f t="shared" ca="1" si="1270"/>
        <v>0</v>
      </c>
      <c r="AO50" s="248">
        <f t="shared" ca="1" si="1270"/>
        <v>0</v>
      </c>
      <c r="AP50" s="432">
        <f ca="1">SUM(AD50:AO50)</f>
        <v>0</v>
      </c>
      <c r="AQ50" s="248">
        <f t="shared" ref="AQ50:BB50" ca="1" si="1271">AQ48*AQ49</f>
        <v>0</v>
      </c>
      <c r="AR50" s="248">
        <f t="shared" ca="1" si="1271"/>
        <v>0</v>
      </c>
      <c r="AS50" s="248">
        <f t="shared" ca="1" si="1271"/>
        <v>0</v>
      </c>
      <c r="AT50" s="248">
        <f t="shared" ca="1" si="1271"/>
        <v>0</v>
      </c>
      <c r="AU50" s="248">
        <f t="shared" ca="1" si="1271"/>
        <v>0</v>
      </c>
      <c r="AV50" s="248">
        <f t="shared" ca="1" si="1271"/>
        <v>0</v>
      </c>
      <c r="AW50" s="248">
        <f t="shared" ca="1" si="1271"/>
        <v>0</v>
      </c>
      <c r="AX50" s="248">
        <f t="shared" ca="1" si="1271"/>
        <v>0</v>
      </c>
      <c r="AY50" s="248">
        <f t="shared" ca="1" si="1271"/>
        <v>0</v>
      </c>
      <c r="AZ50" s="248">
        <f t="shared" ca="1" si="1271"/>
        <v>0</v>
      </c>
      <c r="BA50" s="248">
        <f t="shared" ca="1" si="1271"/>
        <v>0</v>
      </c>
      <c r="BB50" s="248">
        <f t="shared" ca="1" si="1271"/>
        <v>0</v>
      </c>
      <c r="BC50" s="432">
        <f ca="1">SUM(AQ50:BB50)</f>
        <v>0</v>
      </c>
      <c r="BD50" s="248">
        <f t="shared" ref="BD50:BO50" ca="1" si="1272">BD48*BD49</f>
        <v>0</v>
      </c>
      <c r="BE50" s="248">
        <f t="shared" ca="1" si="1272"/>
        <v>0</v>
      </c>
      <c r="BF50" s="248">
        <f t="shared" ca="1" si="1272"/>
        <v>0</v>
      </c>
      <c r="BG50" s="248">
        <f t="shared" ca="1" si="1272"/>
        <v>0</v>
      </c>
      <c r="BH50" s="248">
        <f t="shared" ca="1" si="1272"/>
        <v>0</v>
      </c>
      <c r="BI50" s="248">
        <f t="shared" ca="1" si="1272"/>
        <v>0</v>
      </c>
      <c r="BJ50" s="248">
        <f t="shared" ca="1" si="1272"/>
        <v>0</v>
      </c>
      <c r="BK50" s="248">
        <f t="shared" ca="1" si="1272"/>
        <v>0</v>
      </c>
      <c r="BL50" s="248">
        <f t="shared" ca="1" si="1272"/>
        <v>0</v>
      </c>
      <c r="BM50" s="248">
        <f t="shared" ca="1" si="1272"/>
        <v>0</v>
      </c>
      <c r="BN50" s="248">
        <f t="shared" ca="1" si="1272"/>
        <v>0</v>
      </c>
      <c r="BO50" s="248">
        <f t="shared" ca="1" si="1272"/>
        <v>0</v>
      </c>
      <c r="BP50" s="432">
        <f ca="1">SUM(BD50:BO50)</f>
        <v>0</v>
      </c>
      <c r="BQ50" s="248">
        <f t="shared" ref="BQ50:CB50" ca="1" si="1273">BQ48*BQ49</f>
        <v>0</v>
      </c>
      <c r="BR50" s="248">
        <f t="shared" ca="1" si="1273"/>
        <v>0</v>
      </c>
      <c r="BS50" s="248">
        <f t="shared" ca="1" si="1273"/>
        <v>0</v>
      </c>
      <c r="BT50" s="248">
        <f t="shared" ca="1" si="1273"/>
        <v>0</v>
      </c>
      <c r="BU50" s="248">
        <f t="shared" ca="1" si="1273"/>
        <v>0</v>
      </c>
      <c r="BV50" s="248">
        <f t="shared" ca="1" si="1273"/>
        <v>0</v>
      </c>
      <c r="BW50" s="248">
        <f t="shared" ca="1" si="1273"/>
        <v>0</v>
      </c>
      <c r="BX50" s="248">
        <f t="shared" ca="1" si="1273"/>
        <v>0</v>
      </c>
      <c r="BY50" s="248">
        <f t="shared" ca="1" si="1273"/>
        <v>0</v>
      </c>
      <c r="BZ50" s="248">
        <f t="shared" ca="1" si="1273"/>
        <v>0</v>
      </c>
      <c r="CA50" s="248">
        <f t="shared" ca="1" si="1273"/>
        <v>0</v>
      </c>
      <c r="CB50" s="248">
        <f t="shared" ca="1" si="1273"/>
        <v>0</v>
      </c>
      <c r="CC50" s="432">
        <f ca="1">SUM(BQ50:CB50)</f>
        <v>0</v>
      </c>
      <c r="CD50" s="248">
        <f t="shared" ref="CD50:CO50" ca="1" si="1274">CD48*CD49</f>
        <v>0</v>
      </c>
      <c r="CE50" s="248">
        <f t="shared" ca="1" si="1274"/>
        <v>0</v>
      </c>
      <c r="CF50" s="248">
        <f t="shared" ca="1" si="1274"/>
        <v>0</v>
      </c>
      <c r="CG50" s="248">
        <f t="shared" ca="1" si="1274"/>
        <v>0</v>
      </c>
      <c r="CH50" s="248">
        <f t="shared" ca="1" si="1274"/>
        <v>0</v>
      </c>
      <c r="CI50" s="248">
        <f t="shared" ca="1" si="1274"/>
        <v>0</v>
      </c>
      <c r="CJ50" s="248">
        <f t="shared" ca="1" si="1274"/>
        <v>0</v>
      </c>
      <c r="CK50" s="248">
        <f t="shared" ca="1" si="1274"/>
        <v>0</v>
      </c>
      <c r="CL50" s="248">
        <f t="shared" ca="1" si="1274"/>
        <v>0</v>
      </c>
      <c r="CM50" s="248">
        <f t="shared" ca="1" si="1274"/>
        <v>0</v>
      </c>
      <c r="CN50" s="248">
        <f t="shared" ca="1" si="1274"/>
        <v>0</v>
      </c>
      <c r="CO50" s="248">
        <f t="shared" ca="1" si="1274"/>
        <v>0</v>
      </c>
      <c r="CP50" s="432">
        <f ca="1">SUM(CD50:CO50)</f>
        <v>0</v>
      </c>
    </row>
    <row r="51" spans="1:94" ht="20.100000000000001" hidden="1" customHeight="1">
      <c r="A51" s="789">
        <f ca="1">OFFSET('Summary. Assumptions. Inputs'!$A$45,'Internmediate sheet'!A50/3,0)</f>
        <v>0</v>
      </c>
      <c r="B51" s="17" t="s">
        <v>609</v>
      </c>
      <c r="C51" s="18"/>
      <c r="D51" s="17">
        <f ca="1">OFFSET('Sales, Production, &amp; Other Assu'!D$18,'Internmediate sheet'!$A50/3,0)*Capacity</f>
        <v>0</v>
      </c>
      <c r="E51" s="17">
        <f ca="1">OFFSET('Sales, Production, &amp; Other Assu'!E$18,'Internmediate sheet'!$A50/3,0)*Capacity</f>
        <v>0</v>
      </c>
      <c r="F51" s="17">
        <f ca="1">OFFSET('Sales, Production, &amp; Other Assu'!F$18,'Internmediate sheet'!$A50/3,0)*Capacity</f>
        <v>0</v>
      </c>
      <c r="G51" s="17">
        <f ca="1">OFFSET('Sales, Production, &amp; Other Assu'!G$18,'Internmediate sheet'!$A50/3,0)*Capacity</f>
        <v>0</v>
      </c>
      <c r="H51" s="17">
        <f ca="1">OFFSET('Sales, Production, &amp; Other Assu'!H$18,'Internmediate sheet'!$A50/3,0)*Capacity</f>
        <v>0</v>
      </c>
      <c r="I51" s="17">
        <f ca="1">OFFSET('Sales, Production, &amp; Other Assu'!I$18,'Internmediate sheet'!$A50/3,0)*Capacity</f>
        <v>0</v>
      </c>
      <c r="J51" s="17">
        <f ca="1">OFFSET('Sales, Production, &amp; Other Assu'!J$18,'Internmediate sheet'!$A50/3,0)*Capacity</f>
        <v>0</v>
      </c>
      <c r="K51" s="17">
        <f ca="1">OFFSET('Sales, Production, &amp; Other Assu'!K$18,'Internmediate sheet'!$A50/3,0)*Capacity</f>
        <v>0</v>
      </c>
      <c r="L51" s="17">
        <f ca="1">OFFSET('Sales, Production, &amp; Other Assu'!L$18,'Internmediate sheet'!$A50/3,0)*Capacity</f>
        <v>0</v>
      </c>
      <c r="M51" s="17">
        <f ca="1">OFFSET('Sales, Production, &amp; Other Assu'!M$18,'Internmediate sheet'!$A50/3,0)*Capacity</f>
        <v>0</v>
      </c>
      <c r="N51" s="17">
        <f ca="1">OFFSET('Sales, Production, &amp; Other Assu'!N$18,'Internmediate sheet'!$A50/3,0)*Capacity</f>
        <v>0</v>
      </c>
      <c r="O51" s="17">
        <f ca="1">OFFSET('Sales, Production, &amp; Other Assu'!O$18,'Internmediate sheet'!$A50/3,0)*Capacity</f>
        <v>0</v>
      </c>
      <c r="P51" s="430">
        <f ca="1">SUM(D51:O51)</f>
        <v>0</v>
      </c>
      <c r="Q51" s="17">
        <f ca="1">OFFSET('Sales, Production, &amp; Other Assu'!Q$18,'Internmediate sheet'!$A50/3,0)*Capacity</f>
        <v>0</v>
      </c>
      <c r="R51" s="17">
        <f ca="1">OFFSET('Sales, Production, &amp; Other Assu'!R$18,'Internmediate sheet'!$A50/3,0)*Capacity</f>
        <v>0</v>
      </c>
      <c r="S51" s="17">
        <f ca="1">OFFSET('Sales, Production, &amp; Other Assu'!S$18,'Internmediate sheet'!$A50/3,0)*Capacity</f>
        <v>0</v>
      </c>
      <c r="T51" s="17">
        <f ca="1">OFFSET('Sales, Production, &amp; Other Assu'!T$18,'Internmediate sheet'!$A50/3,0)*Capacity</f>
        <v>0</v>
      </c>
      <c r="U51" s="17">
        <f ca="1">OFFSET('Sales, Production, &amp; Other Assu'!U$18,'Internmediate sheet'!$A50/3,0)*Capacity</f>
        <v>0</v>
      </c>
      <c r="V51" s="17">
        <f ca="1">OFFSET('Sales, Production, &amp; Other Assu'!V$18,'Internmediate sheet'!$A50/3,0)*Capacity</f>
        <v>0</v>
      </c>
      <c r="W51" s="17">
        <f ca="1">OFFSET('Sales, Production, &amp; Other Assu'!W$18,'Internmediate sheet'!$A50/3,0)*Capacity</f>
        <v>0</v>
      </c>
      <c r="X51" s="17">
        <f ca="1">OFFSET('Sales, Production, &amp; Other Assu'!X$18,'Internmediate sheet'!$A50/3,0)*Capacity</f>
        <v>0</v>
      </c>
      <c r="Y51" s="17">
        <f ca="1">OFFSET('Sales, Production, &amp; Other Assu'!Y$18,'Internmediate sheet'!$A50/3,0)*Capacity</f>
        <v>0</v>
      </c>
      <c r="Z51" s="17">
        <f ca="1">OFFSET('Sales, Production, &amp; Other Assu'!Z$18,'Internmediate sheet'!$A50/3,0)*Capacity</f>
        <v>0</v>
      </c>
      <c r="AA51" s="17">
        <f ca="1">OFFSET('Sales, Production, &amp; Other Assu'!AA$18,'Internmediate sheet'!$A50/3,0)*Capacity</f>
        <v>0</v>
      </c>
      <c r="AB51" s="17">
        <f ca="1">OFFSET('Sales, Production, &amp; Other Assu'!AB$18,'Internmediate sheet'!$A50/3,0)*Capacity</f>
        <v>0</v>
      </c>
      <c r="AC51" s="430">
        <f ca="1">SUM(Q51:AB51)</f>
        <v>0</v>
      </c>
      <c r="AD51" s="17">
        <f ca="1">OFFSET('Sales, Production, &amp; Other Assu'!AD$18,'Internmediate sheet'!$A50/3,0)*Capacity</f>
        <v>0</v>
      </c>
      <c r="AE51" s="17">
        <f ca="1">OFFSET('Sales, Production, &amp; Other Assu'!AE$18,'Internmediate sheet'!$A50/3,0)*Capacity</f>
        <v>0</v>
      </c>
      <c r="AF51" s="17">
        <f ca="1">OFFSET('Sales, Production, &amp; Other Assu'!AF$18,'Internmediate sheet'!$A50/3,0)*Capacity</f>
        <v>0</v>
      </c>
      <c r="AG51" s="17">
        <f ca="1">OFFSET('Sales, Production, &amp; Other Assu'!AG$18,'Internmediate sheet'!$A50/3,0)*Capacity</f>
        <v>0</v>
      </c>
      <c r="AH51" s="17">
        <f ca="1">OFFSET('Sales, Production, &amp; Other Assu'!AH$18,'Internmediate sheet'!$A50/3,0)*Capacity</f>
        <v>0</v>
      </c>
      <c r="AI51" s="17">
        <f ca="1">OFFSET('Sales, Production, &amp; Other Assu'!AI$18,'Internmediate sheet'!$A50/3,0)*Capacity</f>
        <v>0</v>
      </c>
      <c r="AJ51" s="17">
        <f ca="1">OFFSET('Sales, Production, &amp; Other Assu'!AJ$18,'Internmediate sheet'!$A50/3,0)*Capacity</f>
        <v>0</v>
      </c>
      <c r="AK51" s="17">
        <f ca="1">OFFSET('Sales, Production, &amp; Other Assu'!AK$18,'Internmediate sheet'!$A50/3,0)*Capacity</f>
        <v>0</v>
      </c>
      <c r="AL51" s="17">
        <f ca="1">OFFSET('Sales, Production, &amp; Other Assu'!AL$18,'Internmediate sheet'!$A50/3,0)*Capacity</f>
        <v>0</v>
      </c>
      <c r="AM51" s="17">
        <f ca="1">OFFSET('Sales, Production, &amp; Other Assu'!AM$18,'Internmediate sheet'!$A50/3,0)*Capacity</f>
        <v>0</v>
      </c>
      <c r="AN51" s="17">
        <f ca="1">OFFSET('Sales, Production, &amp; Other Assu'!AN$18,'Internmediate sheet'!$A50/3,0)*Capacity</f>
        <v>0</v>
      </c>
      <c r="AO51" s="17">
        <f ca="1">OFFSET('Sales, Production, &amp; Other Assu'!AO$18,'Internmediate sheet'!$A50/3,0)*Capacity</f>
        <v>0</v>
      </c>
      <c r="AP51" s="430">
        <f ca="1">SUM(AD51:AO51)</f>
        <v>0</v>
      </c>
      <c r="AQ51" s="17">
        <f ca="1">OFFSET('Sales, Production, &amp; Other Assu'!AQ$18,'Internmediate sheet'!$A50/3,0)*Capacity</f>
        <v>0</v>
      </c>
      <c r="AR51" s="17">
        <f ca="1">OFFSET('Sales, Production, &amp; Other Assu'!AR$18,'Internmediate sheet'!$A50/3,0)*Capacity</f>
        <v>0</v>
      </c>
      <c r="AS51" s="17">
        <f ca="1">OFFSET('Sales, Production, &amp; Other Assu'!AS$18,'Internmediate sheet'!$A50/3,0)*Capacity</f>
        <v>0</v>
      </c>
      <c r="AT51" s="17">
        <f ca="1">OFFSET('Sales, Production, &amp; Other Assu'!AT$18,'Internmediate sheet'!$A50/3,0)*Capacity</f>
        <v>0</v>
      </c>
      <c r="AU51" s="17">
        <f ca="1">OFFSET('Sales, Production, &amp; Other Assu'!AU$18,'Internmediate sheet'!$A50/3,0)*Capacity</f>
        <v>0</v>
      </c>
      <c r="AV51" s="17">
        <f ca="1">OFFSET('Sales, Production, &amp; Other Assu'!AV$18,'Internmediate sheet'!$A50/3,0)*Capacity</f>
        <v>0</v>
      </c>
      <c r="AW51" s="17">
        <f ca="1">OFFSET('Sales, Production, &amp; Other Assu'!AW$18,'Internmediate sheet'!$A50/3,0)*Capacity</f>
        <v>0</v>
      </c>
      <c r="AX51" s="17">
        <f ca="1">OFFSET('Sales, Production, &amp; Other Assu'!AX$18,'Internmediate sheet'!$A50/3,0)*Capacity</f>
        <v>0</v>
      </c>
      <c r="AY51" s="17">
        <f ca="1">OFFSET('Sales, Production, &amp; Other Assu'!AY$18,'Internmediate sheet'!$A50/3,0)*Capacity</f>
        <v>0</v>
      </c>
      <c r="AZ51" s="17">
        <f ca="1">OFFSET('Sales, Production, &amp; Other Assu'!AZ$18,'Internmediate sheet'!$A50/3,0)*Capacity</f>
        <v>0</v>
      </c>
      <c r="BA51" s="17">
        <f ca="1">OFFSET('Sales, Production, &amp; Other Assu'!BA$18,'Internmediate sheet'!$A50/3,0)*Capacity</f>
        <v>0</v>
      </c>
      <c r="BB51" s="17">
        <f ca="1">OFFSET('Sales, Production, &amp; Other Assu'!BB$18,'Internmediate sheet'!$A50/3,0)*Capacity</f>
        <v>0</v>
      </c>
      <c r="BC51" s="430">
        <f ca="1">SUM(AQ51:BB51)</f>
        <v>0</v>
      </c>
      <c r="BD51" s="17">
        <f ca="1">OFFSET('Sales, Production, &amp; Other Assu'!BD$18,'Internmediate sheet'!$A50/3,0)*Capacity</f>
        <v>0</v>
      </c>
      <c r="BE51" s="17">
        <f ca="1">OFFSET('Sales, Production, &amp; Other Assu'!BE$18,'Internmediate sheet'!$A50/3,0)*Capacity</f>
        <v>0</v>
      </c>
      <c r="BF51" s="17">
        <f ca="1">OFFSET('Sales, Production, &amp; Other Assu'!BF$18,'Internmediate sheet'!$A50/3,0)*Capacity</f>
        <v>0</v>
      </c>
      <c r="BG51" s="17">
        <f ca="1">OFFSET('Sales, Production, &amp; Other Assu'!BG$18,'Internmediate sheet'!$A50/3,0)*Capacity</f>
        <v>0</v>
      </c>
      <c r="BH51" s="17">
        <f ca="1">OFFSET('Sales, Production, &amp; Other Assu'!BH$18,'Internmediate sheet'!$A50/3,0)*Capacity</f>
        <v>0</v>
      </c>
      <c r="BI51" s="17">
        <f ca="1">OFFSET('Sales, Production, &amp; Other Assu'!BI$18,'Internmediate sheet'!$A50/3,0)*Capacity</f>
        <v>0</v>
      </c>
      <c r="BJ51" s="17">
        <f ca="1">OFFSET('Sales, Production, &amp; Other Assu'!BJ$18,'Internmediate sheet'!$A50/3,0)*Capacity</f>
        <v>0</v>
      </c>
      <c r="BK51" s="17">
        <f ca="1">OFFSET('Sales, Production, &amp; Other Assu'!BK$18,'Internmediate sheet'!$A50/3,0)*Capacity</f>
        <v>0</v>
      </c>
      <c r="BL51" s="17">
        <f ca="1">OFFSET('Sales, Production, &amp; Other Assu'!BL$18,'Internmediate sheet'!$A50/3,0)*Capacity</f>
        <v>0</v>
      </c>
      <c r="BM51" s="17">
        <f ca="1">OFFSET('Sales, Production, &amp; Other Assu'!BM$18,'Internmediate sheet'!$A50/3,0)*Capacity</f>
        <v>0</v>
      </c>
      <c r="BN51" s="17">
        <f ca="1">OFFSET('Sales, Production, &amp; Other Assu'!BN$18,'Internmediate sheet'!$A50/3,0)*Capacity</f>
        <v>0</v>
      </c>
      <c r="BO51" s="17">
        <f ca="1">OFFSET('Sales, Production, &amp; Other Assu'!BO$18,'Internmediate sheet'!$A50/3,0)*Capacity</f>
        <v>0</v>
      </c>
      <c r="BP51" s="430">
        <f ca="1">SUM(BD51:BO51)</f>
        <v>0</v>
      </c>
      <c r="BQ51" s="17">
        <f ca="1">OFFSET('Sales, Production, &amp; Other Assu'!BQ$18,'Internmediate sheet'!$A50/3,0)*Capacity</f>
        <v>0</v>
      </c>
      <c r="BR51" s="17">
        <f ca="1">OFFSET('Sales, Production, &amp; Other Assu'!BR$18,'Internmediate sheet'!$A50/3,0)*Capacity</f>
        <v>0</v>
      </c>
      <c r="BS51" s="17">
        <f ca="1">OFFSET('Sales, Production, &amp; Other Assu'!BS$18,'Internmediate sheet'!$A50/3,0)*Capacity</f>
        <v>0</v>
      </c>
      <c r="BT51" s="17">
        <f ca="1">OFFSET('Sales, Production, &amp; Other Assu'!BT$18,'Internmediate sheet'!$A50/3,0)*Capacity</f>
        <v>0</v>
      </c>
      <c r="BU51" s="17">
        <f ca="1">OFFSET('Sales, Production, &amp; Other Assu'!BU$18,'Internmediate sheet'!$A50/3,0)*Capacity</f>
        <v>0</v>
      </c>
      <c r="BV51" s="17">
        <f ca="1">OFFSET('Sales, Production, &amp; Other Assu'!BV$18,'Internmediate sheet'!$A50/3,0)*Capacity</f>
        <v>0</v>
      </c>
      <c r="BW51" s="17">
        <f ca="1">OFFSET('Sales, Production, &amp; Other Assu'!BW$18,'Internmediate sheet'!$A50/3,0)*Capacity</f>
        <v>0</v>
      </c>
      <c r="BX51" s="17">
        <f ca="1">OFFSET('Sales, Production, &amp; Other Assu'!BX$18,'Internmediate sheet'!$A50/3,0)*Capacity</f>
        <v>0</v>
      </c>
      <c r="BY51" s="17">
        <f ca="1">OFFSET('Sales, Production, &amp; Other Assu'!BY$18,'Internmediate sheet'!$A50/3,0)*Capacity</f>
        <v>0</v>
      </c>
      <c r="BZ51" s="17">
        <f ca="1">OFFSET('Sales, Production, &amp; Other Assu'!BZ$18,'Internmediate sheet'!$A50/3,0)*Capacity</f>
        <v>0</v>
      </c>
      <c r="CA51" s="17">
        <f ca="1">OFFSET('Sales, Production, &amp; Other Assu'!CA$18,'Internmediate sheet'!$A50/3,0)*Capacity</f>
        <v>0</v>
      </c>
      <c r="CB51" s="17">
        <f ca="1">OFFSET('Sales, Production, &amp; Other Assu'!CB$18,'Internmediate sheet'!$A50/3,0)*Capacity</f>
        <v>0</v>
      </c>
      <c r="CC51" s="430">
        <f ca="1">SUM(BQ51:CB51)</f>
        <v>0</v>
      </c>
      <c r="CD51" s="17">
        <f ca="1">OFFSET('Sales, Production, &amp; Other Assu'!CD$18,'Internmediate sheet'!$A50/3,0)*Capacity</f>
        <v>0</v>
      </c>
      <c r="CE51" s="17">
        <f ca="1">OFFSET('Sales, Production, &amp; Other Assu'!CE$18,'Internmediate sheet'!$A50/3,0)*Capacity</f>
        <v>0</v>
      </c>
      <c r="CF51" s="17">
        <f ca="1">OFFSET('Sales, Production, &amp; Other Assu'!CF$18,'Internmediate sheet'!$A50/3,0)*Capacity</f>
        <v>0</v>
      </c>
      <c r="CG51" s="17">
        <f ca="1">OFFSET('Sales, Production, &amp; Other Assu'!CG$18,'Internmediate sheet'!$A50/3,0)*Capacity</f>
        <v>0</v>
      </c>
      <c r="CH51" s="17">
        <f ca="1">OFFSET('Sales, Production, &amp; Other Assu'!CH$18,'Internmediate sheet'!$A50/3,0)*Capacity</f>
        <v>0</v>
      </c>
      <c r="CI51" s="17">
        <f ca="1">OFFSET('Sales, Production, &amp; Other Assu'!CI$18,'Internmediate sheet'!$A50/3,0)*Capacity</f>
        <v>0</v>
      </c>
      <c r="CJ51" s="17">
        <f ca="1">OFFSET('Sales, Production, &amp; Other Assu'!CJ$18,'Internmediate sheet'!$A50/3,0)*Capacity</f>
        <v>0</v>
      </c>
      <c r="CK51" s="17">
        <f ca="1">OFFSET('Sales, Production, &amp; Other Assu'!CK$18,'Internmediate sheet'!$A50/3,0)*Capacity</f>
        <v>0</v>
      </c>
      <c r="CL51" s="17">
        <f ca="1">OFFSET('Sales, Production, &amp; Other Assu'!CL$18,'Internmediate sheet'!$A50/3,0)*Capacity</f>
        <v>0</v>
      </c>
      <c r="CM51" s="17">
        <f ca="1">OFFSET('Sales, Production, &amp; Other Assu'!CM$18,'Internmediate sheet'!$A50/3,0)*Capacity</f>
        <v>0</v>
      </c>
      <c r="CN51" s="17">
        <f ca="1">OFFSET('Sales, Production, &amp; Other Assu'!CN$18,'Internmediate sheet'!$A50/3,0)*Capacity</f>
        <v>0</v>
      </c>
      <c r="CO51" s="17">
        <f ca="1">OFFSET('Sales, Production, &amp; Other Assu'!CO$18,'Internmediate sheet'!$A50/3,0)*Capacity</f>
        <v>0</v>
      </c>
      <c r="CP51" s="430">
        <f ca="1">SUM(CD51:CO51)</f>
        <v>0</v>
      </c>
    </row>
    <row r="52" spans="1:94" ht="20.100000000000001" hidden="1" customHeight="1">
      <c r="A52" s="790"/>
      <c r="B52" s="8" t="s">
        <v>610</v>
      </c>
      <c r="C52" s="8">
        <f ca="1">OFFSET('Summary. Assumptions. Inputs'!$F$46,'Internmediate sheet'!A47/3,0)</f>
        <v>0</v>
      </c>
      <c r="D52" s="8">
        <f t="shared" ref="D52:P52" ca="1" si="1275">C52</f>
        <v>0</v>
      </c>
      <c r="E52" s="8">
        <f t="shared" ca="1" si="1275"/>
        <v>0</v>
      </c>
      <c r="F52" s="8">
        <f t="shared" ca="1" si="1275"/>
        <v>0</v>
      </c>
      <c r="G52" s="8">
        <f t="shared" ca="1" si="1275"/>
        <v>0</v>
      </c>
      <c r="H52" s="8">
        <f t="shared" ca="1" si="1275"/>
        <v>0</v>
      </c>
      <c r="I52" s="8">
        <f t="shared" ca="1" si="1275"/>
        <v>0</v>
      </c>
      <c r="J52" s="8">
        <f t="shared" ca="1" si="1275"/>
        <v>0</v>
      </c>
      <c r="K52" s="8">
        <f t="shared" ca="1" si="1275"/>
        <v>0</v>
      </c>
      <c r="L52" s="8">
        <f t="shared" ca="1" si="1275"/>
        <v>0</v>
      </c>
      <c r="M52" s="8">
        <f t="shared" ca="1" si="1275"/>
        <v>0</v>
      </c>
      <c r="N52" s="8">
        <f t="shared" ca="1" si="1275"/>
        <v>0</v>
      </c>
      <c r="O52" s="8">
        <f t="shared" ca="1" si="1275"/>
        <v>0</v>
      </c>
      <c r="P52" s="431">
        <f t="shared" ca="1" si="1275"/>
        <v>0</v>
      </c>
      <c r="Q52" s="8">
        <f t="shared" ref="Q52" ca="1" si="1276">P52</f>
        <v>0</v>
      </c>
      <c r="R52" s="8">
        <f t="shared" ref="R52" ca="1" si="1277">Q52</f>
        <v>0</v>
      </c>
      <c r="S52" s="8">
        <f t="shared" ref="S52" ca="1" si="1278">R52</f>
        <v>0</v>
      </c>
      <c r="T52" s="8">
        <f t="shared" ref="T52" ca="1" si="1279">S52</f>
        <v>0</v>
      </c>
      <c r="U52" s="8">
        <f t="shared" ref="U52" ca="1" si="1280">T52</f>
        <v>0</v>
      </c>
      <c r="V52" s="8">
        <f t="shared" ref="V52" ca="1" si="1281">U52</f>
        <v>0</v>
      </c>
      <c r="W52" s="8">
        <f t="shared" ref="W52" ca="1" si="1282">V52</f>
        <v>0</v>
      </c>
      <c r="X52" s="8">
        <f t="shared" ref="X52" ca="1" si="1283">W52</f>
        <v>0</v>
      </c>
      <c r="Y52" s="8">
        <f t="shared" ref="Y52" ca="1" si="1284">X52</f>
        <v>0</v>
      </c>
      <c r="Z52" s="8">
        <f t="shared" ref="Z52" ca="1" si="1285">Y52</f>
        <v>0</v>
      </c>
      <c r="AA52" s="8">
        <f t="shared" ref="AA52" ca="1" si="1286">Z52</f>
        <v>0</v>
      </c>
      <c r="AB52" s="8">
        <f t="shared" ref="AB52" ca="1" si="1287">AA52</f>
        <v>0</v>
      </c>
      <c r="AC52" s="431">
        <f t="shared" ref="AC52" ca="1" si="1288">AB52</f>
        <v>0</v>
      </c>
      <c r="AD52" s="8">
        <f t="shared" ref="AD52" ca="1" si="1289">AC52</f>
        <v>0</v>
      </c>
      <c r="AE52" s="8">
        <f t="shared" ref="AE52" ca="1" si="1290">AD52</f>
        <v>0</v>
      </c>
      <c r="AF52" s="8">
        <f t="shared" ref="AF52" ca="1" si="1291">AE52</f>
        <v>0</v>
      </c>
      <c r="AG52" s="8">
        <f t="shared" ref="AG52" ca="1" si="1292">AF52</f>
        <v>0</v>
      </c>
      <c r="AH52" s="8">
        <f t="shared" ref="AH52" ca="1" si="1293">AG52</f>
        <v>0</v>
      </c>
      <c r="AI52" s="8">
        <f t="shared" ref="AI52" ca="1" si="1294">AH52</f>
        <v>0</v>
      </c>
      <c r="AJ52" s="8">
        <f t="shared" ref="AJ52" ca="1" si="1295">AI52</f>
        <v>0</v>
      </c>
      <c r="AK52" s="8">
        <f t="shared" ref="AK52" ca="1" si="1296">AJ52</f>
        <v>0</v>
      </c>
      <c r="AL52" s="8">
        <f t="shared" ref="AL52" ca="1" si="1297">AK52</f>
        <v>0</v>
      </c>
      <c r="AM52" s="8">
        <f t="shared" ref="AM52" ca="1" si="1298">AL52</f>
        <v>0</v>
      </c>
      <c r="AN52" s="8">
        <f t="shared" ref="AN52" ca="1" si="1299">AM52</f>
        <v>0</v>
      </c>
      <c r="AO52" s="8">
        <f t="shared" ref="AO52" ca="1" si="1300">AN52</f>
        <v>0</v>
      </c>
      <c r="AP52" s="431">
        <f t="shared" ref="AP52" ca="1" si="1301">AO52</f>
        <v>0</v>
      </c>
      <c r="AQ52" s="8">
        <f ca="1">AP52</f>
        <v>0</v>
      </c>
      <c r="AR52" s="8">
        <f t="shared" ref="AR52" ca="1" si="1302">AQ52</f>
        <v>0</v>
      </c>
      <c r="AS52" s="8">
        <f t="shared" ref="AS52" ca="1" si="1303">AR52</f>
        <v>0</v>
      </c>
      <c r="AT52" s="8">
        <f t="shared" ref="AT52" ca="1" si="1304">AS52</f>
        <v>0</v>
      </c>
      <c r="AU52" s="8">
        <f t="shared" ref="AU52" ca="1" si="1305">AT52</f>
        <v>0</v>
      </c>
      <c r="AV52" s="8">
        <f t="shared" ref="AV52" ca="1" si="1306">AU52</f>
        <v>0</v>
      </c>
      <c r="AW52" s="8">
        <f t="shared" ref="AW52" ca="1" si="1307">AV52</f>
        <v>0</v>
      </c>
      <c r="AX52" s="8">
        <f t="shared" ref="AX52" ca="1" si="1308">AW52</f>
        <v>0</v>
      </c>
      <c r="AY52" s="8">
        <f t="shared" ref="AY52" ca="1" si="1309">AX52</f>
        <v>0</v>
      </c>
      <c r="AZ52" s="8">
        <f t="shared" ref="AZ52" ca="1" si="1310">AY52</f>
        <v>0</v>
      </c>
      <c r="BA52" s="8">
        <f t="shared" ref="BA52" ca="1" si="1311">AZ52</f>
        <v>0</v>
      </c>
      <c r="BB52" s="8">
        <f t="shared" ref="BB52" ca="1" si="1312">BA52</f>
        <v>0</v>
      </c>
      <c r="BC52" s="431">
        <f t="shared" ref="BC52" ca="1" si="1313">BB52</f>
        <v>0</v>
      </c>
      <c r="BD52" s="8">
        <f t="shared" ref="BD52" ca="1" si="1314">BC52</f>
        <v>0</v>
      </c>
      <c r="BE52" s="8">
        <f t="shared" ref="BE52" ca="1" si="1315">BD52</f>
        <v>0</v>
      </c>
      <c r="BF52" s="8">
        <f t="shared" ref="BF52" ca="1" si="1316">BE52</f>
        <v>0</v>
      </c>
      <c r="BG52" s="8">
        <f t="shared" ref="BG52" ca="1" si="1317">BF52</f>
        <v>0</v>
      </c>
      <c r="BH52" s="8">
        <f t="shared" ref="BH52" ca="1" si="1318">BG52</f>
        <v>0</v>
      </c>
      <c r="BI52" s="8">
        <f t="shared" ref="BI52" ca="1" si="1319">BH52</f>
        <v>0</v>
      </c>
      <c r="BJ52" s="8">
        <f t="shared" ref="BJ52" ca="1" si="1320">BI52</f>
        <v>0</v>
      </c>
      <c r="BK52" s="8">
        <f t="shared" ref="BK52" ca="1" si="1321">BJ52</f>
        <v>0</v>
      </c>
      <c r="BL52" s="8">
        <f t="shared" ref="BL52" ca="1" si="1322">BK52</f>
        <v>0</v>
      </c>
      <c r="BM52" s="8">
        <f t="shared" ref="BM52" ca="1" si="1323">BL52</f>
        <v>0</v>
      </c>
      <c r="BN52" s="8">
        <f t="shared" ref="BN52" ca="1" si="1324">BM52</f>
        <v>0</v>
      </c>
      <c r="BO52" s="8">
        <f t="shared" ref="BO52" ca="1" si="1325">BN52</f>
        <v>0</v>
      </c>
      <c r="BP52" s="431">
        <f t="shared" ref="BP52" ca="1" si="1326">BO52</f>
        <v>0</v>
      </c>
      <c r="BQ52" s="8">
        <f t="shared" ref="BQ52" ca="1" si="1327">BP52</f>
        <v>0</v>
      </c>
      <c r="BR52" s="8">
        <f t="shared" ref="BR52" ca="1" si="1328">BQ52</f>
        <v>0</v>
      </c>
      <c r="BS52" s="8">
        <f t="shared" ref="BS52" ca="1" si="1329">BR52</f>
        <v>0</v>
      </c>
      <c r="BT52" s="8">
        <f t="shared" ref="BT52" ca="1" si="1330">BS52</f>
        <v>0</v>
      </c>
      <c r="BU52" s="8">
        <f t="shared" ref="BU52" ca="1" si="1331">BT52</f>
        <v>0</v>
      </c>
      <c r="BV52" s="8">
        <f t="shared" ref="BV52" ca="1" si="1332">BU52</f>
        <v>0</v>
      </c>
      <c r="BW52" s="8">
        <f t="shared" ref="BW52" ca="1" si="1333">BV52</f>
        <v>0</v>
      </c>
      <c r="BX52" s="8">
        <f t="shared" ref="BX52" ca="1" si="1334">BW52</f>
        <v>0</v>
      </c>
      <c r="BY52" s="8">
        <f t="shared" ref="BY52" ca="1" si="1335">BX52</f>
        <v>0</v>
      </c>
      <c r="BZ52" s="8">
        <f t="shared" ref="BZ52" ca="1" si="1336">BY52</f>
        <v>0</v>
      </c>
      <c r="CA52" s="8">
        <f t="shared" ref="CA52" ca="1" si="1337">BZ52</f>
        <v>0</v>
      </c>
      <c r="CB52" s="8">
        <f t="shared" ref="CB52" ca="1" si="1338">CA52</f>
        <v>0</v>
      </c>
      <c r="CC52" s="431">
        <f t="shared" ref="CC52" ca="1" si="1339">CB52</f>
        <v>0</v>
      </c>
      <c r="CD52" s="8">
        <f t="shared" ref="CD52" ca="1" si="1340">CC52</f>
        <v>0</v>
      </c>
      <c r="CE52" s="8">
        <f t="shared" ref="CE52" ca="1" si="1341">CD52</f>
        <v>0</v>
      </c>
      <c r="CF52" s="8">
        <f t="shared" ref="CF52" ca="1" si="1342">CE52</f>
        <v>0</v>
      </c>
      <c r="CG52" s="8">
        <f t="shared" ref="CG52" ca="1" si="1343">CF52</f>
        <v>0</v>
      </c>
      <c r="CH52" s="8">
        <f t="shared" ref="CH52" ca="1" si="1344">CG52</f>
        <v>0</v>
      </c>
      <c r="CI52" s="8">
        <f t="shared" ref="CI52" ca="1" si="1345">CH52</f>
        <v>0</v>
      </c>
      <c r="CJ52" s="8">
        <f t="shared" ref="CJ52" ca="1" si="1346">CI52</f>
        <v>0</v>
      </c>
      <c r="CK52" s="8">
        <f t="shared" ref="CK52" ca="1" si="1347">CJ52</f>
        <v>0</v>
      </c>
      <c r="CL52" s="8">
        <f t="shared" ref="CL52" ca="1" si="1348">CK52</f>
        <v>0</v>
      </c>
      <c r="CM52" s="8">
        <f t="shared" ref="CM52" ca="1" si="1349">CL52</f>
        <v>0</v>
      </c>
      <c r="CN52" s="8">
        <f t="shared" ref="CN52" ca="1" si="1350">CM52</f>
        <v>0</v>
      </c>
      <c r="CO52" s="8">
        <f t="shared" ref="CO52" ca="1" si="1351">CN52</f>
        <v>0</v>
      </c>
      <c r="CP52" s="431">
        <f t="shared" ref="CP52" ca="1" si="1352">CO52</f>
        <v>0</v>
      </c>
    </row>
    <row r="53" spans="1:94" ht="20.100000000000001" hidden="1" customHeight="1">
      <c r="A53" s="791"/>
      <c r="B53" s="248" t="s">
        <v>611</v>
      </c>
      <c r="C53" s="249">
        <f t="shared" ref="C53:O53" ca="1" si="1353">C51*C52</f>
        <v>0</v>
      </c>
      <c r="D53" s="248">
        <f t="shared" ca="1" si="1353"/>
        <v>0</v>
      </c>
      <c r="E53" s="248">
        <f t="shared" ca="1" si="1353"/>
        <v>0</v>
      </c>
      <c r="F53" s="248">
        <f t="shared" ca="1" si="1353"/>
        <v>0</v>
      </c>
      <c r="G53" s="248">
        <f t="shared" ca="1" si="1353"/>
        <v>0</v>
      </c>
      <c r="H53" s="248">
        <f t="shared" ca="1" si="1353"/>
        <v>0</v>
      </c>
      <c r="I53" s="248">
        <f t="shared" ca="1" si="1353"/>
        <v>0</v>
      </c>
      <c r="J53" s="248">
        <f t="shared" ca="1" si="1353"/>
        <v>0</v>
      </c>
      <c r="K53" s="248">
        <f t="shared" ca="1" si="1353"/>
        <v>0</v>
      </c>
      <c r="L53" s="248">
        <f t="shared" ca="1" si="1353"/>
        <v>0</v>
      </c>
      <c r="M53" s="248">
        <f t="shared" ca="1" si="1353"/>
        <v>0</v>
      </c>
      <c r="N53" s="248">
        <f t="shared" ca="1" si="1353"/>
        <v>0</v>
      </c>
      <c r="O53" s="248">
        <f t="shared" ca="1" si="1353"/>
        <v>0</v>
      </c>
      <c r="P53" s="432">
        <f ca="1">SUM(D53:O53)</f>
        <v>0</v>
      </c>
      <c r="Q53" s="248">
        <f t="shared" ref="Q53:AB53" ca="1" si="1354">Q51*Q52</f>
        <v>0</v>
      </c>
      <c r="R53" s="248">
        <f t="shared" ca="1" si="1354"/>
        <v>0</v>
      </c>
      <c r="S53" s="248">
        <f t="shared" ca="1" si="1354"/>
        <v>0</v>
      </c>
      <c r="T53" s="248">
        <f t="shared" ca="1" si="1354"/>
        <v>0</v>
      </c>
      <c r="U53" s="248">
        <f t="shared" ca="1" si="1354"/>
        <v>0</v>
      </c>
      <c r="V53" s="248">
        <f t="shared" ca="1" si="1354"/>
        <v>0</v>
      </c>
      <c r="W53" s="248">
        <f t="shared" ca="1" si="1354"/>
        <v>0</v>
      </c>
      <c r="X53" s="248">
        <f t="shared" ca="1" si="1354"/>
        <v>0</v>
      </c>
      <c r="Y53" s="248">
        <f t="shared" ca="1" si="1354"/>
        <v>0</v>
      </c>
      <c r="Z53" s="248">
        <f t="shared" ca="1" si="1354"/>
        <v>0</v>
      </c>
      <c r="AA53" s="248">
        <f t="shared" ca="1" si="1354"/>
        <v>0</v>
      </c>
      <c r="AB53" s="248">
        <f t="shared" ca="1" si="1354"/>
        <v>0</v>
      </c>
      <c r="AC53" s="432">
        <f ca="1">SUM(Q53:AB53)</f>
        <v>0</v>
      </c>
      <c r="AD53" s="248">
        <f t="shared" ref="AD53:AO53" ca="1" si="1355">AD51*AD52</f>
        <v>0</v>
      </c>
      <c r="AE53" s="248">
        <f t="shared" ca="1" si="1355"/>
        <v>0</v>
      </c>
      <c r="AF53" s="248">
        <f t="shared" ca="1" si="1355"/>
        <v>0</v>
      </c>
      <c r="AG53" s="248">
        <f t="shared" ca="1" si="1355"/>
        <v>0</v>
      </c>
      <c r="AH53" s="248">
        <f t="shared" ca="1" si="1355"/>
        <v>0</v>
      </c>
      <c r="AI53" s="248">
        <f t="shared" ca="1" si="1355"/>
        <v>0</v>
      </c>
      <c r="AJ53" s="248">
        <f t="shared" ca="1" si="1355"/>
        <v>0</v>
      </c>
      <c r="AK53" s="248">
        <f t="shared" ca="1" si="1355"/>
        <v>0</v>
      </c>
      <c r="AL53" s="248">
        <f t="shared" ca="1" si="1355"/>
        <v>0</v>
      </c>
      <c r="AM53" s="248">
        <f t="shared" ca="1" si="1355"/>
        <v>0</v>
      </c>
      <c r="AN53" s="248">
        <f t="shared" ca="1" si="1355"/>
        <v>0</v>
      </c>
      <c r="AO53" s="248">
        <f t="shared" ca="1" si="1355"/>
        <v>0</v>
      </c>
      <c r="AP53" s="432">
        <f ca="1">SUM(AD53:AO53)</f>
        <v>0</v>
      </c>
      <c r="AQ53" s="248">
        <f t="shared" ref="AQ53:BB53" ca="1" si="1356">AQ51*AQ52</f>
        <v>0</v>
      </c>
      <c r="AR53" s="248">
        <f t="shared" ca="1" si="1356"/>
        <v>0</v>
      </c>
      <c r="AS53" s="248">
        <f t="shared" ca="1" si="1356"/>
        <v>0</v>
      </c>
      <c r="AT53" s="248">
        <f t="shared" ca="1" si="1356"/>
        <v>0</v>
      </c>
      <c r="AU53" s="248">
        <f t="shared" ca="1" si="1356"/>
        <v>0</v>
      </c>
      <c r="AV53" s="248">
        <f t="shared" ca="1" si="1356"/>
        <v>0</v>
      </c>
      <c r="AW53" s="248">
        <f t="shared" ca="1" si="1356"/>
        <v>0</v>
      </c>
      <c r="AX53" s="248">
        <f t="shared" ca="1" si="1356"/>
        <v>0</v>
      </c>
      <c r="AY53" s="248">
        <f t="shared" ca="1" si="1356"/>
        <v>0</v>
      </c>
      <c r="AZ53" s="248">
        <f t="shared" ca="1" si="1356"/>
        <v>0</v>
      </c>
      <c r="BA53" s="248">
        <f t="shared" ca="1" si="1356"/>
        <v>0</v>
      </c>
      <c r="BB53" s="248">
        <f t="shared" ca="1" si="1356"/>
        <v>0</v>
      </c>
      <c r="BC53" s="432">
        <f ca="1">SUM(AQ53:BB53)</f>
        <v>0</v>
      </c>
      <c r="BD53" s="248">
        <f t="shared" ref="BD53:BO53" ca="1" si="1357">BD51*BD52</f>
        <v>0</v>
      </c>
      <c r="BE53" s="248">
        <f t="shared" ca="1" si="1357"/>
        <v>0</v>
      </c>
      <c r="BF53" s="248">
        <f t="shared" ca="1" si="1357"/>
        <v>0</v>
      </c>
      <c r="BG53" s="248">
        <f t="shared" ca="1" si="1357"/>
        <v>0</v>
      </c>
      <c r="BH53" s="248">
        <f t="shared" ca="1" si="1357"/>
        <v>0</v>
      </c>
      <c r="BI53" s="248">
        <f t="shared" ca="1" si="1357"/>
        <v>0</v>
      </c>
      <c r="BJ53" s="248">
        <f t="shared" ca="1" si="1357"/>
        <v>0</v>
      </c>
      <c r="BK53" s="248">
        <f t="shared" ca="1" si="1357"/>
        <v>0</v>
      </c>
      <c r="BL53" s="248">
        <f t="shared" ca="1" si="1357"/>
        <v>0</v>
      </c>
      <c r="BM53" s="248">
        <f t="shared" ca="1" si="1357"/>
        <v>0</v>
      </c>
      <c r="BN53" s="248">
        <f t="shared" ca="1" si="1357"/>
        <v>0</v>
      </c>
      <c r="BO53" s="248">
        <f t="shared" ca="1" si="1357"/>
        <v>0</v>
      </c>
      <c r="BP53" s="432">
        <f ca="1">SUM(BD53:BO53)</f>
        <v>0</v>
      </c>
      <c r="BQ53" s="248">
        <f t="shared" ref="BQ53:CB53" ca="1" si="1358">BQ51*BQ52</f>
        <v>0</v>
      </c>
      <c r="BR53" s="248">
        <f t="shared" ca="1" si="1358"/>
        <v>0</v>
      </c>
      <c r="BS53" s="248">
        <f t="shared" ca="1" si="1358"/>
        <v>0</v>
      </c>
      <c r="BT53" s="248">
        <f t="shared" ca="1" si="1358"/>
        <v>0</v>
      </c>
      <c r="BU53" s="248">
        <f t="shared" ca="1" si="1358"/>
        <v>0</v>
      </c>
      <c r="BV53" s="248">
        <f t="shared" ca="1" si="1358"/>
        <v>0</v>
      </c>
      <c r="BW53" s="248">
        <f t="shared" ca="1" si="1358"/>
        <v>0</v>
      </c>
      <c r="BX53" s="248">
        <f t="shared" ca="1" si="1358"/>
        <v>0</v>
      </c>
      <c r="BY53" s="248">
        <f t="shared" ca="1" si="1358"/>
        <v>0</v>
      </c>
      <c r="BZ53" s="248">
        <f t="shared" ca="1" si="1358"/>
        <v>0</v>
      </c>
      <c r="CA53" s="248">
        <f t="shared" ca="1" si="1358"/>
        <v>0</v>
      </c>
      <c r="CB53" s="248">
        <f t="shared" ca="1" si="1358"/>
        <v>0</v>
      </c>
      <c r="CC53" s="432">
        <f ca="1">SUM(BQ53:CB53)</f>
        <v>0</v>
      </c>
      <c r="CD53" s="248">
        <f t="shared" ref="CD53:CO53" ca="1" si="1359">CD51*CD52</f>
        <v>0</v>
      </c>
      <c r="CE53" s="248">
        <f t="shared" ca="1" si="1359"/>
        <v>0</v>
      </c>
      <c r="CF53" s="248">
        <f t="shared" ca="1" si="1359"/>
        <v>0</v>
      </c>
      <c r="CG53" s="248">
        <f t="shared" ca="1" si="1359"/>
        <v>0</v>
      </c>
      <c r="CH53" s="248">
        <f t="shared" ca="1" si="1359"/>
        <v>0</v>
      </c>
      <c r="CI53" s="248">
        <f t="shared" ca="1" si="1359"/>
        <v>0</v>
      </c>
      <c r="CJ53" s="248">
        <f t="shared" ca="1" si="1359"/>
        <v>0</v>
      </c>
      <c r="CK53" s="248">
        <f t="shared" ca="1" si="1359"/>
        <v>0</v>
      </c>
      <c r="CL53" s="248">
        <f t="shared" ca="1" si="1359"/>
        <v>0</v>
      </c>
      <c r="CM53" s="248">
        <f t="shared" ca="1" si="1359"/>
        <v>0</v>
      </c>
      <c r="CN53" s="248">
        <f t="shared" ca="1" si="1359"/>
        <v>0</v>
      </c>
      <c r="CO53" s="248">
        <f t="shared" ca="1" si="1359"/>
        <v>0</v>
      </c>
      <c r="CP53" s="432">
        <f ca="1">SUM(CD53:CO53)</f>
        <v>0</v>
      </c>
    </row>
    <row r="54" spans="1:94" ht="20.100000000000001" hidden="1" customHeight="1">
      <c r="A54" s="789">
        <f ca="1">OFFSET('Summary. Assumptions. Inputs'!$A$45,'Internmediate sheet'!A53/3,0)</f>
        <v>0</v>
      </c>
      <c r="B54" s="17" t="s">
        <v>609</v>
      </c>
      <c r="C54" s="18"/>
      <c r="D54" s="17">
        <f ca="1">OFFSET('Sales, Production, &amp; Other Assu'!D$18,'Internmediate sheet'!$A53/3,0)*Capacity</f>
        <v>0</v>
      </c>
      <c r="E54" s="17">
        <f ca="1">OFFSET('Sales, Production, &amp; Other Assu'!E$18,'Internmediate sheet'!$A53/3,0)*Capacity</f>
        <v>0</v>
      </c>
      <c r="F54" s="17">
        <f ca="1">OFFSET('Sales, Production, &amp; Other Assu'!F$18,'Internmediate sheet'!$A53/3,0)*Capacity</f>
        <v>0</v>
      </c>
      <c r="G54" s="17">
        <f ca="1">OFFSET('Sales, Production, &amp; Other Assu'!G$18,'Internmediate sheet'!$A53/3,0)*Capacity</f>
        <v>0</v>
      </c>
      <c r="H54" s="17">
        <f ca="1">OFFSET('Sales, Production, &amp; Other Assu'!H$18,'Internmediate sheet'!$A53/3,0)*Capacity</f>
        <v>0</v>
      </c>
      <c r="I54" s="17">
        <f ca="1">OFFSET('Sales, Production, &amp; Other Assu'!I$18,'Internmediate sheet'!$A53/3,0)*Capacity</f>
        <v>0</v>
      </c>
      <c r="J54" s="17">
        <f ca="1">OFFSET('Sales, Production, &amp; Other Assu'!J$18,'Internmediate sheet'!$A53/3,0)*Capacity</f>
        <v>0</v>
      </c>
      <c r="K54" s="17">
        <f ca="1">OFFSET('Sales, Production, &amp; Other Assu'!K$18,'Internmediate sheet'!$A53/3,0)*Capacity</f>
        <v>0</v>
      </c>
      <c r="L54" s="17">
        <f ca="1">OFFSET('Sales, Production, &amp; Other Assu'!L$18,'Internmediate sheet'!$A53/3,0)*Capacity</f>
        <v>0</v>
      </c>
      <c r="M54" s="17">
        <f ca="1">OFFSET('Sales, Production, &amp; Other Assu'!M$18,'Internmediate sheet'!$A53/3,0)*Capacity</f>
        <v>0</v>
      </c>
      <c r="N54" s="17">
        <f ca="1">OFFSET('Sales, Production, &amp; Other Assu'!N$18,'Internmediate sheet'!$A53/3,0)*Capacity</f>
        <v>0</v>
      </c>
      <c r="O54" s="17">
        <f ca="1">OFFSET('Sales, Production, &amp; Other Assu'!O$18,'Internmediate sheet'!$A53/3,0)*Capacity</f>
        <v>0</v>
      </c>
      <c r="P54" s="430">
        <f ca="1">SUM(D54:O54)</f>
        <v>0</v>
      </c>
      <c r="Q54" s="17">
        <f ca="1">OFFSET('Sales, Production, &amp; Other Assu'!Q$18,'Internmediate sheet'!$A53/3,0)*Capacity</f>
        <v>0</v>
      </c>
      <c r="R54" s="17">
        <f ca="1">OFFSET('Sales, Production, &amp; Other Assu'!R$18,'Internmediate sheet'!$A53/3,0)*Capacity</f>
        <v>0</v>
      </c>
      <c r="S54" s="17">
        <f ca="1">OFFSET('Sales, Production, &amp; Other Assu'!S$18,'Internmediate sheet'!$A53/3,0)*Capacity</f>
        <v>0</v>
      </c>
      <c r="T54" s="17">
        <f ca="1">OFFSET('Sales, Production, &amp; Other Assu'!T$18,'Internmediate sheet'!$A53/3,0)*Capacity</f>
        <v>0</v>
      </c>
      <c r="U54" s="17">
        <f ca="1">OFFSET('Sales, Production, &amp; Other Assu'!U$18,'Internmediate sheet'!$A53/3,0)*Capacity</f>
        <v>0</v>
      </c>
      <c r="V54" s="17">
        <f ca="1">OFFSET('Sales, Production, &amp; Other Assu'!V$18,'Internmediate sheet'!$A53/3,0)*Capacity</f>
        <v>0</v>
      </c>
      <c r="W54" s="17">
        <f ca="1">OFFSET('Sales, Production, &amp; Other Assu'!W$18,'Internmediate sheet'!$A53/3,0)*Capacity</f>
        <v>0</v>
      </c>
      <c r="X54" s="17">
        <f ca="1">OFFSET('Sales, Production, &amp; Other Assu'!X$18,'Internmediate sheet'!$A53/3,0)*Capacity</f>
        <v>0</v>
      </c>
      <c r="Y54" s="17">
        <f ca="1">OFFSET('Sales, Production, &amp; Other Assu'!Y$18,'Internmediate sheet'!$A53/3,0)*Capacity</f>
        <v>0</v>
      </c>
      <c r="Z54" s="17">
        <f ca="1">OFFSET('Sales, Production, &amp; Other Assu'!Z$18,'Internmediate sheet'!$A53/3,0)*Capacity</f>
        <v>0</v>
      </c>
      <c r="AA54" s="17">
        <f ca="1">OFFSET('Sales, Production, &amp; Other Assu'!AA$18,'Internmediate sheet'!$A53/3,0)*Capacity</f>
        <v>0</v>
      </c>
      <c r="AB54" s="17">
        <f ca="1">OFFSET('Sales, Production, &amp; Other Assu'!AB$18,'Internmediate sheet'!$A53/3,0)*Capacity</f>
        <v>0</v>
      </c>
      <c r="AC54" s="430">
        <f ca="1">SUM(Q54:AB54)</f>
        <v>0</v>
      </c>
      <c r="AD54" s="17">
        <f ca="1">OFFSET('Sales, Production, &amp; Other Assu'!AD$18,'Internmediate sheet'!$A53/3,0)*Capacity</f>
        <v>0</v>
      </c>
      <c r="AE54" s="17">
        <f ca="1">OFFSET('Sales, Production, &amp; Other Assu'!AE$18,'Internmediate sheet'!$A53/3,0)*Capacity</f>
        <v>0</v>
      </c>
      <c r="AF54" s="17">
        <f ca="1">OFFSET('Sales, Production, &amp; Other Assu'!AF$18,'Internmediate sheet'!$A53/3,0)*Capacity</f>
        <v>0</v>
      </c>
      <c r="AG54" s="17">
        <f ca="1">OFFSET('Sales, Production, &amp; Other Assu'!AG$18,'Internmediate sheet'!$A53/3,0)*Capacity</f>
        <v>0</v>
      </c>
      <c r="AH54" s="17">
        <f ca="1">OFFSET('Sales, Production, &amp; Other Assu'!AH$18,'Internmediate sheet'!$A53/3,0)*Capacity</f>
        <v>0</v>
      </c>
      <c r="AI54" s="17">
        <f ca="1">OFFSET('Sales, Production, &amp; Other Assu'!AI$18,'Internmediate sheet'!$A53/3,0)*Capacity</f>
        <v>0</v>
      </c>
      <c r="AJ54" s="17">
        <f ca="1">OFFSET('Sales, Production, &amp; Other Assu'!AJ$18,'Internmediate sheet'!$A53/3,0)*Capacity</f>
        <v>0</v>
      </c>
      <c r="AK54" s="17">
        <f ca="1">OFFSET('Sales, Production, &amp; Other Assu'!AK$18,'Internmediate sheet'!$A53/3,0)*Capacity</f>
        <v>0</v>
      </c>
      <c r="AL54" s="17">
        <f ca="1">OFFSET('Sales, Production, &amp; Other Assu'!AL$18,'Internmediate sheet'!$A53/3,0)*Capacity</f>
        <v>0</v>
      </c>
      <c r="AM54" s="17">
        <f ca="1">OFFSET('Sales, Production, &amp; Other Assu'!AM$18,'Internmediate sheet'!$A53/3,0)*Capacity</f>
        <v>0</v>
      </c>
      <c r="AN54" s="17">
        <f ca="1">OFFSET('Sales, Production, &amp; Other Assu'!AN$18,'Internmediate sheet'!$A53/3,0)*Capacity</f>
        <v>0</v>
      </c>
      <c r="AO54" s="17">
        <f ca="1">OFFSET('Sales, Production, &amp; Other Assu'!AO$18,'Internmediate sheet'!$A53/3,0)*Capacity</f>
        <v>0</v>
      </c>
      <c r="AP54" s="430">
        <f ca="1">SUM(AD54:AO54)</f>
        <v>0</v>
      </c>
      <c r="AQ54" s="17">
        <f ca="1">OFFSET('Sales, Production, &amp; Other Assu'!AQ$18,'Internmediate sheet'!$A53/3,0)*Capacity</f>
        <v>0</v>
      </c>
      <c r="AR54" s="17">
        <f ca="1">OFFSET('Sales, Production, &amp; Other Assu'!AR$18,'Internmediate sheet'!$A53/3,0)*Capacity</f>
        <v>0</v>
      </c>
      <c r="AS54" s="17">
        <f ca="1">OFFSET('Sales, Production, &amp; Other Assu'!AS$18,'Internmediate sheet'!$A53/3,0)*Capacity</f>
        <v>0</v>
      </c>
      <c r="AT54" s="17">
        <f ca="1">OFFSET('Sales, Production, &amp; Other Assu'!AT$18,'Internmediate sheet'!$A53/3,0)*Capacity</f>
        <v>0</v>
      </c>
      <c r="AU54" s="17">
        <f ca="1">OFFSET('Sales, Production, &amp; Other Assu'!AU$18,'Internmediate sheet'!$A53/3,0)*Capacity</f>
        <v>0</v>
      </c>
      <c r="AV54" s="17">
        <f ca="1">OFFSET('Sales, Production, &amp; Other Assu'!AV$18,'Internmediate sheet'!$A53/3,0)*Capacity</f>
        <v>0</v>
      </c>
      <c r="AW54" s="17">
        <f ca="1">OFFSET('Sales, Production, &amp; Other Assu'!AW$18,'Internmediate sheet'!$A53/3,0)*Capacity</f>
        <v>0</v>
      </c>
      <c r="AX54" s="17">
        <f ca="1">OFFSET('Sales, Production, &amp; Other Assu'!AX$18,'Internmediate sheet'!$A53/3,0)*Capacity</f>
        <v>0</v>
      </c>
      <c r="AY54" s="17">
        <f ca="1">OFFSET('Sales, Production, &amp; Other Assu'!AY$18,'Internmediate sheet'!$A53/3,0)*Capacity</f>
        <v>0</v>
      </c>
      <c r="AZ54" s="17">
        <f ca="1">OFFSET('Sales, Production, &amp; Other Assu'!AZ$18,'Internmediate sheet'!$A53/3,0)*Capacity</f>
        <v>0</v>
      </c>
      <c r="BA54" s="17">
        <f ca="1">OFFSET('Sales, Production, &amp; Other Assu'!BA$18,'Internmediate sheet'!$A53/3,0)*Capacity</f>
        <v>0</v>
      </c>
      <c r="BB54" s="17">
        <f ca="1">OFFSET('Sales, Production, &amp; Other Assu'!BB$18,'Internmediate sheet'!$A53/3,0)*Capacity</f>
        <v>0</v>
      </c>
      <c r="BC54" s="430">
        <f ca="1">SUM(AQ54:BB54)</f>
        <v>0</v>
      </c>
      <c r="BD54" s="17">
        <f ca="1">OFFSET('Sales, Production, &amp; Other Assu'!BD$18,'Internmediate sheet'!$A53/3,0)*Capacity</f>
        <v>0</v>
      </c>
      <c r="BE54" s="17">
        <f ca="1">OFFSET('Sales, Production, &amp; Other Assu'!BE$18,'Internmediate sheet'!$A53/3,0)*Capacity</f>
        <v>0</v>
      </c>
      <c r="BF54" s="17">
        <f ca="1">OFFSET('Sales, Production, &amp; Other Assu'!BF$18,'Internmediate sheet'!$A53/3,0)*Capacity</f>
        <v>0</v>
      </c>
      <c r="BG54" s="17">
        <f ca="1">OFFSET('Sales, Production, &amp; Other Assu'!BG$18,'Internmediate sheet'!$A53/3,0)*Capacity</f>
        <v>0</v>
      </c>
      <c r="BH54" s="17">
        <f ca="1">OFFSET('Sales, Production, &amp; Other Assu'!BH$18,'Internmediate sheet'!$A53/3,0)*Capacity</f>
        <v>0</v>
      </c>
      <c r="BI54" s="17">
        <f ca="1">OFFSET('Sales, Production, &amp; Other Assu'!BI$18,'Internmediate sheet'!$A53/3,0)*Capacity</f>
        <v>0</v>
      </c>
      <c r="BJ54" s="17">
        <f ca="1">OFFSET('Sales, Production, &amp; Other Assu'!BJ$18,'Internmediate sheet'!$A53/3,0)*Capacity</f>
        <v>0</v>
      </c>
      <c r="BK54" s="17">
        <f ca="1">OFFSET('Sales, Production, &amp; Other Assu'!BK$18,'Internmediate sheet'!$A53/3,0)*Capacity</f>
        <v>0</v>
      </c>
      <c r="BL54" s="17">
        <f ca="1">OFFSET('Sales, Production, &amp; Other Assu'!BL$18,'Internmediate sheet'!$A53/3,0)*Capacity</f>
        <v>0</v>
      </c>
      <c r="BM54" s="17">
        <f ca="1">OFFSET('Sales, Production, &amp; Other Assu'!BM$18,'Internmediate sheet'!$A53/3,0)*Capacity</f>
        <v>0</v>
      </c>
      <c r="BN54" s="17">
        <f ca="1">OFFSET('Sales, Production, &amp; Other Assu'!BN$18,'Internmediate sheet'!$A53/3,0)*Capacity</f>
        <v>0</v>
      </c>
      <c r="BO54" s="17">
        <f ca="1">OFFSET('Sales, Production, &amp; Other Assu'!BO$18,'Internmediate sheet'!$A53/3,0)*Capacity</f>
        <v>0</v>
      </c>
      <c r="BP54" s="430">
        <f ca="1">SUM(BD54:BO54)</f>
        <v>0</v>
      </c>
      <c r="BQ54" s="17">
        <f ca="1">OFFSET('Sales, Production, &amp; Other Assu'!BQ$18,'Internmediate sheet'!$A53/3,0)*Capacity</f>
        <v>0</v>
      </c>
      <c r="BR54" s="17">
        <f ca="1">OFFSET('Sales, Production, &amp; Other Assu'!BR$18,'Internmediate sheet'!$A53/3,0)*Capacity</f>
        <v>0</v>
      </c>
      <c r="BS54" s="17">
        <f ca="1">OFFSET('Sales, Production, &amp; Other Assu'!BS$18,'Internmediate sheet'!$A53/3,0)*Capacity</f>
        <v>0</v>
      </c>
      <c r="BT54" s="17">
        <f ca="1">OFFSET('Sales, Production, &amp; Other Assu'!BT$18,'Internmediate sheet'!$A53/3,0)*Capacity</f>
        <v>0</v>
      </c>
      <c r="BU54" s="17">
        <f ca="1">OFFSET('Sales, Production, &amp; Other Assu'!BU$18,'Internmediate sheet'!$A53/3,0)*Capacity</f>
        <v>0</v>
      </c>
      <c r="BV54" s="17">
        <f ca="1">OFFSET('Sales, Production, &amp; Other Assu'!BV$18,'Internmediate sheet'!$A53/3,0)*Capacity</f>
        <v>0</v>
      </c>
      <c r="BW54" s="17">
        <f ca="1">OFFSET('Sales, Production, &amp; Other Assu'!BW$18,'Internmediate sheet'!$A53/3,0)*Capacity</f>
        <v>0</v>
      </c>
      <c r="BX54" s="17">
        <f ca="1">OFFSET('Sales, Production, &amp; Other Assu'!BX$18,'Internmediate sheet'!$A53/3,0)*Capacity</f>
        <v>0</v>
      </c>
      <c r="BY54" s="17">
        <f ca="1">OFFSET('Sales, Production, &amp; Other Assu'!BY$18,'Internmediate sheet'!$A53/3,0)*Capacity</f>
        <v>0</v>
      </c>
      <c r="BZ54" s="17">
        <f ca="1">OFFSET('Sales, Production, &amp; Other Assu'!BZ$18,'Internmediate sheet'!$A53/3,0)*Capacity</f>
        <v>0</v>
      </c>
      <c r="CA54" s="17">
        <f ca="1">OFFSET('Sales, Production, &amp; Other Assu'!CA$18,'Internmediate sheet'!$A53/3,0)*Capacity</f>
        <v>0</v>
      </c>
      <c r="CB54" s="17">
        <f ca="1">OFFSET('Sales, Production, &amp; Other Assu'!CB$18,'Internmediate sheet'!$A53/3,0)*Capacity</f>
        <v>0</v>
      </c>
      <c r="CC54" s="430">
        <f ca="1">SUM(BQ54:CB54)</f>
        <v>0</v>
      </c>
      <c r="CD54" s="17">
        <f ca="1">OFFSET('Sales, Production, &amp; Other Assu'!CD$18,'Internmediate sheet'!$A53/3,0)*Capacity</f>
        <v>0</v>
      </c>
      <c r="CE54" s="17">
        <f ca="1">OFFSET('Sales, Production, &amp; Other Assu'!CE$18,'Internmediate sheet'!$A53/3,0)*Capacity</f>
        <v>0</v>
      </c>
      <c r="CF54" s="17">
        <f ca="1">OFFSET('Sales, Production, &amp; Other Assu'!CF$18,'Internmediate sheet'!$A53/3,0)*Capacity</f>
        <v>0</v>
      </c>
      <c r="CG54" s="17">
        <f ca="1">OFFSET('Sales, Production, &amp; Other Assu'!CG$18,'Internmediate sheet'!$A53/3,0)*Capacity</f>
        <v>0</v>
      </c>
      <c r="CH54" s="17">
        <f ca="1">OFFSET('Sales, Production, &amp; Other Assu'!CH$18,'Internmediate sheet'!$A53/3,0)*Capacity</f>
        <v>0</v>
      </c>
      <c r="CI54" s="17">
        <f ca="1">OFFSET('Sales, Production, &amp; Other Assu'!CI$18,'Internmediate sheet'!$A53/3,0)*Capacity</f>
        <v>0</v>
      </c>
      <c r="CJ54" s="17">
        <f ca="1">OFFSET('Sales, Production, &amp; Other Assu'!CJ$18,'Internmediate sheet'!$A53/3,0)*Capacity</f>
        <v>0</v>
      </c>
      <c r="CK54" s="17">
        <f ca="1">OFFSET('Sales, Production, &amp; Other Assu'!CK$18,'Internmediate sheet'!$A53/3,0)*Capacity</f>
        <v>0</v>
      </c>
      <c r="CL54" s="17">
        <f ca="1">OFFSET('Sales, Production, &amp; Other Assu'!CL$18,'Internmediate sheet'!$A53/3,0)*Capacity</f>
        <v>0</v>
      </c>
      <c r="CM54" s="17">
        <f ca="1">OFFSET('Sales, Production, &amp; Other Assu'!CM$18,'Internmediate sheet'!$A53/3,0)*Capacity</f>
        <v>0</v>
      </c>
      <c r="CN54" s="17">
        <f ca="1">OFFSET('Sales, Production, &amp; Other Assu'!CN$18,'Internmediate sheet'!$A53/3,0)*Capacity</f>
        <v>0</v>
      </c>
      <c r="CO54" s="17">
        <f ca="1">OFFSET('Sales, Production, &amp; Other Assu'!CO$18,'Internmediate sheet'!$A53/3,0)*Capacity</f>
        <v>0</v>
      </c>
      <c r="CP54" s="430">
        <f ca="1">SUM(CD54:CO54)</f>
        <v>0</v>
      </c>
    </row>
    <row r="55" spans="1:94" ht="20.100000000000001" hidden="1" customHeight="1">
      <c r="A55" s="790"/>
      <c r="B55" s="8" t="s">
        <v>610</v>
      </c>
      <c r="C55" s="8">
        <f ca="1">OFFSET('Summary. Assumptions. Inputs'!$F$46,'Internmediate sheet'!A50/3,0)</f>
        <v>0</v>
      </c>
      <c r="D55" s="8">
        <f t="shared" ref="D55:P55" ca="1" si="1360">C55</f>
        <v>0</v>
      </c>
      <c r="E55" s="8">
        <f t="shared" ca="1" si="1360"/>
        <v>0</v>
      </c>
      <c r="F55" s="8">
        <f t="shared" ca="1" si="1360"/>
        <v>0</v>
      </c>
      <c r="G55" s="8">
        <f t="shared" ca="1" si="1360"/>
        <v>0</v>
      </c>
      <c r="H55" s="8">
        <f t="shared" ca="1" si="1360"/>
        <v>0</v>
      </c>
      <c r="I55" s="8">
        <f t="shared" ca="1" si="1360"/>
        <v>0</v>
      </c>
      <c r="J55" s="8">
        <f t="shared" ca="1" si="1360"/>
        <v>0</v>
      </c>
      <c r="K55" s="8">
        <f t="shared" ca="1" si="1360"/>
        <v>0</v>
      </c>
      <c r="L55" s="8">
        <f t="shared" ca="1" si="1360"/>
        <v>0</v>
      </c>
      <c r="M55" s="8">
        <f t="shared" ca="1" si="1360"/>
        <v>0</v>
      </c>
      <c r="N55" s="8">
        <f t="shared" ca="1" si="1360"/>
        <v>0</v>
      </c>
      <c r="O55" s="8">
        <f t="shared" ca="1" si="1360"/>
        <v>0</v>
      </c>
      <c r="P55" s="431">
        <f t="shared" ca="1" si="1360"/>
        <v>0</v>
      </c>
      <c r="Q55" s="8">
        <f t="shared" ref="Q55" ca="1" si="1361">P55</f>
        <v>0</v>
      </c>
      <c r="R55" s="8">
        <f t="shared" ref="R55" ca="1" si="1362">Q55</f>
        <v>0</v>
      </c>
      <c r="S55" s="8">
        <f t="shared" ref="S55" ca="1" si="1363">R55</f>
        <v>0</v>
      </c>
      <c r="T55" s="8">
        <f t="shared" ref="T55" ca="1" si="1364">S55</f>
        <v>0</v>
      </c>
      <c r="U55" s="8">
        <f t="shared" ref="U55" ca="1" si="1365">T55</f>
        <v>0</v>
      </c>
      <c r="V55" s="8">
        <f t="shared" ref="V55" ca="1" si="1366">U55</f>
        <v>0</v>
      </c>
      <c r="W55" s="8">
        <f t="shared" ref="W55" ca="1" si="1367">V55</f>
        <v>0</v>
      </c>
      <c r="X55" s="8">
        <f t="shared" ref="X55" ca="1" si="1368">W55</f>
        <v>0</v>
      </c>
      <c r="Y55" s="8">
        <f t="shared" ref="Y55" ca="1" si="1369">X55</f>
        <v>0</v>
      </c>
      <c r="Z55" s="8">
        <f t="shared" ref="Z55" ca="1" si="1370">Y55</f>
        <v>0</v>
      </c>
      <c r="AA55" s="8">
        <f t="shared" ref="AA55" ca="1" si="1371">Z55</f>
        <v>0</v>
      </c>
      <c r="AB55" s="8">
        <f t="shared" ref="AB55" ca="1" si="1372">AA55</f>
        <v>0</v>
      </c>
      <c r="AC55" s="431">
        <f t="shared" ref="AC55" ca="1" si="1373">AB55</f>
        <v>0</v>
      </c>
      <c r="AD55" s="8">
        <f t="shared" ref="AD55" ca="1" si="1374">AC55</f>
        <v>0</v>
      </c>
      <c r="AE55" s="8">
        <f t="shared" ref="AE55" ca="1" si="1375">AD55</f>
        <v>0</v>
      </c>
      <c r="AF55" s="8">
        <f t="shared" ref="AF55" ca="1" si="1376">AE55</f>
        <v>0</v>
      </c>
      <c r="AG55" s="8">
        <f t="shared" ref="AG55" ca="1" si="1377">AF55</f>
        <v>0</v>
      </c>
      <c r="AH55" s="8">
        <f t="shared" ref="AH55" ca="1" si="1378">AG55</f>
        <v>0</v>
      </c>
      <c r="AI55" s="8">
        <f t="shared" ref="AI55" ca="1" si="1379">AH55</f>
        <v>0</v>
      </c>
      <c r="AJ55" s="8">
        <f t="shared" ref="AJ55" ca="1" si="1380">AI55</f>
        <v>0</v>
      </c>
      <c r="AK55" s="8">
        <f t="shared" ref="AK55" ca="1" si="1381">AJ55</f>
        <v>0</v>
      </c>
      <c r="AL55" s="8">
        <f t="shared" ref="AL55" ca="1" si="1382">AK55</f>
        <v>0</v>
      </c>
      <c r="AM55" s="8">
        <f t="shared" ref="AM55" ca="1" si="1383">AL55</f>
        <v>0</v>
      </c>
      <c r="AN55" s="8">
        <f t="shared" ref="AN55" ca="1" si="1384">AM55</f>
        <v>0</v>
      </c>
      <c r="AO55" s="8">
        <f t="shared" ref="AO55" ca="1" si="1385">AN55</f>
        <v>0</v>
      </c>
      <c r="AP55" s="431">
        <f t="shared" ref="AP55" ca="1" si="1386">AO55</f>
        <v>0</v>
      </c>
      <c r="AQ55" s="8">
        <f ca="1">AP55</f>
        <v>0</v>
      </c>
      <c r="AR55" s="8">
        <f t="shared" ref="AR55" ca="1" si="1387">AQ55</f>
        <v>0</v>
      </c>
      <c r="AS55" s="8">
        <f t="shared" ref="AS55" ca="1" si="1388">AR55</f>
        <v>0</v>
      </c>
      <c r="AT55" s="8">
        <f t="shared" ref="AT55" ca="1" si="1389">AS55</f>
        <v>0</v>
      </c>
      <c r="AU55" s="8">
        <f t="shared" ref="AU55" ca="1" si="1390">AT55</f>
        <v>0</v>
      </c>
      <c r="AV55" s="8">
        <f t="shared" ref="AV55" ca="1" si="1391">AU55</f>
        <v>0</v>
      </c>
      <c r="AW55" s="8">
        <f t="shared" ref="AW55" ca="1" si="1392">AV55</f>
        <v>0</v>
      </c>
      <c r="AX55" s="8">
        <f t="shared" ref="AX55" ca="1" si="1393">AW55</f>
        <v>0</v>
      </c>
      <c r="AY55" s="8">
        <f t="shared" ref="AY55" ca="1" si="1394">AX55</f>
        <v>0</v>
      </c>
      <c r="AZ55" s="8">
        <f t="shared" ref="AZ55" ca="1" si="1395">AY55</f>
        <v>0</v>
      </c>
      <c r="BA55" s="8">
        <f t="shared" ref="BA55" ca="1" si="1396">AZ55</f>
        <v>0</v>
      </c>
      <c r="BB55" s="8">
        <f t="shared" ref="BB55" ca="1" si="1397">BA55</f>
        <v>0</v>
      </c>
      <c r="BC55" s="431">
        <f t="shared" ref="BC55" ca="1" si="1398">BB55</f>
        <v>0</v>
      </c>
      <c r="BD55" s="8">
        <f t="shared" ref="BD55" ca="1" si="1399">BC55</f>
        <v>0</v>
      </c>
      <c r="BE55" s="8">
        <f t="shared" ref="BE55" ca="1" si="1400">BD55</f>
        <v>0</v>
      </c>
      <c r="BF55" s="8">
        <f t="shared" ref="BF55" ca="1" si="1401">BE55</f>
        <v>0</v>
      </c>
      <c r="BG55" s="8">
        <f t="shared" ref="BG55" ca="1" si="1402">BF55</f>
        <v>0</v>
      </c>
      <c r="BH55" s="8">
        <f t="shared" ref="BH55" ca="1" si="1403">BG55</f>
        <v>0</v>
      </c>
      <c r="BI55" s="8">
        <f t="shared" ref="BI55" ca="1" si="1404">BH55</f>
        <v>0</v>
      </c>
      <c r="BJ55" s="8">
        <f t="shared" ref="BJ55" ca="1" si="1405">BI55</f>
        <v>0</v>
      </c>
      <c r="BK55" s="8">
        <f t="shared" ref="BK55" ca="1" si="1406">BJ55</f>
        <v>0</v>
      </c>
      <c r="BL55" s="8">
        <f t="shared" ref="BL55" ca="1" si="1407">BK55</f>
        <v>0</v>
      </c>
      <c r="BM55" s="8">
        <f t="shared" ref="BM55" ca="1" si="1408">BL55</f>
        <v>0</v>
      </c>
      <c r="BN55" s="8">
        <f t="shared" ref="BN55" ca="1" si="1409">BM55</f>
        <v>0</v>
      </c>
      <c r="BO55" s="8">
        <f t="shared" ref="BO55" ca="1" si="1410">BN55</f>
        <v>0</v>
      </c>
      <c r="BP55" s="431">
        <f t="shared" ref="BP55" ca="1" si="1411">BO55</f>
        <v>0</v>
      </c>
      <c r="BQ55" s="8">
        <f t="shared" ref="BQ55" ca="1" si="1412">BP55</f>
        <v>0</v>
      </c>
      <c r="BR55" s="8">
        <f t="shared" ref="BR55" ca="1" si="1413">BQ55</f>
        <v>0</v>
      </c>
      <c r="BS55" s="8">
        <f t="shared" ref="BS55" ca="1" si="1414">BR55</f>
        <v>0</v>
      </c>
      <c r="BT55" s="8">
        <f t="shared" ref="BT55" ca="1" si="1415">BS55</f>
        <v>0</v>
      </c>
      <c r="BU55" s="8">
        <f t="shared" ref="BU55" ca="1" si="1416">BT55</f>
        <v>0</v>
      </c>
      <c r="BV55" s="8">
        <f t="shared" ref="BV55" ca="1" si="1417">BU55</f>
        <v>0</v>
      </c>
      <c r="BW55" s="8">
        <f t="shared" ref="BW55" ca="1" si="1418">BV55</f>
        <v>0</v>
      </c>
      <c r="BX55" s="8">
        <f t="shared" ref="BX55" ca="1" si="1419">BW55</f>
        <v>0</v>
      </c>
      <c r="BY55" s="8">
        <f t="shared" ref="BY55" ca="1" si="1420">BX55</f>
        <v>0</v>
      </c>
      <c r="BZ55" s="8">
        <f t="shared" ref="BZ55" ca="1" si="1421">BY55</f>
        <v>0</v>
      </c>
      <c r="CA55" s="8">
        <f t="shared" ref="CA55" ca="1" si="1422">BZ55</f>
        <v>0</v>
      </c>
      <c r="CB55" s="8">
        <f t="shared" ref="CB55" ca="1" si="1423">CA55</f>
        <v>0</v>
      </c>
      <c r="CC55" s="431">
        <f t="shared" ref="CC55" ca="1" si="1424">CB55</f>
        <v>0</v>
      </c>
      <c r="CD55" s="8">
        <f t="shared" ref="CD55" ca="1" si="1425">CC55</f>
        <v>0</v>
      </c>
      <c r="CE55" s="8">
        <f t="shared" ref="CE55" ca="1" si="1426">CD55</f>
        <v>0</v>
      </c>
      <c r="CF55" s="8">
        <f t="shared" ref="CF55" ca="1" si="1427">CE55</f>
        <v>0</v>
      </c>
      <c r="CG55" s="8">
        <f t="shared" ref="CG55" ca="1" si="1428">CF55</f>
        <v>0</v>
      </c>
      <c r="CH55" s="8">
        <f t="shared" ref="CH55" ca="1" si="1429">CG55</f>
        <v>0</v>
      </c>
      <c r="CI55" s="8">
        <f t="shared" ref="CI55" ca="1" si="1430">CH55</f>
        <v>0</v>
      </c>
      <c r="CJ55" s="8">
        <f t="shared" ref="CJ55" ca="1" si="1431">CI55</f>
        <v>0</v>
      </c>
      <c r="CK55" s="8">
        <f t="shared" ref="CK55" ca="1" si="1432">CJ55</f>
        <v>0</v>
      </c>
      <c r="CL55" s="8">
        <f t="shared" ref="CL55" ca="1" si="1433">CK55</f>
        <v>0</v>
      </c>
      <c r="CM55" s="8">
        <f t="shared" ref="CM55" ca="1" si="1434">CL55</f>
        <v>0</v>
      </c>
      <c r="CN55" s="8">
        <f t="shared" ref="CN55" ca="1" si="1435">CM55</f>
        <v>0</v>
      </c>
      <c r="CO55" s="8">
        <f t="shared" ref="CO55" ca="1" si="1436">CN55</f>
        <v>0</v>
      </c>
      <c r="CP55" s="431">
        <f t="shared" ref="CP55" ca="1" si="1437">CO55</f>
        <v>0</v>
      </c>
    </row>
    <row r="56" spans="1:94" ht="20.100000000000001" hidden="1" customHeight="1">
      <c r="A56" s="791"/>
      <c r="B56" s="248" t="s">
        <v>611</v>
      </c>
      <c r="C56" s="249">
        <f t="shared" ref="C56:O56" ca="1" si="1438">C54*C55</f>
        <v>0</v>
      </c>
      <c r="D56" s="248">
        <f t="shared" ca="1" si="1438"/>
        <v>0</v>
      </c>
      <c r="E56" s="248">
        <f t="shared" ca="1" si="1438"/>
        <v>0</v>
      </c>
      <c r="F56" s="248">
        <f t="shared" ca="1" si="1438"/>
        <v>0</v>
      </c>
      <c r="G56" s="248">
        <f t="shared" ca="1" si="1438"/>
        <v>0</v>
      </c>
      <c r="H56" s="248">
        <f t="shared" ca="1" si="1438"/>
        <v>0</v>
      </c>
      <c r="I56" s="248">
        <f t="shared" ca="1" si="1438"/>
        <v>0</v>
      </c>
      <c r="J56" s="248">
        <f t="shared" ca="1" si="1438"/>
        <v>0</v>
      </c>
      <c r="K56" s="248">
        <f t="shared" ca="1" si="1438"/>
        <v>0</v>
      </c>
      <c r="L56" s="248">
        <f t="shared" ca="1" si="1438"/>
        <v>0</v>
      </c>
      <c r="M56" s="248">
        <f t="shared" ca="1" si="1438"/>
        <v>0</v>
      </c>
      <c r="N56" s="248">
        <f t="shared" ca="1" si="1438"/>
        <v>0</v>
      </c>
      <c r="O56" s="248">
        <f t="shared" ca="1" si="1438"/>
        <v>0</v>
      </c>
      <c r="P56" s="432">
        <f ca="1">SUM(D56:O56)</f>
        <v>0</v>
      </c>
      <c r="Q56" s="248">
        <f t="shared" ref="Q56:AB56" ca="1" si="1439">Q54*Q55</f>
        <v>0</v>
      </c>
      <c r="R56" s="248">
        <f t="shared" ca="1" si="1439"/>
        <v>0</v>
      </c>
      <c r="S56" s="248">
        <f t="shared" ca="1" si="1439"/>
        <v>0</v>
      </c>
      <c r="T56" s="248">
        <f t="shared" ca="1" si="1439"/>
        <v>0</v>
      </c>
      <c r="U56" s="248">
        <f t="shared" ca="1" si="1439"/>
        <v>0</v>
      </c>
      <c r="V56" s="248">
        <f t="shared" ca="1" si="1439"/>
        <v>0</v>
      </c>
      <c r="W56" s="248">
        <f t="shared" ca="1" si="1439"/>
        <v>0</v>
      </c>
      <c r="X56" s="248">
        <f t="shared" ca="1" si="1439"/>
        <v>0</v>
      </c>
      <c r="Y56" s="248">
        <f t="shared" ca="1" si="1439"/>
        <v>0</v>
      </c>
      <c r="Z56" s="248">
        <f t="shared" ca="1" si="1439"/>
        <v>0</v>
      </c>
      <c r="AA56" s="248">
        <f t="shared" ca="1" si="1439"/>
        <v>0</v>
      </c>
      <c r="AB56" s="248">
        <f t="shared" ca="1" si="1439"/>
        <v>0</v>
      </c>
      <c r="AC56" s="432">
        <f ca="1">SUM(Q56:AB56)</f>
        <v>0</v>
      </c>
      <c r="AD56" s="248">
        <f t="shared" ref="AD56:AO56" ca="1" si="1440">AD54*AD55</f>
        <v>0</v>
      </c>
      <c r="AE56" s="248">
        <f t="shared" ca="1" si="1440"/>
        <v>0</v>
      </c>
      <c r="AF56" s="248">
        <f t="shared" ca="1" si="1440"/>
        <v>0</v>
      </c>
      <c r="AG56" s="248">
        <f t="shared" ca="1" si="1440"/>
        <v>0</v>
      </c>
      <c r="AH56" s="248">
        <f t="shared" ca="1" si="1440"/>
        <v>0</v>
      </c>
      <c r="AI56" s="248">
        <f t="shared" ca="1" si="1440"/>
        <v>0</v>
      </c>
      <c r="AJ56" s="248">
        <f t="shared" ca="1" si="1440"/>
        <v>0</v>
      </c>
      <c r="AK56" s="248">
        <f t="shared" ca="1" si="1440"/>
        <v>0</v>
      </c>
      <c r="AL56" s="248">
        <f t="shared" ca="1" si="1440"/>
        <v>0</v>
      </c>
      <c r="AM56" s="248">
        <f t="shared" ca="1" si="1440"/>
        <v>0</v>
      </c>
      <c r="AN56" s="248">
        <f t="shared" ca="1" si="1440"/>
        <v>0</v>
      </c>
      <c r="AO56" s="248">
        <f t="shared" ca="1" si="1440"/>
        <v>0</v>
      </c>
      <c r="AP56" s="432">
        <f ca="1">SUM(AD56:AO56)</f>
        <v>0</v>
      </c>
      <c r="AQ56" s="248">
        <f t="shared" ref="AQ56:BB56" ca="1" si="1441">AQ54*AQ55</f>
        <v>0</v>
      </c>
      <c r="AR56" s="248">
        <f t="shared" ca="1" si="1441"/>
        <v>0</v>
      </c>
      <c r="AS56" s="248">
        <f t="shared" ca="1" si="1441"/>
        <v>0</v>
      </c>
      <c r="AT56" s="248">
        <f t="shared" ca="1" si="1441"/>
        <v>0</v>
      </c>
      <c r="AU56" s="248">
        <f t="shared" ca="1" si="1441"/>
        <v>0</v>
      </c>
      <c r="AV56" s="248">
        <f t="shared" ca="1" si="1441"/>
        <v>0</v>
      </c>
      <c r="AW56" s="248">
        <f t="shared" ca="1" si="1441"/>
        <v>0</v>
      </c>
      <c r="AX56" s="248">
        <f t="shared" ca="1" si="1441"/>
        <v>0</v>
      </c>
      <c r="AY56" s="248">
        <f t="shared" ca="1" si="1441"/>
        <v>0</v>
      </c>
      <c r="AZ56" s="248">
        <f t="shared" ca="1" si="1441"/>
        <v>0</v>
      </c>
      <c r="BA56" s="248">
        <f t="shared" ca="1" si="1441"/>
        <v>0</v>
      </c>
      <c r="BB56" s="248">
        <f t="shared" ca="1" si="1441"/>
        <v>0</v>
      </c>
      <c r="BC56" s="432">
        <f ca="1">SUM(AQ56:BB56)</f>
        <v>0</v>
      </c>
      <c r="BD56" s="248">
        <f t="shared" ref="BD56:BO56" ca="1" si="1442">BD54*BD55</f>
        <v>0</v>
      </c>
      <c r="BE56" s="248">
        <f t="shared" ca="1" si="1442"/>
        <v>0</v>
      </c>
      <c r="BF56" s="248">
        <f t="shared" ca="1" si="1442"/>
        <v>0</v>
      </c>
      <c r="BG56" s="248">
        <f t="shared" ca="1" si="1442"/>
        <v>0</v>
      </c>
      <c r="BH56" s="248">
        <f t="shared" ca="1" si="1442"/>
        <v>0</v>
      </c>
      <c r="BI56" s="248">
        <f t="shared" ca="1" si="1442"/>
        <v>0</v>
      </c>
      <c r="BJ56" s="248">
        <f t="shared" ca="1" si="1442"/>
        <v>0</v>
      </c>
      <c r="BK56" s="248">
        <f t="shared" ca="1" si="1442"/>
        <v>0</v>
      </c>
      <c r="BL56" s="248">
        <f t="shared" ca="1" si="1442"/>
        <v>0</v>
      </c>
      <c r="BM56" s="248">
        <f t="shared" ca="1" si="1442"/>
        <v>0</v>
      </c>
      <c r="BN56" s="248">
        <f t="shared" ca="1" si="1442"/>
        <v>0</v>
      </c>
      <c r="BO56" s="248">
        <f t="shared" ca="1" si="1442"/>
        <v>0</v>
      </c>
      <c r="BP56" s="432">
        <f ca="1">SUM(BD56:BO56)</f>
        <v>0</v>
      </c>
      <c r="BQ56" s="248">
        <f t="shared" ref="BQ56:CB56" ca="1" si="1443">BQ54*BQ55</f>
        <v>0</v>
      </c>
      <c r="BR56" s="248">
        <f t="shared" ca="1" si="1443"/>
        <v>0</v>
      </c>
      <c r="BS56" s="248">
        <f t="shared" ca="1" si="1443"/>
        <v>0</v>
      </c>
      <c r="BT56" s="248">
        <f t="shared" ca="1" si="1443"/>
        <v>0</v>
      </c>
      <c r="BU56" s="248">
        <f t="shared" ca="1" si="1443"/>
        <v>0</v>
      </c>
      <c r="BV56" s="248">
        <f t="shared" ca="1" si="1443"/>
        <v>0</v>
      </c>
      <c r="BW56" s="248">
        <f t="shared" ca="1" si="1443"/>
        <v>0</v>
      </c>
      <c r="BX56" s="248">
        <f t="shared" ca="1" si="1443"/>
        <v>0</v>
      </c>
      <c r="BY56" s="248">
        <f t="shared" ca="1" si="1443"/>
        <v>0</v>
      </c>
      <c r="BZ56" s="248">
        <f t="shared" ca="1" si="1443"/>
        <v>0</v>
      </c>
      <c r="CA56" s="248">
        <f t="shared" ca="1" si="1443"/>
        <v>0</v>
      </c>
      <c r="CB56" s="248">
        <f t="shared" ca="1" si="1443"/>
        <v>0</v>
      </c>
      <c r="CC56" s="432">
        <f ca="1">SUM(BQ56:CB56)</f>
        <v>0</v>
      </c>
      <c r="CD56" s="248">
        <f t="shared" ref="CD56:CO56" ca="1" si="1444">CD54*CD55</f>
        <v>0</v>
      </c>
      <c r="CE56" s="248">
        <f t="shared" ca="1" si="1444"/>
        <v>0</v>
      </c>
      <c r="CF56" s="248">
        <f t="shared" ca="1" si="1444"/>
        <v>0</v>
      </c>
      <c r="CG56" s="248">
        <f t="shared" ca="1" si="1444"/>
        <v>0</v>
      </c>
      <c r="CH56" s="248">
        <f t="shared" ca="1" si="1444"/>
        <v>0</v>
      </c>
      <c r="CI56" s="248">
        <f t="shared" ca="1" si="1444"/>
        <v>0</v>
      </c>
      <c r="CJ56" s="248">
        <f t="shared" ca="1" si="1444"/>
        <v>0</v>
      </c>
      <c r="CK56" s="248">
        <f t="shared" ca="1" si="1444"/>
        <v>0</v>
      </c>
      <c r="CL56" s="248">
        <f t="shared" ca="1" si="1444"/>
        <v>0</v>
      </c>
      <c r="CM56" s="248">
        <f t="shared" ca="1" si="1444"/>
        <v>0</v>
      </c>
      <c r="CN56" s="248">
        <f t="shared" ca="1" si="1444"/>
        <v>0</v>
      </c>
      <c r="CO56" s="248">
        <f t="shared" ca="1" si="1444"/>
        <v>0</v>
      </c>
      <c r="CP56" s="432">
        <f ca="1">SUM(CD56:CO56)</f>
        <v>0</v>
      </c>
    </row>
    <row r="57" spans="1:94" ht="20.100000000000001" hidden="1" customHeight="1">
      <c r="A57" s="789">
        <f ca="1">OFFSET('Summary. Assumptions. Inputs'!$A$45,'Internmediate sheet'!A56/3,0)</f>
        <v>0</v>
      </c>
      <c r="B57" s="17" t="s">
        <v>609</v>
      </c>
      <c r="C57" s="18"/>
      <c r="D57" s="17">
        <f ca="1">OFFSET('Sales, Production, &amp; Other Assu'!D$18,'Internmediate sheet'!$A56/3,0)*Capacity</f>
        <v>0</v>
      </c>
      <c r="E57" s="17">
        <f ca="1">OFFSET('Sales, Production, &amp; Other Assu'!E$18,'Internmediate sheet'!$A56/3,0)*Capacity</f>
        <v>0</v>
      </c>
      <c r="F57" s="17">
        <f ca="1">OFFSET('Sales, Production, &amp; Other Assu'!F$18,'Internmediate sheet'!$A56/3,0)*Capacity</f>
        <v>0</v>
      </c>
      <c r="G57" s="17">
        <f ca="1">OFFSET('Sales, Production, &amp; Other Assu'!G$18,'Internmediate sheet'!$A56/3,0)*Capacity</f>
        <v>0</v>
      </c>
      <c r="H57" s="17">
        <f ca="1">OFFSET('Sales, Production, &amp; Other Assu'!H$18,'Internmediate sheet'!$A56/3,0)*Capacity</f>
        <v>0</v>
      </c>
      <c r="I57" s="17">
        <f ca="1">OFFSET('Sales, Production, &amp; Other Assu'!I$18,'Internmediate sheet'!$A56/3,0)*Capacity</f>
        <v>0</v>
      </c>
      <c r="J57" s="17">
        <f ca="1">OFFSET('Sales, Production, &amp; Other Assu'!J$18,'Internmediate sheet'!$A56/3,0)*Capacity</f>
        <v>0</v>
      </c>
      <c r="K57" s="17">
        <f ca="1">OFFSET('Sales, Production, &amp; Other Assu'!K$18,'Internmediate sheet'!$A56/3,0)*Capacity</f>
        <v>0</v>
      </c>
      <c r="L57" s="17">
        <f ca="1">OFFSET('Sales, Production, &amp; Other Assu'!L$18,'Internmediate sheet'!$A56/3,0)*Capacity</f>
        <v>0</v>
      </c>
      <c r="M57" s="17">
        <f ca="1">OFFSET('Sales, Production, &amp; Other Assu'!M$18,'Internmediate sheet'!$A56/3,0)*Capacity</f>
        <v>0</v>
      </c>
      <c r="N57" s="17">
        <f ca="1">OFFSET('Sales, Production, &amp; Other Assu'!N$18,'Internmediate sheet'!$A56/3,0)*Capacity</f>
        <v>0</v>
      </c>
      <c r="O57" s="17">
        <f ca="1">OFFSET('Sales, Production, &amp; Other Assu'!O$18,'Internmediate sheet'!$A56/3,0)*Capacity</f>
        <v>0</v>
      </c>
      <c r="P57" s="430">
        <f ca="1">SUM(D57:O57)</f>
        <v>0</v>
      </c>
      <c r="Q57" s="17">
        <f ca="1">OFFSET('Sales, Production, &amp; Other Assu'!Q$18,'Internmediate sheet'!$A56/3,0)*Capacity</f>
        <v>0</v>
      </c>
      <c r="R57" s="17">
        <f ca="1">OFFSET('Sales, Production, &amp; Other Assu'!R$18,'Internmediate sheet'!$A56/3,0)*Capacity</f>
        <v>0</v>
      </c>
      <c r="S57" s="17">
        <f ca="1">OFFSET('Sales, Production, &amp; Other Assu'!S$18,'Internmediate sheet'!$A56/3,0)*Capacity</f>
        <v>0</v>
      </c>
      <c r="T57" s="17">
        <f ca="1">OFFSET('Sales, Production, &amp; Other Assu'!T$18,'Internmediate sheet'!$A56/3,0)*Capacity</f>
        <v>0</v>
      </c>
      <c r="U57" s="17">
        <f ca="1">OFFSET('Sales, Production, &amp; Other Assu'!U$18,'Internmediate sheet'!$A56/3,0)*Capacity</f>
        <v>0</v>
      </c>
      <c r="V57" s="17">
        <f ca="1">OFFSET('Sales, Production, &amp; Other Assu'!V$18,'Internmediate sheet'!$A56/3,0)*Capacity</f>
        <v>0</v>
      </c>
      <c r="W57" s="17">
        <f ca="1">OFFSET('Sales, Production, &amp; Other Assu'!W$18,'Internmediate sheet'!$A56/3,0)*Capacity</f>
        <v>0</v>
      </c>
      <c r="X57" s="17">
        <f ca="1">OFFSET('Sales, Production, &amp; Other Assu'!X$18,'Internmediate sheet'!$A56/3,0)*Capacity</f>
        <v>0</v>
      </c>
      <c r="Y57" s="17">
        <f ca="1">OFFSET('Sales, Production, &amp; Other Assu'!Y$18,'Internmediate sheet'!$A56/3,0)*Capacity</f>
        <v>0</v>
      </c>
      <c r="Z57" s="17">
        <f ca="1">OFFSET('Sales, Production, &amp; Other Assu'!Z$18,'Internmediate sheet'!$A56/3,0)*Capacity</f>
        <v>0</v>
      </c>
      <c r="AA57" s="17">
        <f ca="1">OFFSET('Sales, Production, &amp; Other Assu'!AA$18,'Internmediate sheet'!$A56/3,0)*Capacity</f>
        <v>0</v>
      </c>
      <c r="AB57" s="17">
        <f ca="1">OFFSET('Sales, Production, &amp; Other Assu'!AB$18,'Internmediate sheet'!$A56/3,0)*Capacity</f>
        <v>0</v>
      </c>
      <c r="AC57" s="430">
        <f ca="1">SUM(Q57:AB57)</f>
        <v>0</v>
      </c>
      <c r="AD57" s="17">
        <f ca="1">OFFSET('Sales, Production, &amp; Other Assu'!AD$18,'Internmediate sheet'!$A56/3,0)*Capacity</f>
        <v>0</v>
      </c>
      <c r="AE57" s="17">
        <f ca="1">OFFSET('Sales, Production, &amp; Other Assu'!AE$18,'Internmediate sheet'!$A56/3,0)*Capacity</f>
        <v>0</v>
      </c>
      <c r="AF57" s="17">
        <f ca="1">OFFSET('Sales, Production, &amp; Other Assu'!AF$18,'Internmediate sheet'!$A56/3,0)*Capacity</f>
        <v>0</v>
      </c>
      <c r="AG57" s="17">
        <f ca="1">OFFSET('Sales, Production, &amp; Other Assu'!AG$18,'Internmediate sheet'!$A56/3,0)*Capacity</f>
        <v>0</v>
      </c>
      <c r="AH57" s="17">
        <f ca="1">OFFSET('Sales, Production, &amp; Other Assu'!AH$18,'Internmediate sheet'!$A56/3,0)*Capacity</f>
        <v>0</v>
      </c>
      <c r="AI57" s="17">
        <f ca="1">OFFSET('Sales, Production, &amp; Other Assu'!AI$18,'Internmediate sheet'!$A56/3,0)*Capacity</f>
        <v>0</v>
      </c>
      <c r="AJ57" s="17">
        <f ca="1">OFFSET('Sales, Production, &amp; Other Assu'!AJ$18,'Internmediate sheet'!$A56/3,0)*Capacity</f>
        <v>0</v>
      </c>
      <c r="AK57" s="17">
        <f ca="1">OFFSET('Sales, Production, &amp; Other Assu'!AK$18,'Internmediate sheet'!$A56/3,0)*Capacity</f>
        <v>0</v>
      </c>
      <c r="AL57" s="17">
        <f ca="1">OFFSET('Sales, Production, &amp; Other Assu'!AL$18,'Internmediate sheet'!$A56/3,0)*Capacity</f>
        <v>0</v>
      </c>
      <c r="AM57" s="17">
        <f ca="1">OFFSET('Sales, Production, &amp; Other Assu'!AM$18,'Internmediate sheet'!$A56/3,0)*Capacity</f>
        <v>0</v>
      </c>
      <c r="AN57" s="17">
        <f ca="1">OFFSET('Sales, Production, &amp; Other Assu'!AN$18,'Internmediate sheet'!$A56/3,0)*Capacity</f>
        <v>0</v>
      </c>
      <c r="AO57" s="17">
        <f ca="1">OFFSET('Sales, Production, &amp; Other Assu'!AO$18,'Internmediate sheet'!$A56/3,0)*Capacity</f>
        <v>0</v>
      </c>
      <c r="AP57" s="430">
        <f ca="1">SUM(AD57:AO57)</f>
        <v>0</v>
      </c>
      <c r="AQ57" s="17">
        <f ca="1">OFFSET('Sales, Production, &amp; Other Assu'!AQ$18,'Internmediate sheet'!$A56/3,0)*Capacity</f>
        <v>0</v>
      </c>
      <c r="AR57" s="17">
        <f ca="1">OFFSET('Sales, Production, &amp; Other Assu'!AR$18,'Internmediate sheet'!$A56/3,0)*Capacity</f>
        <v>0</v>
      </c>
      <c r="AS57" s="17">
        <f ca="1">OFFSET('Sales, Production, &amp; Other Assu'!AS$18,'Internmediate sheet'!$A56/3,0)*Capacity</f>
        <v>0</v>
      </c>
      <c r="AT57" s="17">
        <f ca="1">OFFSET('Sales, Production, &amp; Other Assu'!AT$18,'Internmediate sheet'!$A56/3,0)*Capacity</f>
        <v>0</v>
      </c>
      <c r="AU57" s="17">
        <f ca="1">OFFSET('Sales, Production, &amp; Other Assu'!AU$18,'Internmediate sheet'!$A56/3,0)*Capacity</f>
        <v>0</v>
      </c>
      <c r="AV57" s="17">
        <f ca="1">OFFSET('Sales, Production, &amp; Other Assu'!AV$18,'Internmediate sheet'!$A56/3,0)*Capacity</f>
        <v>0</v>
      </c>
      <c r="AW57" s="17">
        <f ca="1">OFFSET('Sales, Production, &amp; Other Assu'!AW$18,'Internmediate sheet'!$A56/3,0)*Capacity</f>
        <v>0</v>
      </c>
      <c r="AX57" s="17">
        <f ca="1">OFFSET('Sales, Production, &amp; Other Assu'!AX$18,'Internmediate sheet'!$A56/3,0)*Capacity</f>
        <v>0</v>
      </c>
      <c r="AY57" s="17">
        <f ca="1">OFFSET('Sales, Production, &amp; Other Assu'!AY$18,'Internmediate sheet'!$A56/3,0)*Capacity</f>
        <v>0</v>
      </c>
      <c r="AZ57" s="17">
        <f ca="1">OFFSET('Sales, Production, &amp; Other Assu'!AZ$18,'Internmediate sheet'!$A56/3,0)*Capacity</f>
        <v>0</v>
      </c>
      <c r="BA57" s="17">
        <f ca="1">OFFSET('Sales, Production, &amp; Other Assu'!BA$18,'Internmediate sheet'!$A56/3,0)*Capacity</f>
        <v>0</v>
      </c>
      <c r="BB57" s="17">
        <f ca="1">OFFSET('Sales, Production, &amp; Other Assu'!BB$18,'Internmediate sheet'!$A56/3,0)*Capacity</f>
        <v>0</v>
      </c>
      <c r="BC57" s="430">
        <f ca="1">SUM(AQ57:BB57)</f>
        <v>0</v>
      </c>
      <c r="BD57" s="17">
        <f ca="1">OFFSET('Sales, Production, &amp; Other Assu'!BD$18,'Internmediate sheet'!$A56/3,0)*Capacity</f>
        <v>0</v>
      </c>
      <c r="BE57" s="17">
        <f ca="1">OFFSET('Sales, Production, &amp; Other Assu'!BE$18,'Internmediate sheet'!$A56/3,0)*Capacity</f>
        <v>0</v>
      </c>
      <c r="BF57" s="17">
        <f ca="1">OFFSET('Sales, Production, &amp; Other Assu'!BF$18,'Internmediate sheet'!$A56/3,0)*Capacity</f>
        <v>0</v>
      </c>
      <c r="BG57" s="17">
        <f ca="1">OFFSET('Sales, Production, &amp; Other Assu'!BG$18,'Internmediate sheet'!$A56/3,0)*Capacity</f>
        <v>0</v>
      </c>
      <c r="BH57" s="17">
        <f ca="1">OFFSET('Sales, Production, &amp; Other Assu'!BH$18,'Internmediate sheet'!$A56/3,0)*Capacity</f>
        <v>0</v>
      </c>
      <c r="BI57" s="17">
        <f ca="1">OFFSET('Sales, Production, &amp; Other Assu'!BI$18,'Internmediate sheet'!$A56/3,0)*Capacity</f>
        <v>0</v>
      </c>
      <c r="BJ57" s="17">
        <f ca="1">OFFSET('Sales, Production, &amp; Other Assu'!BJ$18,'Internmediate sheet'!$A56/3,0)*Capacity</f>
        <v>0</v>
      </c>
      <c r="BK57" s="17">
        <f ca="1">OFFSET('Sales, Production, &amp; Other Assu'!BK$18,'Internmediate sheet'!$A56/3,0)*Capacity</f>
        <v>0</v>
      </c>
      <c r="BL57" s="17">
        <f ca="1">OFFSET('Sales, Production, &amp; Other Assu'!BL$18,'Internmediate sheet'!$A56/3,0)*Capacity</f>
        <v>0</v>
      </c>
      <c r="BM57" s="17">
        <f ca="1">OFFSET('Sales, Production, &amp; Other Assu'!BM$18,'Internmediate sheet'!$A56/3,0)*Capacity</f>
        <v>0</v>
      </c>
      <c r="BN57" s="17">
        <f ca="1">OFFSET('Sales, Production, &amp; Other Assu'!BN$18,'Internmediate sheet'!$A56/3,0)*Capacity</f>
        <v>0</v>
      </c>
      <c r="BO57" s="17">
        <f ca="1">OFFSET('Sales, Production, &amp; Other Assu'!BO$18,'Internmediate sheet'!$A56/3,0)*Capacity</f>
        <v>0</v>
      </c>
      <c r="BP57" s="430">
        <f ca="1">SUM(BD57:BO57)</f>
        <v>0</v>
      </c>
      <c r="BQ57" s="17">
        <f ca="1">OFFSET('Sales, Production, &amp; Other Assu'!BQ$18,'Internmediate sheet'!$A56/3,0)*Capacity</f>
        <v>0</v>
      </c>
      <c r="BR57" s="17">
        <f ca="1">OFFSET('Sales, Production, &amp; Other Assu'!BR$18,'Internmediate sheet'!$A56/3,0)*Capacity</f>
        <v>0</v>
      </c>
      <c r="BS57" s="17">
        <f ca="1">OFFSET('Sales, Production, &amp; Other Assu'!BS$18,'Internmediate sheet'!$A56/3,0)*Capacity</f>
        <v>0</v>
      </c>
      <c r="BT57" s="17">
        <f ca="1">OFFSET('Sales, Production, &amp; Other Assu'!BT$18,'Internmediate sheet'!$A56/3,0)*Capacity</f>
        <v>0</v>
      </c>
      <c r="BU57" s="17">
        <f ca="1">OFFSET('Sales, Production, &amp; Other Assu'!BU$18,'Internmediate sheet'!$A56/3,0)*Capacity</f>
        <v>0</v>
      </c>
      <c r="BV57" s="17">
        <f ca="1">OFFSET('Sales, Production, &amp; Other Assu'!BV$18,'Internmediate sheet'!$A56/3,0)*Capacity</f>
        <v>0</v>
      </c>
      <c r="BW57" s="17">
        <f ca="1">OFFSET('Sales, Production, &amp; Other Assu'!BW$18,'Internmediate sheet'!$A56/3,0)*Capacity</f>
        <v>0</v>
      </c>
      <c r="BX57" s="17">
        <f ca="1">OFFSET('Sales, Production, &amp; Other Assu'!BX$18,'Internmediate sheet'!$A56/3,0)*Capacity</f>
        <v>0</v>
      </c>
      <c r="BY57" s="17">
        <f ca="1">OFFSET('Sales, Production, &amp; Other Assu'!BY$18,'Internmediate sheet'!$A56/3,0)*Capacity</f>
        <v>0</v>
      </c>
      <c r="BZ57" s="17">
        <f ca="1">OFFSET('Sales, Production, &amp; Other Assu'!BZ$18,'Internmediate sheet'!$A56/3,0)*Capacity</f>
        <v>0</v>
      </c>
      <c r="CA57" s="17">
        <f ca="1">OFFSET('Sales, Production, &amp; Other Assu'!CA$18,'Internmediate sheet'!$A56/3,0)*Capacity</f>
        <v>0</v>
      </c>
      <c r="CB57" s="17">
        <f ca="1">OFFSET('Sales, Production, &amp; Other Assu'!CB$18,'Internmediate sheet'!$A56/3,0)*Capacity</f>
        <v>0</v>
      </c>
      <c r="CC57" s="430">
        <f ca="1">SUM(BQ57:CB57)</f>
        <v>0</v>
      </c>
      <c r="CD57" s="17">
        <f ca="1">OFFSET('Sales, Production, &amp; Other Assu'!CD$18,'Internmediate sheet'!$A56/3,0)*Capacity</f>
        <v>0</v>
      </c>
      <c r="CE57" s="17">
        <f ca="1">OFFSET('Sales, Production, &amp; Other Assu'!CE$18,'Internmediate sheet'!$A56/3,0)*Capacity</f>
        <v>0</v>
      </c>
      <c r="CF57" s="17">
        <f ca="1">OFFSET('Sales, Production, &amp; Other Assu'!CF$18,'Internmediate sheet'!$A56/3,0)*Capacity</f>
        <v>0</v>
      </c>
      <c r="CG57" s="17">
        <f ca="1">OFFSET('Sales, Production, &amp; Other Assu'!CG$18,'Internmediate sheet'!$A56/3,0)*Capacity</f>
        <v>0</v>
      </c>
      <c r="CH57" s="17">
        <f ca="1">OFFSET('Sales, Production, &amp; Other Assu'!CH$18,'Internmediate sheet'!$A56/3,0)*Capacity</f>
        <v>0</v>
      </c>
      <c r="CI57" s="17">
        <f ca="1">OFFSET('Sales, Production, &amp; Other Assu'!CI$18,'Internmediate sheet'!$A56/3,0)*Capacity</f>
        <v>0</v>
      </c>
      <c r="CJ57" s="17">
        <f ca="1">OFFSET('Sales, Production, &amp; Other Assu'!CJ$18,'Internmediate sheet'!$A56/3,0)*Capacity</f>
        <v>0</v>
      </c>
      <c r="CK57" s="17">
        <f ca="1">OFFSET('Sales, Production, &amp; Other Assu'!CK$18,'Internmediate sheet'!$A56/3,0)*Capacity</f>
        <v>0</v>
      </c>
      <c r="CL57" s="17">
        <f ca="1">OFFSET('Sales, Production, &amp; Other Assu'!CL$18,'Internmediate sheet'!$A56/3,0)*Capacity</f>
        <v>0</v>
      </c>
      <c r="CM57" s="17">
        <f ca="1">OFFSET('Sales, Production, &amp; Other Assu'!CM$18,'Internmediate sheet'!$A56/3,0)*Capacity</f>
        <v>0</v>
      </c>
      <c r="CN57" s="17">
        <f ca="1">OFFSET('Sales, Production, &amp; Other Assu'!CN$18,'Internmediate sheet'!$A56/3,0)*Capacity</f>
        <v>0</v>
      </c>
      <c r="CO57" s="17">
        <f ca="1">OFFSET('Sales, Production, &amp; Other Assu'!CO$18,'Internmediate sheet'!$A56/3,0)*Capacity</f>
        <v>0</v>
      </c>
      <c r="CP57" s="430">
        <f ca="1">SUM(CD57:CO57)</f>
        <v>0</v>
      </c>
    </row>
    <row r="58" spans="1:94" ht="20.100000000000001" hidden="1" customHeight="1">
      <c r="A58" s="790"/>
      <c r="B58" s="8" t="s">
        <v>610</v>
      </c>
      <c r="C58" s="8">
        <f ca="1">OFFSET('Summary. Assumptions. Inputs'!$F$46,'Internmediate sheet'!A53/3,0)</f>
        <v>0</v>
      </c>
      <c r="D58" s="8">
        <f t="shared" ref="D58:P58" ca="1" si="1445">C58</f>
        <v>0</v>
      </c>
      <c r="E58" s="8">
        <f t="shared" ca="1" si="1445"/>
        <v>0</v>
      </c>
      <c r="F58" s="8">
        <f t="shared" ca="1" si="1445"/>
        <v>0</v>
      </c>
      <c r="G58" s="8">
        <f t="shared" ca="1" si="1445"/>
        <v>0</v>
      </c>
      <c r="H58" s="8">
        <f t="shared" ca="1" si="1445"/>
        <v>0</v>
      </c>
      <c r="I58" s="8">
        <f t="shared" ca="1" si="1445"/>
        <v>0</v>
      </c>
      <c r="J58" s="8">
        <f t="shared" ca="1" si="1445"/>
        <v>0</v>
      </c>
      <c r="K58" s="8">
        <f t="shared" ca="1" si="1445"/>
        <v>0</v>
      </c>
      <c r="L58" s="8">
        <f t="shared" ca="1" si="1445"/>
        <v>0</v>
      </c>
      <c r="M58" s="8">
        <f t="shared" ca="1" si="1445"/>
        <v>0</v>
      </c>
      <c r="N58" s="8">
        <f t="shared" ca="1" si="1445"/>
        <v>0</v>
      </c>
      <c r="O58" s="8">
        <f t="shared" ca="1" si="1445"/>
        <v>0</v>
      </c>
      <c r="P58" s="431">
        <f t="shared" ca="1" si="1445"/>
        <v>0</v>
      </c>
      <c r="Q58" s="8">
        <f t="shared" ref="Q58" ca="1" si="1446">P58</f>
        <v>0</v>
      </c>
      <c r="R58" s="8">
        <f t="shared" ref="R58" ca="1" si="1447">Q58</f>
        <v>0</v>
      </c>
      <c r="S58" s="8">
        <f t="shared" ref="S58" ca="1" si="1448">R58</f>
        <v>0</v>
      </c>
      <c r="T58" s="8">
        <f t="shared" ref="T58" ca="1" si="1449">S58</f>
        <v>0</v>
      </c>
      <c r="U58" s="8">
        <f t="shared" ref="U58" ca="1" si="1450">T58</f>
        <v>0</v>
      </c>
      <c r="V58" s="8">
        <f t="shared" ref="V58" ca="1" si="1451">U58</f>
        <v>0</v>
      </c>
      <c r="W58" s="8">
        <f t="shared" ref="W58" ca="1" si="1452">V58</f>
        <v>0</v>
      </c>
      <c r="X58" s="8">
        <f t="shared" ref="X58" ca="1" si="1453">W58</f>
        <v>0</v>
      </c>
      <c r="Y58" s="8">
        <f t="shared" ref="Y58" ca="1" si="1454">X58</f>
        <v>0</v>
      </c>
      <c r="Z58" s="8">
        <f t="shared" ref="Z58" ca="1" si="1455">Y58</f>
        <v>0</v>
      </c>
      <c r="AA58" s="8">
        <f t="shared" ref="AA58" ca="1" si="1456">Z58</f>
        <v>0</v>
      </c>
      <c r="AB58" s="8">
        <f t="shared" ref="AB58" ca="1" si="1457">AA58</f>
        <v>0</v>
      </c>
      <c r="AC58" s="431">
        <f t="shared" ref="AC58" ca="1" si="1458">AB58</f>
        <v>0</v>
      </c>
      <c r="AD58" s="8">
        <f t="shared" ref="AD58" ca="1" si="1459">AC58</f>
        <v>0</v>
      </c>
      <c r="AE58" s="8">
        <f t="shared" ref="AE58" ca="1" si="1460">AD58</f>
        <v>0</v>
      </c>
      <c r="AF58" s="8">
        <f t="shared" ref="AF58" ca="1" si="1461">AE58</f>
        <v>0</v>
      </c>
      <c r="AG58" s="8">
        <f t="shared" ref="AG58" ca="1" si="1462">AF58</f>
        <v>0</v>
      </c>
      <c r="AH58" s="8">
        <f t="shared" ref="AH58" ca="1" si="1463">AG58</f>
        <v>0</v>
      </c>
      <c r="AI58" s="8">
        <f t="shared" ref="AI58" ca="1" si="1464">AH58</f>
        <v>0</v>
      </c>
      <c r="AJ58" s="8">
        <f t="shared" ref="AJ58" ca="1" si="1465">AI58</f>
        <v>0</v>
      </c>
      <c r="AK58" s="8">
        <f t="shared" ref="AK58" ca="1" si="1466">AJ58</f>
        <v>0</v>
      </c>
      <c r="AL58" s="8">
        <f t="shared" ref="AL58" ca="1" si="1467">AK58</f>
        <v>0</v>
      </c>
      <c r="AM58" s="8">
        <f t="shared" ref="AM58" ca="1" si="1468">AL58</f>
        <v>0</v>
      </c>
      <c r="AN58" s="8">
        <f t="shared" ref="AN58" ca="1" si="1469">AM58</f>
        <v>0</v>
      </c>
      <c r="AO58" s="8">
        <f t="shared" ref="AO58" ca="1" si="1470">AN58</f>
        <v>0</v>
      </c>
      <c r="AP58" s="431">
        <f t="shared" ref="AP58" ca="1" si="1471">AO58</f>
        <v>0</v>
      </c>
      <c r="AQ58" s="8">
        <f ca="1">AP58</f>
        <v>0</v>
      </c>
      <c r="AR58" s="8">
        <f t="shared" ref="AR58" ca="1" si="1472">AQ58</f>
        <v>0</v>
      </c>
      <c r="AS58" s="8">
        <f t="shared" ref="AS58" ca="1" si="1473">AR58</f>
        <v>0</v>
      </c>
      <c r="AT58" s="8">
        <f t="shared" ref="AT58" ca="1" si="1474">AS58</f>
        <v>0</v>
      </c>
      <c r="AU58" s="8">
        <f t="shared" ref="AU58" ca="1" si="1475">AT58</f>
        <v>0</v>
      </c>
      <c r="AV58" s="8">
        <f t="shared" ref="AV58" ca="1" si="1476">AU58</f>
        <v>0</v>
      </c>
      <c r="AW58" s="8">
        <f t="shared" ref="AW58" ca="1" si="1477">AV58</f>
        <v>0</v>
      </c>
      <c r="AX58" s="8">
        <f t="shared" ref="AX58" ca="1" si="1478">AW58</f>
        <v>0</v>
      </c>
      <c r="AY58" s="8">
        <f t="shared" ref="AY58" ca="1" si="1479">AX58</f>
        <v>0</v>
      </c>
      <c r="AZ58" s="8">
        <f t="shared" ref="AZ58" ca="1" si="1480">AY58</f>
        <v>0</v>
      </c>
      <c r="BA58" s="8">
        <f t="shared" ref="BA58" ca="1" si="1481">AZ58</f>
        <v>0</v>
      </c>
      <c r="BB58" s="8">
        <f t="shared" ref="BB58" ca="1" si="1482">BA58</f>
        <v>0</v>
      </c>
      <c r="BC58" s="431">
        <f t="shared" ref="BC58" ca="1" si="1483">BB58</f>
        <v>0</v>
      </c>
      <c r="BD58" s="8">
        <f t="shared" ref="BD58" ca="1" si="1484">BC58</f>
        <v>0</v>
      </c>
      <c r="BE58" s="8">
        <f t="shared" ref="BE58" ca="1" si="1485">BD58</f>
        <v>0</v>
      </c>
      <c r="BF58" s="8">
        <f t="shared" ref="BF58" ca="1" si="1486">BE58</f>
        <v>0</v>
      </c>
      <c r="BG58" s="8">
        <f t="shared" ref="BG58" ca="1" si="1487">BF58</f>
        <v>0</v>
      </c>
      <c r="BH58" s="8">
        <f t="shared" ref="BH58" ca="1" si="1488">BG58</f>
        <v>0</v>
      </c>
      <c r="BI58" s="8">
        <f t="shared" ref="BI58" ca="1" si="1489">BH58</f>
        <v>0</v>
      </c>
      <c r="BJ58" s="8">
        <f t="shared" ref="BJ58" ca="1" si="1490">BI58</f>
        <v>0</v>
      </c>
      <c r="BK58" s="8">
        <f t="shared" ref="BK58" ca="1" si="1491">BJ58</f>
        <v>0</v>
      </c>
      <c r="BL58" s="8">
        <f t="shared" ref="BL58" ca="1" si="1492">BK58</f>
        <v>0</v>
      </c>
      <c r="BM58" s="8">
        <f t="shared" ref="BM58" ca="1" si="1493">BL58</f>
        <v>0</v>
      </c>
      <c r="BN58" s="8">
        <f t="shared" ref="BN58" ca="1" si="1494">BM58</f>
        <v>0</v>
      </c>
      <c r="BO58" s="8">
        <f t="shared" ref="BO58" ca="1" si="1495">BN58</f>
        <v>0</v>
      </c>
      <c r="BP58" s="431">
        <f t="shared" ref="BP58" ca="1" si="1496">BO58</f>
        <v>0</v>
      </c>
      <c r="BQ58" s="8">
        <f t="shared" ref="BQ58" ca="1" si="1497">BP58</f>
        <v>0</v>
      </c>
      <c r="BR58" s="8">
        <f t="shared" ref="BR58" ca="1" si="1498">BQ58</f>
        <v>0</v>
      </c>
      <c r="BS58" s="8">
        <f t="shared" ref="BS58" ca="1" si="1499">BR58</f>
        <v>0</v>
      </c>
      <c r="BT58" s="8">
        <f t="shared" ref="BT58" ca="1" si="1500">BS58</f>
        <v>0</v>
      </c>
      <c r="BU58" s="8">
        <f t="shared" ref="BU58" ca="1" si="1501">BT58</f>
        <v>0</v>
      </c>
      <c r="BV58" s="8">
        <f t="shared" ref="BV58" ca="1" si="1502">BU58</f>
        <v>0</v>
      </c>
      <c r="BW58" s="8">
        <f t="shared" ref="BW58" ca="1" si="1503">BV58</f>
        <v>0</v>
      </c>
      <c r="BX58" s="8">
        <f t="shared" ref="BX58" ca="1" si="1504">BW58</f>
        <v>0</v>
      </c>
      <c r="BY58" s="8">
        <f t="shared" ref="BY58" ca="1" si="1505">BX58</f>
        <v>0</v>
      </c>
      <c r="BZ58" s="8">
        <f t="shared" ref="BZ58" ca="1" si="1506">BY58</f>
        <v>0</v>
      </c>
      <c r="CA58" s="8">
        <f t="shared" ref="CA58" ca="1" si="1507">BZ58</f>
        <v>0</v>
      </c>
      <c r="CB58" s="8">
        <f t="shared" ref="CB58" ca="1" si="1508">CA58</f>
        <v>0</v>
      </c>
      <c r="CC58" s="431">
        <f t="shared" ref="CC58" ca="1" si="1509">CB58</f>
        <v>0</v>
      </c>
      <c r="CD58" s="8">
        <f t="shared" ref="CD58" ca="1" si="1510">CC58</f>
        <v>0</v>
      </c>
      <c r="CE58" s="8">
        <f t="shared" ref="CE58" ca="1" si="1511">CD58</f>
        <v>0</v>
      </c>
      <c r="CF58" s="8">
        <f t="shared" ref="CF58" ca="1" si="1512">CE58</f>
        <v>0</v>
      </c>
      <c r="CG58" s="8">
        <f t="shared" ref="CG58" ca="1" si="1513">CF58</f>
        <v>0</v>
      </c>
      <c r="CH58" s="8">
        <f t="shared" ref="CH58" ca="1" si="1514">CG58</f>
        <v>0</v>
      </c>
      <c r="CI58" s="8">
        <f t="shared" ref="CI58" ca="1" si="1515">CH58</f>
        <v>0</v>
      </c>
      <c r="CJ58" s="8">
        <f t="shared" ref="CJ58" ca="1" si="1516">CI58</f>
        <v>0</v>
      </c>
      <c r="CK58" s="8">
        <f t="shared" ref="CK58" ca="1" si="1517">CJ58</f>
        <v>0</v>
      </c>
      <c r="CL58" s="8">
        <f t="shared" ref="CL58" ca="1" si="1518">CK58</f>
        <v>0</v>
      </c>
      <c r="CM58" s="8">
        <f t="shared" ref="CM58" ca="1" si="1519">CL58</f>
        <v>0</v>
      </c>
      <c r="CN58" s="8">
        <f t="shared" ref="CN58" ca="1" si="1520">CM58</f>
        <v>0</v>
      </c>
      <c r="CO58" s="8">
        <f t="shared" ref="CO58" ca="1" si="1521">CN58</f>
        <v>0</v>
      </c>
      <c r="CP58" s="431">
        <f t="shared" ref="CP58" ca="1" si="1522">CO58</f>
        <v>0</v>
      </c>
    </row>
    <row r="59" spans="1:94" ht="20.100000000000001" hidden="1" customHeight="1">
      <c r="A59" s="791"/>
      <c r="B59" s="248" t="s">
        <v>611</v>
      </c>
      <c r="C59" s="249">
        <f t="shared" ref="C59:O59" ca="1" si="1523">C57*C58</f>
        <v>0</v>
      </c>
      <c r="D59" s="248">
        <f t="shared" ca="1" si="1523"/>
        <v>0</v>
      </c>
      <c r="E59" s="248">
        <f t="shared" ca="1" si="1523"/>
        <v>0</v>
      </c>
      <c r="F59" s="248">
        <f t="shared" ca="1" si="1523"/>
        <v>0</v>
      </c>
      <c r="G59" s="248">
        <f t="shared" ca="1" si="1523"/>
        <v>0</v>
      </c>
      <c r="H59" s="248">
        <f t="shared" ca="1" si="1523"/>
        <v>0</v>
      </c>
      <c r="I59" s="248">
        <f t="shared" ca="1" si="1523"/>
        <v>0</v>
      </c>
      <c r="J59" s="248">
        <f t="shared" ca="1" si="1523"/>
        <v>0</v>
      </c>
      <c r="K59" s="248">
        <f t="shared" ca="1" si="1523"/>
        <v>0</v>
      </c>
      <c r="L59" s="248">
        <f t="shared" ca="1" si="1523"/>
        <v>0</v>
      </c>
      <c r="M59" s="248">
        <f t="shared" ca="1" si="1523"/>
        <v>0</v>
      </c>
      <c r="N59" s="248">
        <f t="shared" ca="1" si="1523"/>
        <v>0</v>
      </c>
      <c r="O59" s="248">
        <f t="shared" ca="1" si="1523"/>
        <v>0</v>
      </c>
      <c r="P59" s="432">
        <f ca="1">SUM(D59:O59)</f>
        <v>0</v>
      </c>
      <c r="Q59" s="248">
        <f t="shared" ref="Q59:AB59" ca="1" si="1524">Q57*Q58</f>
        <v>0</v>
      </c>
      <c r="R59" s="248">
        <f t="shared" ca="1" si="1524"/>
        <v>0</v>
      </c>
      <c r="S59" s="248">
        <f t="shared" ca="1" si="1524"/>
        <v>0</v>
      </c>
      <c r="T59" s="248">
        <f t="shared" ca="1" si="1524"/>
        <v>0</v>
      </c>
      <c r="U59" s="248">
        <f t="shared" ca="1" si="1524"/>
        <v>0</v>
      </c>
      <c r="V59" s="248">
        <f t="shared" ca="1" si="1524"/>
        <v>0</v>
      </c>
      <c r="W59" s="248">
        <f t="shared" ca="1" si="1524"/>
        <v>0</v>
      </c>
      <c r="X59" s="248">
        <f t="shared" ca="1" si="1524"/>
        <v>0</v>
      </c>
      <c r="Y59" s="248">
        <f t="shared" ca="1" si="1524"/>
        <v>0</v>
      </c>
      <c r="Z59" s="248">
        <f t="shared" ca="1" si="1524"/>
        <v>0</v>
      </c>
      <c r="AA59" s="248">
        <f t="shared" ca="1" si="1524"/>
        <v>0</v>
      </c>
      <c r="AB59" s="248">
        <f t="shared" ca="1" si="1524"/>
        <v>0</v>
      </c>
      <c r="AC59" s="432">
        <f ca="1">SUM(Q59:AB59)</f>
        <v>0</v>
      </c>
      <c r="AD59" s="248">
        <f t="shared" ref="AD59:AO59" ca="1" si="1525">AD57*AD58</f>
        <v>0</v>
      </c>
      <c r="AE59" s="248">
        <f t="shared" ca="1" si="1525"/>
        <v>0</v>
      </c>
      <c r="AF59" s="248">
        <f t="shared" ca="1" si="1525"/>
        <v>0</v>
      </c>
      <c r="AG59" s="248">
        <f t="shared" ca="1" si="1525"/>
        <v>0</v>
      </c>
      <c r="AH59" s="248">
        <f t="shared" ca="1" si="1525"/>
        <v>0</v>
      </c>
      <c r="AI59" s="248">
        <f t="shared" ca="1" si="1525"/>
        <v>0</v>
      </c>
      <c r="AJ59" s="248">
        <f t="shared" ca="1" si="1525"/>
        <v>0</v>
      </c>
      <c r="AK59" s="248">
        <f t="shared" ca="1" si="1525"/>
        <v>0</v>
      </c>
      <c r="AL59" s="248">
        <f t="shared" ca="1" si="1525"/>
        <v>0</v>
      </c>
      <c r="AM59" s="248">
        <f t="shared" ca="1" si="1525"/>
        <v>0</v>
      </c>
      <c r="AN59" s="248">
        <f t="shared" ca="1" si="1525"/>
        <v>0</v>
      </c>
      <c r="AO59" s="248">
        <f t="shared" ca="1" si="1525"/>
        <v>0</v>
      </c>
      <c r="AP59" s="432">
        <f ca="1">SUM(AD59:AO59)</f>
        <v>0</v>
      </c>
      <c r="AQ59" s="248">
        <f t="shared" ref="AQ59:BB59" ca="1" si="1526">AQ57*AQ58</f>
        <v>0</v>
      </c>
      <c r="AR59" s="248">
        <f t="shared" ca="1" si="1526"/>
        <v>0</v>
      </c>
      <c r="AS59" s="248">
        <f t="shared" ca="1" si="1526"/>
        <v>0</v>
      </c>
      <c r="AT59" s="248">
        <f t="shared" ca="1" si="1526"/>
        <v>0</v>
      </c>
      <c r="AU59" s="248">
        <f t="shared" ca="1" si="1526"/>
        <v>0</v>
      </c>
      <c r="AV59" s="248">
        <f t="shared" ca="1" si="1526"/>
        <v>0</v>
      </c>
      <c r="AW59" s="248">
        <f t="shared" ca="1" si="1526"/>
        <v>0</v>
      </c>
      <c r="AX59" s="248">
        <f t="shared" ca="1" si="1526"/>
        <v>0</v>
      </c>
      <c r="AY59" s="248">
        <f t="shared" ca="1" si="1526"/>
        <v>0</v>
      </c>
      <c r="AZ59" s="248">
        <f t="shared" ca="1" si="1526"/>
        <v>0</v>
      </c>
      <c r="BA59" s="248">
        <f t="shared" ca="1" si="1526"/>
        <v>0</v>
      </c>
      <c r="BB59" s="248">
        <f t="shared" ca="1" si="1526"/>
        <v>0</v>
      </c>
      <c r="BC59" s="432">
        <f ca="1">SUM(AQ59:BB59)</f>
        <v>0</v>
      </c>
      <c r="BD59" s="248">
        <f t="shared" ref="BD59:BO59" ca="1" si="1527">BD57*BD58</f>
        <v>0</v>
      </c>
      <c r="BE59" s="248">
        <f t="shared" ca="1" si="1527"/>
        <v>0</v>
      </c>
      <c r="BF59" s="248">
        <f t="shared" ca="1" si="1527"/>
        <v>0</v>
      </c>
      <c r="BG59" s="248">
        <f t="shared" ca="1" si="1527"/>
        <v>0</v>
      </c>
      <c r="BH59" s="248">
        <f t="shared" ca="1" si="1527"/>
        <v>0</v>
      </c>
      <c r="BI59" s="248">
        <f t="shared" ca="1" si="1527"/>
        <v>0</v>
      </c>
      <c r="BJ59" s="248">
        <f t="shared" ca="1" si="1527"/>
        <v>0</v>
      </c>
      <c r="BK59" s="248">
        <f t="shared" ca="1" si="1527"/>
        <v>0</v>
      </c>
      <c r="BL59" s="248">
        <f t="shared" ca="1" si="1527"/>
        <v>0</v>
      </c>
      <c r="BM59" s="248">
        <f t="shared" ca="1" si="1527"/>
        <v>0</v>
      </c>
      <c r="BN59" s="248">
        <f t="shared" ca="1" si="1527"/>
        <v>0</v>
      </c>
      <c r="BO59" s="248">
        <f t="shared" ca="1" si="1527"/>
        <v>0</v>
      </c>
      <c r="BP59" s="432">
        <f ca="1">SUM(BD59:BO59)</f>
        <v>0</v>
      </c>
      <c r="BQ59" s="248">
        <f t="shared" ref="BQ59:CB59" ca="1" si="1528">BQ57*BQ58</f>
        <v>0</v>
      </c>
      <c r="BR59" s="248">
        <f t="shared" ca="1" si="1528"/>
        <v>0</v>
      </c>
      <c r="BS59" s="248">
        <f t="shared" ca="1" si="1528"/>
        <v>0</v>
      </c>
      <c r="BT59" s="248">
        <f t="shared" ca="1" si="1528"/>
        <v>0</v>
      </c>
      <c r="BU59" s="248">
        <f t="shared" ca="1" si="1528"/>
        <v>0</v>
      </c>
      <c r="BV59" s="248">
        <f t="shared" ca="1" si="1528"/>
        <v>0</v>
      </c>
      <c r="BW59" s="248">
        <f t="shared" ca="1" si="1528"/>
        <v>0</v>
      </c>
      <c r="BX59" s="248">
        <f t="shared" ca="1" si="1528"/>
        <v>0</v>
      </c>
      <c r="BY59" s="248">
        <f t="shared" ca="1" si="1528"/>
        <v>0</v>
      </c>
      <c r="BZ59" s="248">
        <f t="shared" ca="1" si="1528"/>
        <v>0</v>
      </c>
      <c r="CA59" s="248">
        <f t="shared" ca="1" si="1528"/>
        <v>0</v>
      </c>
      <c r="CB59" s="248">
        <f t="shared" ca="1" si="1528"/>
        <v>0</v>
      </c>
      <c r="CC59" s="432">
        <f ca="1">SUM(BQ59:CB59)</f>
        <v>0</v>
      </c>
      <c r="CD59" s="248">
        <f t="shared" ref="CD59:CO59" ca="1" si="1529">CD57*CD58</f>
        <v>0</v>
      </c>
      <c r="CE59" s="248">
        <f t="shared" ca="1" si="1529"/>
        <v>0</v>
      </c>
      <c r="CF59" s="248">
        <f t="shared" ca="1" si="1529"/>
        <v>0</v>
      </c>
      <c r="CG59" s="248">
        <f t="shared" ca="1" si="1529"/>
        <v>0</v>
      </c>
      <c r="CH59" s="248">
        <f t="shared" ca="1" si="1529"/>
        <v>0</v>
      </c>
      <c r="CI59" s="248">
        <f t="shared" ca="1" si="1529"/>
        <v>0</v>
      </c>
      <c r="CJ59" s="248">
        <f t="shared" ca="1" si="1529"/>
        <v>0</v>
      </c>
      <c r="CK59" s="248">
        <f t="shared" ca="1" si="1529"/>
        <v>0</v>
      </c>
      <c r="CL59" s="248">
        <f t="shared" ca="1" si="1529"/>
        <v>0</v>
      </c>
      <c r="CM59" s="248">
        <f t="shared" ca="1" si="1529"/>
        <v>0</v>
      </c>
      <c r="CN59" s="248">
        <f t="shared" ca="1" si="1529"/>
        <v>0</v>
      </c>
      <c r="CO59" s="248">
        <f t="shared" ca="1" si="1529"/>
        <v>0</v>
      </c>
      <c r="CP59" s="432">
        <f ca="1">SUM(CD59:CO59)</f>
        <v>0</v>
      </c>
    </row>
    <row r="60" spans="1:94" ht="20.100000000000001" hidden="1" customHeight="1">
      <c r="A60" s="789">
        <f ca="1">OFFSET('Summary. Assumptions. Inputs'!$A$45,'Internmediate sheet'!A59/3,0)</f>
        <v>0</v>
      </c>
      <c r="B60" s="17" t="s">
        <v>609</v>
      </c>
      <c r="C60" s="18"/>
      <c r="D60" s="17">
        <f ca="1">OFFSET('Sales, Production, &amp; Other Assu'!D$18,'Internmediate sheet'!$A59/3,0)*Capacity</f>
        <v>0</v>
      </c>
      <c r="E60" s="17">
        <f ca="1">OFFSET('Sales, Production, &amp; Other Assu'!E$18,'Internmediate sheet'!$A59/3,0)*Capacity</f>
        <v>0</v>
      </c>
      <c r="F60" s="17">
        <f ca="1">OFFSET('Sales, Production, &amp; Other Assu'!F$18,'Internmediate sheet'!$A59/3,0)*Capacity</f>
        <v>0</v>
      </c>
      <c r="G60" s="17">
        <f ca="1">OFFSET('Sales, Production, &amp; Other Assu'!G$18,'Internmediate sheet'!$A59/3,0)*Capacity</f>
        <v>0</v>
      </c>
      <c r="H60" s="17">
        <f ca="1">OFFSET('Sales, Production, &amp; Other Assu'!H$18,'Internmediate sheet'!$A59/3,0)*Capacity</f>
        <v>0</v>
      </c>
      <c r="I60" s="17">
        <f ca="1">OFFSET('Sales, Production, &amp; Other Assu'!I$18,'Internmediate sheet'!$A59/3,0)*Capacity</f>
        <v>0</v>
      </c>
      <c r="J60" s="17">
        <f ca="1">OFFSET('Sales, Production, &amp; Other Assu'!J$18,'Internmediate sheet'!$A59/3,0)*Capacity</f>
        <v>0</v>
      </c>
      <c r="K60" s="17">
        <f ca="1">OFFSET('Sales, Production, &amp; Other Assu'!K$18,'Internmediate sheet'!$A59/3,0)*Capacity</f>
        <v>0</v>
      </c>
      <c r="L60" s="17">
        <f ca="1">OFFSET('Sales, Production, &amp; Other Assu'!L$18,'Internmediate sheet'!$A59/3,0)*Capacity</f>
        <v>0</v>
      </c>
      <c r="M60" s="17">
        <f ca="1">OFFSET('Sales, Production, &amp; Other Assu'!M$18,'Internmediate sheet'!$A59/3,0)*Capacity</f>
        <v>0</v>
      </c>
      <c r="N60" s="17">
        <f ca="1">OFFSET('Sales, Production, &amp; Other Assu'!N$18,'Internmediate sheet'!$A59/3,0)*Capacity</f>
        <v>0</v>
      </c>
      <c r="O60" s="17">
        <f ca="1">OFFSET('Sales, Production, &amp; Other Assu'!O$18,'Internmediate sheet'!$A59/3,0)*Capacity</f>
        <v>0</v>
      </c>
      <c r="P60" s="430">
        <f ca="1">SUM(D60:O60)</f>
        <v>0</v>
      </c>
      <c r="Q60" s="17">
        <f ca="1">OFFSET('Sales, Production, &amp; Other Assu'!Q$18,'Internmediate sheet'!$A59/3,0)*Capacity</f>
        <v>0</v>
      </c>
      <c r="R60" s="17">
        <f ca="1">OFFSET('Sales, Production, &amp; Other Assu'!R$18,'Internmediate sheet'!$A59/3,0)*Capacity</f>
        <v>0</v>
      </c>
      <c r="S60" s="17">
        <f ca="1">OFFSET('Sales, Production, &amp; Other Assu'!S$18,'Internmediate sheet'!$A59/3,0)*Capacity</f>
        <v>0</v>
      </c>
      <c r="T60" s="17">
        <f ca="1">OFFSET('Sales, Production, &amp; Other Assu'!T$18,'Internmediate sheet'!$A59/3,0)*Capacity</f>
        <v>0</v>
      </c>
      <c r="U60" s="17">
        <f ca="1">OFFSET('Sales, Production, &amp; Other Assu'!U$18,'Internmediate sheet'!$A59/3,0)*Capacity</f>
        <v>0</v>
      </c>
      <c r="V60" s="17">
        <f ca="1">OFFSET('Sales, Production, &amp; Other Assu'!V$18,'Internmediate sheet'!$A59/3,0)*Capacity</f>
        <v>0</v>
      </c>
      <c r="W60" s="17">
        <f ca="1">OFFSET('Sales, Production, &amp; Other Assu'!W$18,'Internmediate sheet'!$A59/3,0)*Capacity</f>
        <v>0</v>
      </c>
      <c r="X60" s="17">
        <f ca="1">OFFSET('Sales, Production, &amp; Other Assu'!X$18,'Internmediate sheet'!$A59/3,0)*Capacity</f>
        <v>0</v>
      </c>
      <c r="Y60" s="17">
        <f ca="1">OFFSET('Sales, Production, &amp; Other Assu'!Y$18,'Internmediate sheet'!$A59/3,0)*Capacity</f>
        <v>0</v>
      </c>
      <c r="Z60" s="17">
        <f ca="1">OFFSET('Sales, Production, &amp; Other Assu'!Z$18,'Internmediate sheet'!$A59/3,0)*Capacity</f>
        <v>0</v>
      </c>
      <c r="AA60" s="17">
        <f ca="1">OFFSET('Sales, Production, &amp; Other Assu'!AA$18,'Internmediate sheet'!$A59/3,0)*Capacity</f>
        <v>0</v>
      </c>
      <c r="AB60" s="17">
        <f ca="1">OFFSET('Sales, Production, &amp; Other Assu'!AB$18,'Internmediate sheet'!$A59/3,0)*Capacity</f>
        <v>0</v>
      </c>
      <c r="AC60" s="430">
        <f ca="1">SUM(Q60:AB60)</f>
        <v>0</v>
      </c>
      <c r="AD60" s="17">
        <f ca="1">OFFSET('Sales, Production, &amp; Other Assu'!AD$18,'Internmediate sheet'!$A59/3,0)*Capacity</f>
        <v>0</v>
      </c>
      <c r="AE60" s="17">
        <f ca="1">OFFSET('Sales, Production, &amp; Other Assu'!AE$18,'Internmediate sheet'!$A59/3,0)*Capacity</f>
        <v>0</v>
      </c>
      <c r="AF60" s="17">
        <f ca="1">OFFSET('Sales, Production, &amp; Other Assu'!AF$18,'Internmediate sheet'!$A59/3,0)*Capacity</f>
        <v>0</v>
      </c>
      <c r="AG60" s="17">
        <f ca="1">OFFSET('Sales, Production, &amp; Other Assu'!AG$18,'Internmediate sheet'!$A59/3,0)*Capacity</f>
        <v>0</v>
      </c>
      <c r="AH60" s="17">
        <f ca="1">OFFSET('Sales, Production, &amp; Other Assu'!AH$18,'Internmediate sheet'!$A59/3,0)*Capacity</f>
        <v>0</v>
      </c>
      <c r="AI60" s="17">
        <f ca="1">OFFSET('Sales, Production, &amp; Other Assu'!AI$18,'Internmediate sheet'!$A59/3,0)*Capacity</f>
        <v>0</v>
      </c>
      <c r="AJ60" s="17">
        <f ca="1">OFFSET('Sales, Production, &amp; Other Assu'!AJ$18,'Internmediate sheet'!$A59/3,0)*Capacity</f>
        <v>0</v>
      </c>
      <c r="AK60" s="17">
        <f ca="1">OFFSET('Sales, Production, &amp; Other Assu'!AK$18,'Internmediate sheet'!$A59/3,0)*Capacity</f>
        <v>0</v>
      </c>
      <c r="AL60" s="17">
        <f ca="1">OFFSET('Sales, Production, &amp; Other Assu'!AL$18,'Internmediate sheet'!$A59/3,0)*Capacity</f>
        <v>0</v>
      </c>
      <c r="AM60" s="17">
        <f ca="1">OFFSET('Sales, Production, &amp; Other Assu'!AM$18,'Internmediate sheet'!$A59/3,0)*Capacity</f>
        <v>0</v>
      </c>
      <c r="AN60" s="17">
        <f ca="1">OFFSET('Sales, Production, &amp; Other Assu'!AN$18,'Internmediate sheet'!$A59/3,0)*Capacity</f>
        <v>0</v>
      </c>
      <c r="AO60" s="17">
        <f ca="1">OFFSET('Sales, Production, &amp; Other Assu'!AO$18,'Internmediate sheet'!$A59/3,0)*Capacity</f>
        <v>0</v>
      </c>
      <c r="AP60" s="430">
        <f ca="1">SUM(AD60:AO60)</f>
        <v>0</v>
      </c>
      <c r="AQ60" s="17">
        <f ca="1">OFFSET('Sales, Production, &amp; Other Assu'!AQ$18,'Internmediate sheet'!$A59/3,0)*Capacity</f>
        <v>0</v>
      </c>
      <c r="AR60" s="17">
        <f ca="1">OFFSET('Sales, Production, &amp; Other Assu'!AR$18,'Internmediate sheet'!$A59/3,0)*Capacity</f>
        <v>0</v>
      </c>
      <c r="AS60" s="17">
        <f ca="1">OFFSET('Sales, Production, &amp; Other Assu'!AS$18,'Internmediate sheet'!$A59/3,0)*Capacity</f>
        <v>0</v>
      </c>
      <c r="AT60" s="17">
        <f ca="1">OFFSET('Sales, Production, &amp; Other Assu'!AT$18,'Internmediate sheet'!$A59/3,0)*Capacity</f>
        <v>0</v>
      </c>
      <c r="AU60" s="17">
        <f ca="1">OFFSET('Sales, Production, &amp; Other Assu'!AU$18,'Internmediate sheet'!$A59/3,0)*Capacity</f>
        <v>0</v>
      </c>
      <c r="AV60" s="17">
        <f ca="1">OFFSET('Sales, Production, &amp; Other Assu'!AV$18,'Internmediate sheet'!$A59/3,0)*Capacity</f>
        <v>0</v>
      </c>
      <c r="AW60" s="17">
        <f ca="1">OFFSET('Sales, Production, &amp; Other Assu'!AW$18,'Internmediate sheet'!$A59/3,0)*Capacity</f>
        <v>0</v>
      </c>
      <c r="AX60" s="17">
        <f ca="1">OFFSET('Sales, Production, &amp; Other Assu'!AX$18,'Internmediate sheet'!$A59/3,0)*Capacity</f>
        <v>0</v>
      </c>
      <c r="AY60" s="17">
        <f ca="1">OFFSET('Sales, Production, &amp; Other Assu'!AY$18,'Internmediate sheet'!$A59/3,0)*Capacity</f>
        <v>0</v>
      </c>
      <c r="AZ60" s="17">
        <f ca="1">OFFSET('Sales, Production, &amp; Other Assu'!AZ$18,'Internmediate sheet'!$A59/3,0)*Capacity</f>
        <v>0</v>
      </c>
      <c r="BA60" s="17">
        <f ca="1">OFFSET('Sales, Production, &amp; Other Assu'!BA$18,'Internmediate sheet'!$A59/3,0)*Capacity</f>
        <v>0</v>
      </c>
      <c r="BB60" s="17">
        <f ca="1">OFFSET('Sales, Production, &amp; Other Assu'!BB$18,'Internmediate sheet'!$A59/3,0)*Capacity</f>
        <v>0</v>
      </c>
      <c r="BC60" s="430">
        <f ca="1">SUM(AQ60:BB60)</f>
        <v>0</v>
      </c>
      <c r="BD60" s="17">
        <f ca="1">OFFSET('Sales, Production, &amp; Other Assu'!BD$18,'Internmediate sheet'!$A59/3,0)*Capacity</f>
        <v>0</v>
      </c>
      <c r="BE60" s="17">
        <f ca="1">OFFSET('Sales, Production, &amp; Other Assu'!BE$18,'Internmediate sheet'!$A59/3,0)*Capacity</f>
        <v>0</v>
      </c>
      <c r="BF60" s="17">
        <f ca="1">OFFSET('Sales, Production, &amp; Other Assu'!BF$18,'Internmediate sheet'!$A59/3,0)*Capacity</f>
        <v>0</v>
      </c>
      <c r="BG60" s="17">
        <f ca="1">OFFSET('Sales, Production, &amp; Other Assu'!BG$18,'Internmediate sheet'!$A59/3,0)*Capacity</f>
        <v>0</v>
      </c>
      <c r="BH60" s="17">
        <f ca="1">OFFSET('Sales, Production, &amp; Other Assu'!BH$18,'Internmediate sheet'!$A59/3,0)*Capacity</f>
        <v>0</v>
      </c>
      <c r="BI60" s="17">
        <f ca="1">OFFSET('Sales, Production, &amp; Other Assu'!BI$18,'Internmediate sheet'!$A59/3,0)*Capacity</f>
        <v>0</v>
      </c>
      <c r="BJ60" s="17">
        <f ca="1">OFFSET('Sales, Production, &amp; Other Assu'!BJ$18,'Internmediate sheet'!$A59/3,0)*Capacity</f>
        <v>0</v>
      </c>
      <c r="BK60" s="17">
        <f ca="1">OFFSET('Sales, Production, &amp; Other Assu'!BK$18,'Internmediate sheet'!$A59/3,0)*Capacity</f>
        <v>0</v>
      </c>
      <c r="BL60" s="17">
        <f ca="1">OFFSET('Sales, Production, &amp; Other Assu'!BL$18,'Internmediate sheet'!$A59/3,0)*Capacity</f>
        <v>0</v>
      </c>
      <c r="BM60" s="17">
        <f ca="1">OFFSET('Sales, Production, &amp; Other Assu'!BM$18,'Internmediate sheet'!$A59/3,0)*Capacity</f>
        <v>0</v>
      </c>
      <c r="BN60" s="17">
        <f ca="1">OFFSET('Sales, Production, &amp; Other Assu'!BN$18,'Internmediate sheet'!$A59/3,0)*Capacity</f>
        <v>0</v>
      </c>
      <c r="BO60" s="17">
        <f ca="1">OFFSET('Sales, Production, &amp; Other Assu'!BO$18,'Internmediate sheet'!$A59/3,0)*Capacity</f>
        <v>0</v>
      </c>
      <c r="BP60" s="430">
        <f ca="1">SUM(BD60:BO60)</f>
        <v>0</v>
      </c>
      <c r="BQ60" s="17">
        <f ca="1">OFFSET('Sales, Production, &amp; Other Assu'!BQ$18,'Internmediate sheet'!$A59/3,0)*Capacity</f>
        <v>0</v>
      </c>
      <c r="BR60" s="17">
        <f ca="1">OFFSET('Sales, Production, &amp; Other Assu'!BR$18,'Internmediate sheet'!$A59/3,0)*Capacity</f>
        <v>0</v>
      </c>
      <c r="BS60" s="17">
        <f ca="1">OFFSET('Sales, Production, &amp; Other Assu'!BS$18,'Internmediate sheet'!$A59/3,0)*Capacity</f>
        <v>0</v>
      </c>
      <c r="BT60" s="17">
        <f ca="1">OFFSET('Sales, Production, &amp; Other Assu'!BT$18,'Internmediate sheet'!$A59/3,0)*Capacity</f>
        <v>0</v>
      </c>
      <c r="BU60" s="17">
        <f ca="1">OFFSET('Sales, Production, &amp; Other Assu'!BU$18,'Internmediate sheet'!$A59/3,0)*Capacity</f>
        <v>0</v>
      </c>
      <c r="BV60" s="17">
        <f ca="1">OFFSET('Sales, Production, &amp; Other Assu'!BV$18,'Internmediate sheet'!$A59/3,0)*Capacity</f>
        <v>0</v>
      </c>
      <c r="BW60" s="17">
        <f ca="1">OFFSET('Sales, Production, &amp; Other Assu'!BW$18,'Internmediate sheet'!$A59/3,0)*Capacity</f>
        <v>0</v>
      </c>
      <c r="BX60" s="17">
        <f ca="1">OFFSET('Sales, Production, &amp; Other Assu'!BX$18,'Internmediate sheet'!$A59/3,0)*Capacity</f>
        <v>0</v>
      </c>
      <c r="BY60" s="17">
        <f ca="1">OFFSET('Sales, Production, &amp; Other Assu'!BY$18,'Internmediate sheet'!$A59/3,0)*Capacity</f>
        <v>0</v>
      </c>
      <c r="BZ60" s="17">
        <f ca="1">OFFSET('Sales, Production, &amp; Other Assu'!BZ$18,'Internmediate sheet'!$A59/3,0)*Capacity</f>
        <v>0</v>
      </c>
      <c r="CA60" s="17">
        <f ca="1">OFFSET('Sales, Production, &amp; Other Assu'!CA$18,'Internmediate sheet'!$A59/3,0)*Capacity</f>
        <v>0</v>
      </c>
      <c r="CB60" s="17">
        <f ca="1">OFFSET('Sales, Production, &amp; Other Assu'!CB$18,'Internmediate sheet'!$A59/3,0)*Capacity</f>
        <v>0</v>
      </c>
      <c r="CC60" s="430">
        <f ca="1">SUM(BQ60:CB60)</f>
        <v>0</v>
      </c>
      <c r="CD60" s="17">
        <f ca="1">OFFSET('Sales, Production, &amp; Other Assu'!CD$18,'Internmediate sheet'!$A59/3,0)*Capacity</f>
        <v>0</v>
      </c>
      <c r="CE60" s="17">
        <f ca="1">OFFSET('Sales, Production, &amp; Other Assu'!CE$18,'Internmediate sheet'!$A59/3,0)*Capacity</f>
        <v>0</v>
      </c>
      <c r="CF60" s="17">
        <f ca="1">OFFSET('Sales, Production, &amp; Other Assu'!CF$18,'Internmediate sheet'!$A59/3,0)*Capacity</f>
        <v>0</v>
      </c>
      <c r="CG60" s="17">
        <f ca="1">OFFSET('Sales, Production, &amp; Other Assu'!CG$18,'Internmediate sheet'!$A59/3,0)*Capacity</f>
        <v>0</v>
      </c>
      <c r="CH60" s="17">
        <f ca="1">OFFSET('Sales, Production, &amp; Other Assu'!CH$18,'Internmediate sheet'!$A59/3,0)*Capacity</f>
        <v>0</v>
      </c>
      <c r="CI60" s="17">
        <f ca="1">OFFSET('Sales, Production, &amp; Other Assu'!CI$18,'Internmediate sheet'!$A59/3,0)*Capacity</f>
        <v>0</v>
      </c>
      <c r="CJ60" s="17">
        <f ca="1">OFFSET('Sales, Production, &amp; Other Assu'!CJ$18,'Internmediate sheet'!$A59/3,0)*Capacity</f>
        <v>0</v>
      </c>
      <c r="CK60" s="17">
        <f ca="1">OFFSET('Sales, Production, &amp; Other Assu'!CK$18,'Internmediate sheet'!$A59/3,0)*Capacity</f>
        <v>0</v>
      </c>
      <c r="CL60" s="17">
        <f ca="1">OFFSET('Sales, Production, &amp; Other Assu'!CL$18,'Internmediate sheet'!$A59/3,0)*Capacity</f>
        <v>0</v>
      </c>
      <c r="CM60" s="17">
        <f ca="1">OFFSET('Sales, Production, &amp; Other Assu'!CM$18,'Internmediate sheet'!$A59/3,0)*Capacity</f>
        <v>0</v>
      </c>
      <c r="CN60" s="17">
        <f ca="1">OFFSET('Sales, Production, &amp; Other Assu'!CN$18,'Internmediate sheet'!$A59/3,0)*Capacity</f>
        <v>0</v>
      </c>
      <c r="CO60" s="17">
        <f ca="1">OFFSET('Sales, Production, &amp; Other Assu'!CO$18,'Internmediate sheet'!$A59/3,0)*Capacity</f>
        <v>0</v>
      </c>
      <c r="CP60" s="430">
        <f ca="1">SUM(CD60:CO60)</f>
        <v>0</v>
      </c>
    </row>
    <row r="61" spans="1:94" ht="20.100000000000001" hidden="1" customHeight="1">
      <c r="A61" s="790"/>
      <c r="B61" s="8" t="s">
        <v>610</v>
      </c>
      <c r="C61" s="8">
        <f ca="1">OFFSET('Summary. Assumptions. Inputs'!$F$46,'Internmediate sheet'!A56/3,0)</f>
        <v>0</v>
      </c>
      <c r="D61" s="8">
        <f t="shared" ref="D61:P61" ca="1" si="1530">C61</f>
        <v>0</v>
      </c>
      <c r="E61" s="8">
        <f t="shared" ca="1" si="1530"/>
        <v>0</v>
      </c>
      <c r="F61" s="8">
        <f t="shared" ca="1" si="1530"/>
        <v>0</v>
      </c>
      <c r="G61" s="8">
        <f t="shared" ca="1" si="1530"/>
        <v>0</v>
      </c>
      <c r="H61" s="8">
        <f t="shared" ca="1" si="1530"/>
        <v>0</v>
      </c>
      <c r="I61" s="8">
        <f t="shared" ca="1" si="1530"/>
        <v>0</v>
      </c>
      <c r="J61" s="8">
        <f t="shared" ca="1" si="1530"/>
        <v>0</v>
      </c>
      <c r="K61" s="8">
        <f t="shared" ca="1" si="1530"/>
        <v>0</v>
      </c>
      <c r="L61" s="8">
        <f t="shared" ca="1" si="1530"/>
        <v>0</v>
      </c>
      <c r="M61" s="8">
        <f t="shared" ca="1" si="1530"/>
        <v>0</v>
      </c>
      <c r="N61" s="8">
        <f t="shared" ca="1" si="1530"/>
        <v>0</v>
      </c>
      <c r="O61" s="8">
        <f t="shared" ca="1" si="1530"/>
        <v>0</v>
      </c>
      <c r="P61" s="431">
        <f t="shared" ca="1" si="1530"/>
        <v>0</v>
      </c>
      <c r="Q61" s="8">
        <f t="shared" ref="Q61" ca="1" si="1531">P61</f>
        <v>0</v>
      </c>
      <c r="R61" s="8">
        <f t="shared" ref="R61" ca="1" si="1532">Q61</f>
        <v>0</v>
      </c>
      <c r="S61" s="8">
        <f t="shared" ref="S61" ca="1" si="1533">R61</f>
        <v>0</v>
      </c>
      <c r="T61" s="8">
        <f t="shared" ref="T61" ca="1" si="1534">S61</f>
        <v>0</v>
      </c>
      <c r="U61" s="8">
        <f t="shared" ref="U61" ca="1" si="1535">T61</f>
        <v>0</v>
      </c>
      <c r="V61" s="8">
        <f t="shared" ref="V61" ca="1" si="1536">U61</f>
        <v>0</v>
      </c>
      <c r="W61" s="8">
        <f t="shared" ref="W61" ca="1" si="1537">V61</f>
        <v>0</v>
      </c>
      <c r="X61" s="8">
        <f t="shared" ref="X61" ca="1" si="1538">W61</f>
        <v>0</v>
      </c>
      <c r="Y61" s="8">
        <f t="shared" ref="Y61" ca="1" si="1539">X61</f>
        <v>0</v>
      </c>
      <c r="Z61" s="8">
        <f t="shared" ref="Z61" ca="1" si="1540">Y61</f>
        <v>0</v>
      </c>
      <c r="AA61" s="8">
        <f t="shared" ref="AA61" ca="1" si="1541">Z61</f>
        <v>0</v>
      </c>
      <c r="AB61" s="8">
        <f t="shared" ref="AB61" ca="1" si="1542">AA61</f>
        <v>0</v>
      </c>
      <c r="AC61" s="431">
        <f t="shared" ref="AC61" ca="1" si="1543">AB61</f>
        <v>0</v>
      </c>
      <c r="AD61" s="8">
        <f t="shared" ref="AD61" ca="1" si="1544">AC61</f>
        <v>0</v>
      </c>
      <c r="AE61" s="8">
        <f t="shared" ref="AE61" ca="1" si="1545">AD61</f>
        <v>0</v>
      </c>
      <c r="AF61" s="8">
        <f t="shared" ref="AF61" ca="1" si="1546">AE61</f>
        <v>0</v>
      </c>
      <c r="AG61" s="8">
        <f t="shared" ref="AG61" ca="1" si="1547">AF61</f>
        <v>0</v>
      </c>
      <c r="AH61" s="8">
        <f t="shared" ref="AH61" ca="1" si="1548">AG61</f>
        <v>0</v>
      </c>
      <c r="AI61" s="8">
        <f t="shared" ref="AI61" ca="1" si="1549">AH61</f>
        <v>0</v>
      </c>
      <c r="AJ61" s="8">
        <f t="shared" ref="AJ61" ca="1" si="1550">AI61</f>
        <v>0</v>
      </c>
      <c r="AK61" s="8">
        <f t="shared" ref="AK61" ca="1" si="1551">AJ61</f>
        <v>0</v>
      </c>
      <c r="AL61" s="8">
        <f t="shared" ref="AL61" ca="1" si="1552">AK61</f>
        <v>0</v>
      </c>
      <c r="AM61" s="8">
        <f t="shared" ref="AM61" ca="1" si="1553">AL61</f>
        <v>0</v>
      </c>
      <c r="AN61" s="8">
        <f t="shared" ref="AN61" ca="1" si="1554">AM61</f>
        <v>0</v>
      </c>
      <c r="AO61" s="8">
        <f t="shared" ref="AO61" ca="1" si="1555">AN61</f>
        <v>0</v>
      </c>
      <c r="AP61" s="431">
        <f t="shared" ref="AP61" ca="1" si="1556">AO61</f>
        <v>0</v>
      </c>
      <c r="AQ61" s="8">
        <f ca="1">AP61</f>
        <v>0</v>
      </c>
      <c r="AR61" s="8">
        <f t="shared" ref="AR61" ca="1" si="1557">AQ61</f>
        <v>0</v>
      </c>
      <c r="AS61" s="8">
        <f t="shared" ref="AS61" ca="1" si="1558">AR61</f>
        <v>0</v>
      </c>
      <c r="AT61" s="8">
        <f t="shared" ref="AT61" ca="1" si="1559">AS61</f>
        <v>0</v>
      </c>
      <c r="AU61" s="8">
        <f t="shared" ref="AU61" ca="1" si="1560">AT61</f>
        <v>0</v>
      </c>
      <c r="AV61" s="8">
        <f t="shared" ref="AV61" ca="1" si="1561">AU61</f>
        <v>0</v>
      </c>
      <c r="AW61" s="8">
        <f t="shared" ref="AW61" ca="1" si="1562">AV61</f>
        <v>0</v>
      </c>
      <c r="AX61" s="8">
        <f t="shared" ref="AX61" ca="1" si="1563">AW61</f>
        <v>0</v>
      </c>
      <c r="AY61" s="8">
        <f t="shared" ref="AY61" ca="1" si="1564">AX61</f>
        <v>0</v>
      </c>
      <c r="AZ61" s="8">
        <f t="shared" ref="AZ61" ca="1" si="1565">AY61</f>
        <v>0</v>
      </c>
      <c r="BA61" s="8">
        <f t="shared" ref="BA61" ca="1" si="1566">AZ61</f>
        <v>0</v>
      </c>
      <c r="BB61" s="8">
        <f t="shared" ref="BB61" ca="1" si="1567">BA61</f>
        <v>0</v>
      </c>
      <c r="BC61" s="431">
        <f t="shared" ref="BC61" ca="1" si="1568">BB61</f>
        <v>0</v>
      </c>
      <c r="BD61" s="8">
        <f t="shared" ref="BD61" ca="1" si="1569">BC61</f>
        <v>0</v>
      </c>
      <c r="BE61" s="8">
        <f t="shared" ref="BE61" ca="1" si="1570">BD61</f>
        <v>0</v>
      </c>
      <c r="BF61" s="8">
        <f t="shared" ref="BF61" ca="1" si="1571">BE61</f>
        <v>0</v>
      </c>
      <c r="BG61" s="8">
        <f t="shared" ref="BG61" ca="1" si="1572">BF61</f>
        <v>0</v>
      </c>
      <c r="BH61" s="8">
        <f t="shared" ref="BH61" ca="1" si="1573">BG61</f>
        <v>0</v>
      </c>
      <c r="BI61" s="8">
        <f t="shared" ref="BI61" ca="1" si="1574">BH61</f>
        <v>0</v>
      </c>
      <c r="BJ61" s="8">
        <f t="shared" ref="BJ61" ca="1" si="1575">BI61</f>
        <v>0</v>
      </c>
      <c r="BK61" s="8">
        <f t="shared" ref="BK61" ca="1" si="1576">BJ61</f>
        <v>0</v>
      </c>
      <c r="BL61" s="8">
        <f t="shared" ref="BL61" ca="1" si="1577">BK61</f>
        <v>0</v>
      </c>
      <c r="BM61" s="8">
        <f t="shared" ref="BM61" ca="1" si="1578">BL61</f>
        <v>0</v>
      </c>
      <c r="BN61" s="8">
        <f t="shared" ref="BN61" ca="1" si="1579">BM61</f>
        <v>0</v>
      </c>
      <c r="BO61" s="8">
        <f t="shared" ref="BO61" ca="1" si="1580">BN61</f>
        <v>0</v>
      </c>
      <c r="BP61" s="431">
        <f t="shared" ref="BP61" ca="1" si="1581">BO61</f>
        <v>0</v>
      </c>
      <c r="BQ61" s="8">
        <f t="shared" ref="BQ61" ca="1" si="1582">BP61</f>
        <v>0</v>
      </c>
      <c r="BR61" s="8">
        <f t="shared" ref="BR61" ca="1" si="1583">BQ61</f>
        <v>0</v>
      </c>
      <c r="BS61" s="8">
        <f t="shared" ref="BS61" ca="1" si="1584">BR61</f>
        <v>0</v>
      </c>
      <c r="BT61" s="8">
        <f t="shared" ref="BT61" ca="1" si="1585">BS61</f>
        <v>0</v>
      </c>
      <c r="BU61" s="8">
        <f t="shared" ref="BU61" ca="1" si="1586">BT61</f>
        <v>0</v>
      </c>
      <c r="BV61" s="8">
        <f t="shared" ref="BV61" ca="1" si="1587">BU61</f>
        <v>0</v>
      </c>
      <c r="BW61" s="8">
        <f t="shared" ref="BW61" ca="1" si="1588">BV61</f>
        <v>0</v>
      </c>
      <c r="BX61" s="8">
        <f t="shared" ref="BX61" ca="1" si="1589">BW61</f>
        <v>0</v>
      </c>
      <c r="BY61" s="8">
        <f t="shared" ref="BY61" ca="1" si="1590">BX61</f>
        <v>0</v>
      </c>
      <c r="BZ61" s="8">
        <f t="shared" ref="BZ61" ca="1" si="1591">BY61</f>
        <v>0</v>
      </c>
      <c r="CA61" s="8">
        <f t="shared" ref="CA61" ca="1" si="1592">BZ61</f>
        <v>0</v>
      </c>
      <c r="CB61" s="8">
        <f t="shared" ref="CB61" ca="1" si="1593">CA61</f>
        <v>0</v>
      </c>
      <c r="CC61" s="431">
        <f t="shared" ref="CC61" ca="1" si="1594">CB61</f>
        <v>0</v>
      </c>
      <c r="CD61" s="8">
        <f t="shared" ref="CD61" ca="1" si="1595">CC61</f>
        <v>0</v>
      </c>
      <c r="CE61" s="8">
        <f t="shared" ref="CE61" ca="1" si="1596">CD61</f>
        <v>0</v>
      </c>
      <c r="CF61" s="8">
        <f t="shared" ref="CF61" ca="1" si="1597">CE61</f>
        <v>0</v>
      </c>
      <c r="CG61" s="8">
        <f t="shared" ref="CG61" ca="1" si="1598">CF61</f>
        <v>0</v>
      </c>
      <c r="CH61" s="8">
        <f t="shared" ref="CH61" ca="1" si="1599">CG61</f>
        <v>0</v>
      </c>
      <c r="CI61" s="8">
        <f t="shared" ref="CI61" ca="1" si="1600">CH61</f>
        <v>0</v>
      </c>
      <c r="CJ61" s="8">
        <f t="shared" ref="CJ61" ca="1" si="1601">CI61</f>
        <v>0</v>
      </c>
      <c r="CK61" s="8">
        <f t="shared" ref="CK61" ca="1" si="1602">CJ61</f>
        <v>0</v>
      </c>
      <c r="CL61" s="8">
        <f t="shared" ref="CL61" ca="1" si="1603">CK61</f>
        <v>0</v>
      </c>
      <c r="CM61" s="8">
        <f t="shared" ref="CM61" ca="1" si="1604">CL61</f>
        <v>0</v>
      </c>
      <c r="CN61" s="8">
        <f t="shared" ref="CN61" ca="1" si="1605">CM61</f>
        <v>0</v>
      </c>
      <c r="CO61" s="8">
        <f t="shared" ref="CO61" ca="1" si="1606">CN61</f>
        <v>0</v>
      </c>
      <c r="CP61" s="431">
        <f t="shared" ref="CP61" ca="1" si="1607">CO61</f>
        <v>0</v>
      </c>
    </row>
    <row r="62" spans="1:94" ht="20.100000000000001" hidden="1" customHeight="1">
      <c r="A62" s="791"/>
      <c r="B62" s="248" t="s">
        <v>611</v>
      </c>
      <c r="C62" s="249">
        <f t="shared" ref="C62:O62" ca="1" si="1608">C60*C61</f>
        <v>0</v>
      </c>
      <c r="D62" s="248">
        <f t="shared" ca="1" si="1608"/>
        <v>0</v>
      </c>
      <c r="E62" s="248">
        <f t="shared" ca="1" si="1608"/>
        <v>0</v>
      </c>
      <c r="F62" s="248">
        <f t="shared" ca="1" si="1608"/>
        <v>0</v>
      </c>
      <c r="G62" s="248">
        <f t="shared" ca="1" si="1608"/>
        <v>0</v>
      </c>
      <c r="H62" s="248">
        <f t="shared" ca="1" si="1608"/>
        <v>0</v>
      </c>
      <c r="I62" s="248">
        <f t="shared" ca="1" si="1608"/>
        <v>0</v>
      </c>
      <c r="J62" s="248">
        <f t="shared" ca="1" si="1608"/>
        <v>0</v>
      </c>
      <c r="K62" s="248">
        <f t="shared" ca="1" si="1608"/>
        <v>0</v>
      </c>
      <c r="L62" s="248">
        <f t="shared" ca="1" si="1608"/>
        <v>0</v>
      </c>
      <c r="M62" s="248">
        <f t="shared" ca="1" si="1608"/>
        <v>0</v>
      </c>
      <c r="N62" s="248">
        <f t="shared" ca="1" si="1608"/>
        <v>0</v>
      </c>
      <c r="O62" s="248">
        <f t="shared" ca="1" si="1608"/>
        <v>0</v>
      </c>
      <c r="P62" s="432">
        <f ca="1">SUM(D62:O62)</f>
        <v>0</v>
      </c>
      <c r="Q62" s="248">
        <f t="shared" ref="Q62:AB62" ca="1" si="1609">Q60*Q61</f>
        <v>0</v>
      </c>
      <c r="R62" s="248">
        <f t="shared" ca="1" si="1609"/>
        <v>0</v>
      </c>
      <c r="S62" s="248">
        <f t="shared" ca="1" si="1609"/>
        <v>0</v>
      </c>
      <c r="T62" s="248">
        <f t="shared" ca="1" si="1609"/>
        <v>0</v>
      </c>
      <c r="U62" s="248">
        <f t="shared" ca="1" si="1609"/>
        <v>0</v>
      </c>
      <c r="V62" s="248">
        <f t="shared" ca="1" si="1609"/>
        <v>0</v>
      </c>
      <c r="W62" s="248">
        <f t="shared" ca="1" si="1609"/>
        <v>0</v>
      </c>
      <c r="X62" s="248">
        <f t="shared" ca="1" si="1609"/>
        <v>0</v>
      </c>
      <c r="Y62" s="248">
        <f t="shared" ca="1" si="1609"/>
        <v>0</v>
      </c>
      <c r="Z62" s="248">
        <f t="shared" ca="1" si="1609"/>
        <v>0</v>
      </c>
      <c r="AA62" s="248">
        <f t="shared" ca="1" si="1609"/>
        <v>0</v>
      </c>
      <c r="AB62" s="248">
        <f t="shared" ca="1" si="1609"/>
        <v>0</v>
      </c>
      <c r="AC62" s="432">
        <f ca="1">SUM(Q62:AB62)</f>
        <v>0</v>
      </c>
      <c r="AD62" s="248">
        <f t="shared" ref="AD62:AO62" ca="1" si="1610">AD60*AD61</f>
        <v>0</v>
      </c>
      <c r="AE62" s="248">
        <f t="shared" ca="1" si="1610"/>
        <v>0</v>
      </c>
      <c r="AF62" s="248">
        <f t="shared" ca="1" si="1610"/>
        <v>0</v>
      </c>
      <c r="AG62" s="248">
        <f t="shared" ca="1" si="1610"/>
        <v>0</v>
      </c>
      <c r="AH62" s="248">
        <f t="shared" ca="1" si="1610"/>
        <v>0</v>
      </c>
      <c r="AI62" s="248">
        <f t="shared" ca="1" si="1610"/>
        <v>0</v>
      </c>
      <c r="AJ62" s="248">
        <f t="shared" ca="1" si="1610"/>
        <v>0</v>
      </c>
      <c r="AK62" s="248">
        <f t="shared" ca="1" si="1610"/>
        <v>0</v>
      </c>
      <c r="AL62" s="248">
        <f t="shared" ca="1" si="1610"/>
        <v>0</v>
      </c>
      <c r="AM62" s="248">
        <f t="shared" ca="1" si="1610"/>
        <v>0</v>
      </c>
      <c r="AN62" s="248">
        <f t="shared" ca="1" si="1610"/>
        <v>0</v>
      </c>
      <c r="AO62" s="248">
        <f t="shared" ca="1" si="1610"/>
        <v>0</v>
      </c>
      <c r="AP62" s="432">
        <f ca="1">SUM(AD62:AO62)</f>
        <v>0</v>
      </c>
      <c r="AQ62" s="248">
        <f t="shared" ref="AQ62:BB62" ca="1" si="1611">AQ60*AQ61</f>
        <v>0</v>
      </c>
      <c r="AR62" s="248">
        <f t="shared" ca="1" si="1611"/>
        <v>0</v>
      </c>
      <c r="AS62" s="248">
        <f t="shared" ca="1" si="1611"/>
        <v>0</v>
      </c>
      <c r="AT62" s="248">
        <f t="shared" ca="1" si="1611"/>
        <v>0</v>
      </c>
      <c r="AU62" s="248">
        <f t="shared" ca="1" si="1611"/>
        <v>0</v>
      </c>
      <c r="AV62" s="248">
        <f t="shared" ca="1" si="1611"/>
        <v>0</v>
      </c>
      <c r="AW62" s="248">
        <f t="shared" ca="1" si="1611"/>
        <v>0</v>
      </c>
      <c r="AX62" s="248">
        <f t="shared" ca="1" si="1611"/>
        <v>0</v>
      </c>
      <c r="AY62" s="248">
        <f t="shared" ca="1" si="1611"/>
        <v>0</v>
      </c>
      <c r="AZ62" s="248">
        <f t="shared" ca="1" si="1611"/>
        <v>0</v>
      </c>
      <c r="BA62" s="248">
        <f t="shared" ca="1" si="1611"/>
        <v>0</v>
      </c>
      <c r="BB62" s="248">
        <f t="shared" ca="1" si="1611"/>
        <v>0</v>
      </c>
      <c r="BC62" s="432">
        <f ca="1">SUM(AQ62:BB62)</f>
        <v>0</v>
      </c>
      <c r="BD62" s="248">
        <f t="shared" ref="BD62:BO62" ca="1" si="1612">BD60*BD61</f>
        <v>0</v>
      </c>
      <c r="BE62" s="248">
        <f t="shared" ca="1" si="1612"/>
        <v>0</v>
      </c>
      <c r="BF62" s="248">
        <f t="shared" ca="1" si="1612"/>
        <v>0</v>
      </c>
      <c r="BG62" s="248">
        <f t="shared" ca="1" si="1612"/>
        <v>0</v>
      </c>
      <c r="BH62" s="248">
        <f t="shared" ca="1" si="1612"/>
        <v>0</v>
      </c>
      <c r="BI62" s="248">
        <f t="shared" ca="1" si="1612"/>
        <v>0</v>
      </c>
      <c r="BJ62" s="248">
        <f t="shared" ca="1" si="1612"/>
        <v>0</v>
      </c>
      <c r="BK62" s="248">
        <f t="shared" ca="1" si="1612"/>
        <v>0</v>
      </c>
      <c r="BL62" s="248">
        <f t="shared" ca="1" si="1612"/>
        <v>0</v>
      </c>
      <c r="BM62" s="248">
        <f t="shared" ca="1" si="1612"/>
        <v>0</v>
      </c>
      <c r="BN62" s="248">
        <f t="shared" ca="1" si="1612"/>
        <v>0</v>
      </c>
      <c r="BO62" s="248">
        <f t="shared" ca="1" si="1612"/>
        <v>0</v>
      </c>
      <c r="BP62" s="432">
        <f ca="1">SUM(BD62:BO62)</f>
        <v>0</v>
      </c>
      <c r="BQ62" s="248">
        <f t="shared" ref="BQ62:CB62" ca="1" si="1613">BQ60*BQ61</f>
        <v>0</v>
      </c>
      <c r="BR62" s="248">
        <f t="shared" ca="1" si="1613"/>
        <v>0</v>
      </c>
      <c r="BS62" s="248">
        <f t="shared" ca="1" si="1613"/>
        <v>0</v>
      </c>
      <c r="BT62" s="248">
        <f t="shared" ca="1" si="1613"/>
        <v>0</v>
      </c>
      <c r="BU62" s="248">
        <f t="shared" ca="1" si="1613"/>
        <v>0</v>
      </c>
      <c r="BV62" s="248">
        <f t="shared" ca="1" si="1613"/>
        <v>0</v>
      </c>
      <c r="BW62" s="248">
        <f t="shared" ca="1" si="1613"/>
        <v>0</v>
      </c>
      <c r="BX62" s="248">
        <f t="shared" ca="1" si="1613"/>
        <v>0</v>
      </c>
      <c r="BY62" s="248">
        <f t="shared" ca="1" si="1613"/>
        <v>0</v>
      </c>
      <c r="BZ62" s="248">
        <f t="shared" ca="1" si="1613"/>
        <v>0</v>
      </c>
      <c r="CA62" s="248">
        <f t="shared" ca="1" si="1613"/>
        <v>0</v>
      </c>
      <c r="CB62" s="248">
        <f t="shared" ca="1" si="1613"/>
        <v>0</v>
      </c>
      <c r="CC62" s="432">
        <f ca="1">SUM(BQ62:CB62)</f>
        <v>0</v>
      </c>
      <c r="CD62" s="248">
        <f t="shared" ref="CD62:CO62" ca="1" si="1614">CD60*CD61</f>
        <v>0</v>
      </c>
      <c r="CE62" s="248">
        <f t="shared" ca="1" si="1614"/>
        <v>0</v>
      </c>
      <c r="CF62" s="248">
        <f t="shared" ca="1" si="1614"/>
        <v>0</v>
      </c>
      <c r="CG62" s="248">
        <f t="shared" ca="1" si="1614"/>
        <v>0</v>
      </c>
      <c r="CH62" s="248">
        <f t="shared" ca="1" si="1614"/>
        <v>0</v>
      </c>
      <c r="CI62" s="248">
        <f t="shared" ca="1" si="1614"/>
        <v>0</v>
      </c>
      <c r="CJ62" s="248">
        <f t="shared" ca="1" si="1614"/>
        <v>0</v>
      </c>
      <c r="CK62" s="248">
        <f t="shared" ca="1" si="1614"/>
        <v>0</v>
      </c>
      <c r="CL62" s="248">
        <f t="shared" ca="1" si="1614"/>
        <v>0</v>
      </c>
      <c r="CM62" s="248">
        <f t="shared" ca="1" si="1614"/>
        <v>0</v>
      </c>
      <c r="CN62" s="248">
        <f t="shared" ca="1" si="1614"/>
        <v>0</v>
      </c>
      <c r="CO62" s="248">
        <f t="shared" ca="1" si="1614"/>
        <v>0</v>
      </c>
      <c r="CP62" s="432">
        <f ca="1">SUM(CD62:CO62)</f>
        <v>0</v>
      </c>
    </row>
    <row r="63" spans="1:94" ht="20.100000000000001" hidden="1" customHeight="1">
      <c r="A63" s="789">
        <f ca="1">OFFSET('Summary. Assumptions. Inputs'!$A$45,'Internmediate sheet'!A62/3,0)</f>
        <v>0</v>
      </c>
      <c r="B63" s="17" t="s">
        <v>609</v>
      </c>
      <c r="C63" s="18"/>
      <c r="D63" s="17">
        <f ca="1">OFFSET('Sales, Production, &amp; Other Assu'!D$18,'Internmediate sheet'!$A62/3,0)*Capacity</f>
        <v>0</v>
      </c>
      <c r="E63" s="17">
        <f ca="1">OFFSET('Sales, Production, &amp; Other Assu'!E$18,'Internmediate sheet'!$A62/3,0)*Capacity</f>
        <v>0</v>
      </c>
      <c r="F63" s="17">
        <f ca="1">OFFSET('Sales, Production, &amp; Other Assu'!F$18,'Internmediate sheet'!$A62/3,0)*Capacity</f>
        <v>0</v>
      </c>
      <c r="G63" s="17">
        <f ca="1">OFFSET('Sales, Production, &amp; Other Assu'!G$18,'Internmediate sheet'!$A62/3,0)*Capacity</f>
        <v>0</v>
      </c>
      <c r="H63" s="17">
        <f ca="1">OFFSET('Sales, Production, &amp; Other Assu'!H$18,'Internmediate sheet'!$A62/3,0)*Capacity</f>
        <v>0</v>
      </c>
      <c r="I63" s="17">
        <f ca="1">OFFSET('Sales, Production, &amp; Other Assu'!I$18,'Internmediate sheet'!$A62/3,0)*Capacity</f>
        <v>0</v>
      </c>
      <c r="J63" s="17">
        <f ca="1">OFFSET('Sales, Production, &amp; Other Assu'!J$18,'Internmediate sheet'!$A62/3,0)*Capacity</f>
        <v>0</v>
      </c>
      <c r="K63" s="17">
        <f ca="1">OFFSET('Sales, Production, &amp; Other Assu'!K$18,'Internmediate sheet'!$A62/3,0)*Capacity</f>
        <v>0</v>
      </c>
      <c r="L63" s="17">
        <f ca="1">OFFSET('Sales, Production, &amp; Other Assu'!L$18,'Internmediate sheet'!$A62/3,0)*Capacity</f>
        <v>0</v>
      </c>
      <c r="M63" s="17">
        <f ca="1">OFFSET('Sales, Production, &amp; Other Assu'!M$18,'Internmediate sheet'!$A62/3,0)*Capacity</f>
        <v>0</v>
      </c>
      <c r="N63" s="17">
        <f ca="1">OFFSET('Sales, Production, &amp; Other Assu'!N$18,'Internmediate sheet'!$A62/3,0)*Capacity</f>
        <v>0</v>
      </c>
      <c r="O63" s="17">
        <f ca="1">OFFSET('Sales, Production, &amp; Other Assu'!O$18,'Internmediate sheet'!$A62/3,0)*Capacity</f>
        <v>0</v>
      </c>
      <c r="P63" s="430">
        <f ca="1">SUM(D63:O63)</f>
        <v>0</v>
      </c>
      <c r="Q63" s="17">
        <f ca="1">OFFSET('Sales, Production, &amp; Other Assu'!Q$18,'Internmediate sheet'!$A62/3,0)*Capacity</f>
        <v>0</v>
      </c>
      <c r="R63" s="17">
        <f ca="1">OFFSET('Sales, Production, &amp; Other Assu'!R$18,'Internmediate sheet'!$A62/3,0)*Capacity</f>
        <v>0</v>
      </c>
      <c r="S63" s="17">
        <f ca="1">OFFSET('Sales, Production, &amp; Other Assu'!S$18,'Internmediate sheet'!$A62/3,0)*Capacity</f>
        <v>0</v>
      </c>
      <c r="T63" s="17">
        <f ca="1">OFFSET('Sales, Production, &amp; Other Assu'!T$18,'Internmediate sheet'!$A62/3,0)*Capacity</f>
        <v>0</v>
      </c>
      <c r="U63" s="17">
        <f ca="1">OFFSET('Sales, Production, &amp; Other Assu'!U$18,'Internmediate sheet'!$A62/3,0)*Capacity</f>
        <v>0</v>
      </c>
      <c r="V63" s="17">
        <f ca="1">OFFSET('Sales, Production, &amp; Other Assu'!V$18,'Internmediate sheet'!$A62/3,0)*Capacity</f>
        <v>0</v>
      </c>
      <c r="W63" s="17">
        <f ca="1">OFFSET('Sales, Production, &amp; Other Assu'!W$18,'Internmediate sheet'!$A62/3,0)*Capacity</f>
        <v>0</v>
      </c>
      <c r="X63" s="17">
        <f ca="1">OFFSET('Sales, Production, &amp; Other Assu'!X$18,'Internmediate sheet'!$A62/3,0)*Capacity</f>
        <v>0</v>
      </c>
      <c r="Y63" s="17">
        <f ca="1">OFFSET('Sales, Production, &amp; Other Assu'!Y$18,'Internmediate sheet'!$A62/3,0)*Capacity</f>
        <v>0</v>
      </c>
      <c r="Z63" s="17">
        <f ca="1">OFFSET('Sales, Production, &amp; Other Assu'!Z$18,'Internmediate sheet'!$A62/3,0)*Capacity</f>
        <v>0</v>
      </c>
      <c r="AA63" s="17">
        <f ca="1">OFFSET('Sales, Production, &amp; Other Assu'!AA$18,'Internmediate sheet'!$A62/3,0)*Capacity</f>
        <v>0</v>
      </c>
      <c r="AB63" s="17">
        <f ca="1">OFFSET('Sales, Production, &amp; Other Assu'!AB$18,'Internmediate sheet'!$A62/3,0)*Capacity</f>
        <v>0</v>
      </c>
      <c r="AC63" s="430">
        <f ca="1">SUM(Q63:AB63)</f>
        <v>0</v>
      </c>
      <c r="AD63" s="17">
        <f ca="1">OFFSET('Sales, Production, &amp; Other Assu'!AD$18,'Internmediate sheet'!$A62/3,0)*Capacity</f>
        <v>0</v>
      </c>
      <c r="AE63" s="17">
        <f ca="1">OFFSET('Sales, Production, &amp; Other Assu'!AE$18,'Internmediate sheet'!$A62/3,0)*Capacity</f>
        <v>0</v>
      </c>
      <c r="AF63" s="17">
        <f ca="1">OFFSET('Sales, Production, &amp; Other Assu'!AF$18,'Internmediate sheet'!$A62/3,0)*Capacity</f>
        <v>0</v>
      </c>
      <c r="AG63" s="17">
        <f ca="1">OFFSET('Sales, Production, &amp; Other Assu'!AG$18,'Internmediate sheet'!$A62/3,0)*Capacity</f>
        <v>0</v>
      </c>
      <c r="AH63" s="17">
        <f ca="1">OFFSET('Sales, Production, &amp; Other Assu'!AH$18,'Internmediate sheet'!$A62/3,0)*Capacity</f>
        <v>0</v>
      </c>
      <c r="AI63" s="17">
        <f ca="1">OFFSET('Sales, Production, &amp; Other Assu'!AI$18,'Internmediate sheet'!$A62/3,0)*Capacity</f>
        <v>0</v>
      </c>
      <c r="AJ63" s="17">
        <f ca="1">OFFSET('Sales, Production, &amp; Other Assu'!AJ$18,'Internmediate sheet'!$A62/3,0)*Capacity</f>
        <v>0</v>
      </c>
      <c r="AK63" s="17">
        <f ca="1">OFFSET('Sales, Production, &amp; Other Assu'!AK$18,'Internmediate sheet'!$A62/3,0)*Capacity</f>
        <v>0</v>
      </c>
      <c r="AL63" s="17">
        <f ca="1">OFFSET('Sales, Production, &amp; Other Assu'!AL$18,'Internmediate sheet'!$A62/3,0)*Capacity</f>
        <v>0</v>
      </c>
      <c r="AM63" s="17">
        <f ca="1">OFFSET('Sales, Production, &amp; Other Assu'!AM$18,'Internmediate sheet'!$A62/3,0)*Capacity</f>
        <v>0</v>
      </c>
      <c r="AN63" s="17">
        <f ca="1">OFFSET('Sales, Production, &amp; Other Assu'!AN$18,'Internmediate sheet'!$A62/3,0)*Capacity</f>
        <v>0</v>
      </c>
      <c r="AO63" s="17">
        <f ca="1">OFFSET('Sales, Production, &amp; Other Assu'!AO$18,'Internmediate sheet'!$A62/3,0)*Capacity</f>
        <v>0</v>
      </c>
      <c r="AP63" s="430">
        <f ca="1">SUM(AD63:AO63)</f>
        <v>0</v>
      </c>
      <c r="AQ63" s="17">
        <f ca="1">OFFSET('Sales, Production, &amp; Other Assu'!AQ$18,'Internmediate sheet'!$A62/3,0)*Capacity</f>
        <v>0</v>
      </c>
      <c r="AR63" s="17">
        <f ca="1">OFFSET('Sales, Production, &amp; Other Assu'!AR$18,'Internmediate sheet'!$A62/3,0)*Capacity</f>
        <v>0</v>
      </c>
      <c r="AS63" s="17">
        <f ca="1">OFFSET('Sales, Production, &amp; Other Assu'!AS$18,'Internmediate sheet'!$A62/3,0)*Capacity</f>
        <v>0</v>
      </c>
      <c r="AT63" s="17">
        <f ca="1">OFFSET('Sales, Production, &amp; Other Assu'!AT$18,'Internmediate sheet'!$A62/3,0)*Capacity</f>
        <v>0</v>
      </c>
      <c r="AU63" s="17">
        <f ca="1">OFFSET('Sales, Production, &amp; Other Assu'!AU$18,'Internmediate sheet'!$A62/3,0)*Capacity</f>
        <v>0</v>
      </c>
      <c r="AV63" s="17">
        <f ca="1">OFFSET('Sales, Production, &amp; Other Assu'!AV$18,'Internmediate sheet'!$A62/3,0)*Capacity</f>
        <v>0</v>
      </c>
      <c r="AW63" s="17">
        <f ca="1">OFFSET('Sales, Production, &amp; Other Assu'!AW$18,'Internmediate sheet'!$A62/3,0)*Capacity</f>
        <v>0</v>
      </c>
      <c r="AX63" s="17">
        <f ca="1">OFFSET('Sales, Production, &amp; Other Assu'!AX$18,'Internmediate sheet'!$A62/3,0)*Capacity</f>
        <v>0</v>
      </c>
      <c r="AY63" s="17">
        <f ca="1">OFFSET('Sales, Production, &amp; Other Assu'!AY$18,'Internmediate sheet'!$A62/3,0)*Capacity</f>
        <v>0</v>
      </c>
      <c r="AZ63" s="17">
        <f ca="1">OFFSET('Sales, Production, &amp; Other Assu'!AZ$18,'Internmediate sheet'!$A62/3,0)*Capacity</f>
        <v>0</v>
      </c>
      <c r="BA63" s="17">
        <f ca="1">OFFSET('Sales, Production, &amp; Other Assu'!BA$18,'Internmediate sheet'!$A62/3,0)*Capacity</f>
        <v>0</v>
      </c>
      <c r="BB63" s="17">
        <f ca="1">OFFSET('Sales, Production, &amp; Other Assu'!BB$18,'Internmediate sheet'!$A62/3,0)*Capacity</f>
        <v>0</v>
      </c>
      <c r="BC63" s="430">
        <f ca="1">SUM(AQ63:BB63)</f>
        <v>0</v>
      </c>
      <c r="BD63" s="17">
        <f ca="1">OFFSET('Sales, Production, &amp; Other Assu'!BD$18,'Internmediate sheet'!$A62/3,0)*Capacity</f>
        <v>0</v>
      </c>
      <c r="BE63" s="17">
        <f ca="1">OFFSET('Sales, Production, &amp; Other Assu'!BE$18,'Internmediate sheet'!$A62/3,0)*Capacity</f>
        <v>0</v>
      </c>
      <c r="BF63" s="17">
        <f ca="1">OFFSET('Sales, Production, &amp; Other Assu'!BF$18,'Internmediate sheet'!$A62/3,0)*Capacity</f>
        <v>0</v>
      </c>
      <c r="BG63" s="17">
        <f ca="1">OFFSET('Sales, Production, &amp; Other Assu'!BG$18,'Internmediate sheet'!$A62/3,0)*Capacity</f>
        <v>0</v>
      </c>
      <c r="BH63" s="17">
        <f ca="1">OFFSET('Sales, Production, &amp; Other Assu'!BH$18,'Internmediate sheet'!$A62/3,0)*Capacity</f>
        <v>0</v>
      </c>
      <c r="BI63" s="17">
        <f ca="1">OFFSET('Sales, Production, &amp; Other Assu'!BI$18,'Internmediate sheet'!$A62/3,0)*Capacity</f>
        <v>0</v>
      </c>
      <c r="BJ63" s="17">
        <f ca="1">OFFSET('Sales, Production, &amp; Other Assu'!BJ$18,'Internmediate sheet'!$A62/3,0)*Capacity</f>
        <v>0</v>
      </c>
      <c r="BK63" s="17">
        <f ca="1">OFFSET('Sales, Production, &amp; Other Assu'!BK$18,'Internmediate sheet'!$A62/3,0)*Capacity</f>
        <v>0</v>
      </c>
      <c r="BL63" s="17">
        <f ca="1">OFFSET('Sales, Production, &amp; Other Assu'!BL$18,'Internmediate sheet'!$A62/3,0)*Capacity</f>
        <v>0</v>
      </c>
      <c r="BM63" s="17">
        <f ca="1">OFFSET('Sales, Production, &amp; Other Assu'!BM$18,'Internmediate sheet'!$A62/3,0)*Capacity</f>
        <v>0</v>
      </c>
      <c r="BN63" s="17">
        <f ca="1">OFFSET('Sales, Production, &amp; Other Assu'!BN$18,'Internmediate sheet'!$A62/3,0)*Capacity</f>
        <v>0</v>
      </c>
      <c r="BO63" s="17">
        <f ca="1">OFFSET('Sales, Production, &amp; Other Assu'!BO$18,'Internmediate sheet'!$A62/3,0)*Capacity</f>
        <v>0</v>
      </c>
      <c r="BP63" s="430">
        <f ca="1">SUM(BD63:BO63)</f>
        <v>0</v>
      </c>
      <c r="BQ63" s="17">
        <f ca="1">OFFSET('Sales, Production, &amp; Other Assu'!BQ$18,'Internmediate sheet'!$A62/3,0)*Capacity</f>
        <v>0</v>
      </c>
      <c r="BR63" s="17">
        <f ca="1">OFFSET('Sales, Production, &amp; Other Assu'!BR$18,'Internmediate sheet'!$A62/3,0)*Capacity</f>
        <v>0</v>
      </c>
      <c r="BS63" s="17">
        <f ca="1">OFFSET('Sales, Production, &amp; Other Assu'!BS$18,'Internmediate sheet'!$A62/3,0)*Capacity</f>
        <v>0</v>
      </c>
      <c r="BT63" s="17">
        <f ca="1">OFFSET('Sales, Production, &amp; Other Assu'!BT$18,'Internmediate sheet'!$A62/3,0)*Capacity</f>
        <v>0</v>
      </c>
      <c r="BU63" s="17">
        <f ca="1">OFFSET('Sales, Production, &amp; Other Assu'!BU$18,'Internmediate sheet'!$A62/3,0)*Capacity</f>
        <v>0</v>
      </c>
      <c r="BV63" s="17">
        <f ca="1">OFFSET('Sales, Production, &amp; Other Assu'!BV$18,'Internmediate sheet'!$A62/3,0)*Capacity</f>
        <v>0</v>
      </c>
      <c r="BW63" s="17">
        <f ca="1">OFFSET('Sales, Production, &amp; Other Assu'!BW$18,'Internmediate sheet'!$A62/3,0)*Capacity</f>
        <v>0</v>
      </c>
      <c r="BX63" s="17">
        <f ca="1">OFFSET('Sales, Production, &amp; Other Assu'!BX$18,'Internmediate sheet'!$A62/3,0)*Capacity</f>
        <v>0</v>
      </c>
      <c r="BY63" s="17">
        <f ca="1">OFFSET('Sales, Production, &amp; Other Assu'!BY$18,'Internmediate sheet'!$A62/3,0)*Capacity</f>
        <v>0</v>
      </c>
      <c r="BZ63" s="17">
        <f ca="1">OFFSET('Sales, Production, &amp; Other Assu'!BZ$18,'Internmediate sheet'!$A62/3,0)*Capacity</f>
        <v>0</v>
      </c>
      <c r="CA63" s="17">
        <f ca="1">OFFSET('Sales, Production, &amp; Other Assu'!CA$18,'Internmediate sheet'!$A62/3,0)*Capacity</f>
        <v>0</v>
      </c>
      <c r="CB63" s="17">
        <f ca="1">OFFSET('Sales, Production, &amp; Other Assu'!CB$18,'Internmediate sheet'!$A62/3,0)*Capacity</f>
        <v>0</v>
      </c>
      <c r="CC63" s="430">
        <f ca="1">SUM(BQ63:CB63)</f>
        <v>0</v>
      </c>
      <c r="CD63" s="17">
        <f ca="1">OFFSET('Sales, Production, &amp; Other Assu'!CD$18,'Internmediate sheet'!$A62/3,0)*Capacity</f>
        <v>0</v>
      </c>
      <c r="CE63" s="17">
        <f ca="1">OFFSET('Sales, Production, &amp; Other Assu'!CE$18,'Internmediate sheet'!$A62/3,0)*Capacity</f>
        <v>0</v>
      </c>
      <c r="CF63" s="17">
        <f ca="1">OFFSET('Sales, Production, &amp; Other Assu'!CF$18,'Internmediate sheet'!$A62/3,0)*Capacity</f>
        <v>0</v>
      </c>
      <c r="CG63" s="17">
        <f ca="1">OFFSET('Sales, Production, &amp; Other Assu'!CG$18,'Internmediate sheet'!$A62/3,0)*Capacity</f>
        <v>0</v>
      </c>
      <c r="CH63" s="17">
        <f ca="1">OFFSET('Sales, Production, &amp; Other Assu'!CH$18,'Internmediate sheet'!$A62/3,0)*Capacity</f>
        <v>0</v>
      </c>
      <c r="CI63" s="17">
        <f ca="1">OFFSET('Sales, Production, &amp; Other Assu'!CI$18,'Internmediate sheet'!$A62/3,0)*Capacity</f>
        <v>0</v>
      </c>
      <c r="CJ63" s="17">
        <f ca="1">OFFSET('Sales, Production, &amp; Other Assu'!CJ$18,'Internmediate sheet'!$A62/3,0)*Capacity</f>
        <v>0</v>
      </c>
      <c r="CK63" s="17">
        <f ca="1">OFFSET('Sales, Production, &amp; Other Assu'!CK$18,'Internmediate sheet'!$A62/3,0)*Capacity</f>
        <v>0</v>
      </c>
      <c r="CL63" s="17">
        <f ca="1">OFFSET('Sales, Production, &amp; Other Assu'!CL$18,'Internmediate sheet'!$A62/3,0)*Capacity</f>
        <v>0</v>
      </c>
      <c r="CM63" s="17">
        <f ca="1">OFFSET('Sales, Production, &amp; Other Assu'!CM$18,'Internmediate sheet'!$A62/3,0)*Capacity</f>
        <v>0</v>
      </c>
      <c r="CN63" s="17">
        <f ca="1">OFFSET('Sales, Production, &amp; Other Assu'!CN$18,'Internmediate sheet'!$A62/3,0)*Capacity</f>
        <v>0</v>
      </c>
      <c r="CO63" s="17">
        <f ca="1">OFFSET('Sales, Production, &amp; Other Assu'!CO$18,'Internmediate sheet'!$A62/3,0)*Capacity</f>
        <v>0</v>
      </c>
      <c r="CP63" s="430">
        <f ca="1">SUM(CD63:CO63)</f>
        <v>0</v>
      </c>
    </row>
    <row r="64" spans="1:94" ht="20.100000000000001" hidden="1" customHeight="1">
      <c r="A64" s="790"/>
      <c r="B64" s="8" t="s">
        <v>610</v>
      </c>
      <c r="C64" s="8">
        <f ca="1">OFFSET('Summary. Assumptions. Inputs'!$F$46,'Internmediate sheet'!A59/3,0)</f>
        <v>0</v>
      </c>
      <c r="D64" s="8">
        <f t="shared" ref="D64:P64" ca="1" si="1615">C64</f>
        <v>0</v>
      </c>
      <c r="E64" s="8">
        <f t="shared" ca="1" si="1615"/>
        <v>0</v>
      </c>
      <c r="F64" s="8">
        <f t="shared" ca="1" si="1615"/>
        <v>0</v>
      </c>
      <c r="G64" s="8">
        <f t="shared" ca="1" si="1615"/>
        <v>0</v>
      </c>
      <c r="H64" s="8">
        <f t="shared" ca="1" si="1615"/>
        <v>0</v>
      </c>
      <c r="I64" s="8">
        <f t="shared" ca="1" si="1615"/>
        <v>0</v>
      </c>
      <c r="J64" s="8">
        <f t="shared" ca="1" si="1615"/>
        <v>0</v>
      </c>
      <c r="K64" s="8">
        <f t="shared" ca="1" si="1615"/>
        <v>0</v>
      </c>
      <c r="L64" s="8">
        <f t="shared" ca="1" si="1615"/>
        <v>0</v>
      </c>
      <c r="M64" s="8">
        <f t="shared" ca="1" si="1615"/>
        <v>0</v>
      </c>
      <c r="N64" s="8">
        <f t="shared" ca="1" si="1615"/>
        <v>0</v>
      </c>
      <c r="O64" s="8">
        <f t="shared" ca="1" si="1615"/>
        <v>0</v>
      </c>
      <c r="P64" s="431">
        <f t="shared" ca="1" si="1615"/>
        <v>0</v>
      </c>
      <c r="Q64" s="8">
        <f t="shared" ref="Q64" ca="1" si="1616">P64</f>
        <v>0</v>
      </c>
      <c r="R64" s="8">
        <f t="shared" ref="R64" ca="1" si="1617">Q64</f>
        <v>0</v>
      </c>
      <c r="S64" s="8">
        <f t="shared" ref="S64" ca="1" si="1618">R64</f>
        <v>0</v>
      </c>
      <c r="T64" s="8">
        <f t="shared" ref="T64" ca="1" si="1619">S64</f>
        <v>0</v>
      </c>
      <c r="U64" s="8">
        <f t="shared" ref="U64" ca="1" si="1620">T64</f>
        <v>0</v>
      </c>
      <c r="V64" s="8">
        <f t="shared" ref="V64" ca="1" si="1621">U64</f>
        <v>0</v>
      </c>
      <c r="W64" s="8">
        <f t="shared" ref="W64" ca="1" si="1622">V64</f>
        <v>0</v>
      </c>
      <c r="X64" s="8">
        <f t="shared" ref="X64" ca="1" si="1623">W64</f>
        <v>0</v>
      </c>
      <c r="Y64" s="8">
        <f t="shared" ref="Y64" ca="1" si="1624">X64</f>
        <v>0</v>
      </c>
      <c r="Z64" s="8">
        <f t="shared" ref="Z64" ca="1" si="1625">Y64</f>
        <v>0</v>
      </c>
      <c r="AA64" s="8">
        <f t="shared" ref="AA64" ca="1" si="1626">Z64</f>
        <v>0</v>
      </c>
      <c r="AB64" s="8">
        <f t="shared" ref="AB64" ca="1" si="1627">AA64</f>
        <v>0</v>
      </c>
      <c r="AC64" s="431">
        <f t="shared" ref="AC64" ca="1" si="1628">AB64</f>
        <v>0</v>
      </c>
      <c r="AD64" s="8">
        <f t="shared" ref="AD64" ca="1" si="1629">AC64</f>
        <v>0</v>
      </c>
      <c r="AE64" s="8">
        <f t="shared" ref="AE64" ca="1" si="1630">AD64</f>
        <v>0</v>
      </c>
      <c r="AF64" s="8">
        <f t="shared" ref="AF64" ca="1" si="1631">AE64</f>
        <v>0</v>
      </c>
      <c r="AG64" s="8">
        <f t="shared" ref="AG64" ca="1" si="1632">AF64</f>
        <v>0</v>
      </c>
      <c r="AH64" s="8">
        <f t="shared" ref="AH64" ca="1" si="1633">AG64</f>
        <v>0</v>
      </c>
      <c r="AI64" s="8">
        <f t="shared" ref="AI64" ca="1" si="1634">AH64</f>
        <v>0</v>
      </c>
      <c r="AJ64" s="8">
        <f t="shared" ref="AJ64" ca="1" si="1635">AI64</f>
        <v>0</v>
      </c>
      <c r="AK64" s="8">
        <f t="shared" ref="AK64" ca="1" si="1636">AJ64</f>
        <v>0</v>
      </c>
      <c r="AL64" s="8">
        <f t="shared" ref="AL64" ca="1" si="1637">AK64</f>
        <v>0</v>
      </c>
      <c r="AM64" s="8">
        <f t="shared" ref="AM64" ca="1" si="1638">AL64</f>
        <v>0</v>
      </c>
      <c r="AN64" s="8">
        <f t="shared" ref="AN64" ca="1" si="1639">AM64</f>
        <v>0</v>
      </c>
      <c r="AO64" s="8">
        <f t="shared" ref="AO64" ca="1" si="1640">AN64</f>
        <v>0</v>
      </c>
      <c r="AP64" s="431">
        <f t="shared" ref="AP64" ca="1" si="1641">AO64</f>
        <v>0</v>
      </c>
      <c r="AQ64" s="8">
        <f ca="1">AP64</f>
        <v>0</v>
      </c>
      <c r="AR64" s="8">
        <f t="shared" ref="AR64" ca="1" si="1642">AQ64</f>
        <v>0</v>
      </c>
      <c r="AS64" s="8">
        <f t="shared" ref="AS64" ca="1" si="1643">AR64</f>
        <v>0</v>
      </c>
      <c r="AT64" s="8">
        <f t="shared" ref="AT64" ca="1" si="1644">AS64</f>
        <v>0</v>
      </c>
      <c r="AU64" s="8">
        <f t="shared" ref="AU64" ca="1" si="1645">AT64</f>
        <v>0</v>
      </c>
      <c r="AV64" s="8">
        <f t="shared" ref="AV64" ca="1" si="1646">AU64</f>
        <v>0</v>
      </c>
      <c r="AW64" s="8">
        <f t="shared" ref="AW64" ca="1" si="1647">AV64</f>
        <v>0</v>
      </c>
      <c r="AX64" s="8">
        <f t="shared" ref="AX64" ca="1" si="1648">AW64</f>
        <v>0</v>
      </c>
      <c r="AY64" s="8">
        <f t="shared" ref="AY64" ca="1" si="1649">AX64</f>
        <v>0</v>
      </c>
      <c r="AZ64" s="8">
        <f t="shared" ref="AZ64" ca="1" si="1650">AY64</f>
        <v>0</v>
      </c>
      <c r="BA64" s="8">
        <f t="shared" ref="BA64" ca="1" si="1651">AZ64</f>
        <v>0</v>
      </c>
      <c r="BB64" s="8">
        <f t="shared" ref="BB64" ca="1" si="1652">BA64</f>
        <v>0</v>
      </c>
      <c r="BC64" s="431">
        <f t="shared" ref="BC64" ca="1" si="1653">BB64</f>
        <v>0</v>
      </c>
      <c r="BD64" s="8">
        <f t="shared" ref="BD64" ca="1" si="1654">BC64</f>
        <v>0</v>
      </c>
      <c r="BE64" s="8">
        <f t="shared" ref="BE64" ca="1" si="1655">BD64</f>
        <v>0</v>
      </c>
      <c r="BF64" s="8">
        <f t="shared" ref="BF64" ca="1" si="1656">BE64</f>
        <v>0</v>
      </c>
      <c r="BG64" s="8">
        <f t="shared" ref="BG64" ca="1" si="1657">BF64</f>
        <v>0</v>
      </c>
      <c r="BH64" s="8">
        <f t="shared" ref="BH64" ca="1" si="1658">BG64</f>
        <v>0</v>
      </c>
      <c r="BI64" s="8">
        <f t="shared" ref="BI64" ca="1" si="1659">BH64</f>
        <v>0</v>
      </c>
      <c r="BJ64" s="8">
        <f t="shared" ref="BJ64" ca="1" si="1660">BI64</f>
        <v>0</v>
      </c>
      <c r="BK64" s="8">
        <f t="shared" ref="BK64" ca="1" si="1661">BJ64</f>
        <v>0</v>
      </c>
      <c r="BL64" s="8">
        <f t="shared" ref="BL64" ca="1" si="1662">BK64</f>
        <v>0</v>
      </c>
      <c r="BM64" s="8">
        <f t="shared" ref="BM64" ca="1" si="1663">BL64</f>
        <v>0</v>
      </c>
      <c r="BN64" s="8">
        <f t="shared" ref="BN64" ca="1" si="1664">BM64</f>
        <v>0</v>
      </c>
      <c r="BO64" s="8">
        <f t="shared" ref="BO64" ca="1" si="1665">BN64</f>
        <v>0</v>
      </c>
      <c r="BP64" s="431">
        <f t="shared" ref="BP64" ca="1" si="1666">BO64</f>
        <v>0</v>
      </c>
      <c r="BQ64" s="8">
        <f t="shared" ref="BQ64" ca="1" si="1667">BP64</f>
        <v>0</v>
      </c>
      <c r="BR64" s="8">
        <f t="shared" ref="BR64" ca="1" si="1668">BQ64</f>
        <v>0</v>
      </c>
      <c r="BS64" s="8">
        <f t="shared" ref="BS64" ca="1" si="1669">BR64</f>
        <v>0</v>
      </c>
      <c r="BT64" s="8">
        <f t="shared" ref="BT64" ca="1" si="1670">BS64</f>
        <v>0</v>
      </c>
      <c r="BU64" s="8">
        <f t="shared" ref="BU64" ca="1" si="1671">BT64</f>
        <v>0</v>
      </c>
      <c r="BV64" s="8">
        <f t="shared" ref="BV64" ca="1" si="1672">BU64</f>
        <v>0</v>
      </c>
      <c r="BW64" s="8">
        <f t="shared" ref="BW64" ca="1" si="1673">BV64</f>
        <v>0</v>
      </c>
      <c r="BX64" s="8">
        <f t="shared" ref="BX64" ca="1" si="1674">BW64</f>
        <v>0</v>
      </c>
      <c r="BY64" s="8">
        <f t="shared" ref="BY64" ca="1" si="1675">BX64</f>
        <v>0</v>
      </c>
      <c r="BZ64" s="8">
        <f t="shared" ref="BZ64" ca="1" si="1676">BY64</f>
        <v>0</v>
      </c>
      <c r="CA64" s="8">
        <f t="shared" ref="CA64" ca="1" si="1677">BZ64</f>
        <v>0</v>
      </c>
      <c r="CB64" s="8">
        <f t="shared" ref="CB64" ca="1" si="1678">CA64</f>
        <v>0</v>
      </c>
      <c r="CC64" s="431">
        <f t="shared" ref="CC64" ca="1" si="1679">CB64</f>
        <v>0</v>
      </c>
      <c r="CD64" s="8">
        <f t="shared" ref="CD64" ca="1" si="1680">CC64</f>
        <v>0</v>
      </c>
      <c r="CE64" s="8">
        <f t="shared" ref="CE64" ca="1" si="1681">CD64</f>
        <v>0</v>
      </c>
      <c r="CF64" s="8">
        <f t="shared" ref="CF64" ca="1" si="1682">CE64</f>
        <v>0</v>
      </c>
      <c r="CG64" s="8">
        <f t="shared" ref="CG64" ca="1" si="1683">CF64</f>
        <v>0</v>
      </c>
      <c r="CH64" s="8">
        <f t="shared" ref="CH64" ca="1" si="1684">CG64</f>
        <v>0</v>
      </c>
      <c r="CI64" s="8">
        <f t="shared" ref="CI64" ca="1" si="1685">CH64</f>
        <v>0</v>
      </c>
      <c r="CJ64" s="8">
        <f t="shared" ref="CJ64" ca="1" si="1686">CI64</f>
        <v>0</v>
      </c>
      <c r="CK64" s="8">
        <f t="shared" ref="CK64" ca="1" si="1687">CJ64</f>
        <v>0</v>
      </c>
      <c r="CL64" s="8">
        <f t="shared" ref="CL64" ca="1" si="1688">CK64</f>
        <v>0</v>
      </c>
      <c r="CM64" s="8">
        <f t="shared" ref="CM64" ca="1" si="1689">CL64</f>
        <v>0</v>
      </c>
      <c r="CN64" s="8">
        <f t="shared" ref="CN64" ca="1" si="1690">CM64</f>
        <v>0</v>
      </c>
      <c r="CO64" s="8">
        <f t="shared" ref="CO64" ca="1" si="1691">CN64</f>
        <v>0</v>
      </c>
      <c r="CP64" s="431">
        <f t="shared" ref="CP64" ca="1" si="1692">CO64</f>
        <v>0</v>
      </c>
    </row>
    <row r="65" spans="1:94" ht="20.100000000000001" hidden="1" customHeight="1">
      <c r="A65" s="791"/>
      <c r="B65" s="248" t="s">
        <v>611</v>
      </c>
      <c r="C65" s="249">
        <f t="shared" ref="C65:O65" ca="1" si="1693">C63*C64</f>
        <v>0</v>
      </c>
      <c r="D65" s="248">
        <f t="shared" ca="1" si="1693"/>
        <v>0</v>
      </c>
      <c r="E65" s="248">
        <f t="shared" ca="1" si="1693"/>
        <v>0</v>
      </c>
      <c r="F65" s="248">
        <f t="shared" ca="1" si="1693"/>
        <v>0</v>
      </c>
      <c r="G65" s="248">
        <f t="shared" ca="1" si="1693"/>
        <v>0</v>
      </c>
      <c r="H65" s="248">
        <f t="shared" ca="1" si="1693"/>
        <v>0</v>
      </c>
      <c r="I65" s="248">
        <f t="shared" ca="1" si="1693"/>
        <v>0</v>
      </c>
      <c r="J65" s="248">
        <f t="shared" ca="1" si="1693"/>
        <v>0</v>
      </c>
      <c r="K65" s="248">
        <f t="shared" ca="1" si="1693"/>
        <v>0</v>
      </c>
      <c r="L65" s="248">
        <f t="shared" ca="1" si="1693"/>
        <v>0</v>
      </c>
      <c r="M65" s="248">
        <f t="shared" ca="1" si="1693"/>
        <v>0</v>
      </c>
      <c r="N65" s="248">
        <f t="shared" ca="1" si="1693"/>
        <v>0</v>
      </c>
      <c r="O65" s="248">
        <f t="shared" ca="1" si="1693"/>
        <v>0</v>
      </c>
      <c r="P65" s="432">
        <f ca="1">SUM(D65:O65)</f>
        <v>0</v>
      </c>
      <c r="Q65" s="248">
        <f t="shared" ref="Q65:AB65" ca="1" si="1694">Q63*Q64</f>
        <v>0</v>
      </c>
      <c r="R65" s="248">
        <f t="shared" ca="1" si="1694"/>
        <v>0</v>
      </c>
      <c r="S65" s="248">
        <f t="shared" ca="1" si="1694"/>
        <v>0</v>
      </c>
      <c r="T65" s="248">
        <f t="shared" ca="1" si="1694"/>
        <v>0</v>
      </c>
      <c r="U65" s="248">
        <f t="shared" ca="1" si="1694"/>
        <v>0</v>
      </c>
      <c r="V65" s="248">
        <f t="shared" ca="1" si="1694"/>
        <v>0</v>
      </c>
      <c r="W65" s="248">
        <f t="shared" ca="1" si="1694"/>
        <v>0</v>
      </c>
      <c r="X65" s="248">
        <f t="shared" ca="1" si="1694"/>
        <v>0</v>
      </c>
      <c r="Y65" s="248">
        <f t="shared" ca="1" si="1694"/>
        <v>0</v>
      </c>
      <c r="Z65" s="248">
        <f t="shared" ca="1" si="1694"/>
        <v>0</v>
      </c>
      <c r="AA65" s="248">
        <f t="shared" ca="1" si="1694"/>
        <v>0</v>
      </c>
      <c r="AB65" s="248">
        <f t="shared" ca="1" si="1694"/>
        <v>0</v>
      </c>
      <c r="AC65" s="432">
        <f ca="1">SUM(Q65:AB65)</f>
        <v>0</v>
      </c>
      <c r="AD65" s="248">
        <f t="shared" ref="AD65:AO65" ca="1" si="1695">AD63*AD64</f>
        <v>0</v>
      </c>
      <c r="AE65" s="248">
        <f t="shared" ca="1" si="1695"/>
        <v>0</v>
      </c>
      <c r="AF65" s="248">
        <f t="shared" ca="1" si="1695"/>
        <v>0</v>
      </c>
      <c r="AG65" s="248">
        <f t="shared" ca="1" si="1695"/>
        <v>0</v>
      </c>
      <c r="AH65" s="248">
        <f t="shared" ca="1" si="1695"/>
        <v>0</v>
      </c>
      <c r="AI65" s="248">
        <f t="shared" ca="1" si="1695"/>
        <v>0</v>
      </c>
      <c r="AJ65" s="248">
        <f t="shared" ca="1" si="1695"/>
        <v>0</v>
      </c>
      <c r="AK65" s="248">
        <f t="shared" ca="1" si="1695"/>
        <v>0</v>
      </c>
      <c r="AL65" s="248">
        <f t="shared" ca="1" si="1695"/>
        <v>0</v>
      </c>
      <c r="AM65" s="248">
        <f t="shared" ca="1" si="1695"/>
        <v>0</v>
      </c>
      <c r="AN65" s="248">
        <f t="shared" ca="1" si="1695"/>
        <v>0</v>
      </c>
      <c r="AO65" s="248">
        <f t="shared" ca="1" si="1695"/>
        <v>0</v>
      </c>
      <c r="AP65" s="432">
        <f ca="1">SUM(AD65:AO65)</f>
        <v>0</v>
      </c>
      <c r="AQ65" s="248">
        <f t="shared" ref="AQ65:BB65" ca="1" si="1696">AQ63*AQ64</f>
        <v>0</v>
      </c>
      <c r="AR65" s="248">
        <f t="shared" ca="1" si="1696"/>
        <v>0</v>
      </c>
      <c r="AS65" s="248">
        <f t="shared" ca="1" si="1696"/>
        <v>0</v>
      </c>
      <c r="AT65" s="248">
        <f t="shared" ca="1" si="1696"/>
        <v>0</v>
      </c>
      <c r="AU65" s="248">
        <f t="shared" ca="1" si="1696"/>
        <v>0</v>
      </c>
      <c r="AV65" s="248">
        <f t="shared" ca="1" si="1696"/>
        <v>0</v>
      </c>
      <c r="AW65" s="248">
        <f t="shared" ca="1" si="1696"/>
        <v>0</v>
      </c>
      <c r="AX65" s="248">
        <f t="shared" ca="1" si="1696"/>
        <v>0</v>
      </c>
      <c r="AY65" s="248">
        <f t="shared" ca="1" si="1696"/>
        <v>0</v>
      </c>
      <c r="AZ65" s="248">
        <f t="shared" ca="1" si="1696"/>
        <v>0</v>
      </c>
      <c r="BA65" s="248">
        <f t="shared" ca="1" si="1696"/>
        <v>0</v>
      </c>
      <c r="BB65" s="248">
        <f t="shared" ca="1" si="1696"/>
        <v>0</v>
      </c>
      <c r="BC65" s="432">
        <f ca="1">SUM(AQ65:BB65)</f>
        <v>0</v>
      </c>
      <c r="BD65" s="248">
        <f t="shared" ref="BD65:BO65" ca="1" si="1697">BD63*BD64</f>
        <v>0</v>
      </c>
      <c r="BE65" s="248">
        <f t="shared" ca="1" si="1697"/>
        <v>0</v>
      </c>
      <c r="BF65" s="248">
        <f t="shared" ca="1" si="1697"/>
        <v>0</v>
      </c>
      <c r="BG65" s="248">
        <f t="shared" ca="1" si="1697"/>
        <v>0</v>
      </c>
      <c r="BH65" s="248">
        <f t="shared" ca="1" si="1697"/>
        <v>0</v>
      </c>
      <c r="BI65" s="248">
        <f t="shared" ca="1" si="1697"/>
        <v>0</v>
      </c>
      <c r="BJ65" s="248">
        <f t="shared" ca="1" si="1697"/>
        <v>0</v>
      </c>
      <c r="BK65" s="248">
        <f t="shared" ca="1" si="1697"/>
        <v>0</v>
      </c>
      <c r="BL65" s="248">
        <f t="shared" ca="1" si="1697"/>
        <v>0</v>
      </c>
      <c r="BM65" s="248">
        <f t="shared" ca="1" si="1697"/>
        <v>0</v>
      </c>
      <c r="BN65" s="248">
        <f t="shared" ca="1" si="1697"/>
        <v>0</v>
      </c>
      <c r="BO65" s="248">
        <f t="shared" ca="1" si="1697"/>
        <v>0</v>
      </c>
      <c r="BP65" s="432">
        <f ca="1">SUM(BD65:BO65)</f>
        <v>0</v>
      </c>
      <c r="BQ65" s="248">
        <f t="shared" ref="BQ65:CB65" ca="1" si="1698">BQ63*BQ64</f>
        <v>0</v>
      </c>
      <c r="BR65" s="248">
        <f t="shared" ca="1" si="1698"/>
        <v>0</v>
      </c>
      <c r="BS65" s="248">
        <f t="shared" ca="1" si="1698"/>
        <v>0</v>
      </c>
      <c r="BT65" s="248">
        <f t="shared" ca="1" si="1698"/>
        <v>0</v>
      </c>
      <c r="BU65" s="248">
        <f t="shared" ca="1" si="1698"/>
        <v>0</v>
      </c>
      <c r="BV65" s="248">
        <f t="shared" ca="1" si="1698"/>
        <v>0</v>
      </c>
      <c r="BW65" s="248">
        <f t="shared" ca="1" si="1698"/>
        <v>0</v>
      </c>
      <c r="BX65" s="248">
        <f t="shared" ca="1" si="1698"/>
        <v>0</v>
      </c>
      <c r="BY65" s="248">
        <f t="shared" ca="1" si="1698"/>
        <v>0</v>
      </c>
      <c r="BZ65" s="248">
        <f t="shared" ca="1" si="1698"/>
        <v>0</v>
      </c>
      <c r="CA65" s="248">
        <f t="shared" ca="1" si="1698"/>
        <v>0</v>
      </c>
      <c r="CB65" s="248">
        <f t="shared" ca="1" si="1698"/>
        <v>0</v>
      </c>
      <c r="CC65" s="432">
        <f ca="1">SUM(BQ65:CB65)</f>
        <v>0</v>
      </c>
      <c r="CD65" s="248">
        <f t="shared" ref="CD65:CO65" ca="1" si="1699">CD63*CD64</f>
        <v>0</v>
      </c>
      <c r="CE65" s="248">
        <f t="shared" ca="1" si="1699"/>
        <v>0</v>
      </c>
      <c r="CF65" s="248">
        <f t="shared" ca="1" si="1699"/>
        <v>0</v>
      </c>
      <c r="CG65" s="248">
        <f t="shared" ca="1" si="1699"/>
        <v>0</v>
      </c>
      <c r="CH65" s="248">
        <f t="shared" ca="1" si="1699"/>
        <v>0</v>
      </c>
      <c r="CI65" s="248">
        <f t="shared" ca="1" si="1699"/>
        <v>0</v>
      </c>
      <c r="CJ65" s="248">
        <f t="shared" ca="1" si="1699"/>
        <v>0</v>
      </c>
      <c r="CK65" s="248">
        <f t="shared" ca="1" si="1699"/>
        <v>0</v>
      </c>
      <c r="CL65" s="248">
        <f t="shared" ca="1" si="1699"/>
        <v>0</v>
      </c>
      <c r="CM65" s="248">
        <f t="shared" ca="1" si="1699"/>
        <v>0</v>
      </c>
      <c r="CN65" s="248">
        <f t="shared" ca="1" si="1699"/>
        <v>0</v>
      </c>
      <c r="CO65" s="248">
        <f t="shared" ca="1" si="1699"/>
        <v>0</v>
      </c>
      <c r="CP65" s="432">
        <f ca="1">SUM(CD65:CO65)</f>
        <v>0</v>
      </c>
    </row>
    <row r="66" spans="1:94" ht="20.100000000000001" hidden="1" customHeight="1">
      <c r="A66" s="789">
        <f ca="1">OFFSET('Summary. Assumptions. Inputs'!$A$45,'Internmediate sheet'!A65/3,0)</f>
        <v>0</v>
      </c>
      <c r="B66" s="17" t="s">
        <v>609</v>
      </c>
      <c r="C66" s="18"/>
      <c r="D66" s="17">
        <f ca="1">OFFSET('Sales, Production, &amp; Other Assu'!D$18,'Internmediate sheet'!$A65/3,0)*Capacity</f>
        <v>0</v>
      </c>
      <c r="E66" s="17">
        <f ca="1">OFFSET('Sales, Production, &amp; Other Assu'!E$18,'Internmediate sheet'!$A65/3,0)*Capacity</f>
        <v>0</v>
      </c>
      <c r="F66" s="17">
        <f ca="1">OFFSET('Sales, Production, &amp; Other Assu'!F$18,'Internmediate sheet'!$A65/3,0)*Capacity</f>
        <v>0</v>
      </c>
      <c r="G66" s="17">
        <f ca="1">OFFSET('Sales, Production, &amp; Other Assu'!G$18,'Internmediate sheet'!$A65/3,0)*Capacity</f>
        <v>0</v>
      </c>
      <c r="H66" s="17">
        <f ca="1">OFFSET('Sales, Production, &amp; Other Assu'!H$18,'Internmediate sheet'!$A65/3,0)*Capacity</f>
        <v>0</v>
      </c>
      <c r="I66" s="17">
        <f ca="1">OFFSET('Sales, Production, &amp; Other Assu'!I$18,'Internmediate sheet'!$A65/3,0)*Capacity</f>
        <v>0</v>
      </c>
      <c r="J66" s="17">
        <f ca="1">OFFSET('Sales, Production, &amp; Other Assu'!J$18,'Internmediate sheet'!$A65/3,0)*Capacity</f>
        <v>0</v>
      </c>
      <c r="K66" s="17">
        <f ca="1">OFFSET('Sales, Production, &amp; Other Assu'!K$18,'Internmediate sheet'!$A65/3,0)*Capacity</f>
        <v>0</v>
      </c>
      <c r="L66" s="17">
        <f ca="1">OFFSET('Sales, Production, &amp; Other Assu'!L$18,'Internmediate sheet'!$A65/3,0)*Capacity</f>
        <v>0</v>
      </c>
      <c r="M66" s="17">
        <f ca="1">OFFSET('Sales, Production, &amp; Other Assu'!M$18,'Internmediate sheet'!$A65/3,0)*Capacity</f>
        <v>0</v>
      </c>
      <c r="N66" s="17">
        <f ca="1">OFFSET('Sales, Production, &amp; Other Assu'!N$18,'Internmediate sheet'!$A65/3,0)*Capacity</f>
        <v>0</v>
      </c>
      <c r="O66" s="17">
        <f ca="1">OFFSET('Sales, Production, &amp; Other Assu'!O$18,'Internmediate sheet'!$A65/3,0)*Capacity</f>
        <v>0</v>
      </c>
      <c r="P66" s="430">
        <f ca="1">SUM(D66:O66)</f>
        <v>0</v>
      </c>
      <c r="Q66" s="17">
        <f ca="1">OFFSET('Sales, Production, &amp; Other Assu'!Q$18,'Internmediate sheet'!$A65/3,0)*Capacity</f>
        <v>0</v>
      </c>
      <c r="R66" s="17">
        <f ca="1">OFFSET('Sales, Production, &amp; Other Assu'!R$18,'Internmediate sheet'!$A65/3,0)*Capacity</f>
        <v>0</v>
      </c>
      <c r="S66" s="17">
        <f ca="1">OFFSET('Sales, Production, &amp; Other Assu'!S$18,'Internmediate sheet'!$A65/3,0)*Capacity</f>
        <v>0</v>
      </c>
      <c r="T66" s="17">
        <f ca="1">OFFSET('Sales, Production, &amp; Other Assu'!T$18,'Internmediate sheet'!$A65/3,0)*Capacity</f>
        <v>0</v>
      </c>
      <c r="U66" s="17">
        <f ca="1">OFFSET('Sales, Production, &amp; Other Assu'!U$18,'Internmediate sheet'!$A65/3,0)*Capacity</f>
        <v>0</v>
      </c>
      <c r="V66" s="17">
        <f ca="1">OFFSET('Sales, Production, &amp; Other Assu'!V$18,'Internmediate sheet'!$A65/3,0)*Capacity</f>
        <v>0</v>
      </c>
      <c r="W66" s="17">
        <f ca="1">OFFSET('Sales, Production, &amp; Other Assu'!W$18,'Internmediate sheet'!$A65/3,0)*Capacity</f>
        <v>0</v>
      </c>
      <c r="X66" s="17">
        <f ca="1">OFFSET('Sales, Production, &amp; Other Assu'!X$18,'Internmediate sheet'!$A65/3,0)*Capacity</f>
        <v>0</v>
      </c>
      <c r="Y66" s="17">
        <f ca="1">OFFSET('Sales, Production, &amp; Other Assu'!Y$18,'Internmediate sheet'!$A65/3,0)*Capacity</f>
        <v>0</v>
      </c>
      <c r="Z66" s="17">
        <f ca="1">OFFSET('Sales, Production, &amp; Other Assu'!Z$18,'Internmediate sheet'!$A65/3,0)*Capacity</f>
        <v>0</v>
      </c>
      <c r="AA66" s="17">
        <f ca="1">OFFSET('Sales, Production, &amp; Other Assu'!AA$18,'Internmediate sheet'!$A65/3,0)*Capacity</f>
        <v>0</v>
      </c>
      <c r="AB66" s="17">
        <f ca="1">OFFSET('Sales, Production, &amp; Other Assu'!AB$18,'Internmediate sheet'!$A65/3,0)*Capacity</f>
        <v>0</v>
      </c>
      <c r="AC66" s="430">
        <f ca="1">SUM(Q66:AB66)</f>
        <v>0</v>
      </c>
      <c r="AD66" s="17">
        <f ca="1">OFFSET('Sales, Production, &amp; Other Assu'!AD$18,'Internmediate sheet'!$A65/3,0)*Capacity</f>
        <v>0</v>
      </c>
      <c r="AE66" s="17">
        <f ca="1">OFFSET('Sales, Production, &amp; Other Assu'!AE$18,'Internmediate sheet'!$A65/3,0)*Capacity</f>
        <v>0</v>
      </c>
      <c r="AF66" s="17">
        <f ca="1">OFFSET('Sales, Production, &amp; Other Assu'!AF$18,'Internmediate sheet'!$A65/3,0)*Capacity</f>
        <v>0</v>
      </c>
      <c r="AG66" s="17">
        <f ca="1">OFFSET('Sales, Production, &amp; Other Assu'!AG$18,'Internmediate sheet'!$A65/3,0)*Capacity</f>
        <v>0</v>
      </c>
      <c r="AH66" s="17">
        <f ca="1">OFFSET('Sales, Production, &amp; Other Assu'!AH$18,'Internmediate sheet'!$A65/3,0)*Capacity</f>
        <v>0</v>
      </c>
      <c r="AI66" s="17">
        <f ca="1">OFFSET('Sales, Production, &amp; Other Assu'!AI$18,'Internmediate sheet'!$A65/3,0)*Capacity</f>
        <v>0</v>
      </c>
      <c r="AJ66" s="17">
        <f ca="1">OFFSET('Sales, Production, &amp; Other Assu'!AJ$18,'Internmediate sheet'!$A65/3,0)*Capacity</f>
        <v>0</v>
      </c>
      <c r="AK66" s="17">
        <f ca="1">OFFSET('Sales, Production, &amp; Other Assu'!AK$18,'Internmediate sheet'!$A65/3,0)*Capacity</f>
        <v>0</v>
      </c>
      <c r="AL66" s="17">
        <f ca="1">OFFSET('Sales, Production, &amp; Other Assu'!AL$18,'Internmediate sheet'!$A65/3,0)*Capacity</f>
        <v>0</v>
      </c>
      <c r="AM66" s="17">
        <f ca="1">OFFSET('Sales, Production, &amp; Other Assu'!AM$18,'Internmediate sheet'!$A65/3,0)*Capacity</f>
        <v>0</v>
      </c>
      <c r="AN66" s="17">
        <f ca="1">OFFSET('Sales, Production, &amp; Other Assu'!AN$18,'Internmediate sheet'!$A65/3,0)*Capacity</f>
        <v>0</v>
      </c>
      <c r="AO66" s="17">
        <f ca="1">OFFSET('Sales, Production, &amp; Other Assu'!AO$18,'Internmediate sheet'!$A65/3,0)*Capacity</f>
        <v>0</v>
      </c>
      <c r="AP66" s="430">
        <f ca="1">SUM(AD66:AO66)</f>
        <v>0</v>
      </c>
      <c r="AQ66" s="17">
        <f ca="1">OFFSET('Sales, Production, &amp; Other Assu'!AQ$18,'Internmediate sheet'!$A65/3,0)*Capacity</f>
        <v>0</v>
      </c>
      <c r="AR66" s="17">
        <f ca="1">OFFSET('Sales, Production, &amp; Other Assu'!AR$18,'Internmediate sheet'!$A65/3,0)*Capacity</f>
        <v>0</v>
      </c>
      <c r="AS66" s="17">
        <f ca="1">OFFSET('Sales, Production, &amp; Other Assu'!AS$18,'Internmediate sheet'!$A65/3,0)*Capacity</f>
        <v>0</v>
      </c>
      <c r="AT66" s="17">
        <f ca="1">OFFSET('Sales, Production, &amp; Other Assu'!AT$18,'Internmediate sheet'!$A65/3,0)*Capacity</f>
        <v>0</v>
      </c>
      <c r="AU66" s="17">
        <f ca="1">OFFSET('Sales, Production, &amp; Other Assu'!AU$18,'Internmediate sheet'!$A65/3,0)*Capacity</f>
        <v>0</v>
      </c>
      <c r="AV66" s="17">
        <f ca="1">OFFSET('Sales, Production, &amp; Other Assu'!AV$18,'Internmediate sheet'!$A65/3,0)*Capacity</f>
        <v>0</v>
      </c>
      <c r="AW66" s="17">
        <f ca="1">OFFSET('Sales, Production, &amp; Other Assu'!AW$18,'Internmediate sheet'!$A65/3,0)*Capacity</f>
        <v>0</v>
      </c>
      <c r="AX66" s="17">
        <f ca="1">OFFSET('Sales, Production, &amp; Other Assu'!AX$18,'Internmediate sheet'!$A65/3,0)*Capacity</f>
        <v>0</v>
      </c>
      <c r="AY66" s="17">
        <f ca="1">OFFSET('Sales, Production, &amp; Other Assu'!AY$18,'Internmediate sheet'!$A65/3,0)*Capacity</f>
        <v>0</v>
      </c>
      <c r="AZ66" s="17">
        <f ca="1">OFFSET('Sales, Production, &amp; Other Assu'!AZ$18,'Internmediate sheet'!$A65/3,0)*Capacity</f>
        <v>0</v>
      </c>
      <c r="BA66" s="17">
        <f ca="1">OFFSET('Sales, Production, &amp; Other Assu'!BA$18,'Internmediate sheet'!$A65/3,0)*Capacity</f>
        <v>0</v>
      </c>
      <c r="BB66" s="17">
        <f ca="1">OFFSET('Sales, Production, &amp; Other Assu'!BB$18,'Internmediate sheet'!$A65/3,0)*Capacity</f>
        <v>0</v>
      </c>
      <c r="BC66" s="430">
        <f ca="1">SUM(AQ66:BB66)</f>
        <v>0</v>
      </c>
      <c r="BD66" s="17">
        <f ca="1">OFFSET('Sales, Production, &amp; Other Assu'!BD$18,'Internmediate sheet'!$A65/3,0)*Capacity</f>
        <v>0</v>
      </c>
      <c r="BE66" s="17">
        <f ca="1">OFFSET('Sales, Production, &amp; Other Assu'!BE$18,'Internmediate sheet'!$A65/3,0)*Capacity</f>
        <v>0</v>
      </c>
      <c r="BF66" s="17">
        <f ca="1">OFFSET('Sales, Production, &amp; Other Assu'!BF$18,'Internmediate sheet'!$A65/3,0)*Capacity</f>
        <v>0</v>
      </c>
      <c r="BG66" s="17">
        <f ca="1">OFFSET('Sales, Production, &amp; Other Assu'!BG$18,'Internmediate sheet'!$A65/3,0)*Capacity</f>
        <v>0</v>
      </c>
      <c r="BH66" s="17">
        <f ca="1">OFFSET('Sales, Production, &amp; Other Assu'!BH$18,'Internmediate sheet'!$A65/3,0)*Capacity</f>
        <v>0</v>
      </c>
      <c r="BI66" s="17">
        <f ca="1">OFFSET('Sales, Production, &amp; Other Assu'!BI$18,'Internmediate sheet'!$A65/3,0)*Capacity</f>
        <v>0</v>
      </c>
      <c r="BJ66" s="17">
        <f ca="1">OFFSET('Sales, Production, &amp; Other Assu'!BJ$18,'Internmediate sheet'!$A65/3,0)*Capacity</f>
        <v>0</v>
      </c>
      <c r="BK66" s="17">
        <f ca="1">OFFSET('Sales, Production, &amp; Other Assu'!BK$18,'Internmediate sheet'!$A65/3,0)*Capacity</f>
        <v>0</v>
      </c>
      <c r="BL66" s="17">
        <f ca="1">OFFSET('Sales, Production, &amp; Other Assu'!BL$18,'Internmediate sheet'!$A65/3,0)*Capacity</f>
        <v>0</v>
      </c>
      <c r="BM66" s="17">
        <f ca="1">OFFSET('Sales, Production, &amp; Other Assu'!BM$18,'Internmediate sheet'!$A65/3,0)*Capacity</f>
        <v>0</v>
      </c>
      <c r="BN66" s="17">
        <f ca="1">OFFSET('Sales, Production, &amp; Other Assu'!BN$18,'Internmediate sheet'!$A65/3,0)*Capacity</f>
        <v>0</v>
      </c>
      <c r="BO66" s="17">
        <f ca="1">OFFSET('Sales, Production, &amp; Other Assu'!BO$18,'Internmediate sheet'!$A65/3,0)*Capacity</f>
        <v>0</v>
      </c>
      <c r="BP66" s="430">
        <f ca="1">SUM(BD66:BO66)</f>
        <v>0</v>
      </c>
      <c r="BQ66" s="17">
        <f ca="1">OFFSET('Sales, Production, &amp; Other Assu'!BQ$18,'Internmediate sheet'!$A65/3,0)*Capacity</f>
        <v>0</v>
      </c>
      <c r="BR66" s="17">
        <f ca="1">OFFSET('Sales, Production, &amp; Other Assu'!BR$18,'Internmediate sheet'!$A65/3,0)*Capacity</f>
        <v>0</v>
      </c>
      <c r="BS66" s="17">
        <f ca="1">OFFSET('Sales, Production, &amp; Other Assu'!BS$18,'Internmediate sheet'!$A65/3,0)*Capacity</f>
        <v>0</v>
      </c>
      <c r="BT66" s="17">
        <f ca="1">OFFSET('Sales, Production, &amp; Other Assu'!BT$18,'Internmediate sheet'!$A65/3,0)*Capacity</f>
        <v>0</v>
      </c>
      <c r="BU66" s="17">
        <f ca="1">OFFSET('Sales, Production, &amp; Other Assu'!BU$18,'Internmediate sheet'!$A65/3,0)*Capacity</f>
        <v>0</v>
      </c>
      <c r="BV66" s="17">
        <f ca="1">OFFSET('Sales, Production, &amp; Other Assu'!BV$18,'Internmediate sheet'!$A65/3,0)*Capacity</f>
        <v>0</v>
      </c>
      <c r="BW66" s="17">
        <f ca="1">OFFSET('Sales, Production, &amp; Other Assu'!BW$18,'Internmediate sheet'!$A65/3,0)*Capacity</f>
        <v>0</v>
      </c>
      <c r="BX66" s="17">
        <f ca="1">OFFSET('Sales, Production, &amp; Other Assu'!BX$18,'Internmediate sheet'!$A65/3,0)*Capacity</f>
        <v>0</v>
      </c>
      <c r="BY66" s="17">
        <f ca="1">OFFSET('Sales, Production, &amp; Other Assu'!BY$18,'Internmediate sheet'!$A65/3,0)*Capacity</f>
        <v>0</v>
      </c>
      <c r="BZ66" s="17">
        <f ca="1">OFFSET('Sales, Production, &amp; Other Assu'!BZ$18,'Internmediate sheet'!$A65/3,0)*Capacity</f>
        <v>0</v>
      </c>
      <c r="CA66" s="17">
        <f ca="1">OFFSET('Sales, Production, &amp; Other Assu'!CA$18,'Internmediate sheet'!$A65/3,0)*Capacity</f>
        <v>0</v>
      </c>
      <c r="CB66" s="17">
        <f ca="1">OFFSET('Sales, Production, &amp; Other Assu'!CB$18,'Internmediate sheet'!$A65/3,0)*Capacity</f>
        <v>0</v>
      </c>
      <c r="CC66" s="430">
        <f ca="1">SUM(BQ66:CB66)</f>
        <v>0</v>
      </c>
      <c r="CD66" s="17">
        <f ca="1">OFFSET('Sales, Production, &amp; Other Assu'!CD$18,'Internmediate sheet'!$A65/3,0)*Capacity</f>
        <v>0</v>
      </c>
      <c r="CE66" s="17">
        <f ca="1">OFFSET('Sales, Production, &amp; Other Assu'!CE$18,'Internmediate sheet'!$A65/3,0)*Capacity</f>
        <v>0</v>
      </c>
      <c r="CF66" s="17">
        <f ca="1">OFFSET('Sales, Production, &amp; Other Assu'!CF$18,'Internmediate sheet'!$A65/3,0)*Capacity</f>
        <v>0</v>
      </c>
      <c r="CG66" s="17">
        <f ca="1">OFFSET('Sales, Production, &amp; Other Assu'!CG$18,'Internmediate sheet'!$A65/3,0)*Capacity</f>
        <v>0</v>
      </c>
      <c r="CH66" s="17">
        <f ca="1">OFFSET('Sales, Production, &amp; Other Assu'!CH$18,'Internmediate sheet'!$A65/3,0)*Capacity</f>
        <v>0</v>
      </c>
      <c r="CI66" s="17">
        <f ca="1">OFFSET('Sales, Production, &amp; Other Assu'!CI$18,'Internmediate sheet'!$A65/3,0)*Capacity</f>
        <v>0</v>
      </c>
      <c r="CJ66" s="17">
        <f ca="1">OFFSET('Sales, Production, &amp; Other Assu'!CJ$18,'Internmediate sheet'!$A65/3,0)*Capacity</f>
        <v>0</v>
      </c>
      <c r="CK66" s="17">
        <f ca="1">OFFSET('Sales, Production, &amp; Other Assu'!CK$18,'Internmediate sheet'!$A65/3,0)*Capacity</f>
        <v>0</v>
      </c>
      <c r="CL66" s="17">
        <f ca="1">OFFSET('Sales, Production, &amp; Other Assu'!CL$18,'Internmediate sheet'!$A65/3,0)*Capacity</f>
        <v>0</v>
      </c>
      <c r="CM66" s="17">
        <f ca="1">OFFSET('Sales, Production, &amp; Other Assu'!CM$18,'Internmediate sheet'!$A65/3,0)*Capacity</f>
        <v>0</v>
      </c>
      <c r="CN66" s="17">
        <f ca="1">OFFSET('Sales, Production, &amp; Other Assu'!CN$18,'Internmediate sheet'!$A65/3,0)*Capacity</f>
        <v>0</v>
      </c>
      <c r="CO66" s="17">
        <f ca="1">OFFSET('Sales, Production, &amp; Other Assu'!CO$18,'Internmediate sheet'!$A65/3,0)*Capacity</f>
        <v>0</v>
      </c>
      <c r="CP66" s="430">
        <f ca="1">SUM(CD66:CO66)</f>
        <v>0</v>
      </c>
    </row>
    <row r="67" spans="1:94" ht="20.100000000000001" hidden="1" customHeight="1">
      <c r="A67" s="790"/>
      <c r="B67" s="8" t="s">
        <v>610</v>
      </c>
      <c r="C67" s="8">
        <f ca="1">OFFSET('Summary. Assumptions. Inputs'!$F$46,'Internmediate sheet'!A62/3,0)</f>
        <v>0</v>
      </c>
      <c r="D67" s="8">
        <f t="shared" ref="D67:P67" ca="1" si="1700">C67</f>
        <v>0</v>
      </c>
      <c r="E67" s="8">
        <f t="shared" ca="1" si="1700"/>
        <v>0</v>
      </c>
      <c r="F67" s="8">
        <f t="shared" ca="1" si="1700"/>
        <v>0</v>
      </c>
      <c r="G67" s="8">
        <f t="shared" ca="1" si="1700"/>
        <v>0</v>
      </c>
      <c r="H67" s="8">
        <f t="shared" ca="1" si="1700"/>
        <v>0</v>
      </c>
      <c r="I67" s="8">
        <f t="shared" ca="1" si="1700"/>
        <v>0</v>
      </c>
      <c r="J67" s="8">
        <f t="shared" ca="1" si="1700"/>
        <v>0</v>
      </c>
      <c r="K67" s="8">
        <f t="shared" ca="1" si="1700"/>
        <v>0</v>
      </c>
      <c r="L67" s="8">
        <f t="shared" ca="1" si="1700"/>
        <v>0</v>
      </c>
      <c r="M67" s="8">
        <f t="shared" ca="1" si="1700"/>
        <v>0</v>
      </c>
      <c r="N67" s="8">
        <f t="shared" ca="1" si="1700"/>
        <v>0</v>
      </c>
      <c r="O67" s="8">
        <f t="shared" ca="1" si="1700"/>
        <v>0</v>
      </c>
      <c r="P67" s="431">
        <f t="shared" ca="1" si="1700"/>
        <v>0</v>
      </c>
      <c r="Q67" s="8">
        <f t="shared" ref="Q67" ca="1" si="1701">P67</f>
        <v>0</v>
      </c>
      <c r="R67" s="8">
        <f t="shared" ref="R67" ca="1" si="1702">Q67</f>
        <v>0</v>
      </c>
      <c r="S67" s="8">
        <f t="shared" ref="S67" ca="1" si="1703">R67</f>
        <v>0</v>
      </c>
      <c r="T67" s="8">
        <f t="shared" ref="T67" ca="1" si="1704">S67</f>
        <v>0</v>
      </c>
      <c r="U67" s="8">
        <f t="shared" ref="U67" ca="1" si="1705">T67</f>
        <v>0</v>
      </c>
      <c r="V67" s="8">
        <f t="shared" ref="V67" ca="1" si="1706">U67</f>
        <v>0</v>
      </c>
      <c r="W67" s="8">
        <f t="shared" ref="W67" ca="1" si="1707">V67</f>
        <v>0</v>
      </c>
      <c r="X67" s="8">
        <f t="shared" ref="X67" ca="1" si="1708">W67</f>
        <v>0</v>
      </c>
      <c r="Y67" s="8">
        <f t="shared" ref="Y67" ca="1" si="1709">X67</f>
        <v>0</v>
      </c>
      <c r="Z67" s="8">
        <f t="shared" ref="Z67" ca="1" si="1710">Y67</f>
        <v>0</v>
      </c>
      <c r="AA67" s="8">
        <f t="shared" ref="AA67" ca="1" si="1711">Z67</f>
        <v>0</v>
      </c>
      <c r="AB67" s="8">
        <f t="shared" ref="AB67" ca="1" si="1712">AA67</f>
        <v>0</v>
      </c>
      <c r="AC67" s="431">
        <f t="shared" ref="AC67" ca="1" si="1713">AB67</f>
        <v>0</v>
      </c>
      <c r="AD67" s="8">
        <f t="shared" ref="AD67" ca="1" si="1714">AC67</f>
        <v>0</v>
      </c>
      <c r="AE67" s="8">
        <f t="shared" ref="AE67" ca="1" si="1715">AD67</f>
        <v>0</v>
      </c>
      <c r="AF67" s="8">
        <f t="shared" ref="AF67" ca="1" si="1716">AE67</f>
        <v>0</v>
      </c>
      <c r="AG67" s="8">
        <f t="shared" ref="AG67" ca="1" si="1717">AF67</f>
        <v>0</v>
      </c>
      <c r="AH67" s="8">
        <f t="shared" ref="AH67" ca="1" si="1718">AG67</f>
        <v>0</v>
      </c>
      <c r="AI67" s="8">
        <f t="shared" ref="AI67" ca="1" si="1719">AH67</f>
        <v>0</v>
      </c>
      <c r="AJ67" s="8">
        <f t="shared" ref="AJ67" ca="1" si="1720">AI67</f>
        <v>0</v>
      </c>
      <c r="AK67" s="8">
        <f t="shared" ref="AK67" ca="1" si="1721">AJ67</f>
        <v>0</v>
      </c>
      <c r="AL67" s="8">
        <f t="shared" ref="AL67" ca="1" si="1722">AK67</f>
        <v>0</v>
      </c>
      <c r="AM67" s="8">
        <f t="shared" ref="AM67" ca="1" si="1723">AL67</f>
        <v>0</v>
      </c>
      <c r="AN67" s="8">
        <f t="shared" ref="AN67" ca="1" si="1724">AM67</f>
        <v>0</v>
      </c>
      <c r="AO67" s="8">
        <f t="shared" ref="AO67" ca="1" si="1725">AN67</f>
        <v>0</v>
      </c>
      <c r="AP67" s="431">
        <f t="shared" ref="AP67" ca="1" si="1726">AO67</f>
        <v>0</v>
      </c>
      <c r="AQ67" s="8">
        <f ca="1">AP67</f>
        <v>0</v>
      </c>
      <c r="AR67" s="8">
        <f t="shared" ref="AR67" ca="1" si="1727">AQ67</f>
        <v>0</v>
      </c>
      <c r="AS67" s="8">
        <f t="shared" ref="AS67" ca="1" si="1728">AR67</f>
        <v>0</v>
      </c>
      <c r="AT67" s="8">
        <f t="shared" ref="AT67" ca="1" si="1729">AS67</f>
        <v>0</v>
      </c>
      <c r="AU67" s="8">
        <f t="shared" ref="AU67" ca="1" si="1730">AT67</f>
        <v>0</v>
      </c>
      <c r="AV67" s="8">
        <f t="shared" ref="AV67" ca="1" si="1731">AU67</f>
        <v>0</v>
      </c>
      <c r="AW67" s="8">
        <f t="shared" ref="AW67" ca="1" si="1732">AV67</f>
        <v>0</v>
      </c>
      <c r="AX67" s="8">
        <f t="shared" ref="AX67" ca="1" si="1733">AW67</f>
        <v>0</v>
      </c>
      <c r="AY67" s="8">
        <f t="shared" ref="AY67" ca="1" si="1734">AX67</f>
        <v>0</v>
      </c>
      <c r="AZ67" s="8">
        <f t="shared" ref="AZ67" ca="1" si="1735">AY67</f>
        <v>0</v>
      </c>
      <c r="BA67" s="8">
        <f t="shared" ref="BA67" ca="1" si="1736">AZ67</f>
        <v>0</v>
      </c>
      <c r="BB67" s="8">
        <f t="shared" ref="BB67" ca="1" si="1737">BA67</f>
        <v>0</v>
      </c>
      <c r="BC67" s="431">
        <f t="shared" ref="BC67" ca="1" si="1738">BB67</f>
        <v>0</v>
      </c>
      <c r="BD67" s="8">
        <f t="shared" ref="BD67" ca="1" si="1739">BC67</f>
        <v>0</v>
      </c>
      <c r="BE67" s="8">
        <f t="shared" ref="BE67" ca="1" si="1740">BD67</f>
        <v>0</v>
      </c>
      <c r="BF67" s="8">
        <f t="shared" ref="BF67" ca="1" si="1741">BE67</f>
        <v>0</v>
      </c>
      <c r="BG67" s="8">
        <f t="shared" ref="BG67" ca="1" si="1742">BF67</f>
        <v>0</v>
      </c>
      <c r="BH67" s="8">
        <f t="shared" ref="BH67" ca="1" si="1743">BG67</f>
        <v>0</v>
      </c>
      <c r="BI67" s="8">
        <f t="shared" ref="BI67" ca="1" si="1744">BH67</f>
        <v>0</v>
      </c>
      <c r="BJ67" s="8">
        <f t="shared" ref="BJ67" ca="1" si="1745">BI67</f>
        <v>0</v>
      </c>
      <c r="BK67" s="8">
        <f t="shared" ref="BK67" ca="1" si="1746">BJ67</f>
        <v>0</v>
      </c>
      <c r="BL67" s="8">
        <f t="shared" ref="BL67" ca="1" si="1747">BK67</f>
        <v>0</v>
      </c>
      <c r="BM67" s="8">
        <f t="shared" ref="BM67" ca="1" si="1748">BL67</f>
        <v>0</v>
      </c>
      <c r="BN67" s="8">
        <f t="shared" ref="BN67" ca="1" si="1749">BM67</f>
        <v>0</v>
      </c>
      <c r="BO67" s="8">
        <f t="shared" ref="BO67" ca="1" si="1750">BN67</f>
        <v>0</v>
      </c>
      <c r="BP67" s="431">
        <f t="shared" ref="BP67" ca="1" si="1751">BO67</f>
        <v>0</v>
      </c>
      <c r="BQ67" s="8">
        <f t="shared" ref="BQ67" ca="1" si="1752">BP67</f>
        <v>0</v>
      </c>
      <c r="BR67" s="8">
        <f t="shared" ref="BR67" ca="1" si="1753">BQ67</f>
        <v>0</v>
      </c>
      <c r="BS67" s="8">
        <f t="shared" ref="BS67" ca="1" si="1754">BR67</f>
        <v>0</v>
      </c>
      <c r="BT67" s="8">
        <f t="shared" ref="BT67" ca="1" si="1755">BS67</f>
        <v>0</v>
      </c>
      <c r="BU67" s="8">
        <f t="shared" ref="BU67" ca="1" si="1756">BT67</f>
        <v>0</v>
      </c>
      <c r="BV67" s="8">
        <f t="shared" ref="BV67" ca="1" si="1757">BU67</f>
        <v>0</v>
      </c>
      <c r="BW67" s="8">
        <f t="shared" ref="BW67" ca="1" si="1758">BV67</f>
        <v>0</v>
      </c>
      <c r="BX67" s="8">
        <f t="shared" ref="BX67" ca="1" si="1759">BW67</f>
        <v>0</v>
      </c>
      <c r="BY67" s="8">
        <f t="shared" ref="BY67" ca="1" si="1760">BX67</f>
        <v>0</v>
      </c>
      <c r="BZ67" s="8">
        <f t="shared" ref="BZ67" ca="1" si="1761">BY67</f>
        <v>0</v>
      </c>
      <c r="CA67" s="8">
        <f t="shared" ref="CA67" ca="1" si="1762">BZ67</f>
        <v>0</v>
      </c>
      <c r="CB67" s="8">
        <f t="shared" ref="CB67" ca="1" si="1763">CA67</f>
        <v>0</v>
      </c>
      <c r="CC67" s="431">
        <f t="shared" ref="CC67" ca="1" si="1764">CB67</f>
        <v>0</v>
      </c>
      <c r="CD67" s="8">
        <f t="shared" ref="CD67" ca="1" si="1765">CC67</f>
        <v>0</v>
      </c>
      <c r="CE67" s="8">
        <f t="shared" ref="CE67" ca="1" si="1766">CD67</f>
        <v>0</v>
      </c>
      <c r="CF67" s="8">
        <f t="shared" ref="CF67" ca="1" si="1767">CE67</f>
        <v>0</v>
      </c>
      <c r="CG67" s="8">
        <f t="shared" ref="CG67" ca="1" si="1768">CF67</f>
        <v>0</v>
      </c>
      <c r="CH67" s="8">
        <f t="shared" ref="CH67" ca="1" si="1769">CG67</f>
        <v>0</v>
      </c>
      <c r="CI67" s="8">
        <f t="shared" ref="CI67" ca="1" si="1770">CH67</f>
        <v>0</v>
      </c>
      <c r="CJ67" s="8">
        <f t="shared" ref="CJ67" ca="1" si="1771">CI67</f>
        <v>0</v>
      </c>
      <c r="CK67" s="8">
        <f t="shared" ref="CK67" ca="1" si="1772">CJ67</f>
        <v>0</v>
      </c>
      <c r="CL67" s="8">
        <f t="shared" ref="CL67" ca="1" si="1773">CK67</f>
        <v>0</v>
      </c>
      <c r="CM67" s="8">
        <f t="shared" ref="CM67" ca="1" si="1774">CL67</f>
        <v>0</v>
      </c>
      <c r="CN67" s="8">
        <f t="shared" ref="CN67" ca="1" si="1775">CM67</f>
        <v>0</v>
      </c>
      <c r="CO67" s="8">
        <f t="shared" ref="CO67" ca="1" si="1776">CN67</f>
        <v>0</v>
      </c>
      <c r="CP67" s="431">
        <f t="shared" ref="CP67" ca="1" si="1777">CO67</f>
        <v>0</v>
      </c>
    </row>
    <row r="68" spans="1:94" ht="20.100000000000001" hidden="1" customHeight="1">
      <c r="A68" s="791"/>
      <c r="B68" s="248" t="s">
        <v>611</v>
      </c>
      <c r="C68" s="249">
        <f t="shared" ref="C68:O68" ca="1" si="1778">C66*C67</f>
        <v>0</v>
      </c>
      <c r="D68" s="248">
        <f t="shared" ca="1" si="1778"/>
        <v>0</v>
      </c>
      <c r="E68" s="248">
        <f t="shared" ca="1" si="1778"/>
        <v>0</v>
      </c>
      <c r="F68" s="248">
        <f t="shared" ca="1" si="1778"/>
        <v>0</v>
      </c>
      <c r="G68" s="248">
        <f t="shared" ca="1" si="1778"/>
        <v>0</v>
      </c>
      <c r="H68" s="248">
        <f t="shared" ca="1" si="1778"/>
        <v>0</v>
      </c>
      <c r="I68" s="248">
        <f t="shared" ca="1" si="1778"/>
        <v>0</v>
      </c>
      <c r="J68" s="248">
        <f t="shared" ca="1" si="1778"/>
        <v>0</v>
      </c>
      <c r="K68" s="248">
        <f t="shared" ca="1" si="1778"/>
        <v>0</v>
      </c>
      <c r="L68" s="248">
        <f t="shared" ca="1" si="1778"/>
        <v>0</v>
      </c>
      <c r="M68" s="248">
        <f t="shared" ca="1" si="1778"/>
        <v>0</v>
      </c>
      <c r="N68" s="248">
        <f t="shared" ca="1" si="1778"/>
        <v>0</v>
      </c>
      <c r="O68" s="248">
        <f t="shared" ca="1" si="1778"/>
        <v>0</v>
      </c>
      <c r="P68" s="432">
        <f ca="1">SUM(D68:O68)</f>
        <v>0</v>
      </c>
      <c r="Q68" s="248">
        <f t="shared" ref="Q68:AB68" ca="1" si="1779">Q66*Q67</f>
        <v>0</v>
      </c>
      <c r="R68" s="248">
        <f t="shared" ca="1" si="1779"/>
        <v>0</v>
      </c>
      <c r="S68" s="248">
        <f t="shared" ca="1" si="1779"/>
        <v>0</v>
      </c>
      <c r="T68" s="248">
        <f t="shared" ca="1" si="1779"/>
        <v>0</v>
      </c>
      <c r="U68" s="248">
        <f t="shared" ca="1" si="1779"/>
        <v>0</v>
      </c>
      <c r="V68" s="248">
        <f t="shared" ca="1" si="1779"/>
        <v>0</v>
      </c>
      <c r="W68" s="248">
        <f t="shared" ca="1" si="1779"/>
        <v>0</v>
      </c>
      <c r="X68" s="248">
        <f t="shared" ca="1" si="1779"/>
        <v>0</v>
      </c>
      <c r="Y68" s="248">
        <f t="shared" ca="1" si="1779"/>
        <v>0</v>
      </c>
      <c r="Z68" s="248">
        <f t="shared" ca="1" si="1779"/>
        <v>0</v>
      </c>
      <c r="AA68" s="248">
        <f t="shared" ca="1" si="1779"/>
        <v>0</v>
      </c>
      <c r="AB68" s="248">
        <f t="shared" ca="1" si="1779"/>
        <v>0</v>
      </c>
      <c r="AC68" s="432">
        <f ca="1">SUM(Q68:AB68)</f>
        <v>0</v>
      </c>
      <c r="AD68" s="248">
        <f t="shared" ref="AD68:AO68" ca="1" si="1780">AD66*AD67</f>
        <v>0</v>
      </c>
      <c r="AE68" s="248">
        <f t="shared" ca="1" si="1780"/>
        <v>0</v>
      </c>
      <c r="AF68" s="248">
        <f t="shared" ca="1" si="1780"/>
        <v>0</v>
      </c>
      <c r="AG68" s="248">
        <f t="shared" ca="1" si="1780"/>
        <v>0</v>
      </c>
      <c r="AH68" s="248">
        <f t="shared" ca="1" si="1780"/>
        <v>0</v>
      </c>
      <c r="AI68" s="248">
        <f t="shared" ca="1" si="1780"/>
        <v>0</v>
      </c>
      <c r="AJ68" s="248">
        <f t="shared" ca="1" si="1780"/>
        <v>0</v>
      </c>
      <c r="AK68" s="248">
        <f t="shared" ca="1" si="1780"/>
        <v>0</v>
      </c>
      <c r="AL68" s="248">
        <f t="shared" ca="1" si="1780"/>
        <v>0</v>
      </c>
      <c r="AM68" s="248">
        <f t="shared" ca="1" si="1780"/>
        <v>0</v>
      </c>
      <c r="AN68" s="248">
        <f t="shared" ca="1" si="1780"/>
        <v>0</v>
      </c>
      <c r="AO68" s="248">
        <f t="shared" ca="1" si="1780"/>
        <v>0</v>
      </c>
      <c r="AP68" s="432">
        <f ca="1">SUM(AD68:AO68)</f>
        <v>0</v>
      </c>
      <c r="AQ68" s="248">
        <f t="shared" ref="AQ68:BB68" ca="1" si="1781">AQ66*AQ67</f>
        <v>0</v>
      </c>
      <c r="AR68" s="248">
        <f t="shared" ca="1" si="1781"/>
        <v>0</v>
      </c>
      <c r="AS68" s="248">
        <f t="shared" ca="1" si="1781"/>
        <v>0</v>
      </c>
      <c r="AT68" s="248">
        <f t="shared" ca="1" si="1781"/>
        <v>0</v>
      </c>
      <c r="AU68" s="248">
        <f t="shared" ca="1" si="1781"/>
        <v>0</v>
      </c>
      <c r="AV68" s="248">
        <f t="shared" ca="1" si="1781"/>
        <v>0</v>
      </c>
      <c r="AW68" s="248">
        <f t="shared" ca="1" si="1781"/>
        <v>0</v>
      </c>
      <c r="AX68" s="248">
        <f t="shared" ca="1" si="1781"/>
        <v>0</v>
      </c>
      <c r="AY68" s="248">
        <f t="shared" ca="1" si="1781"/>
        <v>0</v>
      </c>
      <c r="AZ68" s="248">
        <f t="shared" ca="1" si="1781"/>
        <v>0</v>
      </c>
      <c r="BA68" s="248">
        <f t="shared" ca="1" si="1781"/>
        <v>0</v>
      </c>
      <c r="BB68" s="248">
        <f t="shared" ca="1" si="1781"/>
        <v>0</v>
      </c>
      <c r="BC68" s="432">
        <f ca="1">SUM(AQ68:BB68)</f>
        <v>0</v>
      </c>
      <c r="BD68" s="248">
        <f t="shared" ref="BD68:BO68" ca="1" si="1782">BD66*BD67</f>
        <v>0</v>
      </c>
      <c r="BE68" s="248">
        <f t="shared" ca="1" si="1782"/>
        <v>0</v>
      </c>
      <c r="BF68" s="248">
        <f t="shared" ca="1" si="1782"/>
        <v>0</v>
      </c>
      <c r="BG68" s="248">
        <f t="shared" ca="1" si="1782"/>
        <v>0</v>
      </c>
      <c r="BH68" s="248">
        <f t="shared" ca="1" si="1782"/>
        <v>0</v>
      </c>
      <c r="BI68" s="248">
        <f t="shared" ca="1" si="1782"/>
        <v>0</v>
      </c>
      <c r="BJ68" s="248">
        <f t="shared" ca="1" si="1782"/>
        <v>0</v>
      </c>
      <c r="BK68" s="248">
        <f t="shared" ca="1" si="1782"/>
        <v>0</v>
      </c>
      <c r="BL68" s="248">
        <f t="shared" ca="1" si="1782"/>
        <v>0</v>
      </c>
      <c r="BM68" s="248">
        <f t="shared" ca="1" si="1782"/>
        <v>0</v>
      </c>
      <c r="BN68" s="248">
        <f t="shared" ca="1" si="1782"/>
        <v>0</v>
      </c>
      <c r="BO68" s="248">
        <f t="shared" ca="1" si="1782"/>
        <v>0</v>
      </c>
      <c r="BP68" s="432">
        <f ca="1">SUM(BD68:BO68)</f>
        <v>0</v>
      </c>
      <c r="BQ68" s="248">
        <f t="shared" ref="BQ68:CB68" ca="1" si="1783">BQ66*BQ67</f>
        <v>0</v>
      </c>
      <c r="BR68" s="248">
        <f t="shared" ca="1" si="1783"/>
        <v>0</v>
      </c>
      <c r="BS68" s="248">
        <f t="shared" ca="1" si="1783"/>
        <v>0</v>
      </c>
      <c r="BT68" s="248">
        <f t="shared" ca="1" si="1783"/>
        <v>0</v>
      </c>
      <c r="BU68" s="248">
        <f t="shared" ca="1" si="1783"/>
        <v>0</v>
      </c>
      <c r="BV68" s="248">
        <f t="shared" ca="1" si="1783"/>
        <v>0</v>
      </c>
      <c r="BW68" s="248">
        <f t="shared" ca="1" si="1783"/>
        <v>0</v>
      </c>
      <c r="BX68" s="248">
        <f t="shared" ca="1" si="1783"/>
        <v>0</v>
      </c>
      <c r="BY68" s="248">
        <f t="shared" ca="1" si="1783"/>
        <v>0</v>
      </c>
      <c r="BZ68" s="248">
        <f t="shared" ca="1" si="1783"/>
        <v>0</v>
      </c>
      <c r="CA68" s="248">
        <f t="shared" ca="1" si="1783"/>
        <v>0</v>
      </c>
      <c r="CB68" s="248">
        <f t="shared" ca="1" si="1783"/>
        <v>0</v>
      </c>
      <c r="CC68" s="432">
        <f ca="1">SUM(BQ68:CB68)</f>
        <v>0</v>
      </c>
      <c r="CD68" s="248">
        <f t="shared" ref="CD68:CO68" ca="1" si="1784">CD66*CD67</f>
        <v>0</v>
      </c>
      <c r="CE68" s="248">
        <f t="shared" ca="1" si="1784"/>
        <v>0</v>
      </c>
      <c r="CF68" s="248">
        <f t="shared" ca="1" si="1784"/>
        <v>0</v>
      </c>
      <c r="CG68" s="248">
        <f t="shared" ca="1" si="1784"/>
        <v>0</v>
      </c>
      <c r="CH68" s="248">
        <f t="shared" ca="1" si="1784"/>
        <v>0</v>
      </c>
      <c r="CI68" s="248">
        <f t="shared" ca="1" si="1784"/>
        <v>0</v>
      </c>
      <c r="CJ68" s="248">
        <f t="shared" ca="1" si="1784"/>
        <v>0</v>
      </c>
      <c r="CK68" s="248">
        <f t="shared" ca="1" si="1784"/>
        <v>0</v>
      </c>
      <c r="CL68" s="248">
        <f t="shared" ca="1" si="1784"/>
        <v>0</v>
      </c>
      <c r="CM68" s="248">
        <f t="shared" ca="1" si="1784"/>
        <v>0</v>
      </c>
      <c r="CN68" s="248">
        <f t="shared" ca="1" si="1784"/>
        <v>0</v>
      </c>
      <c r="CO68" s="248">
        <f t="shared" ca="1" si="1784"/>
        <v>0</v>
      </c>
      <c r="CP68" s="432">
        <f ca="1">SUM(CD68:CO68)</f>
        <v>0</v>
      </c>
    </row>
    <row r="69" spans="1:94" ht="20.100000000000001" hidden="1" customHeight="1">
      <c r="A69" s="789">
        <f ca="1">OFFSET('Summary. Assumptions. Inputs'!$A$45,'Internmediate sheet'!A68/3,0)</f>
        <v>0</v>
      </c>
      <c r="B69" s="17" t="s">
        <v>609</v>
      </c>
      <c r="C69" s="18"/>
      <c r="D69" s="17">
        <f ca="1">OFFSET('Sales, Production, &amp; Other Assu'!D$18,'Internmediate sheet'!$A68/3,0)*Capacity</f>
        <v>0</v>
      </c>
      <c r="E69" s="17">
        <f ca="1">OFFSET('Sales, Production, &amp; Other Assu'!E$18,'Internmediate sheet'!$A68/3,0)*Capacity</f>
        <v>0</v>
      </c>
      <c r="F69" s="17">
        <f ca="1">OFFSET('Sales, Production, &amp; Other Assu'!F$18,'Internmediate sheet'!$A68/3,0)*Capacity</f>
        <v>0</v>
      </c>
      <c r="G69" s="17">
        <f ca="1">OFFSET('Sales, Production, &amp; Other Assu'!G$18,'Internmediate sheet'!$A68/3,0)*Capacity</f>
        <v>0</v>
      </c>
      <c r="H69" s="17">
        <f ca="1">OFFSET('Sales, Production, &amp; Other Assu'!H$18,'Internmediate sheet'!$A68/3,0)*Capacity</f>
        <v>0</v>
      </c>
      <c r="I69" s="17">
        <f ca="1">OFFSET('Sales, Production, &amp; Other Assu'!I$18,'Internmediate sheet'!$A68/3,0)*Capacity</f>
        <v>0</v>
      </c>
      <c r="J69" s="17">
        <f ca="1">OFFSET('Sales, Production, &amp; Other Assu'!J$18,'Internmediate sheet'!$A68/3,0)*Capacity</f>
        <v>0</v>
      </c>
      <c r="K69" s="17">
        <f ca="1">OFFSET('Sales, Production, &amp; Other Assu'!K$18,'Internmediate sheet'!$A68/3,0)*Capacity</f>
        <v>0</v>
      </c>
      <c r="L69" s="17">
        <f ca="1">OFFSET('Sales, Production, &amp; Other Assu'!L$18,'Internmediate sheet'!$A68/3,0)*Capacity</f>
        <v>0</v>
      </c>
      <c r="M69" s="17">
        <f ca="1">OFFSET('Sales, Production, &amp; Other Assu'!M$18,'Internmediate sheet'!$A68/3,0)*Capacity</f>
        <v>0</v>
      </c>
      <c r="N69" s="17">
        <f ca="1">OFFSET('Sales, Production, &amp; Other Assu'!N$18,'Internmediate sheet'!$A68/3,0)*Capacity</f>
        <v>0</v>
      </c>
      <c r="O69" s="17">
        <f ca="1">OFFSET('Sales, Production, &amp; Other Assu'!O$18,'Internmediate sheet'!$A68/3,0)*Capacity</f>
        <v>0</v>
      </c>
      <c r="P69" s="430">
        <f ca="1">SUM(D69:O69)</f>
        <v>0</v>
      </c>
      <c r="Q69" s="17">
        <f ca="1">OFFSET('Sales, Production, &amp; Other Assu'!Q$18,'Internmediate sheet'!$A68/3,0)*Capacity</f>
        <v>0</v>
      </c>
      <c r="R69" s="17">
        <f ca="1">OFFSET('Sales, Production, &amp; Other Assu'!R$18,'Internmediate sheet'!$A68/3,0)*Capacity</f>
        <v>0</v>
      </c>
      <c r="S69" s="17">
        <f ca="1">OFFSET('Sales, Production, &amp; Other Assu'!S$18,'Internmediate sheet'!$A68/3,0)*Capacity</f>
        <v>0</v>
      </c>
      <c r="T69" s="17">
        <f ca="1">OFFSET('Sales, Production, &amp; Other Assu'!T$18,'Internmediate sheet'!$A68/3,0)*Capacity</f>
        <v>0</v>
      </c>
      <c r="U69" s="17">
        <f ca="1">OFFSET('Sales, Production, &amp; Other Assu'!U$18,'Internmediate sheet'!$A68/3,0)*Capacity</f>
        <v>0</v>
      </c>
      <c r="V69" s="17">
        <f ca="1">OFFSET('Sales, Production, &amp; Other Assu'!V$18,'Internmediate sheet'!$A68/3,0)*Capacity</f>
        <v>0</v>
      </c>
      <c r="W69" s="17">
        <f ca="1">OFFSET('Sales, Production, &amp; Other Assu'!W$18,'Internmediate sheet'!$A68/3,0)*Capacity</f>
        <v>0</v>
      </c>
      <c r="X69" s="17">
        <f ca="1">OFFSET('Sales, Production, &amp; Other Assu'!X$18,'Internmediate sheet'!$A68/3,0)*Capacity</f>
        <v>0</v>
      </c>
      <c r="Y69" s="17">
        <f ca="1">OFFSET('Sales, Production, &amp; Other Assu'!Y$18,'Internmediate sheet'!$A68/3,0)*Capacity</f>
        <v>0</v>
      </c>
      <c r="Z69" s="17">
        <f ca="1">OFFSET('Sales, Production, &amp; Other Assu'!Z$18,'Internmediate sheet'!$A68/3,0)*Capacity</f>
        <v>0</v>
      </c>
      <c r="AA69" s="17">
        <f ca="1">OFFSET('Sales, Production, &amp; Other Assu'!AA$18,'Internmediate sheet'!$A68/3,0)*Capacity</f>
        <v>0</v>
      </c>
      <c r="AB69" s="17">
        <f ca="1">OFFSET('Sales, Production, &amp; Other Assu'!AB$18,'Internmediate sheet'!$A68/3,0)*Capacity</f>
        <v>0</v>
      </c>
      <c r="AC69" s="430">
        <f ca="1">SUM(Q69:AB69)</f>
        <v>0</v>
      </c>
      <c r="AD69" s="17">
        <f ca="1">OFFSET('Sales, Production, &amp; Other Assu'!AD$18,'Internmediate sheet'!$A68/3,0)*Capacity</f>
        <v>0</v>
      </c>
      <c r="AE69" s="17">
        <f ca="1">OFFSET('Sales, Production, &amp; Other Assu'!AE$18,'Internmediate sheet'!$A68/3,0)*Capacity</f>
        <v>0</v>
      </c>
      <c r="AF69" s="17">
        <f ca="1">OFFSET('Sales, Production, &amp; Other Assu'!AF$18,'Internmediate sheet'!$A68/3,0)*Capacity</f>
        <v>0</v>
      </c>
      <c r="AG69" s="17">
        <f ca="1">OFFSET('Sales, Production, &amp; Other Assu'!AG$18,'Internmediate sheet'!$A68/3,0)*Capacity</f>
        <v>0</v>
      </c>
      <c r="AH69" s="17">
        <f ca="1">OFFSET('Sales, Production, &amp; Other Assu'!AH$18,'Internmediate sheet'!$A68/3,0)*Capacity</f>
        <v>0</v>
      </c>
      <c r="AI69" s="17">
        <f ca="1">OFFSET('Sales, Production, &amp; Other Assu'!AI$18,'Internmediate sheet'!$A68/3,0)*Capacity</f>
        <v>0</v>
      </c>
      <c r="AJ69" s="17">
        <f ca="1">OFFSET('Sales, Production, &amp; Other Assu'!AJ$18,'Internmediate sheet'!$A68/3,0)*Capacity</f>
        <v>0</v>
      </c>
      <c r="AK69" s="17">
        <f ca="1">OFFSET('Sales, Production, &amp; Other Assu'!AK$18,'Internmediate sheet'!$A68/3,0)*Capacity</f>
        <v>0</v>
      </c>
      <c r="AL69" s="17">
        <f ca="1">OFFSET('Sales, Production, &amp; Other Assu'!AL$18,'Internmediate sheet'!$A68/3,0)*Capacity</f>
        <v>0</v>
      </c>
      <c r="AM69" s="17">
        <f ca="1">OFFSET('Sales, Production, &amp; Other Assu'!AM$18,'Internmediate sheet'!$A68/3,0)*Capacity</f>
        <v>0</v>
      </c>
      <c r="AN69" s="17">
        <f ca="1">OFFSET('Sales, Production, &amp; Other Assu'!AN$18,'Internmediate sheet'!$A68/3,0)*Capacity</f>
        <v>0</v>
      </c>
      <c r="AO69" s="17">
        <f ca="1">OFFSET('Sales, Production, &amp; Other Assu'!AO$18,'Internmediate sheet'!$A68/3,0)*Capacity</f>
        <v>0</v>
      </c>
      <c r="AP69" s="430">
        <f ca="1">SUM(AD69:AO69)</f>
        <v>0</v>
      </c>
      <c r="AQ69" s="17">
        <f ca="1">OFFSET('Sales, Production, &amp; Other Assu'!AQ$18,'Internmediate sheet'!$A68/3,0)*Capacity</f>
        <v>0</v>
      </c>
      <c r="AR69" s="17">
        <f ca="1">OFFSET('Sales, Production, &amp; Other Assu'!AR$18,'Internmediate sheet'!$A68/3,0)*Capacity</f>
        <v>0</v>
      </c>
      <c r="AS69" s="17">
        <f ca="1">OFFSET('Sales, Production, &amp; Other Assu'!AS$18,'Internmediate sheet'!$A68/3,0)*Capacity</f>
        <v>0</v>
      </c>
      <c r="AT69" s="17">
        <f ca="1">OFFSET('Sales, Production, &amp; Other Assu'!AT$18,'Internmediate sheet'!$A68/3,0)*Capacity</f>
        <v>0</v>
      </c>
      <c r="AU69" s="17">
        <f ca="1">OFFSET('Sales, Production, &amp; Other Assu'!AU$18,'Internmediate sheet'!$A68/3,0)*Capacity</f>
        <v>0</v>
      </c>
      <c r="AV69" s="17">
        <f ca="1">OFFSET('Sales, Production, &amp; Other Assu'!AV$18,'Internmediate sheet'!$A68/3,0)*Capacity</f>
        <v>0</v>
      </c>
      <c r="AW69" s="17">
        <f ca="1">OFFSET('Sales, Production, &amp; Other Assu'!AW$18,'Internmediate sheet'!$A68/3,0)*Capacity</f>
        <v>0</v>
      </c>
      <c r="AX69" s="17">
        <f ca="1">OFFSET('Sales, Production, &amp; Other Assu'!AX$18,'Internmediate sheet'!$A68/3,0)*Capacity</f>
        <v>0</v>
      </c>
      <c r="AY69" s="17">
        <f ca="1">OFFSET('Sales, Production, &amp; Other Assu'!AY$18,'Internmediate sheet'!$A68/3,0)*Capacity</f>
        <v>0</v>
      </c>
      <c r="AZ69" s="17">
        <f ca="1">OFFSET('Sales, Production, &amp; Other Assu'!AZ$18,'Internmediate sheet'!$A68/3,0)*Capacity</f>
        <v>0</v>
      </c>
      <c r="BA69" s="17">
        <f ca="1">OFFSET('Sales, Production, &amp; Other Assu'!BA$18,'Internmediate sheet'!$A68/3,0)*Capacity</f>
        <v>0</v>
      </c>
      <c r="BB69" s="17">
        <f ca="1">OFFSET('Sales, Production, &amp; Other Assu'!BB$18,'Internmediate sheet'!$A68/3,0)*Capacity</f>
        <v>0</v>
      </c>
      <c r="BC69" s="430">
        <f ca="1">SUM(AQ69:BB69)</f>
        <v>0</v>
      </c>
      <c r="BD69" s="17">
        <f ca="1">OFFSET('Sales, Production, &amp; Other Assu'!BD$18,'Internmediate sheet'!$A68/3,0)*Capacity</f>
        <v>0</v>
      </c>
      <c r="BE69" s="17">
        <f ca="1">OFFSET('Sales, Production, &amp; Other Assu'!BE$18,'Internmediate sheet'!$A68/3,0)*Capacity</f>
        <v>0</v>
      </c>
      <c r="BF69" s="17">
        <f ca="1">OFFSET('Sales, Production, &amp; Other Assu'!BF$18,'Internmediate sheet'!$A68/3,0)*Capacity</f>
        <v>0</v>
      </c>
      <c r="BG69" s="17">
        <f ca="1">OFFSET('Sales, Production, &amp; Other Assu'!BG$18,'Internmediate sheet'!$A68/3,0)*Capacity</f>
        <v>0</v>
      </c>
      <c r="BH69" s="17">
        <f ca="1">OFFSET('Sales, Production, &amp; Other Assu'!BH$18,'Internmediate sheet'!$A68/3,0)*Capacity</f>
        <v>0</v>
      </c>
      <c r="BI69" s="17">
        <f ca="1">OFFSET('Sales, Production, &amp; Other Assu'!BI$18,'Internmediate sheet'!$A68/3,0)*Capacity</f>
        <v>0</v>
      </c>
      <c r="BJ69" s="17">
        <f ca="1">OFFSET('Sales, Production, &amp; Other Assu'!BJ$18,'Internmediate sheet'!$A68/3,0)*Capacity</f>
        <v>0</v>
      </c>
      <c r="BK69" s="17">
        <f ca="1">OFFSET('Sales, Production, &amp; Other Assu'!BK$18,'Internmediate sheet'!$A68/3,0)*Capacity</f>
        <v>0</v>
      </c>
      <c r="BL69" s="17">
        <f ca="1">OFFSET('Sales, Production, &amp; Other Assu'!BL$18,'Internmediate sheet'!$A68/3,0)*Capacity</f>
        <v>0</v>
      </c>
      <c r="BM69" s="17">
        <f ca="1">OFFSET('Sales, Production, &amp; Other Assu'!BM$18,'Internmediate sheet'!$A68/3,0)*Capacity</f>
        <v>0</v>
      </c>
      <c r="BN69" s="17">
        <f ca="1">OFFSET('Sales, Production, &amp; Other Assu'!BN$18,'Internmediate sheet'!$A68/3,0)*Capacity</f>
        <v>0</v>
      </c>
      <c r="BO69" s="17">
        <f ca="1">OFFSET('Sales, Production, &amp; Other Assu'!BO$18,'Internmediate sheet'!$A68/3,0)*Capacity</f>
        <v>0</v>
      </c>
      <c r="BP69" s="430">
        <f ca="1">SUM(BD69:BO69)</f>
        <v>0</v>
      </c>
      <c r="BQ69" s="17">
        <f ca="1">OFFSET('Sales, Production, &amp; Other Assu'!BQ$18,'Internmediate sheet'!$A68/3,0)*Capacity</f>
        <v>0</v>
      </c>
      <c r="BR69" s="17">
        <f ca="1">OFFSET('Sales, Production, &amp; Other Assu'!BR$18,'Internmediate sheet'!$A68/3,0)*Capacity</f>
        <v>0</v>
      </c>
      <c r="BS69" s="17">
        <f ca="1">OFFSET('Sales, Production, &amp; Other Assu'!BS$18,'Internmediate sheet'!$A68/3,0)*Capacity</f>
        <v>0</v>
      </c>
      <c r="BT69" s="17">
        <f ca="1">OFFSET('Sales, Production, &amp; Other Assu'!BT$18,'Internmediate sheet'!$A68/3,0)*Capacity</f>
        <v>0</v>
      </c>
      <c r="BU69" s="17">
        <f ca="1">OFFSET('Sales, Production, &amp; Other Assu'!BU$18,'Internmediate sheet'!$A68/3,0)*Capacity</f>
        <v>0</v>
      </c>
      <c r="BV69" s="17">
        <f ca="1">OFFSET('Sales, Production, &amp; Other Assu'!BV$18,'Internmediate sheet'!$A68/3,0)*Capacity</f>
        <v>0</v>
      </c>
      <c r="BW69" s="17">
        <f ca="1">OFFSET('Sales, Production, &amp; Other Assu'!BW$18,'Internmediate sheet'!$A68/3,0)*Capacity</f>
        <v>0</v>
      </c>
      <c r="BX69" s="17">
        <f ca="1">OFFSET('Sales, Production, &amp; Other Assu'!BX$18,'Internmediate sheet'!$A68/3,0)*Capacity</f>
        <v>0</v>
      </c>
      <c r="BY69" s="17">
        <f ca="1">OFFSET('Sales, Production, &amp; Other Assu'!BY$18,'Internmediate sheet'!$A68/3,0)*Capacity</f>
        <v>0</v>
      </c>
      <c r="BZ69" s="17">
        <f ca="1">OFFSET('Sales, Production, &amp; Other Assu'!BZ$18,'Internmediate sheet'!$A68/3,0)*Capacity</f>
        <v>0</v>
      </c>
      <c r="CA69" s="17">
        <f ca="1">OFFSET('Sales, Production, &amp; Other Assu'!CA$18,'Internmediate sheet'!$A68/3,0)*Capacity</f>
        <v>0</v>
      </c>
      <c r="CB69" s="17">
        <f ca="1">OFFSET('Sales, Production, &amp; Other Assu'!CB$18,'Internmediate sheet'!$A68/3,0)*Capacity</f>
        <v>0</v>
      </c>
      <c r="CC69" s="430">
        <f ca="1">SUM(BQ69:CB69)</f>
        <v>0</v>
      </c>
      <c r="CD69" s="17">
        <f ca="1">OFFSET('Sales, Production, &amp; Other Assu'!CD$18,'Internmediate sheet'!$A68/3,0)*Capacity</f>
        <v>0</v>
      </c>
      <c r="CE69" s="17">
        <f ca="1">OFFSET('Sales, Production, &amp; Other Assu'!CE$18,'Internmediate sheet'!$A68/3,0)*Capacity</f>
        <v>0</v>
      </c>
      <c r="CF69" s="17">
        <f ca="1">OFFSET('Sales, Production, &amp; Other Assu'!CF$18,'Internmediate sheet'!$A68/3,0)*Capacity</f>
        <v>0</v>
      </c>
      <c r="CG69" s="17">
        <f ca="1">OFFSET('Sales, Production, &amp; Other Assu'!CG$18,'Internmediate sheet'!$A68/3,0)*Capacity</f>
        <v>0</v>
      </c>
      <c r="CH69" s="17">
        <f ca="1">OFFSET('Sales, Production, &amp; Other Assu'!CH$18,'Internmediate sheet'!$A68/3,0)*Capacity</f>
        <v>0</v>
      </c>
      <c r="CI69" s="17">
        <f ca="1">OFFSET('Sales, Production, &amp; Other Assu'!CI$18,'Internmediate sheet'!$A68/3,0)*Capacity</f>
        <v>0</v>
      </c>
      <c r="CJ69" s="17">
        <f ca="1">OFFSET('Sales, Production, &amp; Other Assu'!CJ$18,'Internmediate sheet'!$A68/3,0)*Capacity</f>
        <v>0</v>
      </c>
      <c r="CK69" s="17">
        <f ca="1">OFFSET('Sales, Production, &amp; Other Assu'!CK$18,'Internmediate sheet'!$A68/3,0)*Capacity</f>
        <v>0</v>
      </c>
      <c r="CL69" s="17">
        <f ca="1">OFFSET('Sales, Production, &amp; Other Assu'!CL$18,'Internmediate sheet'!$A68/3,0)*Capacity</f>
        <v>0</v>
      </c>
      <c r="CM69" s="17">
        <f ca="1">OFFSET('Sales, Production, &amp; Other Assu'!CM$18,'Internmediate sheet'!$A68/3,0)*Capacity</f>
        <v>0</v>
      </c>
      <c r="CN69" s="17">
        <f ca="1">OFFSET('Sales, Production, &amp; Other Assu'!CN$18,'Internmediate sheet'!$A68/3,0)*Capacity</f>
        <v>0</v>
      </c>
      <c r="CO69" s="17">
        <f ca="1">OFFSET('Sales, Production, &amp; Other Assu'!CO$18,'Internmediate sheet'!$A68/3,0)*Capacity</f>
        <v>0</v>
      </c>
      <c r="CP69" s="430">
        <f ca="1">SUM(CD69:CO69)</f>
        <v>0</v>
      </c>
    </row>
    <row r="70" spans="1:94" ht="20.100000000000001" hidden="1" customHeight="1">
      <c r="A70" s="790"/>
      <c r="B70" s="8" t="s">
        <v>610</v>
      </c>
      <c r="C70" s="8">
        <f ca="1">OFFSET('Summary. Assumptions. Inputs'!$F$46,'Internmediate sheet'!A65/3,0)</f>
        <v>0</v>
      </c>
      <c r="D70" s="8">
        <f t="shared" ref="D70:P70" ca="1" si="1785">C70</f>
        <v>0</v>
      </c>
      <c r="E70" s="8">
        <f t="shared" ca="1" si="1785"/>
        <v>0</v>
      </c>
      <c r="F70" s="8">
        <f t="shared" ca="1" si="1785"/>
        <v>0</v>
      </c>
      <c r="G70" s="8">
        <f t="shared" ca="1" si="1785"/>
        <v>0</v>
      </c>
      <c r="H70" s="8">
        <f t="shared" ca="1" si="1785"/>
        <v>0</v>
      </c>
      <c r="I70" s="8">
        <f t="shared" ca="1" si="1785"/>
        <v>0</v>
      </c>
      <c r="J70" s="8">
        <f t="shared" ca="1" si="1785"/>
        <v>0</v>
      </c>
      <c r="K70" s="8">
        <f t="shared" ca="1" si="1785"/>
        <v>0</v>
      </c>
      <c r="L70" s="8">
        <f t="shared" ca="1" si="1785"/>
        <v>0</v>
      </c>
      <c r="M70" s="8">
        <f t="shared" ca="1" si="1785"/>
        <v>0</v>
      </c>
      <c r="N70" s="8">
        <f t="shared" ca="1" si="1785"/>
        <v>0</v>
      </c>
      <c r="O70" s="8">
        <f t="shared" ca="1" si="1785"/>
        <v>0</v>
      </c>
      <c r="P70" s="431">
        <f t="shared" ca="1" si="1785"/>
        <v>0</v>
      </c>
      <c r="Q70" s="8">
        <f t="shared" ref="Q70" ca="1" si="1786">P70</f>
        <v>0</v>
      </c>
      <c r="R70" s="8">
        <f t="shared" ref="R70" ca="1" si="1787">Q70</f>
        <v>0</v>
      </c>
      <c r="S70" s="8">
        <f t="shared" ref="S70" ca="1" si="1788">R70</f>
        <v>0</v>
      </c>
      <c r="T70" s="8">
        <f t="shared" ref="T70" ca="1" si="1789">S70</f>
        <v>0</v>
      </c>
      <c r="U70" s="8">
        <f t="shared" ref="U70" ca="1" si="1790">T70</f>
        <v>0</v>
      </c>
      <c r="V70" s="8">
        <f t="shared" ref="V70" ca="1" si="1791">U70</f>
        <v>0</v>
      </c>
      <c r="W70" s="8">
        <f t="shared" ref="W70" ca="1" si="1792">V70</f>
        <v>0</v>
      </c>
      <c r="X70" s="8">
        <f t="shared" ref="X70" ca="1" si="1793">W70</f>
        <v>0</v>
      </c>
      <c r="Y70" s="8">
        <f t="shared" ref="Y70" ca="1" si="1794">X70</f>
        <v>0</v>
      </c>
      <c r="Z70" s="8">
        <f t="shared" ref="Z70" ca="1" si="1795">Y70</f>
        <v>0</v>
      </c>
      <c r="AA70" s="8">
        <f t="shared" ref="AA70" ca="1" si="1796">Z70</f>
        <v>0</v>
      </c>
      <c r="AB70" s="8">
        <f t="shared" ref="AB70" ca="1" si="1797">AA70</f>
        <v>0</v>
      </c>
      <c r="AC70" s="431">
        <f t="shared" ref="AC70" ca="1" si="1798">AB70</f>
        <v>0</v>
      </c>
      <c r="AD70" s="8">
        <f t="shared" ref="AD70" ca="1" si="1799">AC70</f>
        <v>0</v>
      </c>
      <c r="AE70" s="8">
        <f t="shared" ref="AE70" ca="1" si="1800">AD70</f>
        <v>0</v>
      </c>
      <c r="AF70" s="8">
        <f t="shared" ref="AF70" ca="1" si="1801">AE70</f>
        <v>0</v>
      </c>
      <c r="AG70" s="8">
        <f t="shared" ref="AG70" ca="1" si="1802">AF70</f>
        <v>0</v>
      </c>
      <c r="AH70" s="8">
        <f t="shared" ref="AH70" ca="1" si="1803">AG70</f>
        <v>0</v>
      </c>
      <c r="AI70" s="8">
        <f t="shared" ref="AI70" ca="1" si="1804">AH70</f>
        <v>0</v>
      </c>
      <c r="AJ70" s="8">
        <f t="shared" ref="AJ70" ca="1" si="1805">AI70</f>
        <v>0</v>
      </c>
      <c r="AK70" s="8">
        <f t="shared" ref="AK70" ca="1" si="1806">AJ70</f>
        <v>0</v>
      </c>
      <c r="AL70" s="8">
        <f t="shared" ref="AL70" ca="1" si="1807">AK70</f>
        <v>0</v>
      </c>
      <c r="AM70" s="8">
        <f t="shared" ref="AM70" ca="1" si="1808">AL70</f>
        <v>0</v>
      </c>
      <c r="AN70" s="8">
        <f t="shared" ref="AN70" ca="1" si="1809">AM70</f>
        <v>0</v>
      </c>
      <c r="AO70" s="8">
        <f t="shared" ref="AO70" ca="1" si="1810">AN70</f>
        <v>0</v>
      </c>
      <c r="AP70" s="431">
        <f t="shared" ref="AP70" ca="1" si="1811">AO70</f>
        <v>0</v>
      </c>
      <c r="AQ70" s="8">
        <f ca="1">AP70</f>
        <v>0</v>
      </c>
      <c r="AR70" s="8">
        <f t="shared" ref="AR70" ca="1" si="1812">AQ70</f>
        <v>0</v>
      </c>
      <c r="AS70" s="8">
        <f t="shared" ref="AS70" ca="1" si="1813">AR70</f>
        <v>0</v>
      </c>
      <c r="AT70" s="8">
        <f t="shared" ref="AT70" ca="1" si="1814">AS70</f>
        <v>0</v>
      </c>
      <c r="AU70" s="8">
        <f t="shared" ref="AU70" ca="1" si="1815">AT70</f>
        <v>0</v>
      </c>
      <c r="AV70" s="8">
        <f t="shared" ref="AV70" ca="1" si="1816">AU70</f>
        <v>0</v>
      </c>
      <c r="AW70" s="8">
        <f t="shared" ref="AW70" ca="1" si="1817">AV70</f>
        <v>0</v>
      </c>
      <c r="AX70" s="8">
        <f t="shared" ref="AX70" ca="1" si="1818">AW70</f>
        <v>0</v>
      </c>
      <c r="AY70" s="8">
        <f t="shared" ref="AY70" ca="1" si="1819">AX70</f>
        <v>0</v>
      </c>
      <c r="AZ70" s="8">
        <f t="shared" ref="AZ70" ca="1" si="1820">AY70</f>
        <v>0</v>
      </c>
      <c r="BA70" s="8">
        <f t="shared" ref="BA70" ca="1" si="1821">AZ70</f>
        <v>0</v>
      </c>
      <c r="BB70" s="8">
        <f t="shared" ref="BB70" ca="1" si="1822">BA70</f>
        <v>0</v>
      </c>
      <c r="BC70" s="431">
        <f t="shared" ref="BC70" ca="1" si="1823">BB70</f>
        <v>0</v>
      </c>
      <c r="BD70" s="8">
        <f t="shared" ref="BD70" ca="1" si="1824">BC70</f>
        <v>0</v>
      </c>
      <c r="BE70" s="8">
        <f t="shared" ref="BE70" ca="1" si="1825">BD70</f>
        <v>0</v>
      </c>
      <c r="BF70" s="8">
        <f t="shared" ref="BF70" ca="1" si="1826">BE70</f>
        <v>0</v>
      </c>
      <c r="BG70" s="8">
        <f t="shared" ref="BG70" ca="1" si="1827">BF70</f>
        <v>0</v>
      </c>
      <c r="BH70" s="8">
        <f t="shared" ref="BH70" ca="1" si="1828">BG70</f>
        <v>0</v>
      </c>
      <c r="BI70" s="8">
        <f t="shared" ref="BI70" ca="1" si="1829">BH70</f>
        <v>0</v>
      </c>
      <c r="BJ70" s="8">
        <f t="shared" ref="BJ70" ca="1" si="1830">BI70</f>
        <v>0</v>
      </c>
      <c r="BK70" s="8">
        <f t="shared" ref="BK70" ca="1" si="1831">BJ70</f>
        <v>0</v>
      </c>
      <c r="BL70" s="8">
        <f t="shared" ref="BL70" ca="1" si="1832">BK70</f>
        <v>0</v>
      </c>
      <c r="BM70" s="8">
        <f t="shared" ref="BM70" ca="1" si="1833">BL70</f>
        <v>0</v>
      </c>
      <c r="BN70" s="8">
        <f t="shared" ref="BN70" ca="1" si="1834">BM70</f>
        <v>0</v>
      </c>
      <c r="BO70" s="8">
        <f t="shared" ref="BO70" ca="1" si="1835">BN70</f>
        <v>0</v>
      </c>
      <c r="BP70" s="431">
        <f t="shared" ref="BP70" ca="1" si="1836">BO70</f>
        <v>0</v>
      </c>
      <c r="BQ70" s="8">
        <f t="shared" ref="BQ70" ca="1" si="1837">BP70</f>
        <v>0</v>
      </c>
      <c r="BR70" s="8">
        <f t="shared" ref="BR70" ca="1" si="1838">BQ70</f>
        <v>0</v>
      </c>
      <c r="BS70" s="8">
        <f t="shared" ref="BS70" ca="1" si="1839">BR70</f>
        <v>0</v>
      </c>
      <c r="BT70" s="8">
        <f t="shared" ref="BT70" ca="1" si="1840">BS70</f>
        <v>0</v>
      </c>
      <c r="BU70" s="8">
        <f t="shared" ref="BU70" ca="1" si="1841">BT70</f>
        <v>0</v>
      </c>
      <c r="BV70" s="8">
        <f t="shared" ref="BV70" ca="1" si="1842">BU70</f>
        <v>0</v>
      </c>
      <c r="BW70" s="8">
        <f t="shared" ref="BW70" ca="1" si="1843">BV70</f>
        <v>0</v>
      </c>
      <c r="BX70" s="8">
        <f t="shared" ref="BX70" ca="1" si="1844">BW70</f>
        <v>0</v>
      </c>
      <c r="BY70" s="8">
        <f t="shared" ref="BY70" ca="1" si="1845">BX70</f>
        <v>0</v>
      </c>
      <c r="BZ70" s="8">
        <f t="shared" ref="BZ70" ca="1" si="1846">BY70</f>
        <v>0</v>
      </c>
      <c r="CA70" s="8">
        <f t="shared" ref="CA70" ca="1" si="1847">BZ70</f>
        <v>0</v>
      </c>
      <c r="CB70" s="8">
        <f t="shared" ref="CB70" ca="1" si="1848">CA70</f>
        <v>0</v>
      </c>
      <c r="CC70" s="431">
        <f t="shared" ref="CC70" ca="1" si="1849">CB70</f>
        <v>0</v>
      </c>
      <c r="CD70" s="8">
        <f t="shared" ref="CD70" ca="1" si="1850">CC70</f>
        <v>0</v>
      </c>
      <c r="CE70" s="8">
        <f t="shared" ref="CE70" ca="1" si="1851">CD70</f>
        <v>0</v>
      </c>
      <c r="CF70" s="8">
        <f t="shared" ref="CF70" ca="1" si="1852">CE70</f>
        <v>0</v>
      </c>
      <c r="CG70" s="8">
        <f t="shared" ref="CG70" ca="1" si="1853">CF70</f>
        <v>0</v>
      </c>
      <c r="CH70" s="8">
        <f t="shared" ref="CH70" ca="1" si="1854">CG70</f>
        <v>0</v>
      </c>
      <c r="CI70" s="8">
        <f t="shared" ref="CI70" ca="1" si="1855">CH70</f>
        <v>0</v>
      </c>
      <c r="CJ70" s="8">
        <f t="shared" ref="CJ70" ca="1" si="1856">CI70</f>
        <v>0</v>
      </c>
      <c r="CK70" s="8">
        <f t="shared" ref="CK70" ca="1" si="1857">CJ70</f>
        <v>0</v>
      </c>
      <c r="CL70" s="8">
        <f t="shared" ref="CL70" ca="1" si="1858">CK70</f>
        <v>0</v>
      </c>
      <c r="CM70" s="8">
        <f t="shared" ref="CM70" ca="1" si="1859">CL70</f>
        <v>0</v>
      </c>
      <c r="CN70" s="8">
        <f t="shared" ref="CN70" ca="1" si="1860">CM70</f>
        <v>0</v>
      </c>
      <c r="CO70" s="8">
        <f t="shared" ref="CO70" ca="1" si="1861">CN70</f>
        <v>0</v>
      </c>
      <c r="CP70" s="431">
        <f t="shared" ref="CP70" ca="1" si="1862">CO70</f>
        <v>0</v>
      </c>
    </row>
    <row r="71" spans="1:94" ht="20.100000000000001" hidden="1" customHeight="1">
      <c r="A71" s="791"/>
      <c r="B71" s="248" t="s">
        <v>611</v>
      </c>
      <c r="C71" s="249">
        <f t="shared" ref="C71:O71" ca="1" si="1863">C69*C70</f>
        <v>0</v>
      </c>
      <c r="D71" s="248">
        <f t="shared" ca="1" si="1863"/>
        <v>0</v>
      </c>
      <c r="E71" s="248">
        <f t="shared" ca="1" si="1863"/>
        <v>0</v>
      </c>
      <c r="F71" s="248">
        <f t="shared" ca="1" si="1863"/>
        <v>0</v>
      </c>
      <c r="G71" s="248">
        <f t="shared" ca="1" si="1863"/>
        <v>0</v>
      </c>
      <c r="H71" s="248">
        <f t="shared" ca="1" si="1863"/>
        <v>0</v>
      </c>
      <c r="I71" s="248">
        <f t="shared" ca="1" si="1863"/>
        <v>0</v>
      </c>
      <c r="J71" s="248">
        <f t="shared" ca="1" si="1863"/>
        <v>0</v>
      </c>
      <c r="K71" s="248">
        <f t="shared" ca="1" si="1863"/>
        <v>0</v>
      </c>
      <c r="L71" s="248">
        <f t="shared" ca="1" si="1863"/>
        <v>0</v>
      </c>
      <c r="M71" s="248">
        <f t="shared" ca="1" si="1863"/>
        <v>0</v>
      </c>
      <c r="N71" s="248">
        <f t="shared" ca="1" si="1863"/>
        <v>0</v>
      </c>
      <c r="O71" s="248">
        <f t="shared" ca="1" si="1863"/>
        <v>0</v>
      </c>
      <c r="P71" s="432">
        <f ca="1">SUM(D71:O71)</f>
        <v>0</v>
      </c>
      <c r="Q71" s="248">
        <f t="shared" ref="Q71:AB71" ca="1" si="1864">Q69*Q70</f>
        <v>0</v>
      </c>
      <c r="R71" s="248">
        <f t="shared" ca="1" si="1864"/>
        <v>0</v>
      </c>
      <c r="S71" s="248">
        <f t="shared" ca="1" si="1864"/>
        <v>0</v>
      </c>
      <c r="T71" s="248">
        <f t="shared" ca="1" si="1864"/>
        <v>0</v>
      </c>
      <c r="U71" s="248">
        <f t="shared" ca="1" si="1864"/>
        <v>0</v>
      </c>
      <c r="V71" s="248">
        <f t="shared" ca="1" si="1864"/>
        <v>0</v>
      </c>
      <c r="W71" s="248">
        <f t="shared" ca="1" si="1864"/>
        <v>0</v>
      </c>
      <c r="X71" s="248">
        <f t="shared" ca="1" si="1864"/>
        <v>0</v>
      </c>
      <c r="Y71" s="248">
        <f t="shared" ca="1" si="1864"/>
        <v>0</v>
      </c>
      <c r="Z71" s="248">
        <f t="shared" ca="1" si="1864"/>
        <v>0</v>
      </c>
      <c r="AA71" s="248">
        <f t="shared" ca="1" si="1864"/>
        <v>0</v>
      </c>
      <c r="AB71" s="248">
        <f t="shared" ca="1" si="1864"/>
        <v>0</v>
      </c>
      <c r="AC71" s="432">
        <f ca="1">SUM(Q71:AB71)</f>
        <v>0</v>
      </c>
      <c r="AD71" s="248">
        <f t="shared" ref="AD71:AO71" ca="1" si="1865">AD69*AD70</f>
        <v>0</v>
      </c>
      <c r="AE71" s="248">
        <f t="shared" ca="1" si="1865"/>
        <v>0</v>
      </c>
      <c r="AF71" s="248">
        <f t="shared" ca="1" si="1865"/>
        <v>0</v>
      </c>
      <c r="AG71" s="248">
        <f t="shared" ca="1" si="1865"/>
        <v>0</v>
      </c>
      <c r="AH71" s="248">
        <f t="shared" ca="1" si="1865"/>
        <v>0</v>
      </c>
      <c r="AI71" s="248">
        <f t="shared" ca="1" si="1865"/>
        <v>0</v>
      </c>
      <c r="AJ71" s="248">
        <f t="shared" ca="1" si="1865"/>
        <v>0</v>
      </c>
      <c r="AK71" s="248">
        <f t="shared" ca="1" si="1865"/>
        <v>0</v>
      </c>
      <c r="AL71" s="248">
        <f t="shared" ca="1" si="1865"/>
        <v>0</v>
      </c>
      <c r="AM71" s="248">
        <f t="shared" ca="1" si="1865"/>
        <v>0</v>
      </c>
      <c r="AN71" s="248">
        <f t="shared" ca="1" si="1865"/>
        <v>0</v>
      </c>
      <c r="AO71" s="248">
        <f t="shared" ca="1" si="1865"/>
        <v>0</v>
      </c>
      <c r="AP71" s="432">
        <f ca="1">SUM(AD71:AO71)</f>
        <v>0</v>
      </c>
      <c r="AQ71" s="248">
        <f t="shared" ref="AQ71:BB71" ca="1" si="1866">AQ69*AQ70</f>
        <v>0</v>
      </c>
      <c r="AR71" s="248">
        <f t="shared" ca="1" si="1866"/>
        <v>0</v>
      </c>
      <c r="AS71" s="248">
        <f t="shared" ca="1" si="1866"/>
        <v>0</v>
      </c>
      <c r="AT71" s="248">
        <f t="shared" ca="1" si="1866"/>
        <v>0</v>
      </c>
      <c r="AU71" s="248">
        <f t="shared" ca="1" si="1866"/>
        <v>0</v>
      </c>
      <c r="AV71" s="248">
        <f t="shared" ca="1" si="1866"/>
        <v>0</v>
      </c>
      <c r="AW71" s="248">
        <f t="shared" ca="1" si="1866"/>
        <v>0</v>
      </c>
      <c r="AX71" s="248">
        <f t="shared" ca="1" si="1866"/>
        <v>0</v>
      </c>
      <c r="AY71" s="248">
        <f t="shared" ca="1" si="1866"/>
        <v>0</v>
      </c>
      <c r="AZ71" s="248">
        <f t="shared" ca="1" si="1866"/>
        <v>0</v>
      </c>
      <c r="BA71" s="248">
        <f t="shared" ca="1" si="1866"/>
        <v>0</v>
      </c>
      <c r="BB71" s="248">
        <f t="shared" ca="1" si="1866"/>
        <v>0</v>
      </c>
      <c r="BC71" s="432">
        <f ca="1">SUM(AQ71:BB71)</f>
        <v>0</v>
      </c>
      <c r="BD71" s="248">
        <f t="shared" ref="BD71:BO71" ca="1" si="1867">BD69*BD70</f>
        <v>0</v>
      </c>
      <c r="BE71" s="248">
        <f t="shared" ca="1" si="1867"/>
        <v>0</v>
      </c>
      <c r="BF71" s="248">
        <f t="shared" ca="1" si="1867"/>
        <v>0</v>
      </c>
      <c r="BG71" s="248">
        <f t="shared" ca="1" si="1867"/>
        <v>0</v>
      </c>
      <c r="BH71" s="248">
        <f t="shared" ca="1" si="1867"/>
        <v>0</v>
      </c>
      <c r="BI71" s="248">
        <f t="shared" ca="1" si="1867"/>
        <v>0</v>
      </c>
      <c r="BJ71" s="248">
        <f t="shared" ca="1" si="1867"/>
        <v>0</v>
      </c>
      <c r="BK71" s="248">
        <f t="shared" ca="1" si="1867"/>
        <v>0</v>
      </c>
      <c r="BL71" s="248">
        <f t="shared" ca="1" si="1867"/>
        <v>0</v>
      </c>
      <c r="BM71" s="248">
        <f t="shared" ca="1" si="1867"/>
        <v>0</v>
      </c>
      <c r="BN71" s="248">
        <f t="shared" ca="1" si="1867"/>
        <v>0</v>
      </c>
      <c r="BO71" s="248">
        <f t="shared" ca="1" si="1867"/>
        <v>0</v>
      </c>
      <c r="BP71" s="432">
        <f ca="1">SUM(BD71:BO71)</f>
        <v>0</v>
      </c>
      <c r="BQ71" s="248">
        <f t="shared" ref="BQ71:CB71" ca="1" si="1868">BQ69*BQ70</f>
        <v>0</v>
      </c>
      <c r="BR71" s="248">
        <f t="shared" ca="1" si="1868"/>
        <v>0</v>
      </c>
      <c r="BS71" s="248">
        <f t="shared" ca="1" si="1868"/>
        <v>0</v>
      </c>
      <c r="BT71" s="248">
        <f t="shared" ca="1" si="1868"/>
        <v>0</v>
      </c>
      <c r="BU71" s="248">
        <f t="shared" ca="1" si="1868"/>
        <v>0</v>
      </c>
      <c r="BV71" s="248">
        <f t="shared" ca="1" si="1868"/>
        <v>0</v>
      </c>
      <c r="BW71" s="248">
        <f t="shared" ca="1" si="1868"/>
        <v>0</v>
      </c>
      <c r="BX71" s="248">
        <f t="shared" ca="1" si="1868"/>
        <v>0</v>
      </c>
      <c r="BY71" s="248">
        <f t="shared" ca="1" si="1868"/>
        <v>0</v>
      </c>
      <c r="BZ71" s="248">
        <f t="shared" ca="1" si="1868"/>
        <v>0</v>
      </c>
      <c r="CA71" s="248">
        <f t="shared" ca="1" si="1868"/>
        <v>0</v>
      </c>
      <c r="CB71" s="248">
        <f t="shared" ca="1" si="1868"/>
        <v>0</v>
      </c>
      <c r="CC71" s="432">
        <f ca="1">SUM(BQ71:CB71)</f>
        <v>0</v>
      </c>
      <c r="CD71" s="248">
        <f t="shared" ref="CD71:CO71" ca="1" si="1869">CD69*CD70</f>
        <v>0</v>
      </c>
      <c r="CE71" s="248">
        <f t="shared" ca="1" si="1869"/>
        <v>0</v>
      </c>
      <c r="CF71" s="248">
        <f t="shared" ca="1" si="1869"/>
        <v>0</v>
      </c>
      <c r="CG71" s="248">
        <f t="shared" ca="1" si="1869"/>
        <v>0</v>
      </c>
      <c r="CH71" s="248">
        <f t="shared" ca="1" si="1869"/>
        <v>0</v>
      </c>
      <c r="CI71" s="248">
        <f t="shared" ca="1" si="1869"/>
        <v>0</v>
      </c>
      <c r="CJ71" s="248">
        <f t="shared" ca="1" si="1869"/>
        <v>0</v>
      </c>
      <c r="CK71" s="248">
        <f t="shared" ca="1" si="1869"/>
        <v>0</v>
      </c>
      <c r="CL71" s="248">
        <f t="shared" ca="1" si="1869"/>
        <v>0</v>
      </c>
      <c r="CM71" s="248">
        <f t="shared" ca="1" si="1869"/>
        <v>0</v>
      </c>
      <c r="CN71" s="248">
        <f t="shared" ca="1" si="1869"/>
        <v>0</v>
      </c>
      <c r="CO71" s="248">
        <f t="shared" ca="1" si="1869"/>
        <v>0</v>
      </c>
      <c r="CP71" s="432">
        <f ca="1">SUM(CD71:CO71)</f>
        <v>0</v>
      </c>
    </row>
    <row r="72" spans="1:94" ht="20.100000000000001" hidden="1" customHeight="1">
      <c r="A72" s="789">
        <f ca="1">OFFSET('Summary. Assumptions. Inputs'!$A$45,'Internmediate sheet'!A71/3,0)</f>
        <v>0</v>
      </c>
      <c r="B72" s="17" t="s">
        <v>609</v>
      </c>
      <c r="C72" s="18"/>
      <c r="D72" s="17">
        <f ca="1">OFFSET('Sales, Production, &amp; Other Assu'!D$18,'Internmediate sheet'!$A71/3,0)*Capacity</f>
        <v>0</v>
      </c>
      <c r="E72" s="17">
        <f ca="1">OFFSET('Sales, Production, &amp; Other Assu'!E$18,'Internmediate sheet'!$A71/3,0)*Capacity</f>
        <v>0</v>
      </c>
      <c r="F72" s="17">
        <f ca="1">OFFSET('Sales, Production, &amp; Other Assu'!F$18,'Internmediate sheet'!$A71/3,0)*Capacity</f>
        <v>0</v>
      </c>
      <c r="G72" s="17">
        <f ca="1">OFFSET('Sales, Production, &amp; Other Assu'!G$18,'Internmediate sheet'!$A71/3,0)*Capacity</f>
        <v>0</v>
      </c>
      <c r="H72" s="17">
        <f ca="1">OFFSET('Sales, Production, &amp; Other Assu'!H$18,'Internmediate sheet'!$A71/3,0)*Capacity</f>
        <v>0</v>
      </c>
      <c r="I72" s="17">
        <f ca="1">OFFSET('Sales, Production, &amp; Other Assu'!I$18,'Internmediate sheet'!$A71/3,0)*Capacity</f>
        <v>0</v>
      </c>
      <c r="J72" s="17">
        <f ca="1">OFFSET('Sales, Production, &amp; Other Assu'!J$18,'Internmediate sheet'!$A71/3,0)*Capacity</f>
        <v>0</v>
      </c>
      <c r="K72" s="17">
        <f ca="1">OFFSET('Sales, Production, &amp; Other Assu'!K$18,'Internmediate sheet'!$A71/3,0)*Capacity</f>
        <v>0</v>
      </c>
      <c r="L72" s="17">
        <f ca="1">OFFSET('Sales, Production, &amp; Other Assu'!L$18,'Internmediate sheet'!$A71/3,0)*Capacity</f>
        <v>0</v>
      </c>
      <c r="M72" s="17">
        <f ca="1">OFFSET('Sales, Production, &amp; Other Assu'!M$18,'Internmediate sheet'!$A71/3,0)*Capacity</f>
        <v>0</v>
      </c>
      <c r="N72" s="17">
        <f ca="1">OFFSET('Sales, Production, &amp; Other Assu'!N$18,'Internmediate sheet'!$A71/3,0)*Capacity</f>
        <v>0</v>
      </c>
      <c r="O72" s="17">
        <f ca="1">OFFSET('Sales, Production, &amp; Other Assu'!O$18,'Internmediate sheet'!$A71/3,0)*Capacity</f>
        <v>0</v>
      </c>
      <c r="P72" s="430">
        <f ca="1">SUM(D72:O72)</f>
        <v>0</v>
      </c>
      <c r="Q72" s="17">
        <f ca="1">OFFSET('Sales, Production, &amp; Other Assu'!Q$18,'Internmediate sheet'!$A71/3,0)*Capacity</f>
        <v>0</v>
      </c>
      <c r="R72" s="17">
        <f ca="1">OFFSET('Sales, Production, &amp; Other Assu'!R$18,'Internmediate sheet'!$A71/3,0)*Capacity</f>
        <v>0</v>
      </c>
      <c r="S72" s="17">
        <f ca="1">OFFSET('Sales, Production, &amp; Other Assu'!S$18,'Internmediate sheet'!$A71/3,0)*Capacity</f>
        <v>0</v>
      </c>
      <c r="T72" s="17">
        <f ca="1">OFFSET('Sales, Production, &amp; Other Assu'!T$18,'Internmediate sheet'!$A71/3,0)*Capacity</f>
        <v>0</v>
      </c>
      <c r="U72" s="17">
        <f ca="1">OFFSET('Sales, Production, &amp; Other Assu'!U$18,'Internmediate sheet'!$A71/3,0)*Capacity</f>
        <v>0</v>
      </c>
      <c r="V72" s="17">
        <f ca="1">OFFSET('Sales, Production, &amp; Other Assu'!V$18,'Internmediate sheet'!$A71/3,0)*Capacity</f>
        <v>0</v>
      </c>
      <c r="W72" s="17">
        <f ca="1">OFFSET('Sales, Production, &amp; Other Assu'!W$18,'Internmediate sheet'!$A71/3,0)*Capacity</f>
        <v>0</v>
      </c>
      <c r="X72" s="17">
        <f ca="1">OFFSET('Sales, Production, &amp; Other Assu'!X$18,'Internmediate sheet'!$A71/3,0)*Capacity</f>
        <v>0</v>
      </c>
      <c r="Y72" s="17">
        <f ca="1">OFFSET('Sales, Production, &amp; Other Assu'!Y$18,'Internmediate sheet'!$A71/3,0)*Capacity</f>
        <v>0</v>
      </c>
      <c r="Z72" s="17">
        <f ca="1">OFFSET('Sales, Production, &amp; Other Assu'!Z$18,'Internmediate sheet'!$A71/3,0)*Capacity</f>
        <v>0</v>
      </c>
      <c r="AA72" s="17">
        <f ca="1">OFFSET('Sales, Production, &amp; Other Assu'!AA$18,'Internmediate sheet'!$A71/3,0)*Capacity</f>
        <v>0</v>
      </c>
      <c r="AB72" s="17">
        <f ca="1">OFFSET('Sales, Production, &amp; Other Assu'!AB$18,'Internmediate sheet'!$A71/3,0)*Capacity</f>
        <v>0</v>
      </c>
      <c r="AC72" s="430">
        <f ca="1">SUM(Q72:AB72)</f>
        <v>0</v>
      </c>
      <c r="AD72" s="17">
        <f ca="1">OFFSET('Sales, Production, &amp; Other Assu'!AD$18,'Internmediate sheet'!$A71/3,0)*Capacity</f>
        <v>0</v>
      </c>
      <c r="AE72" s="17">
        <f ca="1">OFFSET('Sales, Production, &amp; Other Assu'!AE$18,'Internmediate sheet'!$A71/3,0)*Capacity</f>
        <v>0</v>
      </c>
      <c r="AF72" s="17">
        <f ca="1">OFFSET('Sales, Production, &amp; Other Assu'!AF$18,'Internmediate sheet'!$A71/3,0)*Capacity</f>
        <v>0</v>
      </c>
      <c r="AG72" s="17">
        <f ca="1">OFFSET('Sales, Production, &amp; Other Assu'!AG$18,'Internmediate sheet'!$A71/3,0)*Capacity</f>
        <v>0</v>
      </c>
      <c r="AH72" s="17">
        <f ca="1">OFFSET('Sales, Production, &amp; Other Assu'!AH$18,'Internmediate sheet'!$A71/3,0)*Capacity</f>
        <v>0</v>
      </c>
      <c r="AI72" s="17">
        <f ca="1">OFFSET('Sales, Production, &amp; Other Assu'!AI$18,'Internmediate sheet'!$A71/3,0)*Capacity</f>
        <v>0</v>
      </c>
      <c r="AJ72" s="17">
        <f ca="1">OFFSET('Sales, Production, &amp; Other Assu'!AJ$18,'Internmediate sheet'!$A71/3,0)*Capacity</f>
        <v>0</v>
      </c>
      <c r="AK72" s="17">
        <f ca="1">OFFSET('Sales, Production, &amp; Other Assu'!AK$18,'Internmediate sheet'!$A71/3,0)*Capacity</f>
        <v>0</v>
      </c>
      <c r="AL72" s="17">
        <f ca="1">OFFSET('Sales, Production, &amp; Other Assu'!AL$18,'Internmediate sheet'!$A71/3,0)*Capacity</f>
        <v>0</v>
      </c>
      <c r="AM72" s="17">
        <f ca="1">OFFSET('Sales, Production, &amp; Other Assu'!AM$18,'Internmediate sheet'!$A71/3,0)*Capacity</f>
        <v>0</v>
      </c>
      <c r="AN72" s="17">
        <f ca="1">OFFSET('Sales, Production, &amp; Other Assu'!AN$18,'Internmediate sheet'!$A71/3,0)*Capacity</f>
        <v>0</v>
      </c>
      <c r="AO72" s="17">
        <f ca="1">OFFSET('Sales, Production, &amp; Other Assu'!AO$18,'Internmediate sheet'!$A71/3,0)*Capacity</f>
        <v>0</v>
      </c>
      <c r="AP72" s="430">
        <f ca="1">SUM(AD72:AO72)</f>
        <v>0</v>
      </c>
      <c r="AQ72" s="17">
        <f ca="1">OFFSET('Sales, Production, &amp; Other Assu'!AQ$18,'Internmediate sheet'!$A71/3,0)*Capacity</f>
        <v>0</v>
      </c>
      <c r="AR72" s="17">
        <f ca="1">OFFSET('Sales, Production, &amp; Other Assu'!AR$18,'Internmediate sheet'!$A71/3,0)*Capacity</f>
        <v>0</v>
      </c>
      <c r="AS72" s="17">
        <f ca="1">OFFSET('Sales, Production, &amp; Other Assu'!AS$18,'Internmediate sheet'!$A71/3,0)*Capacity</f>
        <v>0</v>
      </c>
      <c r="AT72" s="17">
        <f ca="1">OFFSET('Sales, Production, &amp; Other Assu'!AT$18,'Internmediate sheet'!$A71/3,0)*Capacity</f>
        <v>0</v>
      </c>
      <c r="AU72" s="17">
        <f ca="1">OFFSET('Sales, Production, &amp; Other Assu'!AU$18,'Internmediate sheet'!$A71/3,0)*Capacity</f>
        <v>0</v>
      </c>
      <c r="AV72" s="17">
        <f ca="1">OFFSET('Sales, Production, &amp; Other Assu'!AV$18,'Internmediate sheet'!$A71/3,0)*Capacity</f>
        <v>0</v>
      </c>
      <c r="AW72" s="17">
        <f ca="1">OFFSET('Sales, Production, &amp; Other Assu'!AW$18,'Internmediate sheet'!$A71/3,0)*Capacity</f>
        <v>0</v>
      </c>
      <c r="AX72" s="17">
        <f ca="1">OFFSET('Sales, Production, &amp; Other Assu'!AX$18,'Internmediate sheet'!$A71/3,0)*Capacity</f>
        <v>0</v>
      </c>
      <c r="AY72" s="17">
        <f ca="1">OFFSET('Sales, Production, &amp; Other Assu'!AY$18,'Internmediate sheet'!$A71/3,0)*Capacity</f>
        <v>0</v>
      </c>
      <c r="AZ72" s="17">
        <f ca="1">OFFSET('Sales, Production, &amp; Other Assu'!AZ$18,'Internmediate sheet'!$A71/3,0)*Capacity</f>
        <v>0</v>
      </c>
      <c r="BA72" s="17">
        <f ca="1">OFFSET('Sales, Production, &amp; Other Assu'!BA$18,'Internmediate sheet'!$A71/3,0)*Capacity</f>
        <v>0</v>
      </c>
      <c r="BB72" s="17">
        <f ca="1">OFFSET('Sales, Production, &amp; Other Assu'!BB$18,'Internmediate sheet'!$A71/3,0)*Capacity</f>
        <v>0</v>
      </c>
      <c r="BC72" s="430">
        <f ca="1">SUM(AQ72:BB72)</f>
        <v>0</v>
      </c>
      <c r="BD72" s="17">
        <f ca="1">OFFSET('Sales, Production, &amp; Other Assu'!BD$18,'Internmediate sheet'!$A71/3,0)*Capacity</f>
        <v>0</v>
      </c>
      <c r="BE72" s="17">
        <f ca="1">OFFSET('Sales, Production, &amp; Other Assu'!BE$18,'Internmediate sheet'!$A71/3,0)*Capacity</f>
        <v>0</v>
      </c>
      <c r="BF72" s="17">
        <f ca="1">OFFSET('Sales, Production, &amp; Other Assu'!BF$18,'Internmediate sheet'!$A71/3,0)*Capacity</f>
        <v>0</v>
      </c>
      <c r="BG72" s="17">
        <f ca="1">OFFSET('Sales, Production, &amp; Other Assu'!BG$18,'Internmediate sheet'!$A71/3,0)*Capacity</f>
        <v>0</v>
      </c>
      <c r="BH72" s="17">
        <f ca="1">OFFSET('Sales, Production, &amp; Other Assu'!BH$18,'Internmediate sheet'!$A71/3,0)*Capacity</f>
        <v>0</v>
      </c>
      <c r="BI72" s="17">
        <f ca="1">OFFSET('Sales, Production, &amp; Other Assu'!BI$18,'Internmediate sheet'!$A71/3,0)*Capacity</f>
        <v>0</v>
      </c>
      <c r="BJ72" s="17">
        <f ca="1">OFFSET('Sales, Production, &amp; Other Assu'!BJ$18,'Internmediate sheet'!$A71/3,0)*Capacity</f>
        <v>0</v>
      </c>
      <c r="BK72" s="17">
        <f ca="1">OFFSET('Sales, Production, &amp; Other Assu'!BK$18,'Internmediate sheet'!$A71/3,0)*Capacity</f>
        <v>0</v>
      </c>
      <c r="BL72" s="17">
        <f ca="1">OFFSET('Sales, Production, &amp; Other Assu'!BL$18,'Internmediate sheet'!$A71/3,0)*Capacity</f>
        <v>0</v>
      </c>
      <c r="BM72" s="17">
        <f ca="1">OFFSET('Sales, Production, &amp; Other Assu'!BM$18,'Internmediate sheet'!$A71/3,0)*Capacity</f>
        <v>0</v>
      </c>
      <c r="BN72" s="17">
        <f ca="1">OFFSET('Sales, Production, &amp; Other Assu'!BN$18,'Internmediate sheet'!$A71/3,0)*Capacity</f>
        <v>0</v>
      </c>
      <c r="BO72" s="17">
        <f ca="1">OFFSET('Sales, Production, &amp; Other Assu'!BO$18,'Internmediate sheet'!$A71/3,0)*Capacity</f>
        <v>0</v>
      </c>
      <c r="BP72" s="430">
        <f ca="1">SUM(BD72:BO72)</f>
        <v>0</v>
      </c>
      <c r="BQ72" s="17">
        <f ca="1">OFFSET('Sales, Production, &amp; Other Assu'!BQ$18,'Internmediate sheet'!$A71/3,0)*Capacity</f>
        <v>0</v>
      </c>
      <c r="BR72" s="17">
        <f ca="1">OFFSET('Sales, Production, &amp; Other Assu'!BR$18,'Internmediate sheet'!$A71/3,0)*Capacity</f>
        <v>0</v>
      </c>
      <c r="BS72" s="17">
        <f ca="1">OFFSET('Sales, Production, &amp; Other Assu'!BS$18,'Internmediate sheet'!$A71/3,0)*Capacity</f>
        <v>0</v>
      </c>
      <c r="BT72" s="17">
        <f ca="1">OFFSET('Sales, Production, &amp; Other Assu'!BT$18,'Internmediate sheet'!$A71/3,0)*Capacity</f>
        <v>0</v>
      </c>
      <c r="BU72" s="17">
        <f ca="1">OFFSET('Sales, Production, &amp; Other Assu'!BU$18,'Internmediate sheet'!$A71/3,0)*Capacity</f>
        <v>0</v>
      </c>
      <c r="BV72" s="17">
        <f ca="1">OFFSET('Sales, Production, &amp; Other Assu'!BV$18,'Internmediate sheet'!$A71/3,0)*Capacity</f>
        <v>0</v>
      </c>
      <c r="BW72" s="17">
        <f ca="1">OFFSET('Sales, Production, &amp; Other Assu'!BW$18,'Internmediate sheet'!$A71/3,0)*Capacity</f>
        <v>0</v>
      </c>
      <c r="BX72" s="17">
        <f ca="1">OFFSET('Sales, Production, &amp; Other Assu'!BX$18,'Internmediate sheet'!$A71/3,0)*Capacity</f>
        <v>0</v>
      </c>
      <c r="BY72" s="17">
        <f ca="1">OFFSET('Sales, Production, &amp; Other Assu'!BY$18,'Internmediate sheet'!$A71/3,0)*Capacity</f>
        <v>0</v>
      </c>
      <c r="BZ72" s="17">
        <f ca="1">OFFSET('Sales, Production, &amp; Other Assu'!BZ$18,'Internmediate sheet'!$A71/3,0)*Capacity</f>
        <v>0</v>
      </c>
      <c r="CA72" s="17">
        <f ca="1">OFFSET('Sales, Production, &amp; Other Assu'!CA$18,'Internmediate sheet'!$A71/3,0)*Capacity</f>
        <v>0</v>
      </c>
      <c r="CB72" s="17">
        <f ca="1">OFFSET('Sales, Production, &amp; Other Assu'!CB$18,'Internmediate sheet'!$A71/3,0)*Capacity</f>
        <v>0</v>
      </c>
      <c r="CC72" s="430">
        <f ca="1">SUM(BQ72:CB72)</f>
        <v>0</v>
      </c>
      <c r="CD72" s="17">
        <f ca="1">OFFSET('Sales, Production, &amp; Other Assu'!CD$18,'Internmediate sheet'!$A71/3,0)*Capacity</f>
        <v>0</v>
      </c>
      <c r="CE72" s="17">
        <f ca="1">OFFSET('Sales, Production, &amp; Other Assu'!CE$18,'Internmediate sheet'!$A71/3,0)*Capacity</f>
        <v>0</v>
      </c>
      <c r="CF72" s="17">
        <f ca="1">OFFSET('Sales, Production, &amp; Other Assu'!CF$18,'Internmediate sheet'!$A71/3,0)*Capacity</f>
        <v>0</v>
      </c>
      <c r="CG72" s="17">
        <f ca="1">OFFSET('Sales, Production, &amp; Other Assu'!CG$18,'Internmediate sheet'!$A71/3,0)*Capacity</f>
        <v>0</v>
      </c>
      <c r="CH72" s="17">
        <f ca="1">OFFSET('Sales, Production, &amp; Other Assu'!CH$18,'Internmediate sheet'!$A71/3,0)*Capacity</f>
        <v>0</v>
      </c>
      <c r="CI72" s="17">
        <f ca="1">OFFSET('Sales, Production, &amp; Other Assu'!CI$18,'Internmediate sheet'!$A71/3,0)*Capacity</f>
        <v>0</v>
      </c>
      <c r="CJ72" s="17">
        <f ca="1">OFFSET('Sales, Production, &amp; Other Assu'!CJ$18,'Internmediate sheet'!$A71/3,0)*Capacity</f>
        <v>0</v>
      </c>
      <c r="CK72" s="17">
        <f ca="1">OFFSET('Sales, Production, &amp; Other Assu'!CK$18,'Internmediate sheet'!$A71/3,0)*Capacity</f>
        <v>0</v>
      </c>
      <c r="CL72" s="17">
        <f ca="1">OFFSET('Sales, Production, &amp; Other Assu'!CL$18,'Internmediate sheet'!$A71/3,0)*Capacity</f>
        <v>0</v>
      </c>
      <c r="CM72" s="17">
        <f ca="1">OFFSET('Sales, Production, &amp; Other Assu'!CM$18,'Internmediate sheet'!$A71/3,0)*Capacity</f>
        <v>0</v>
      </c>
      <c r="CN72" s="17">
        <f ca="1">OFFSET('Sales, Production, &amp; Other Assu'!CN$18,'Internmediate sheet'!$A71/3,0)*Capacity</f>
        <v>0</v>
      </c>
      <c r="CO72" s="17">
        <f ca="1">OFFSET('Sales, Production, &amp; Other Assu'!CO$18,'Internmediate sheet'!$A71/3,0)*Capacity</f>
        <v>0</v>
      </c>
      <c r="CP72" s="430">
        <f ca="1">SUM(CD72:CO72)</f>
        <v>0</v>
      </c>
    </row>
    <row r="73" spans="1:94" ht="20.100000000000001" hidden="1" customHeight="1">
      <c r="A73" s="790"/>
      <c r="B73" s="8" t="s">
        <v>610</v>
      </c>
      <c r="C73" s="8">
        <f ca="1">OFFSET('Summary. Assumptions. Inputs'!$F$46,'Internmediate sheet'!A68/3,0)</f>
        <v>0</v>
      </c>
      <c r="D73" s="8">
        <f t="shared" ref="D73:P73" ca="1" si="1870">C73</f>
        <v>0</v>
      </c>
      <c r="E73" s="8">
        <f t="shared" ca="1" si="1870"/>
        <v>0</v>
      </c>
      <c r="F73" s="8">
        <f t="shared" ca="1" si="1870"/>
        <v>0</v>
      </c>
      <c r="G73" s="8">
        <f t="shared" ca="1" si="1870"/>
        <v>0</v>
      </c>
      <c r="H73" s="8">
        <f t="shared" ca="1" si="1870"/>
        <v>0</v>
      </c>
      <c r="I73" s="8">
        <f t="shared" ca="1" si="1870"/>
        <v>0</v>
      </c>
      <c r="J73" s="8">
        <f t="shared" ca="1" si="1870"/>
        <v>0</v>
      </c>
      <c r="K73" s="8">
        <f t="shared" ca="1" si="1870"/>
        <v>0</v>
      </c>
      <c r="L73" s="8">
        <f t="shared" ca="1" si="1870"/>
        <v>0</v>
      </c>
      <c r="M73" s="8">
        <f t="shared" ca="1" si="1870"/>
        <v>0</v>
      </c>
      <c r="N73" s="8">
        <f t="shared" ca="1" si="1870"/>
        <v>0</v>
      </c>
      <c r="O73" s="8">
        <f t="shared" ca="1" si="1870"/>
        <v>0</v>
      </c>
      <c r="P73" s="431">
        <f t="shared" ca="1" si="1870"/>
        <v>0</v>
      </c>
      <c r="Q73" s="8">
        <f t="shared" ref="Q73" ca="1" si="1871">P73</f>
        <v>0</v>
      </c>
      <c r="R73" s="8">
        <f t="shared" ref="R73" ca="1" si="1872">Q73</f>
        <v>0</v>
      </c>
      <c r="S73" s="8">
        <f t="shared" ref="S73" ca="1" si="1873">R73</f>
        <v>0</v>
      </c>
      <c r="T73" s="8">
        <f t="shared" ref="T73" ca="1" si="1874">S73</f>
        <v>0</v>
      </c>
      <c r="U73" s="8">
        <f t="shared" ref="U73" ca="1" si="1875">T73</f>
        <v>0</v>
      </c>
      <c r="V73" s="8">
        <f t="shared" ref="V73" ca="1" si="1876">U73</f>
        <v>0</v>
      </c>
      <c r="W73" s="8">
        <f t="shared" ref="W73" ca="1" si="1877">V73</f>
        <v>0</v>
      </c>
      <c r="X73" s="8">
        <f t="shared" ref="X73" ca="1" si="1878">W73</f>
        <v>0</v>
      </c>
      <c r="Y73" s="8">
        <f t="shared" ref="Y73" ca="1" si="1879">X73</f>
        <v>0</v>
      </c>
      <c r="Z73" s="8">
        <f t="shared" ref="Z73" ca="1" si="1880">Y73</f>
        <v>0</v>
      </c>
      <c r="AA73" s="8">
        <f t="shared" ref="AA73" ca="1" si="1881">Z73</f>
        <v>0</v>
      </c>
      <c r="AB73" s="8">
        <f t="shared" ref="AB73" ca="1" si="1882">AA73</f>
        <v>0</v>
      </c>
      <c r="AC73" s="431">
        <f t="shared" ref="AC73" ca="1" si="1883">AB73</f>
        <v>0</v>
      </c>
      <c r="AD73" s="8">
        <f t="shared" ref="AD73" ca="1" si="1884">AC73</f>
        <v>0</v>
      </c>
      <c r="AE73" s="8">
        <f t="shared" ref="AE73" ca="1" si="1885">AD73</f>
        <v>0</v>
      </c>
      <c r="AF73" s="8">
        <f t="shared" ref="AF73" ca="1" si="1886">AE73</f>
        <v>0</v>
      </c>
      <c r="AG73" s="8">
        <f t="shared" ref="AG73" ca="1" si="1887">AF73</f>
        <v>0</v>
      </c>
      <c r="AH73" s="8">
        <f t="shared" ref="AH73" ca="1" si="1888">AG73</f>
        <v>0</v>
      </c>
      <c r="AI73" s="8">
        <f t="shared" ref="AI73" ca="1" si="1889">AH73</f>
        <v>0</v>
      </c>
      <c r="AJ73" s="8">
        <f t="shared" ref="AJ73" ca="1" si="1890">AI73</f>
        <v>0</v>
      </c>
      <c r="AK73" s="8">
        <f t="shared" ref="AK73" ca="1" si="1891">AJ73</f>
        <v>0</v>
      </c>
      <c r="AL73" s="8">
        <f t="shared" ref="AL73" ca="1" si="1892">AK73</f>
        <v>0</v>
      </c>
      <c r="AM73" s="8">
        <f t="shared" ref="AM73" ca="1" si="1893">AL73</f>
        <v>0</v>
      </c>
      <c r="AN73" s="8">
        <f t="shared" ref="AN73" ca="1" si="1894">AM73</f>
        <v>0</v>
      </c>
      <c r="AO73" s="8">
        <f t="shared" ref="AO73" ca="1" si="1895">AN73</f>
        <v>0</v>
      </c>
      <c r="AP73" s="431">
        <f t="shared" ref="AP73" ca="1" si="1896">AO73</f>
        <v>0</v>
      </c>
      <c r="AQ73" s="8">
        <f ca="1">AP73</f>
        <v>0</v>
      </c>
      <c r="AR73" s="8">
        <f t="shared" ref="AR73" ca="1" si="1897">AQ73</f>
        <v>0</v>
      </c>
      <c r="AS73" s="8">
        <f t="shared" ref="AS73" ca="1" si="1898">AR73</f>
        <v>0</v>
      </c>
      <c r="AT73" s="8">
        <f t="shared" ref="AT73" ca="1" si="1899">AS73</f>
        <v>0</v>
      </c>
      <c r="AU73" s="8">
        <f t="shared" ref="AU73" ca="1" si="1900">AT73</f>
        <v>0</v>
      </c>
      <c r="AV73" s="8">
        <f t="shared" ref="AV73" ca="1" si="1901">AU73</f>
        <v>0</v>
      </c>
      <c r="AW73" s="8">
        <f t="shared" ref="AW73" ca="1" si="1902">AV73</f>
        <v>0</v>
      </c>
      <c r="AX73" s="8">
        <f t="shared" ref="AX73" ca="1" si="1903">AW73</f>
        <v>0</v>
      </c>
      <c r="AY73" s="8">
        <f t="shared" ref="AY73" ca="1" si="1904">AX73</f>
        <v>0</v>
      </c>
      <c r="AZ73" s="8">
        <f t="shared" ref="AZ73" ca="1" si="1905">AY73</f>
        <v>0</v>
      </c>
      <c r="BA73" s="8">
        <f t="shared" ref="BA73" ca="1" si="1906">AZ73</f>
        <v>0</v>
      </c>
      <c r="BB73" s="8">
        <f t="shared" ref="BB73" ca="1" si="1907">BA73</f>
        <v>0</v>
      </c>
      <c r="BC73" s="431">
        <f t="shared" ref="BC73" ca="1" si="1908">BB73</f>
        <v>0</v>
      </c>
      <c r="BD73" s="8">
        <f t="shared" ref="BD73" ca="1" si="1909">BC73</f>
        <v>0</v>
      </c>
      <c r="BE73" s="8">
        <f t="shared" ref="BE73" ca="1" si="1910">BD73</f>
        <v>0</v>
      </c>
      <c r="BF73" s="8">
        <f t="shared" ref="BF73" ca="1" si="1911">BE73</f>
        <v>0</v>
      </c>
      <c r="BG73" s="8">
        <f t="shared" ref="BG73" ca="1" si="1912">BF73</f>
        <v>0</v>
      </c>
      <c r="BH73" s="8">
        <f t="shared" ref="BH73" ca="1" si="1913">BG73</f>
        <v>0</v>
      </c>
      <c r="BI73" s="8">
        <f t="shared" ref="BI73" ca="1" si="1914">BH73</f>
        <v>0</v>
      </c>
      <c r="BJ73" s="8">
        <f t="shared" ref="BJ73" ca="1" si="1915">BI73</f>
        <v>0</v>
      </c>
      <c r="BK73" s="8">
        <f t="shared" ref="BK73" ca="1" si="1916">BJ73</f>
        <v>0</v>
      </c>
      <c r="BL73" s="8">
        <f t="shared" ref="BL73" ca="1" si="1917">BK73</f>
        <v>0</v>
      </c>
      <c r="BM73" s="8">
        <f t="shared" ref="BM73" ca="1" si="1918">BL73</f>
        <v>0</v>
      </c>
      <c r="BN73" s="8">
        <f t="shared" ref="BN73" ca="1" si="1919">BM73</f>
        <v>0</v>
      </c>
      <c r="BO73" s="8">
        <f t="shared" ref="BO73" ca="1" si="1920">BN73</f>
        <v>0</v>
      </c>
      <c r="BP73" s="431">
        <f t="shared" ref="BP73" ca="1" si="1921">BO73</f>
        <v>0</v>
      </c>
      <c r="BQ73" s="8">
        <f t="shared" ref="BQ73" ca="1" si="1922">BP73</f>
        <v>0</v>
      </c>
      <c r="BR73" s="8">
        <f t="shared" ref="BR73" ca="1" si="1923">BQ73</f>
        <v>0</v>
      </c>
      <c r="BS73" s="8">
        <f t="shared" ref="BS73" ca="1" si="1924">BR73</f>
        <v>0</v>
      </c>
      <c r="BT73" s="8">
        <f t="shared" ref="BT73" ca="1" si="1925">BS73</f>
        <v>0</v>
      </c>
      <c r="BU73" s="8">
        <f t="shared" ref="BU73" ca="1" si="1926">BT73</f>
        <v>0</v>
      </c>
      <c r="BV73" s="8">
        <f t="shared" ref="BV73" ca="1" si="1927">BU73</f>
        <v>0</v>
      </c>
      <c r="BW73" s="8">
        <f t="shared" ref="BW73" ca="1" si="1928">BV73</f>
        <v>0</v>
      </c>
      <c r="BX73" s="8">
        <f t="shared" ref="BX73" ca="1" si="1929">BW73</f>
        <v>0</v>
      </c>
      <c r="BY73" s="8">
        <f t="shared" ref="BY73" ca="1" si="1930">BX73</f>
        <v>0</v>
      </c>
      <c r="BZ73" s="8">
        <f t="shared" ref="BZ73" ca="1" si="1931">BY73</f>
        <v>0</v>
      </c>
      <c r="CA73" s="8">
        <f t="shared" ref="CA73" ca="1" si="1932">BZ73</f>
        <v>0</v>
      </c>
      <c r="CB73" s="8">
        <f t="shared" ref="CB73" ca="1" si="1933">CA73</f>
        <v>0</v>
      </c>
      <c r="CC73" s="431">
        <f t="shared" ref="CC73" ca="1" si="1934">CB73</f>
        <v>0</v>
      </c>
      <c r="CD73" s="8">
        <f t="shared" ref="CD73" ca="1" si="1935">CC73</f>
        <v>0</v>
      </c>
      <c r="CE73" s="8">
        <f t="shared" ref="CE73" ca="1" si="1936">CD73</f>
        <v>0</v>
      </c>
      <c r="CF73" s="8">
        <f t="shared" ref="CF73" ca="1" si="1937">CE73</f>
        <v>0</v>
      </c>
      <c r="CG73" s="8">
        <f t="shared" ref="CG73" ca="1" si="1938">CF73</f>
        <v>0</v>
      </c>
      <c r="CH73" s="8">
        <f t="shared" ref="CH73" ca="1" si="1939">CG73</f>
        <v>0</v>
      </c>
      <c r="CI73" s="8">
        <f t="shared" ref="CI73" ca="1" si="1940">CH73</f>
        <v>0</v>
      </c>
      <c r="CJ73" s="8">
        <f t="shared" ref="CJ73" ca="1" si="1941">CI73</f>
        <v>0</v>
      </c>
      <c r="CK73" s="8">
        <f t="shared" ref="CK73" ca="1" si="1942">CJ73</f>
        <v>0</v>
      </c>
      <c r="CL73" s="8">
        <f t="shared" ref="CL73" ca="1" si="1943">CK73</f>
        <v>0</v>
      </c>
      <c r="CM73" s="8">
        <f t="shared" ref="CM73" ca="1" si="1944">CL73</f>
        <v>0</v>
      </c>
      <c r="CN73" s="8">
        <f t="shared" ref="CN73" ca="1" si="1945">CM73</f>
        <v>0</v>
      </c>
      <c r="CO73" s="8">
        <f t="shared" ref="CO73" ca="1" si="1946">CN73</f>
        <v>0</v>
      </c>
      <c r="CP73" s="431">
        <f t="shared" ref="CP73" ca="1" si="1947">CO73</f>
        <v>0</v>
      </c>
    </row>
    <row r="74" spans="1:94" ht="20.100000000000001" hidden="1" customHeight="1">
      <c r="A74" s="791"/>
      <c r="B74" s="248" t="s">
        <v>611</v>
      </c>
      <c r="C74" s="249">
        <f t="shared" ref="C74:O74" ca="1" si="1948">C72*C73</f>
        <v>0</v>
      </c>
      <c r="D74" s="248">
        <f t="shared" ca="1" si="1948"/>
        <v>0</v>
      </c>
      <c r="E74" s="248">
        <f t="shared" ca="1" si="1948"/>
        <v>0</v>
      </c>
      <c r="F74" s="248">
        <f t="shared" ca="1" si="1948"/>
        <v>0</v>
      </c>
      <c r="G74" s="248">
        <f t="shared" ca="1" si="1948"/>
        <v>0</v>
      </c>
      <c r="H74" s="248">
        <f t="shared" ca="1" si="1948"/>
        <v>0</v>
      </c>
      <c r="I74" s="248">
        <f t="shared" ca="1" si="1948"/>
        <v>0</v>
      </c>
      <c r="J74" s="248">
        <f t="shared" ca="1" si="1948"/>
        <v>0</v>
      </c>
      <c r="K74" s="248">
        <f t="shared" ca="1" si="1948"/>
        <v>0</v>
      </c>
      <c r="L74" s="248">
        <f t="shared" ca="1" si="1948"/>
        <v>0</v>
      </c>
      <c r="M74" s="248">
        <f t="shared" ca="1" si="1948"/>
        <v>0</v>
      </c>
      <c r="N74" s="248">
        <f t="shared" ca="1" si="1948"/>
        <v>0</v>
      </c>
      <c r="O74" s="248">
        <f t="shared" ca="1" si="1948"/>
        <v>0</v>
      </c>
      <c r="P74" s="432">
        <f ca="1">SUM(D74:O74)</f>
        <v>0</v>
      </c>
      <c r="Q74" s="248">
        <f t="shared" ref="Q74:AB74" ca="1" si="1949">Q72*Q73</f>
        <v>0</v>
      </c>
      <c r="R74" s="248">
        <f t="shared" ca="1" si="1949"/>
        <v>0</v>
      </c>
      <c r="S74" s="248">
        <f t="shared" ca="1" si="1949"/>
        <v>0</v>
      </c>
      <c r="T74" s="248">
        <f t="shared" ca="1" si="1949"/>
        <v>0</v>
      </c>
      <c r="U74" s="248">
        <f t="shared" ca="1" si="1949"/>
        <v>0</v>
      </c>
      <c r="V74" s="248">
        <f t="shared" ca="1" si="1949"/>
        <v>0</v>
      </c>
      <c r="W74" s="248">
        <f t="shared" ca="1" si="1949"/>
        <v>0</v>
      </c>
      <c r="X74" s="248">
        <f t="shared" ca="1" si="1949"/>
        <v>0</v>
      </c>
      <c r="Y74" s="248">
        <f t="shared" ca="1" si="1949"/>
        <v>0</v>
      </c>
      <c r="Z74" s="248">
        <f t="shared" ca="1" si="1949"/>
        <v>0</v>
      </c>
      <c r="AA74" s="248">
        <f t="shared" ca="1" si="1949"/>
        <v>0</v>
      </c>
      <c r="AB74" s="248">
        <f t="shared" ca="1" si="1949"/>
        <v>0</v>
      </c>
      <c r="AC74" s="432">
        <f ca="1">SUM(Q74:AB74)</f>
        <v>0</v>
      </c>
      <c r="AD74" s="248">
        <f t="shared" ref="AD74:AO74" ca="1" si="1950">AD72*AD73</f>
        <v>0</v>
      </c>
      <c r="AE74" s="248">
        <f t="shared" ca="1" si="1950"/>
        <v>0</v>
      </c>
      <c r="AF74" s="248">
        <f t="shared" ca="1" si="1950"/>
        <v>0</v>
      </c>
      <c r="AG74" s="248">
        <f t="shared" ca="1" si="1950"/>
        <v>0</v>
      </c>
      <c r="AH74" s="248">
        <f t="shared" ca="1" si="1950"/>
        <v>0</v>
      </c>
      <c r="AI74" s="248">
        <f t="shared" ca="1" si="1950"/>
        <v>0</v>
      </c>
      <c r="AJ74" s="248">
        <f t="shared" ca="1" si="1950"/>
        <v>0</v>
      </c>
      <c r="AK74" s="248">
        <f t="shared" ca="1" si="1950"/>
        <v>0</v>
      </c>
      <c r="AL74" s="248">
        <f t="shared" ca="1" si="1950"/>
        <v>0</v>
      </c>
      <c r="AM74" s="248">
        <f t="shared" ca="1" si="1950"/>
        <v>0</v>
      </c>
      <c r="AN74" s="248">
        <f t="shared" ca="1" si="1950"/>
        <v>0</v>
      </c>
      <c r="AO74" s="248">
        <f t="shared" ca="1" si="1950"/>
        <v>0</v>
      </c>
      <c r="AP74" s="432">
        <f ca="1">SUM(AD74:AO74)</f>
        <v>0</v>
      </c>
      <c r="AQ74" s="248">
        <f t="shared" ref="AQ74:BB74" ca="1" si="1951">AQ72*AQ73</f>
        <v>0</v>
      </c>
      <c r="AR74" s="248">
        <f t="shared" ca="1" si="1951"/>
        <v>0</v>
      </c>
      <c r="AS74" s="248">
        <f t="shared" ca="1" si="1951"/>
        <v>0</v>
      </c>
      <c r="AT74" s="248">
        <f t="shared" ca="1" si="1951"/>
        <v>0</v>
      </c>
      <c r="AU74" s="248">
        <f t="shared" ca="1" si="1951"/>
        <v>0</v>
      </c>
      <c r="AV74" s="248">
        <f t="shared" ca="1" si="1951"/>
        <v>0</v>
      </c>
      <c r="AW74" s="248">
        <f t="shared" ca="1" si="1951"/>
        <v>0</v>
      </c>
      <c r="AX74" s="248">
        <f t="shared" ca="1" si="1951"/>
        <v>0</v>
      </c>
      <c r="AY74" s="248">
        <f t="shared" ca="1" si="1951"/>
        <v>0</v>
      </c>
      <c r="AZ74" s="248">
        <f t="shared" ca="1" si="1951"/>
        <v>0</v>
      </c>
      <c r="BA74" s="248">
        <f t="shared" ca="1" si="1951"/>
        <v>0</v>
      </c>
      <c r="BB74" s="248">
        <f t="shared" ca="1" si="1951"/>
        <v>0</v>
      </c>
      <c r="BC74" s="432">
        <f ca="1">SUM(AQ74:BB74)</f>
        <v>0</v>
      </c>
      <c r="BD74" s="248">
        <f t="shared" ref="BD74:BO74" ca="1" si="1952">BD72*BD73</f>
        <v>0</v>
      </c>
      <c r="BE74" s="248">
        <f t="shared" ca="1" si="1952"/>
        <v>0</v>
      </c>
      <c r="BF74" s="248">
        <f t="shared" ca="1" si="1952"/>
        <v>0</v>
      </c>
      <c r="BG74" s="248">
        <f t="shared" ca="1" si="1952"/>
        <v>0</v>
      </c>
      <c r="BH74" s="248">
        <f t="shared" ca="1" si="1952"/>
        <v>0</v>
      </c>
      <c r="BI74" s="248">
        <f t="shared" ca="1" si="1952"/>
        <v>0</v>
      </c>
      <c r="BJ74" s="248">
        <f t="shared" ca="1" si="1952"/>
        <v>0</v>
      </c>
      <c r="BK74" s="248">
        <f t="shared" ca="1" si="1952"/>
        <v>0</v>
      </c>
      <c r="BL74" s="248">
        <f t="shared" ca="1" si="1952"/>
        <v>0</v>
      </c>
      <c r="BM74" s="248">
        <f t="shared" ca="1" si="1952"/>
        <v>0</v>
      </c>
      <c r="BN74" s="248">
        <f t="shared" ca="1" si="1952"/>
        <v>0</v>
      </c>
      <c r="BO74" s="248">
        <f t="shared" ca="1" si="1952"/>
        <v>0</v>
      </c>
      <c r="BP74" s="432">
        <f ca="1">SUM(BD74:BO74)</f>
        <v>0</v>
      </c>
      <c r="BQ74" s="248">
        <f t="shared" ref="BQ74:CB74" ca="1" si="1953">BQ72*BQ73</f>
        <v>0</v>
      </c>
      <c r="BR74" s="248">
        <f t="shared" ca="1" si="1953"/>
        <v>0</v>
      </c>
      <c r="BS74" s="248">
        <f t="shared" ca="1" si="1953"/>
        <v>0</v>
      </c>
      <c r="BT74" s="248">
        <f t="shared" ca="1" si="1953"/>
        <v>0</v>
      </c>
      <c r="BU74" s="248">
        <f t="shared" ca="1" si="1953"/>
        <v>0</v>
      </c>
      <c r="BV74" s="248">
        <f t="shared" ca="1" si="1953"/>
        <v>0</v>
      </c>
      <c r="BW74" s="248">
        <f t="shared" ca="1" si="1953"/>
        <v>0</v>
      </c>
      <c r="BX74" s="248">
        <f t="shared" ca="1" si="1953"/>
        <v>0</v>
      </c>
      <c r="BY74" s="248">
        <f t="shared" ca="1" si="1953"/>
        <v>0</v>
      </c>
      <c r="BZ74" s="248">
        <f t="shared" ca="1" si="1953"/>
        <v>0</v>
      </c>
      <c r="CA74" s="248">
        <f t="shared" ca="1" si="1953"/>
        <v>0</v>
      </c>
      <c r="CB74" s="248">
        <f t="shared" ca="1" si="1953"/>
        <v>0</v>
      </c>
      <c r="CC74" s="432">
        <f ca="1">SUM(BQ74:CB74)</f>
        <v>0</v>
      </c>
      <c r="CD74" s="248">
        <f t="shared" ref="CD74:CO74" ca="1" si="1954">CD72*CD73</f>
        <v>0</v>
      </c>
      <c r="CE74" s="248">
        <f t="shared" ca="1" si="1954"/>
        <v>0</v>
      </c>
      <c r="CF74" s="248">
        <f t="shared" ca="1" si="1954"/>
        <v>0</v>
      </c>
      <c r="CG74" s="248">
        <f t="shared" ca="1" si="1954"/>
        <v>0</v>
      </c>
      <c r="CH74" s="248">
        <f t="shared" ca="1" si="1954"/>
        <v>0</v>
      </c>
      <c r="CI74" s="248">
        <f t="shared" ca="1" si="1954"/>
        <v>0</v>
      </c>
      <c r="CJ74" s="248">
        <f t="shared" ca="1" si="1954"/>
        <v>0</v>
      </c>
      <c r="CK74" s="248">
        <f t="shared" ca="1" si="1954"/>
        <v>0</v>
      </c>
      <c r="CL74" s="248">
        <f t="shared" ca="1" si="1954"/>
        <v>0</v>
      </c>
      <c r="CM74" s="248">
        <f t="shared" ca="1" si="1954"/>
        <v>0</v>
      </c>
      <c r="CN74" s="248">
        <f t="shared" ca="1" si="1954"/>
        <v>0</v>
      </c>
      <c r="CO74" s="248">
        <f t="shared" ca="1" si="1954"/>
        <v>0</v>
      </c>
      <c r="CP74" s="432">
        <f ca="1">SUM(CD74:CO74)</f>
        <v>0</v>
      </c>
    </row>
    <row r="75" spans="1:94" ht="20.100000000000001" hidden="1" customHeight="1">
      <c r="A75" s="789">
        <f ca="1">OFFSET('Summary. Assumptions. Inputs'!$A$45,'Internmediate sheet'!A74/3,0)</f>
        <v>0</v>
      </c>
      <c r="B75" s="17" t="s">
        <v>609</v>
      </c>
      <c r="C75" s="18"/>
      <c r="D75" s="17">
        <f ca="1">OFFSET('Sales, Production, &amp; Other Assu'!D$18,'Internmediate sheet'!$A74/3,0)*Capacity</f>
        <v>0</v>
      </c>
      <c r="E75" s="17">
        <f ca="1">OFFSET('Sales, Production, &amp; Other Assu'!E$18,'Internmediate sheet'!$A74/3,0)*Capacity</f>
        <v>0</v>
      </c>
      <c r="F75" s="17">
        <f ca="1">OFFSET('Sales, Production, &amp; Other Assu'!F$18,'Internmediate sheet'!$A74/3,0)*Capacity</f>
        <v>0</v>
      </c>
      <c r="G75" s="17">
        <f ca="1">OFFSET('Sales, Production, &amp; Other Assu'!G$18,'Internmediate sheet'!$A74/3,0)*Capacity</f>
        <v>0</v>
      </c>
      <c r="H75" s="17">
        <f ca="1">OFFSET('Sales, Production, &amp; Other Assu'!H$18,'Internmediate sheet'!$A74/3,0)*Capacity</f>
        <v>0</v>
      </c>
      <c r="I75" s="17">
        <f ca="1">OFFSET('Sales, Production, &amp; Other Assu'!I$18,'Internmediate sheet'!$A74/3,0)*Capacity</f>
        <v>0</v>
      </c>
      <c r="J75" s="17">
        <f ca="1">OFFSET('Sales, Production, &amp; Other Assu'!J$18,'Internmediate sheet'!$A74/3,0)*Capacity</f>
        <v>0</v>
      </c>
      <c r="K75" s="17">
        <f ca="1">OFFSET('Sales, Production, &amp; Other Assu'!K$18,'Internmediate sheet'!$A74/3,0)*Capacity</f>
        <v>0</v>
      </c>
      <c r="L75" s="17">
        <f ca="1">OFFSET('Sales, Production, &amp; Other Assu'!L$18,'Internmediate sheet'!$A74/3,0)*Capacity</f>
        <v>0</v>
      </c>
      <c r="M75" s="17">
        <f ca="1">OFFSET('Sales, Production, &amp; Other Assu'!M$18,'Internmediate sheet'!$A74/3,0)*Capacity</f>
        <v>0</v>
      </c>
      <c r="N75" s="17">
        <f ca="1">OFFSET('Sales, Production, &amp; Other Assu'!N$18,'Internmediate sheet'!$A74/3,0)*Capacity</f>
        <v>0</v>
      </c>
      <c r="O75" s="17">
        <f ca="1">OFFSET('Sales, Production, &amp; Other Assu'!O$18,'Internmediate sheet'!$A74/3,0)*Capacity</f>
        <v>0</v>
      </c>
      <c r="P75" s="430">
        <f ca="1">SUM(D75:O75)</f>
        <v>0</v>
      </c>
      <c r="Q75" s="17">
        <f ca="1">OFFSET('Sales, Production, &amp; Other Assu'!Q$18,'Internmediate sheet'!$A74/3,0)*Capacity</f>
        <v>0</v>
      </c>
      <c r="R75" s="17">
        <f ca="1">OFFSET('Sales, Production, &amp; Other Assu'!R$18,'Internmediate sheet'!$A74/3,0)*Capacity</f>
        <v>0</v>
      </c>
      <c r="S75" s="17">
        <f ca="1">OFFSET('Sales, Production, &amp; Other Assu'!S$18,'Internmediate sheet'!$A74/3,0)*Capacity</f>
        <v>0</v>
      </c>
      <c r="T75" s="17">
        <f ca="1">OFFSET('Sales, Production, &amp; Other Assu'!T$18,'Internmediate sheet'!$A74/3,0)*Capacity</f>
        <v>0</v>
      </c>
      <c r="U75" s="17">
        <f ca="1">OFFSET('Sales, Production, &amp; Other Assu'!U$18,'Internmediate sheet'!$A74/3,0)*Capacity</f>
        <v>0</v>
      </c>
      <c r="V75" s="17">
        <f ca="1">OFFSET('Sales, Production, &amp; Other Assu'!V$18,'Internmediate sheet'!$A74/3,0)*Capacity</f>
        <v>0</v>
      </c>
      <c r="W75" s="17">
        <f ca="1">OFFSET('Sales, Production, &amp; Other Assu'!W$18,'Internmediate sheet'!$A74/3,0)*Capacity</f>
        <v>0</v>
      </c>
      <c r="X75" s="17">
        <f ca="1">OFFSET('Sales, Production, &amp; Other Assu'!X$18,'Internmediate sheet'!$A74/3,0)*Capacity</f>
        <v>0</v>
      </c>
      <c r="Y75" s="17">
        <f ca="1">OFFSET('Sales, Production, &amp; Other Assu'!Y$18,'Internmediate sheet'!$A74/3,0)*Capacity</f>
        <v>0</v>
      </c>
      <c r="Z75" s="17">
        <f ca="1">OFFSET('Sales, Production, &amp; Other Assu'!Z$18,'Internmediate sheet'!$A74/3,0)*Capacity</f>
        <v>0</v>
      </c>
      <c r="AA75" s="17">
        <f ca="1">OFFSET('Sales, Production, &amp; Other Assu'!AA$18,'Internmediate sheet'!$A74/3,0)*Capacity</f>
        <v>0</v>
      </c>
      <c r="AB75" s="17">
        <f ca="1">OFFSET('Sales, Production, &amp; Other Assu'!AB$18,'Internmediate sheet'!$A74/3,0)*Capacity</f>
        <v>0</v>
      </c>
      <c r="AC75" s="430">
        <f ca="1">SUM(Q75:AB75)</f>
        <v>0</v>
      </c>
      <c r="AD75" s="17">
        <f ca="1">OFFSET('Sales, Production, &amp; Other Assu'!AD$18,'Internmediate sheet'!$A74/3,0)*Capacity</f>
        <v>0</v>
      </c>
      <c r="AE75" s="17">
        <f ca="1">OFFSET('Sales, Production, &amp; Other Assu'!AE$18,'Internmediate sheet'!$A74/3,0)*Capacity</f>
        <v>0</v>
      </c>
      <c r="AF75" s="17">
        <f ca="1">OFFSET('Sales, Production, &amp; Other Assu'!AF$18,'Internmediate sheet'!$A74/3,0)*Capacity</f>
        <v>0</v>
      </c>
      <c r="AG75" s="17">
        <f ca="1">OFFSET('Sales, Production, &amp; Other Assu'!AG$18,'Internmediate sheet'!$A74/3,0)*Capacity</f>
        <v>0</v>
      </c>
      <c r="AH75" s="17">
        <f ca="1">OFFSET('Sales, Production, &amp; Other Assu'!AH$18,'Internmediate sheet'!$A74/3,0)*Capacity</f>
        <v>0</v>
      </c>
      <c r="AI75" s="17">
        <f ca="1">OFFSET('Sales, Production, &amp; Other Assu'!AI$18,'Internmediate sheet'!$A74/3,0)*Capacity</f>
        <v>0</v>
      </c>
      <c r="AJ75" s="17">
        <f ca="1">OFFSET('Sales, Production, &amp; Other Assu'!AJ$18,'Internmediate sheet'!$A74/3,0)*Capacity</f>
        <v>0</v>
      </c>
      <c r="AK75" s="17">
        <f ca="1">OFFSET('Sales, Production, &amp; Other Assu'!AK$18,'Internmediate sheet'!$A74/3,0)*Capacity</f>
        <v>0</v>
      </c>
      <c r="AL75" s="17">
        <f ca="1">OFFSET('Sales, Production, &amp; Other Assu'!AL$18,'Internmediate sheet'!$A74/3,0)*Capacity</f>
        <v>0</v>
      </c>
      <c r="AM75" s="17">
        <f ca="1">OFFSET('Sales, Production, &amp; Other Assu'!AM$18,'Internmediate sheet'!$A74/3,0)*Capacity</f>
        <v>0</v>
      </c>
      <c r="AN75" s="17">
        <f ca="1">OFFSET('Sales, Production, &amp; Other Assu'!AN$18,'Internmediate sheet'!$A74/3,0)*Capacity</f>
        <v>0</v>
      </c>
      <c r="AO75" s="17">
        <f ca="1">OFFSET('Sales, Production, &amp; Other Assu'!AO$18,'Internmediate sheet'!$A74/3,0)*Capacity</f>
        <v>0</v>
      </c>
      <c r="AP75" s="430">
        <f ca="1">SUM(AD75:AO75)</f>
        <v>0</v>
      </c>
      <c r="AQ75" s="17">
        <f ca="1">OFFSET('Sales, Production, &amp; Other Assu'!AQ$18,'Internmediate sheet'!$A74/3,0)*Capacity</f>
        <v>0</v>
      </c>
      <c r="AR75" s="17">
        <f ca="1">OFFSET('Sales, Production, &amp; Other Assu'!AR$18,'Internmediate sheet'!$A74/3,0)*Capacity</f>
        <v>0</v>
      </c>
      <c r="AS75" s="17">
        <f ca="1">OFFSET('Sales, Production, &amp; Other Assu'!AS$18,'Internmediate sheet'!$A74/3,0)*Capacity</f>
        <v>0</v>
      </c>
      <c r="AT75" s="17">
        <f ca="1">OFFSET('Sales, Production, &amp; Other Assu'!AT$18,'Internmediate sheet'!$A74/3,0)*Capacity</f>
        <v>0</v>
      </c>
      <c r="AU75" s="17">
        <f ca="1">OFFSET('Sales, Production, &amp; Other Assu'!AU$18,'Internmediate sheet'!$A74/3,0)*Capacity</f>
        <v>0</v>
      </c>
      <c r="AV75" s="17">
        <f ca="1">OFFSET('Sales, Production, &amp; Other Assu'!AV$18,'Internmediate sheet'!$A74/3,0)*Capacity</f>
        <v>0</v>
      </c>
      <c r="AW75" s="17">
        <f ca="1">OFFSET('Sales, Production, &amp; Other Assu'!AW$18,'Internmediate sheet'!$A74/3,0)*Capacity</f>
        <v>0</v>
      </c>
      <c r="AX75" s="17">
        <f ca="1">OFFSET('Sales, Production, &amp; Other Assu'!AX$18,'Internmediate sheet'!$A74/3,0)*Capacity</f>
        <v>0</v>
      </c>
      <c r="AY75" s="17">
        <f ca="1">OFFSET('Sales, Production, &amp; Other Assu'!AY$18,'Internmediate sheet'!$A74/3,0)*Capacity</f>
        <v>0</v>
      </c>
      <c r="AZ75" s="17">
        <f ca="1">OFFSET('Sales, Production, &amp; Other Assu'!AZ$18,'Internmediate sheet'!$A74/3,0)*Capacity</f>
        <v>0</v>
      </c>
      <c r="BA75" s="17">
        <f ca="1">OFFSET('Sales, Production, &amp; Other Assu'!BA$18,'Internmediate sheet'!$A74/3,0)*Capacity</f>
        <v>0</v>
      </c>
      <c r="BB75" s="17">
        <f ca="1">OFFSET('Sales, Production, &amp; Other Assu'!BB$18,'Internmediate sheet'!$A74/3,0)*Capacity</f>
        <v>0</v>
      </c>
      <c r="BC75" s="430">
        <f ca="1">SUM(AQ75:BB75)</f>
        <v>0</v>
      </c>
      <c r="BD75" s="17">
        <f ca="1">OFFSET('Sales, Production, &amp; Other Assu'!BD$18,'Internmediate sheet'!$A74/3,0)*Capacity</f>
        <v>0</v>
      </c>
      <c r="BE75" s="17">
        <f ca="1">OFFSET('Sales, Production, &amp; Other Assu'!BE$18,'Internmediate sheet'!$A74/3,0)*Capacity</f>
        <v>0</v>
      </c>
      <c r="BF75" s="17">
        <f ca="1">OFFSET('Sales, Production, &amp; Other Assu'!BF$18,'Internmediate sheet'!$A74/3,0)*Capacity</f>
        <v>0</v>
      </c>
      <c r="BG75" s="17">
        <f ca="1">OFFSET('Sales, Production, &amp; Other Assu'!BG$18,'Internmediate sheet'!$A74/3,0)*Capacity</f>
        <v>0</v>
      </c>
      <c r="BH75" s="17">
        <f ca="1">OFFSET('Sales, Production, &amp; Other Assu'!BH$18,'Internmediate sheet'!$A74/3,0)*Capacity</f>
        <v>0</v>
      </c>
      <c r="BI75" s="17">
        <f ca="1">OFFSET('Sales, Production, &amp; Other Assu'!BI$18,'Internmediate sheet'!$A74/3,0)*Capacity</f>
        <v>0</v>
      </c>
      <c r="BJ75" s="17">
        <f ca="1">OFFSET('Sales, Production, &amp; Other Assu'!BJ$18,'Internmediate sheet'!$A74/3,0)*Capacity</f>
        <v>0</v>
      </c>
      <c r="BK75" s="17">
        <f ca="1">OFFSET('Sales, Production, &amp; Other Assu'!BK$18,'Internmediate sheet'!$A74/3,0)*Capacity</f>
        <v>0</v>
      </c>
      <c r="BL75" s="17">
        <f ca="1">OFFSET('Sales, Production, &amp; Other Assu'!BL$18,'Internmediate sheet'!$A74/3,0)*Capacity</f>
        <v>0</v>
      </c>
      <c r="BM75" s="17">
        <f ca="1">OFFSET('Sales, Production, &amp; Other Assu'!BM$18,'Internmediate sheet'!$A74/3,0)*Capacity</f>
        <v>0</v>
      </c>
      <c r="BN75" s="17">
        <f ca="1">OFFSET('Sales, Production, &amp; Other Assu'!BN$18,'Internmediate sheet'!$A74/3,0)*Capacity</f>
        <v>0</v>
      </c>
      <c r="BO75" s="17">
        <f ca="1">OFFSET('Sales, Production, &amp; Other Assu'!BO$18,'Internmediate sheet'!$A74/3,0)*Capacity</f>
        <v>0</v>
      </c>
      <c r="BP75" s="430">
        <f ca="1">SUM(BD75:BO75)</f>
        <v>0</v>
      </c>
      <c r="BQ75" s="17">
        <f ca="1">OFFSET('Sales, Production, &amp; Other Assu'!BQ$18,'Internmediate sheet'!$A74/3,0)*Capacity</f>
        <v>0</v>
      </c>
      <c r="BR75" s="17">
        <f ca="1">OFFSET('Sales, Production, &amp; Other Assu'!BR$18,'Internmediate sheet'!$A74/3,0)*Capacity</f>
        <v>0</v>
      </c>
      <c r="BS75" s="17">
        <f ca="1">OFFSET('Sales, Production, &amp; Other Assu'!BS$18,'Internmediate sheet'!$A74/3,0)*Capacity</f>
        <v>0</v>
      </c>
      <c r="BT75" s="17">
        <f ca="1">OFFSET('Sales, Production, &amp; Other Assu'!BT$18,'Internmediate sheet'!$A74/3,0)*Capacity</f>
        <v>0</v>
      </c>
      <c r="BU75" s="17">
        <f ca="1">OFFSET('Sales, Production, &amp; Other Assu'!BU$18,'Internmediate sheet'!$A74/3,0)*Capacity</f>
        <v>0</v>
      </c>
      <c r="BV75" s="17">
        <f ca="1">OFFSET('Sales, Production, &amp; Other Assu'!BV$18,'Internmediate sheet'!$A74/3,0)*Capacity</f>
        <v>0</v>
      </c>
      <c r="BW75" s="17">
        <f ca="1">OFFSET('Sales, Production, &amp; Other Assu'!BW$18,'Internmediate sheet'!$A74/3,0)*Capacity</f>
        <v>0</v>
      </c>
      <c r="BX75" s="17">
        <f ca="1">OFFSET('Sales, Production, &amp; Other Assu'!BX$18,'Internmediate sheet'!$A74/3,0)*Capacity</f>
        <v>0</v>
      </c>
      <c r="BY75" s="17">
        <f ca="1">OFFSET('Sales, Production, &amp; Other Assu'!BY$18,'Internmediate sheet'!$A74/3,0)*Capacity</f>
        <v>0</v>
      </c>
      <c r="BZ75" s="17">
        <f ca="1">OFFSET('Sales, Production, &amp; Other Assu'!BZ$18,'Internmediate sheet'!$A74/3,0)*Capacity</f>
        <v>0</v>
      </c>
      <c r="CA75" s="17">
        <f ca="1">OFFSET('Sales, Production, &amp; Other Assu'!CA$18,'Internmediate sheet'!$A74/3,0)*Capacity</f>
        <v>0</v>
      </c>
      <c r="CB75" s="17">
        <f ca="1">OFFSET('Sales, Production, &amp; Other Assu'!CB$18,'Internmediate sheet'!$A74/3,0)*Capacity</f>
        <v>0</v>
      </c>
      <c r="CC75" s="430">
        <f ca="1">SUM(BQ75:CB75)</f>
        <v>0</v>
      </c>
      <c r="CD75" s="17">
        <f ca="1">OFFSET('Sales, Production, &amp; Other Assu'!CD$18,'Internmediate sheet'!$A74/3,0)*Capacity</f>
        <v>0</v>
      </c>
      <c r="CE75" s="17">
        <f ca="1">OFFSET('Sales, Production, &amp; Other Assu'!CE$18,'Internmediate sheet'!$A74/3,0)*Capacity</f>
        <v>0</v>
      </c>
      <c r="CF75" s="17">
        <f ca="1">OFFSET('Sales, Production, &amp; Other Assu'!CF$18,'Internmediate sheet'!$A74/3,0)*Capacity</f>
        <v>0</v>
      </c>
      <c r="CG75" s="17">
        <f ca="1">OFFSET('Sales, Production, &amp; Other Assu'!CG$18,'Internmediate sheet'!$A74/3,0)*Capacity</f>
        <v>0</v>
      </c>
      <c r="CH75" s="17">
        <f ca="1">OFFSET('Sales, Production, &amp; Other Assu'!CH$18,'Internmediate sheet'!$A74/3,0)*Capacity</f>
        <v>0</v>
      </c>
      <c r="CI75" s="17">
        <f ca="1">OFFSET('Sales, Production, &amp; Other Assu'!CI$18,'Internmediate sheet'!$A74/3,0)*Capacity</f>
        <v>0</v>
      </c>
      <c r="CJ75" s="17">
        <f ca="1">OFFSET('Sales, Production, &amp; Other Assu'!CJ$18,'Internmediate sheet'!$A74/3,0)*Capacity</f>
        <v>0</v>
      </c>
      <c r="CK75" s="17">
        <f ca="1">OFFSET('Sales, Production, &amp; Other Assu'!CK$18,'Internmediate sheet'!$A74/3,0)*Capacity</f>
        <v>0</v>
      </c>
      <c r="CL75" s="17">
        <f ca="1">OFFSET('Sales, Production, &amp; Other Assu'!CL$18,'Internmediate sheet'!$A74/3,0)*Capacity</f>
        <v>0</v>
      </c>
      <c r="CM75" s="17">
        <f ca="1">OFFSET('Sales, Production, &amp; Other Assu'!CM$18,'Internmediate sheet'!$A74/3,0)*Capacity</f>
        <v>0</v>
      </c>
      <c r="CN75" s="17">
        <f ca="1">OFFSET('Sales, Production, &amp; Other Assu'!CN$18,'Internmediate sheet'!$A74/3,0)*Capacity</f>
        <v>0</v>
      </c>
      <c r="CO75" s="17">
        <f ca="1">OFFSET('Sales, Production, &amp; Other Assu'!CO$18,'Internmediate sheet'!$A74/3,0)*Capacity</f>
        <v>0</v>
      </c>
      <c r="CP75" s="430">
        <f ca="1">SUM(CD75:CO75)</f>
        <v>0</v>
      </c>
    </row>
    <row r="76" spans="1:94" ht="20.100000000000001" hidden="1" customHeight="1">
      <c r="A76" s="790"/>
      <c r="B76" s="8" t="s">
        <v>610</v>
      </c>
      <c r="C76" s="8">
        <f ca="1">OFFSET('Summary. Assumptions. Inputs'!$F$46,'Internmediate sheet'!A71/3,0)</f>
        <v>0</v>
      </c>
      <c r="D76" s="8">
        <f t="shared" ref="D76:P76" ca="1" si="1955">C76</f>
        <v>0</v>
      </c>
      <c r="E76" s="8">
        <f t="shared" ca="1" si="1955"/>
        <v>0</v>
      </c>
      <c r="F76" s="8">
        <f t="shared" ca="1" si="1955"/>
        <v>0</v>
      </c>
      <c r="G76" s="8">
        <f t="shared" ca="1" si="1955"/>
        <v>0</v>
      </c>
      <c r="H76" s="8">
        <f t="shared" ca="1" si="1955"/>
        <v>0</v>
      </c>
      <c r="I76" s="8">
        <f t="shared" ca="1" si="1955"/>
        <v>0</v>
      </c>
      <c r="J76" s="8">
        <f t="shared" ca="1" si="1955"/>
        <v>0</v>
      </c>
      <c r="K76" s="8">
        <f t="shared" ca="1" si="1955"/>
        <v>0</v>
      </c>
      <c r="L76" s="8">
        <f t="shared" ca="1" si="1955"/>
        <v>0</v>
      </c>
      <c r="M76" s="8">
        <f t="shared" ca="1" si="1955"/>
        <v>0</v>
      </c>
      <c r="N76" s="8">
        <f t="shared" ca="1" si="1955"/>
        <v>0</v>
      </c>
      <c r="O76" s="8">
        <f t="shared" ca="1" si="1955"/>
        <v>0</v>
      </c>
      <c r="P76" s="431">
        <f t="shared" ca="1" si="1955"/>
        <v>0</v>
      </c>
      <c r="Q76" s="8">
        <f t="shared" ref="Q76" ca="1" si="1956">P76</f>
        <v>0</v>
      </c>
      <c r="R76" s="8">
        <f t="shared" ref="R76" ca="1" si="1957">Q76</f>
        <v>0</v>
      </c>
      <c r="S76" s="8">
        <f t="shared" ref="S76" ca="1" si="1958">R76</f>
        <v>0</v>
      </c>
      <c r="T76" s="8">
        <f t="shared" ref="T76" ca="1" si="1959">S76</f>
        <v>0</v>
      </c>
      <c r="U76" s="8">
        <f t="shared" ref="U76" ca="1" si="1960">T76</f>
        <v>0</v>
      </c>
      <c r="V76" s="8">
        <f t="shared" ref="V76" ca="1" si="1961">U76</f>
        <v>0</v>
      </c>
      <c r="W76" s="8">
        <f t="shared" ref="W76" ca="1" si="1962">V76</f>
        <v>0</v>
      </c>
      <c r="X76" s="8">
        <f t="shared" ref="X76" ca="1" si="1963">W76</f>
        <v>0</v>
      </c>
      <c r="Y76" s="8">
        <f t="shared" ref="Y76" ca="1" si="1964">X76</f>
        <v>0</v>
      </c>
      <c r="Z76" s="8">
        <f t="shared" ref="Z76" ca="1" si="1965">Y76</f>
        <v>0</v>
      </c>
      <c r="AA76" s="8">
        <f t="shared" ref="AA76" ca="1" si="1966">Z76</f>
        <v>0</v>
      </c>
      <c r="AB76" s="8">
        <f t="shared" ref="AB76" ca="1" si="1967">AA76</f>
        <v>0</v>
      </c>
      <c r="AC76" s="431">
        <f t="shared" ref="AC76" ca="1" si="1968">AB76</f>
        <v>0</v>
      </c>
      <c r="AD76" s="8">
        <f t="shared" ref="AD76" ca="1" si="1969">AC76</f>
        <v>0</v>
      </c>
      <c r="AE76" s="8">
        <f t="shared" ref="AE76" ca="1" si="1970">AD76</f>
        <v>0</v>
      </c>
      <c r="AF76" s="8">
        <f t="shared" ref="AF76" ca="1" si="1971">AE76</f>
        <v>0</v>
      </c>
      <c r="AG76" s="8">
        <f t="shared" ref="AG76" ca="1" si="1972">AF76</f>
        <v>0</v>
      </c>
      <c r="AH76" s="8">
        <f t="shared" ref="AH76" ca="1" si="1973">AG76</f>
        <v>0</v>
      </c>
      <c r="AI76" s="8">
        <f t="shared" ref="AI76" ca="1" si="1974">AH76</f>
        <v>0</v>
      </c>
      <c r="AJ76" s="8">
        <f t="shared" ref="AJ76" ca="1" si="1975">AI76</f>
        <v>0</v>
      </c>
      <c r="AK76" s="8">
        <f t="shared" ref="AK76" ca="1" si="1976">AJ76</f>
        <v>0</v>
      </c>
      <c r="AL76" s="8">
        <f t="shared" ref="AL76" ca="1" si="1977">AK76</f>
        <v>0</v>
      </c>
      <c r="AM76" s="8">
        <f t="shared" ref="AM76" ca="1" si="1978">AL76</f>
        <v>0</v>
      </c>
      <c r="AN76" s="8">
        <f t="shared" ref="AN76" ca="1" si="1979">AM76</f>
        <v>0</v>
      </c>
      <c r="AO76" s="8">
        <f t="shared" ref="AO76" ca="1" si="1980">AN76</f>
        <v>0</v>
      </c>
      <c r="AP76" s="431">
        <f t="shared" ref="AP76" ca="1" si="1981">AO76</f>
        <v>0</v>
      </c>
      <c r="AQ76" s="8">
        <f ca="1">AP76</f>
        <v>0</v>
      </c>
      <c r="AR76" s="8">
        <f t="shared" ref="AR76" ca="1" si="1982">AQ76</f>
        <v>0</v>
      </c>
      <c r="AS76" s="8">
        <f t="shared" ref="AS76" ca="1" si="1983">AR76</f>
        <v>0</v>
      </c>
      <c r="AT76" s="8">
        <f t="shared" ref="AT76" ca="1" si="1984">AS76</f>
        <v>0</v>
      </c>
      <c r="AU76" s="8">
        <f t="shared" ref="AU76" ca="1" si="1985">AT76</f>
        <v>0</v>
      </c>
      <c r="AV76" s="8">
        <f t="shared" ref="AV76" ca="1" si="1986">AU76</f>
        <v>0</v>
      </c>
      <c r="AW76" s="8">
        <f t="shared" ref="AW76" ca="1" si="1987">AV76</f>
        <v>0</v>
      </c>
      <c r="AX76" s="8">
        <f t="shared" ref="AX76" ca="1" si="1988">AW76</f>
        <v>0</v>
      </c>
      <c r="AY76" s="8">
        <f t="shared" ref="AY76" ca="1" si="1989">AX76</f>
        <v>0</v>
      </c>
      <c r="AZ76" s="8">
        <f t="shared" ref="AZ76" ca="1" si="1990">AY76</f>
        <v>0</v>
      </c>
      <c r="BA76" s="8">
        <f t="shared" ref="BA76" ca="1" si="1991">AZ76</f>
        <v>0</v>
      </c>
      <c r="BB76" s="8">
        <f t="shared" ref="BB76" ca="1" si="1992">BA76</f>
        <v>0</v>
      </c>
      <c r="BC76" s="431">
        <f t="shared" ref="BC76" ca="1" si="1993">BB76</f>
        <v>0</v>
      </c>
      <c r="BD76" s="8">
        <f t="shared" ref="BD76" ca="1" si="1994">BC76</f>
        <v>0</v>
      </c>
      <c r="BE76" s="8">
        <f t="shared" ref="BE76" ca="1" si="1995">BD76</f>
        <v>0</v>
      </c>
      <c r="BF76" s="8">
        <f t="shared" ref="BF76" ca="1" si="1996">BE76</f>
        <v>0</v>
      </c>
      <c r="BG76" s="8">
        <f t="shared" ref="BG76" ca="1" si="1997">BF76</f>
        <v>0</v>
      </c>
      <c r="BH76" s="8">
        <f t="shared" ref="BH76" ca="1" si="1998">BG76</f>
        <v>0</v>
      </c>
      <c r="BI76" s="8">
        <f t="shared" ref="BI76" ca="1" si="1999">BH76</f>
        <v>0</v>
      </c>
      <c r="BJ76" s="8">
        <f t="shared" ref="BJ76" ca="1" si="2000">BI76</f>
        <v>0</v>
      </c>
      <c r="BK76" s="8">
        <f t="shared" ref="BK76" ca="1" si="2001">BJ76</f>
        <v>0</v>
      </c>
      <c r="BL76" s="8">
        <f t="shared" ref="BL76" ca="1" si="2002">BK76</f>
        <v>0</v>
      </c>
      <c r="BM76" s="8">
        <f t="shared" ref="BM76" ca="1" si="2003">BL76</f>
        <v>0</v>
      </c>
      <c r="BN76" s="8">
        <f t="shared" ref="BN76" ca="1" si="2004">BM76</f>
        <v>0</v>
      </c>
      <c r="BO76" s="8">
        <f t="shared" ref="BO76" ca="1" si="2005">BN76</f>
        <v>0</v>
      </c>
      <c r="BP76" s="431">
        <f t="shared" ref="BP76" ca="1" si="2006">BO76</f>
        <v>0</v>
      </c>
      <c r="BQ76" s="8">
        <f t="shared" ref="BQ76" ca="1" si="2007">BP76</f>
        <v>0</v>
      </c>
      <c r="BR76" s="8">
        <f t="shared" ref="BR76" ca="1" si="2008">BQ76</f>
        <v>0</v>
      </c>
      <c r="BS76" s="8">
        <f t="shared" ref="BS76" ca="1" si="2009">BR76</f>
        <v>0</v>
      </c>
      <c r="BT76" s="8">
        <f t="shared" ref="BT76" ca="1" si="2010">BS76</f>
        <v>0</v>
      </c>
      <c r="BU76" s="8">
        <f t="shared" ref="BU76" ca="1" si="2011">BT76</f>
        <v>0</v>
      </c>
      <c r="BV76" s="8">
        <f t="shared" ref="BV76" ca="1" si="2012">BU76</f>
        <v>0</v>
      </c>
      <c r="BW76" s="8">
        <f t="shared" ref="BW76" ca="1" si="2013">BV76</f>
        <v>0</v>
      </c>
      <c r="BX76" s="8">
        <f t="shared" ref="BX76" ca="1" si="2014">BW76</f>
        <v>0</v>
      </c>
      <c r="BY76" s="8">
        <f t="shared" ref="BY76" ca="1" si="2015">BX76</f>
        <v>0</v>
      </c>
      <c r="BZ76" s="8">
        <f t="shared" ref="BZ76" ca="1" si="2016">BY76</f>
        <v>0</v>
      </c>
      <c r="CA76" s="8">
        <f t="shared" ref="CA76" ca="1" si="2017">BZ76</f>
        <v>0</v>
      </c>
      <c r="CB76" s="8">
        <f t="shared" ref="CB76" ca="1" si="2018">CA76</f>
        <v>0</v>
      </c>
      <c r="CC76" s="431">
        <f t="shared" ref="CC76" ca="1" si="2019">CB76</f>
        <v>0</v>
      </c>
      <c r="CD76" s="8">
        <f t="shared" ref="CD76" ca="1" si="2020">CC76</f>
        <v>0</v>
      </c>
      <c r="CE76" s="8">
        <f t="shared" ref="CE76" ca="1" si="2021">CD76</f>
        <v>0</v>
      </c>
      <c r="CF76" s="8">
        <f t="shared" ref="CF76" ca="1" si="2022">CE76</f>
        <v>0</v>
      </c>
      <c r="CG76" s="8">
        <f t="shared" ref="CG76" ca="1" si="2023">CF76</f>
        <v>0</v>
      </c>
      <c r="CH76" s="8">
        <f t="shared" ref="CH76" ca="1" si="2024">CG76</f>
        <v>0</v>
      </c>
      <c r="CI76" s="8">
        <f t="shared" ref="CI76" ca="1" si="2025">CH76</f>
        <v>0</v>
      </c>
      <c r="CJ76" s="8">
        <f t="shared" ref="CJ76" ca="1" si="2026">CI76</f>
        <v>0</v>
      </c>
      <c r="CK76" s="8">
        <f t="shared" ref="CK76" ca="1" si="2027">CJ76</f>
        <v>0</v>
      </c>
      <c r="CL76" s="8">
        <f t="shared" ref="CL76" ca="1" si="2028">CK76</f>
        <v>0</v>
      </c>
      <c r="CM76" s="8">
        <f t="shared" ref="CM76" ca="1" si="2029">CL76</f>
        <v>0</v>
      </c>
      <c r="CN76" s="8">
        <f t="shared" ref="CN76" ca="1" si="2030">CM76</f>
        <v>0</v>
      </c>
      <c r="CO76" s="8">
        <f t="shared" ref="CO76" ca="1" si="2031">CN76</f>
        <v>0</v>
      </c>
      <c r="CP76" s="431">
        <f t="shared" ref="CP76" ca="1" si="2032">CO76</f>
        <v>0</v>
      </c>
    </row>
    <row r="77" spans="1:94" ht="20.100000000000001" hidden="1" customHeight="1">
      <c r="A77" s="791"/>
      <c r="B77" s="248" t="s">
        <v>611</v>
      </c>
      <c r="C77" s="249">
        <f t="shared" ref="C77:O77" ca="1" si="2033">C75*C76</f>
        <v>0</v>
      </c>
      <c r="D77" s="248">
        <f t="shared" ca="1" si="2033"/>
        <v>0</v>
      </c>
      <c r="E77" s="248">
        <f t="shared" ca="1" si="2033"/>
        <v>0</v>
      </c>
      <c r="F77" s="248">
        <f t="shared" ca="1" si="2033"/>
        <v>0</v>
      </c>
      <c r="G77" s="248">
        <f t="shared" ca="1" si="2033"/>
        <v>0</v>
      </c>
      <c r="H77" s="248">
        <f t="shared" ca="1" si="2033"/>
        <v>0</v>
      </c>
      <c r="I77" s="248">
        <f t="shared" ca="1" si="2033"/>
        <v>0</v>
      </c>
      <c r="J77" s="248">
        <f t="shared" ca="1" si="2033"/>
        <v>0</v>
      </c>
      <c r="K77" s="248">
        <f t="shared" ca="1" si="2033"/>
        <v>0</v>
      </c>
      <c r="L77" s="248">
        <f t="shared" ca="1" si="2033"/>
        <v>0</v>
      </c>
      <c r="M77" s="248">
        <f t="shared" ca="1" si="2033"/>
        <v>0</v>
      </c>
      <c r="N77" s="248">
        <f t="shared" ca="1" si="2033"/>
        <v>0</v>
      </c>
      <c r="O77" s="248">
        <f t="shared" ca="1" si="2033"/>
        <v>0</v>
      </c>
      <c r="P77" s="432">
        <f ca="1">SUM(D77:O77)</f>
        <v>0</v>
      </c>
      <c r="Q77" s="248">
        <f t="shared" ref="Q77:AB77" ca="1" si="2034">Q75*Q76</f>
        <v>0</v>
      </c>
      <c r="R77" s="248">
        <f t="shared" ca="1" si="2034"/>
        <v>0</v>
      </c>
      <c r="S77" s="248">
        <f t="shared" ca="1" si="2034"/>
        <v>0</v>
      </c>
      <c r="T77" s="248">
        <f t="shared" ca="1" si="2034"/>
        <v>0</v>
      </c>
      <c r="U77" s="248">
        <f t="shared" ca="1" si="2034"/>
        <v>0</v>
      </c>
      <c r="V77" s="248">
        <f t="shared" ca="1" si="2034"/>
        <v>0</v>
      </c>
      <c r="W77" s="248">
        <f t="shared" ca="1" si="2034"/>
        <v>0</v>
      </c>
      <c r="X77" s="248">
        <f t="shared" ca="1" si="2034"/>
        <v>0</v>
      </c>
      <c r="Y77" s="248">
        <f t="shared" ca="1" si="2034"/>
        <v>0</v>
      </c>
      <c r="Z77" s="248">
        <f t="shared" ca="1" si="2034"/>
        <v>0</v>
      </c>
      <c r="AA77" s="248">
        <f t="shared" ca="1" si="2034"/>
        <v>0</v>
      </c>
      <c r="AB77" s="248">
        <f t="shared" ca="1" si="2034"/>
        <v>0</v>
      </c>
      <c r="AC77" s="432">
        <f ca="1">SUM(Q77:AB77)</f>
        <v>0</v>
      </c>
      <c r="AD77" s="248">
        <f t="shared" ref="AD77:AO77" ca="1" si="2035">AD75*AD76</f>
        <v>0</v>
      </c>
      <c r="AE77" s="248">
        <f t="shared" ca="1" si="2035"/>
        <v>0</v>
      </c>
      <c r="AF77" s="248">
        <f t="shared" ca="1" si="2035"/>
        <v>0</v>
      </c>
      <c r="AG77" s="248">
        <f t="shared" ca="1" si="2035"/>
        <v>0</v>
      </c>
      <c r="AH77" s="248">
        <f t="shared" ca="1" si="2035"/>
        <v>0</v>
      </c>
      <c r="AI77" s="248">
        <f t="shared" ca="1" si="2035"/>
        <v>0</v>
      </c>
      <c r="AJ77" s="248">
        <f t="shared" ca="1" si="2035"/>
        <v>0</v>
      </c>
      <c r="AK77" s="248">
        <f t="shared" ca="1" si="2035"/>
        <v>0</v>
      </c>
      <c r="AL77" s="248">
        <f t="shared" ca="1" si="2035"/>
        <v>0</v>
      </c>
      <c r="AM77" s="248">
        <f t="shared" ca="1" si="2035"/>
        <v>0</v>
      </c>
      <c r="AN77" s="248">
        <f t="shared" ca="1" si="2035"/>
        <v>0</v>
      </c>
      <c r="AO77" s="248">
        <f t="shared" ca="1" si="2035"/>
        <v>0</v>
      </c>
      <c r="AP77" s="432">
        <f ca="1">SUM(AD77:AO77)</f>
        <v>0</v>
      </c>
      <c r="AQ77" s="248">
        <f t="shared" ref="AQ77:BB77" ca="1" si="2036">AQ75*AQ76</f>
        <v>0</v>
      </c>
      <c r="AR77" s="248">
        <f t="shared" ca="1" si="2036"/>
        <v>0</v>
      </c>
      <c r="AS77" s="248">
        <f t="shared" ca="1" si="2036"/>
        <v>0</v>
      </c>
      <c r="AT77" s="248">
        <f t="shared" ca="1" si="2036"/>
        <v>0</v>
      </c>
      <c r="AU77" s="248">
        <f t="shared" ca="1" si="2036"/>
        <v>0</v>
      </c>
      <c r="AV77" s="248">
        <f t="shared" ca="1" si="2036"/>
        <v>0</v>
      </c>
      <c r="AW77" s="248">
        <f t="shared" ca="1" si="2036"/>
        <v>0</v>
      </c>
      <c r="AX77" s="248">
        <f t="shared" ca="1" si="2036"/>
        <v>0</v>
      </c>
      <c r="AY77" s="248">
        <f t="shared" ca="1" si="2036"/>
        <v>0</v>
      </c>
      <c r="AZ77" s="248">
        <f t="shared" ca="1" si="2036"/>
        <v>0</v>
      </c>
      <c r="BA77" s="248">
        <f t="shared" ca="1" si="2036"/>
        <v>0</v>
      </c>
      <c r="BB77" s="248">
        <f t="shared" ca="1" si="2036"/>
        <v>0</v>
      </c>
      <c r="BC77" s="432">
        <f ca="1">SUM(AQ77:BB77)</f>
        <v>0</v>
      </c>
      <c r="BD77" s="248">
        <f t="shared" ref="BD77:BO77" ca="1" si="2037">BD75*BD76</f>
        <v>0</v>
      </c>
      <c r="BE77" s="248">
        <f t="shared" ca="1" si="2037"/>
        <v>0</v>
      </c>
      <c r="BF77" s="248">
        <f t="shared" ca="1" si="2037"/>
        <v>0</v>
      </c>
      <c r="BG77" s="248">
        <f t="shared" ca="1" si="2037"/>
        <v>0</v>
      </c>
      <c r="BH77" s="248">
        <f t="shared" ca="1" si="2037"/>
        <v>0</v>
      </c>
      <c r="BI77" s="248">
        <f t="shared" ca="1" si="2037"/>
        <v>0</v>
      </c>
      <c r="BJ77" s="248">
        <f t="shared" ca="1" si="2037"/>
        <v>0</v>
      </c>
      <c r="BK77" s="248">
        <f t="shared" ca="1" si="2037"/>
        <v>0</v>
      </c>
      <c r="BL77" s="248">
        <f t="shared" ca="1" si="2037"/>
        <v>0</v>
      </c>
      <c r="BM77" s="248">
        <f t="shared" ca="1" si="2037"/>
        <v>0</v>
      </c>
      <c r="BN77" s="248">
        <f t="shared" ca="1" si="2037"/>
        <v>0</v>
      </c>
      <c r="BO77" s="248">
        <f t="shared" ca="1" si="2037"/>
        <v>0</v>
      </c>
      <c r="BP77" s="432">
        <f ca="1">SUM(BD77:BO77)</f>
        <v>0</v>
      </c>
      <c r="BQ77" s="248">
        <f t="shared" ref="BQ77:CB77" ca="1" si="2038">BQ75*BQ76</f>
        <v>0</v>
      </c>
      <c r="BR77" s="248">
        <f t="shared" ca="1" si="2038"/>
        <v>0</v>
      </c>
      <c r="BS77" s="248">
        <f t="shared" ca="1" si="2038"/>
        <v>0</v>
      </c>
      <c r="BT77" s="248">
        <f t="shared" ca="1" si="2038"/>
        <v>0</v>
      </c>
      <c r="BU77" s="248">
        <f t="shared" ca="1" si="2038"/>
        <v>0</v>
      </c>
      <c r="BV77" s="248">
        <f t="shared" ca="1" si="2038"/>
        <v>0</v>
      </c>
      <c r="BW77" s="248">
        <f t="shared" ca="1" si="2038"/>
        <v>0</v>
      </c>
      <c r="BX77" s="248">
        <f t="shared" ca="1" si="2038"/>
        <v>0</v>
      </c>
      <c r="BY77" s="248">
        <f t="shared" ca="1" si="2038"/>
        <v>0</v>
      </c>
      <c r="BZ77" s="248">
        <f t="shared" ca="1" si="2038"/>
        <v>0</v>
      </c>
      <c r="CA77" s="248">
        <f t="shared" ca="1" si="2038"/>
        <v>0</v>
      </c>
      <c r="CB77" s="248">
        <f t="shared" ca="1" si="2038"/>
        <v>0</v>
      </c>
      <c r="CC77" s="432">
        <f ca="1">SUM(BQ77:CB77)</f>
        <v>0</v>
      </c>
      <c r="CD77" s="248">
        <f t="shared" ref="CD77:CO77" ca="1" si="2039">CD75*CD76</f>
        <v>0</v>
      </c>
      <c r="CE77" s="248">
        <f t="shared" ca="1" si="2039"/>
        <v>0</v>
      </c>
      <c r="CF77" s="248">
        <f t="shared" ca="1" si="2039"/>
        <v>0</v>
      </c>
      <c r="CG77" s="248">
        <f t="shared" ca="1" si="2039"/>
        <v>0</v>
      </c>
      <c r="CH77" s="248">
        <f t="shared" ca="1" si="2039"/>
        <v>0</v>
      </c>
      <c r="CI77" s="248">
        <f t="shared" ca="1" si="2039"/>
        <v>0</v>
      </c>
      <c r="CJ77" s="248">
        <f t="shared" ca="1" si="2039"/>
        <v>0</v>
      </c>
      <c r="CK77" s="248">
        <f t="shared" ca="1" si="2039"/>
        <v>0</v>
      </c>
      <c r="CL77" s="248">
        <f t="shared" ca="1" si="2039"/>
        <v>0</v>
      </c>
      <c r="CM77" s="248">
        <f t="shared" ca="1" si="2039"/>
        <v>0</v>
      </c>
      <c r="CN77" s="248">
        <f t="shared" ca="1" si="2039"/>
        <v>0</v>
      </c>
      <c r="CO77" s="248">
        <f t="shared" ca="1" si="2039"/>
        <v>0</v>
      </c>
      <c r="CP77" s="432">
        <f ca="1">SUM(CD77:CO77)</f>
        <v>0</v>
      </c>
    </row>
    <row r="78" spans="1:94" ht="20.100000000000001" hidden="1" customHeight="1">
      <c r="A78" s="789">
        <f ca="1">OFFSET('Summary. Assumptions. Inputs'!$A$45,'Internmediate sheet'!A77/3,0)</f>
        <v>0</v>
      </c>
      <c r="B78" s="17" t="s">
        <v>609</v>
      </c>
      <c r="C78" s="18"/>
      <c r="D78" s="17">
        <f ca="1">OFFSET('Sales, Production, &amp; Other Assu'!D$18,'Internmediate sheet'!$A77/3,0)*Capacity</f>
        <v>0</v>
      </c>
      <c r="E78" s="17">
        <f ca="1">OFFSET('Sales, Production, &amp; Other Assu'!E$18,'Internmediate sheet'!$A77/3,0)*Capacity</f>
        <v>0</v>
      </c>
      <c r="F78" s="17">
        <f ca="1">OFFSET('Sales, Production, &amp; Other Assu'!F$18,'Internmediate sheet'!$A77/3,0)*Capacity</f>
        <v>0</v>
      </c>
      <c r="G78" s="17">
        <f ca="1">OFFSET('Sales, Production, &amp; Other Assu'!G$18,'Internmediate sheet'!$A77/3,0)*Capacity</f>
        <v>0</v>
      </c>
      <c r="H78" s="17">
        <f ca="1">OFFSET('Sales, Production, &amp; Other Assu'!H$18,'Internmediate sheet'!$A77/3,0)*Capacity</f>
        <v>0</v>
      </c>
      <c r="I78" s="17">
        <f ca="1">OFFSET('Sales, Production, &amp; Other Assu'!I$18,'Internmediate sheet'!$A77/3,0)*Capacity</f>
        <v>0</v>
      </c>
      <c r="J78" s="17">
        <f ca="1">OFFSET('Sales, Production, &amp; Other Assu'!J$18,'Internmediate sheet'!$A77/3,0)*Capacity</f>
        <v>0</v>
      </c>
      <c r="K78" s="17">
        <f ca="1">OFFSET('Sales, Production, &amp; Other Assu'!K$18,'Internmediate sheet'!$A77/3,0)*Capacity</f>
        <v>0</v>
      </c>
      <c r="L78" s="17">
        <f ca="1">OFFSET('Sales, Production, &amp; Other Assu'!L$18,'Internmediate sheet'!$A77/3,0)*Capacity</f>
        <v>0</v>
      </c>
      <c r="M78" s="17">
        <f ca="1">OFFSET('Sales, Production, &amp; Other Assu'!M$18,'Internmediate sheet'!$A77/3,0)*Capacity</f>
        <v>0</v>
      </c>
      <c r="N78" s="17">
        <f ca="1">OFFSET('Sales, Production, &amp; Other Assu'!N$18,'Internmediate sheet'!$A77/3,0)*Capacity</f>
        <v>0</v>
      </c>
      <c r="O78" s="17">
        <f ca="1">OFFSET('Sales, Production, &amp; Other Assu'!O$18,'Internmediate sheet'!$A77/3,0)*Capacity</f>
        <v>0</v>
      </c>
      <c r="P78" s="430">
        <f ca="1">SUM(D78:O78)</f>
        <v>0</v>
      </c>
      <c r="Q78" s="17">
        <f ca="1">OFFSET('Sales, Production, &amp; Other Assu'!Q$18,'Internmediate sheet'!$A77/3,0)*Capacity</f>
        <v>0</v>
      </c>
      <c r="R78" s="17">
        <f ca="1">OFFSET('Sales, Production, &amp; Other Assu'!R$18,'Internmediate sheet'!$A77/3,0)*Capacity</f>
        <v>0</v>
      </c>
      <c r="S78" s="17">
        <f ca="1">OFFSET('Sales, Production, &amp; Other Assu'!S$18,'Internmediate sheet'!$A77/3,0)*Capacity</f>
        <v>0</v>
      </c>
      <c r="T78" s="17">
        <f ca="1">OFFSET('Sales, Production, &amp; Other Assu'!T$18,'Internmediate sheet'!$A77/3,0)*Capacity</f>
        <v>0</v>
      </c>
      <c r="U78" s="17">
        <f ca="1">OFFSET('Sales, Production, &amp; Other Assu'!U$18,'Internmediate sheet'!$A77/3,0)*Capacity</f>
        <v>0</v>
      </c>
      <c r="V78" s="17">
        <f ca="1">OFFSET('Sales, Production, &amp; Other Assu'!V$18,'Internmediate sheet'!$A77/3,0)*Capacity</f>
        <v>0</v>
      </c>
      <c r="W78" s="17">
        <f ca="1">OFFSET('Sales, Production, &amp; Other Assu'!W$18,'Internmediate sheet'!$A77/3,0)*Capacity</f>
        <v>0</v>
      </c>
      <c r="X78" s="17">
        <f ca="1">OFFSET('Sales, Production, &amp; Other Assu'!X$18,'Internmediate sheet'!$A77/3,0)*Capacity</f>
        <v>0</v>
      </c>
      <c r="Y78" s="17">
        <f ca="1">OFFSET('Sales, Production, &amp; Other Assu'!Y$18,'Internmediate sheet'!$A77/3,0)*Capacity</f>
        <v>0</v>
      </c>
      <c r="Z78" s="17">
        <f ca="1">OFFSET('Sales, Production, &amp; Other Assu'!Z$18,'Internmediate sheet'!$A77/3,0)*Capacity</f>
        <v>0</v>
      </c>
      <c r="AA78" s="17">
        <f ca="1">OFFSET('Sales, Production, &amp; Other Assu'!AA$18,'Internmediate sheet'!$A77/3,0)*Capacity</f>
        <v>0</v>
      </c>
      <c r="AB78" s="17">
        <f ca="1">OFFSET('Sales, Production, &amp; Other Assu'!AB$18,'Internmediate sheet'!$A77/3,0)*Capacity</f>
        <v>0</v>
      </c>
      <c r="AC78" s="430">
        <f ca="1">SUM(Q78:AB78)</f>
        <v>0</v>
      </c>
      <c r="AD78" s="17">
        <f ca="1">OFFSET('Sales, Production, &amp; Other Assu'!AD$18,'Internmediate sheet'!$A77/3,0)*Capacity</f>
        <v>0</v>
      </c>
      <c r="AE78" s="17">
        <f ca="1">OFFSET('Sales, Production, &amp; Other Assu'!AE$18,'Internmediate sheet'!$A77/3,0)*Capacity</f>
        <v>0</v>
      </c>
      <c r="AF78" s="17">
        <f ca="1">OFFSET('Sales, Production, &amp; Other Assu'!AF$18,'Internmediate sheet'!$A77/3,0)*Capacity</f>
        <v>0</v>
      </c>
      <c r="AG78" s="17">
        <f ca="1">OFFSET('Sales, Production, &amp; Other Assu'!AG$18,'Internmediate sheet'!$A77/3,0)*Capacity</f>
        <v>0</v>
      </c>
      <c r="AH78" s="17">
        <f ca="1">OFFSET('Sales, Production, &amp; Other Assu'!AH$18,'Internmediate sheet'!$A77/3,0)*Capacity</f>
        <v>0</v>
      </c>
      <c r="AI78" s="17">
        <f ca="1">OFFSET('Sales, Production, &amp; Other Assu'!AI$18,'Internmediate sheet'!$A77/3,0)*Capacity</f>
        <v>0</v>
      </c>
      <c r="AJ78" s="17">
        <f ca="1">OFFSET('Sales, Production, &amp; Other Assu'!AJ$18,'Internmediate sheet'!$A77/3,0)*Capacity</f>
        <v>0</v>
      </c>
      <c r="AK78" s="17">
        <f ca="1">OFFSET('Sales, Production, &amp; Other Assu'!AK$18,'Internmediate sheet'!$A77/3,0)*Capacity</f>
        <v>0</v>
      </c>
      <c r="AL78" s="17">
        <f ca="1">OFFSET('Sales, Production, &amp; Other Assu'!AL$18,'Internmediate sheet'!$A77/3,0)*Capacity</f>
        <v>0</v>
      </c>
      <c r="AM78" s="17">
        <f ca="1">OFFSET('Sales, Production, &amp; Other Assu'!AM$18,'Internmediate sheet'!$A77/3,0)*Capacity</f>
        <v>0</v>
      </c>
      <c r="AN78" s="17">
        <f ca="1">OFFSET('Sales, Production, &amp; Other Assu'!AN$18,'Internmediate sheet'!$A77/3,0)*Capacity</f>
        <v>0</v>
      </c>
      <c r="AO78" s="17">
        <f ca="1">OFFSET('Sales, Production, &amp; Other Assu'!AO$18,'Internmediate sheet'!$A77/3,0)*Capacity</f>
        <v>0</v>
      </c>
      <c r="AP78" s="430">
        <f ca="1">SUM(AD78:AO78)</f>
        <v>0</v>
      </c>
      <c r="AQ78" s="17">
        <f ca="1">OFFSET('Sales, Production, &amp; Other Assu'!AQ$18,'Internmediate sheet'!$A77/3,0)*Capacity</f>
        <v>0</v>
      </c>
      <c r="AR78" s="17">
        <f ca="1">OFFSET('Sales, Production, &amp; Other Assu'!AR$18,'Internmediate sheet'!$A77/3,0)*Capacity</f>
        <v>0</v>
      </c>
      <c r="AS78" s="17">
        <f ca="1">OFFSET('Sales, Production, &amp; Other Assu'!AS$18,'Internmediate sheet'!$A77/3,0)*Capacity</f>
        <v>0</v>
      </c>
      <c r="AT78" s="17">
        <f ca="1">OFFSET('Sales, Production, &amp; Other Assu'!AT$18,'Internmediate sheet'!$A77/3,0)*Capacity</f>
        <v>0</v>
      </c>
      <c r="AU78" s="17">
        <f ca="1">OFFSET('Sales, Production, &amp; Other Assu'!AU$18,'Internmediate sheet'!$A77/3,0)*Capacity</f>
        <v>0</v>
      </c>
      <c r="AV78" s="17">
        <f ca="1">OFFSET('Sales, Production, &amp; Other Assu'!AV$18,'Internmediate sheet'!$A77/3,0)*Capacity</f>
        <v>0</v>
      </c>
      <c r="AW78" s="17">
        <f ca="1">OFFSET('Sales, Production, &amp; Other Assu'!AW$18,'Internmediate sheet'!$A77/3,0)*Capacity</f>
        <v>0</v>
      </c>
      <c r="AX78" s="17">
        <f ca="1">OFFSET('Sales, Production, &amp; Other Assu'!AX$18,'Internmediate sheet'!$A77/3,0)*Capacity</f>
        <v>0</v>
      </c>
      <c r="AY78" s="17">
        <f ca="1">OFFSET('Sales, Production, &amp; Other Assu'!AY$18,'Internmediate sheet'!$A77/3,0)*Capacity</f>
        <v>0</v>
      </c>
      <c r="AZ78" s="17">
        <f ca="1">OFFSET('Sales, Production, &amp; Other Assu'!AZ$18,'Internmediate sheet'!$A77/3,0)*Capacity</f>
        <v>0</v>
      </c>
      <c r="BA78" s="17">
        <f ca="1">OFFSET('Sales, Production, &amp; Other Assu'!BA$18,'Internmediate sheet'!$A77/3,0)*Capacity</f>
        <v>0</v>
      </c>
      <c r="BB78" s="17">
        <f ca="1">OFFSET('Sales, Production, &amp; Other Assu'!BB$18,'Internmediate sheet'!$A77/3,0)*Capacity</f>
        <v>0</v>
      </c>
      <c r="BC78" s="430">
        <f ca="1">SUM(AQ78:BB78)</f>
        <v>0</v>
      </c>
      <c r="BD78" s="17">
        <f ca="1">OFFSET('Sales, Production, &amp; Other Assu'!BD$18,'Internmediate sheet'!$A77/3,0)*Capacity</f>
        <v>0</v>
      </c>
      <c r="BE78" s="17">
        <f ca="1">OFFSET('Sales, Production, &amp; Other Assu'!BE$18,'Internmediate sheet'!$A77/3,0)*Capacity</f>
        <v>0</v>
      </c>
      <c r="BF78" s="17">
        <f ca="1">OFFSET('Sales, Production, &amp; Other Assu'!BF$18,'Internmediate sheet'!$A77/3,0)*Capacity</f>
        <v>0</v>
      </c>
      <c r="BG78" s="17">
        <f ca="1">OFFSET('Sales, Production, &amp; Other Assu'!BG$18,'Internmediate sheet'!$A77/3,0)*Capacity</f>
        <v>0</v>
      </c>
      <c r="BH78" s="17">
        <f ca="1">OFFSET('Sales, Production, &amp; Other Assu'!BH$18,'Internmediate sheet'!$A77/3,0)*Capacity</f>
        <v>0</v>
      </c>
      <c r="BI78" s="17">
        <f ca="1">OFFSET('Sales, Production, &amp; Other Assu'!BI$18,'Internmediate sheet'!$A77/3,0)*Capacity</f>
        <v>0</v>
      </c>
      <c r="BJ78" s="17">
        <f ca="1">OFFSET('Sales, Production, &amp; Other Assu'!BJ$18,'Internmediate sheet'!$A77/3,0)*Capacity</f>
        <v>0</v>
      </c>
      <c r="BK78" s="17">
        <f ca="1">OFFSET('Sales, Production, &amp; Other Assu'!BK$18,'Internmediate sheet'!$A77/3,0)*Capacity</f>
        <v>0</v>
      </c>
      <c r="BL78" s="17">
        <f ca="1">OFFSET('Sales, Production, &amp; Other Assu'!BL$18,'Internmediate sheet'!$A77/3,0)*Capacity</f>
        <v>0</v>
      </c>
      <c r="BM78" s="17">
        <f ca="1">OFFSET('Sales, Production, &amp; Other Assu'!BM$18,'Internmediate sheet'!$A77/3,0)*Capacity</f>
        <v>0</v>
      </c>
      <c r="BN78" s="17">
        <f ca="1">OFFSET('Sales, Production, &amp; Other Assu'!BN$18,'Internmediate sheet'!$A77/3,0)*Capacity</f>
        <v>0</v>
      </c>
      <c r="BO78" s="17">
        <f ca="1">OFFSET('Sales, Production, &amp; Other Assu'!BO$18,'Internmediate sheet'!$A77/3,0)*Capacity</f>
        <v>0</v>
      </c>
      <c r="BP78" s="430">
        <f ca="1">SUM(BD78:BO78)</f>
        <v>0</v>
      </c>
      <c r="BQ78" s="17">
        <f ca="1">OFFSET('Sales, Production, &amp; Other Assu'!BQ$18,'Internmediate sheet'!$A77/3,0)*Capacity</f>
        <v>0</v>
      </c>
      <c r="BR78" s="17">
        <f ca="1">OFFSET('Sales, Production, &amp; Other Assu'!BR$18,'Internmediate sheet'!$A77/3,0)*Capacity</f>
        <v>0</v>
      </c>
      <c r="BS78" s="17">
        <f ca="1">OFFSET('Sales, Production, &amp; Other Assu'!BS$18,'Internmediate sheet'!$A77/3,0)*Capacity</f>
        <v>0</v>
      </c>
      <c r="BT78" s="17">
        <f ca="1">OFFSET('Sales, Production, &amp; Other Assu'!BT$18,'Internmediate sheet'!$A77/3,0)*Capacity</f>
        <v>0</v>
      </c>
      <c r="BU78" s="17">
        <f ca="1">OFFSET('Sales, Production, &amp; Other Assu'!BU$18,'Internmediate sheet'!$A77/3,0)*Capacity</f>
        <v>0</v>
      </c>
      <c r="BV78" s="17">
        <f ca="1">OFFSET('Sales, Production, &amp; Other Assu'!BV$18,'Internmediate sheet'!$A77/3,0)*Capacity</f>
        <v>0</v>
      </c>
      <c r="BW78" s="17">
        <f ca="1">OFFSET('Sales, Production, &amp; Other Assu'!BW$18,'Internmediate sheet'!$A77/3,0)*Capacity</f>
        <v>0</v>
      </c>
      <c r="BX78" s="17">
        <f ca="1">OFFSET('Sales, Production, &amp; Other Assu'!BX$18,'Internmediate sheet'!$A77/3,0)*Capacity</f>
        <v>0</v>
      </c>
      <c r="BY78" s="17">
        <f ca="1">OFFSET('Sales, Production, &amp; Other Assu'!BY$18,'Internmediate sheet'!$A77/3,0)*Capacity</f>
        <v>0</v>
      </c>
      <c r="BZ78" s="17">
        <f ca="1">OFFSET('Sales, Production, &amp; Other Assu'!BZ$18,'Internmediate sheet'!$A77/3,0)*Capacity</f>
        <v>0</v>
      </c>
      <c r="CA78" s="17">
        <f ca="1">OFFSET('Sales, Production, &amp; Other Assu'!CA$18,'Internmediate sheet'!$A77/3,0)*Capacity</f>
        <v>0</v>
      </c>
      <c r="CB78" s="17">
        <f ca="1">OFFSET('Sales, Production, &amp; Other Assu'!CB$18,'Internmediate sheet'!$A77/3,0)*Capacity</f>
        <v>0</v>
      </c>
      <c r="CC78" s="430">
        <f ca="1">SUM(BQ78:CB78)</f>
        <v>0</v>
      </c>
      <c r="CD78" s="17">
        <f ca="1">OFFSET('Sales, Production, &amp; Other Assu'!CD$18,'Internmediate sheet'!$A77/3,0)*Capacity</f>
        <v>0</v>
      </c>
      <c r="CE78" s="17">
        <f ca="1">OFFSET('Sales, Production, &amp; Other Assu'!CE$18,'Internmediate sheet'!$A77/3,0)*Capacity</f>
        <v>0</v>
      </c>
      <c r="CF78" s="17">
        <f ca="1">OFFSET('Sales, Production, &amp; Other Assu'!CF$18,'Internmediate sheet'!$A77/3,0)*Capacity</f>
        <v>0</v>
      </c>
      <c r="CG78" s="17">
        <f ca="1">OFFSET('Sales, Production, &amp; Other Assu'!CG$18,'Internmediate sheet'!$A77/3,0)*Capacity</f>
        <v>0</v>
      </c>
      <c r="CH78" s="17">
        <f ca="1">OFFSET('Sales, Production, &amp; Other Assu'!CH$18,'Internmediate sheet'!$A77/3,0)*Capacity</f>
        <v>0</v>
      </c>
      <c r="CI78" s="17">
        <f ca="1">OFFSET('Sales, Production, &amp; Other Assu'!CI$18,'Internmediate sheet'!$A77/3,0)*Capacity</f>
        <v>0</v>
      </c>
      <c r="CJ78" s="17">
        <f ca="1">OFFSET('Sales, Production, &amp; Other Assu'!CJ$18,'Internmediate sheet'!$A77/3,0)*Capacity</f>
        <v>0</v>
      </c>
      <c r="CK78" s="17">
        <f ca="1">OFFSET('Sales, Production, &amp; Other Assu'!CK$18,'Internmediate sheet'!$A77/3,0)*Capacity</f>
        <v>0</v>
      </c>
      <c r="CL78" s="17">
        <f ca="1">OFFSET('Sales, Production, &amp; Other Assu'!CL$18,'Internmediate sheet'!$A77/3,0)*Capacity</f>
        <v>0</v>
      </c>
      <c r="CM78" s="17">
        <f ca="1">OFFSET('Sales, Production, &amp; Other Assu'!CM$18,'Internmediate sheet'!$A77/3,0)*Capacity</f>
        <v>0</v>
      </c>
      <c r="CN78" s="17">
        <f ca="1">OFFSET('Sales, Production, &amp; Other Assu'!CN$18,'Internmediate sheet'!$A77/3,0)*Capacity</f>
        <v>0</v>
      </c>
      <c r="CO78" s="17">
        <f ca="1">OFFSET('Sales, Production, &amp; Other Assu'!CO$18,'Internmediate sheet'!$A77/3,0)*Capacity</f>
        <v>0</v>
      </c>
      <c r="CP78" s="430">
        <f ca="1">SUM(CD78:CO78)</f>
        <v>0</v>
      </c>
    </row>
    <row r="79" spans="1:94" ht="20.100000000000001" hidden="1" customHeight="1">
      <c r="A79" s="790"/>
      <c r="B79" s="8" t="s">
        <v>610</v>
      </c>
      <c r="C79" s="8">
        <f ca="1">OFFSET('Summary. Assumptions. Inputs'!$F$46,'Internmediate sheet'!A74/3,0)</f>
        <v>0</v>
      </c>
      <c r="D79" s="8">
        <f t="shared" ref="D79:P79" ca="1" si="2040">C79</f>
        <v>0</v>
      </c>
      <c r="E79" s="8">
        <f t="shared" ca="1" si="2040"/>
        <v>0</v>
      </c>
      <c r="F79" s="8">
        <f t="shared" ca="1" si="2040"/>
        <v>0</v>
      </c>
      <c r="G79" s="8">
        <f t="shared" ca="1" si="2040"/>
        <v>0</v>
      </c>
      <c r="H79" s="8">
        <f t="shared" ca="1" si="2040"/>
        <v>0</v>
      </c>
      <c r="I79" s="8">
        <f t="shared" ca="1" si="2040"/>
        <v>0</v>
      </c>
      <c r="J79" s="8">
        <f t="shared" ca="1" si="2040"/>
        <v>0</v>
      </c>
      <c r="K79" s="8">
        <f t="shared" ca="1" si="2040"/>
        <v>0</v>
      </c>
      <c r="L79" s="8">
        <f t="shared" ca="1" si="2040"/>
        <v>0</v>
      </c>
      <c r="M79" s="8">
        <f t="shared" ca="1" si="2040"/>
        <v>0</v>
      </c>
      <c r="N79" s="8">
        <f t="shared" ca="1" si="2040"/>
        <v>0</v>
      </c>
      <c r="O79" s="8">
        <f t="shared" ca="1" si="2040"/>
        <v>0</v>
      </c>
      <c r="P79" s="431">
        <f t="shared" ca="1" si="2040"/>
        <v>0</v>
      </c>
      <c r="Q79" s="8">
        <f t="shared" ref="Q79" ca="1" si="2041">P79</f>
        <v>0</v>
      </c>
      <c r="R79" s="8">
        <f t="shared" ref="R79" ca="1" si="2042">Q79</f>
        <v>0</v>
      </c>
      <c r="S79" s="8">
        <f t="shared" ref="S79" ca="1" si="2043">R79</f>
        <v>0</v>
      </c>
      <c r="T79" s="8">
        <f t="shared" ref="T79" ca="1" si="2044">S79</f>
        <v>0</v>
      </c>
      <c r="U79" s="8">
        <f t="shared" ref="U79" ca="1" si="2045">T79</f>
        <v>0</v>
      </c>
      <c r="V79" s="8">
        <f t="shared" ref="V79" ca="1" si="2046">U79</f>
        <v>0</v>
      </c>
      <c r="W79" s="8">
        <f t="shared" ref="W79" ca="1" si="2047">V79</f>
        <v>0</v>
      </c>
      <c r="X79" s="8">
        <f t="shared" ref="X79" ca="1" si="2048">W79</f>
        <v>0</v>
      </c>
      <c r="Y79" s="8">
        <f t="shared" ref="Y79" ca="1" si="2049">X79</f>
        <v>0</v>
      </c>
      <c r="Z79" s="8">
        <f t="shared" ref="Z79" ca="1" si="2050">Y79</f>
        <v>0</v>
      </c>
      <c r="AA79" s="8">
        <f t="shared" ref="AA79" ca="1" si="2051">Z79</f>
        <v>0</v>
      </c>
      <c r="AB79" s="8">
        <f t="shared" ref="AB79" ca="1" si="2052">AA79</f>
        <v>0</v>
      </c>
      <c r="AC79" s="431">
        <f t="shared" ref="AC79" ca="1" si="2053">AB79</f>
        <v>0</v>
      </c>
      <c r="AD79" s="8">
        <f t="shared" ref="AD79" ca="1" si="2054">AC79</f>
        <v>0</v>
      </c>
      <c r="AE79" s="8">
        <f t="shared" ref="AE79" ca="1" si="2055">AD79</f>
        <v>0</v>
      </c>
      <c r="AF79" s="8">
        <f t="shared" ref="AF79" ca="1" si="2056">AE79</f>
        <v>0</v>
      </c>
      <c r="AG79" s="8">
        <f t="shared" ref="AG79" ca="1" si="2057">AF79</f>
        <v>0</v>
      </c>
      <c r="AH79" s="8">
        <f t="shared" ref="AH79" ca="1" si="2058">AG79</f>
        <v>0</v>
      </c>
      <c r="AI79" s="8">
        <f t="shared" ref="AI79" ca="1" si="2059">AH79</f>
        <v>0</v>
      </c>
      <c r="AJ79" s="8">
        <f t="shared" ref="AJ79" ca="1" si="2060">AI79</f>
        <v>0</v>
      </c>
      <c r="AK79" s="8">
        <f t="shared" ref="AK79" ca="1" si="2061">AJ79</f>
        <v>0</v>
      </c>
      <c r="AL79" s="8">
        <f t="shared" ref="AL79" ca="1" si="2062">AK79</f>
        <v>0</v>
      </c>
      <c r="AM79" s="8">
        <f t="shared" ref="AM79" ca="1" si="2063">AL79</f>
        <v>0</v>
      </c>
      <c r="AN79" s="8">
        <f t="shared" ref="AN79" ca="1" si="2064">AM79</f>
        <v>0</v>
      </c>
      <c r="AO79" s="8">
        <f t="shared" ref="AO79" ca="1" si="2065">AN79</f>
        <v>0</v>
      </c>
      <c r="AP79" s="431">
        <f t="shared" ref="AP79" ca="1" si="2066">AO79</f>
        <v>0</v>
      </c>
      <c r="AQ79" s="8">
        <f ca="1">AP79</f>
        <v>0</v>
      </c>
      <c r="AR79" s="8">
        <f t="shared" ref="AR79" ca="1" si="2067">AQ79</f>
        <v>0</v>
      </c>
      <c r="AS79" s="8">
        <f t="shared" ref="AS79" ca="1" si="2068">AR79</f>
        <v>0</v>
      </c>
      <c r="AT79" s="8">
        <f t="shared" ref="AT79" ca="1" si="2069">AS79</f>
        <v>0</v>
      </c>
      <c r="AU79" s="8">
        <f t="shared" ref="AU79" ca="1" si="2070">AT79</f>
        <v>0</v>
      </c>
      <c r="AV79" s="8">
        <f t="shared" ref="AV79" ca="1" si="2071">AU79</f>
        <v>0</v>
      </c>
      <c r="AW79" s="8">
        <f t="shared" ref="AW79" ca="1" si="2072">AV79</f>
        <v>0</v>
      </c>
      <c r="AX79" s="8">
        <f t="shared" ref="AX79" ca="1" si="2073">AW79</f>
        <v>0</v>
      </c>
      <c r="AY79" s="8">
        <f t="shared" ref="AY79" ca="1" si="2074">AX79</f>
        <v>0</v>
      </c>
      <c r="AZ79" s="8">
        <f t="shared" ref="AZ79" ca="1" si="2075">AY79</f>
        <v>0</v>
      </c>
      <c r="BA79" s="8">
        <f t="shared" ref="BA79" ca="1" si="2076">AZ79</f>
        <v>0</v>
      </c>
      <c r="BB79" s="8">
        <f t="shared" ref="BB79" ca="1" si="2077">BA79</f>
        <v>0</v>
      </c>
      <c r="BC79" s="431">
        <f t="shared" ref="BC79" ca="1" si="2078">BB79</f>
        <v>0</v>
      </c>
      <c r="BD79" s="8">
        <f t="shared" ref="BD79" ca="1" si="2079">BC79</f>
        <v>0</v>
      </c>
      <c r="BE79" s="8">
        <f t="shared" ref="BE79" ca="1" si="2080">BD79</f>
        <v>0</v>
      </c>
      <c r="BF79" s="8">
        <f t="shared" ref="BF79" ca="1" si="2081">BE79</f>
        <v>0</v>
      </c>
      <c r="BG79" s="8">
        <f t="shared" ref="BG79" ca="1" si="2082">BF79</f>
        <v>0</v>
      </c>
      <c r="BH79" s="8">
        <f t="shared" ref="BH79" ca="1" si="2083">BG79</f>
        <v>0</v>
      </c>
      <c r="BI79" s="8">
        <f t="shared" ref="BI79" ca="1" si="2084">BH79</f>
        <v>0</v>
      </c>
      <c r="BJ79" s="8">
        <f t="shared" ref="BJ79" ca="1" si="2085">BI79</f>
        <v>0</v>
      </c>
      <c r="BK79" s="8">
        <f t="shared" ref="BK79" ca="1" si="2086">BJ79</f>
        <v>0</v>
      </c>
      <c r="BL79" s="8">
        <f t="shared" ref="BL79" ca="1" si="2087">BK79</f>
        <v>0</v>
      </c>
      <c r="BM79" s="8">
        <f t="shared" ref="BM79" ca="1" si="2088">BL79</f>
        <v>0</v>
      </c>
      <c r="BN79" s="8">
        <f t="shared" ref="BN79" ca="1" si="2089">BM79</f>
        <v>0</v>
      </c>
      <c r="BO79" s="8">
        <f t="shared" ref="BO79" ca="1" si="2090">BN79</f>
        <v>0</v>
      </c>
      <c r="BP79" s="431">
        <f t="shared" ref="BP79" ca="1" si="2091">BO79</f>
        <v>0</v>
      </c>
      <c r="BQ79" s="8">
        <f t="shared" ref="BQ79" ca="1" si="2092">BP79</f>
        <v>0</v>
      </c>
      <c r="BR79" s="8">
        <f t="shared" ref="BR79" ca="1" si="2093">BQ79</f>
        <v>0</v>
      </c>
      <c r="BS79" s="8">
        <f t="shared" ref="BS79" ca="1" si="2094">BR79</f>
        <v>0</v>
      </c>
      <c r="BT79" s="8">
        <f t="shared" ref="BT79" ca="1" si="2095">BS79</f>
        <v>0</v>
      </c>
      <c r="BU79" s="8">
        <f t="shared" ref="BU79" ca="1" si="2096">BT79</f>
        <v>0</v>
      </c>
      <c r="BV79" s="8">
        <f t="shared" ref="BV79" ca="1" si="2097">BU79</f>
        <v>0</v>
      </c>
      <c r="BW79" s="8">
        <f t="shared" ref="BW79" ca="1" si="2098">BV79</f>
        <v>0</v>
      </c>
      <c r="BX79" s="8">
        <f t="shared" ref="BX79" ca="1" si="2099">BW79</f>
        <v>0</v>
      </c>
      <c r="BY79" s="8">
        <f t="shared" ref="BY79" ca="1" si="2100">BX79</f>
        <v>0</v>
      </c>
      <c r="BZ79" s="8">
        <f t="shared" ref="BZ79" ca="1" si="2101">BY79</f>
        <v>0</v>
      </c>
      <c r="CA79" s="8">
        <f t="shared" ref="CA79" ca="1" si="2102">BZ79</f>
        <v>0</v>
      </c>
      <c r="CB79" s="8">
        <f t="shared" ref="CB79" ca="1" si="2103">CA79</f>
        <v>0</v>
      </c>
      <c r="CC79" s="431">
        <f t="shared" ref="CC79" ca="1" si="2104">CB79</f>
        <v>0</v>
      </c>
      <c r="CD79" s="8">
        <f t="shared" ref="CD79" ca="1" si="2105">CC79</f>
        <v>0</v>
      </c>
      <c r="CE79" s="8">
        <f t="shared" ref="CE79" ca="1" si="2106">CD79</f>
        <v>0</v>
      </c>
      <c r="CF79" s="8">
        <f t="shared" ref="CF79" ca="1" si="2107">CE79</f>
        <v>0</v>
      </c>
      <c r="CG79" s="8">
        <f t="shared" ref="CG79" ca="1" si="2108">CF79</f>
        <v>0</v>
      </c>
      <c r="CH79" s="8">
        <f t="shared" ref="CH79" ca="1" si="2109">CG79</f>
        <v>0</v>
      </c>
      <c r="CI79" s="8">
        <f t="shared" ref="CI79" ca="1" si="2110">CH79</f>
        <v>0</v>
      </c>
      <c r="CJ79" s="8">
        <f t="shared" ref="CJ79" ca="1" si="2111">CI79</f>
        <v>0</v>
      </c>
      <c r="CK79" s="8">
        <f t="shared" ref="CK79" ca="1" si="2112">CJ79</f>
        <v>0</v>
      </c>
      <c r="CL79" s="8">
        <f t="shared" ref="CL79" ca="1" si="2113">CK79</f>
        <v>0</v>
      </c>
      <c r="CM79" s="8">
        <f t="shared" ref="CM79" ca="1" si="2114">CL79</f>
        <v>0</v>
      </c>
      <c r="CN79" s="8">
        <f t="shared" ref="CN79" ca="1" si="2115">CM79</f>
        <v>0</v>
      </c>
      <c r="CO79" s="8">
        <f t="shared" ref="CO79" ca="1" si="2116">CN79</f>
        <v>0</v>
      </c>
      <c r="CP79" s="431">
        <f t="shared" ref="CP79" ca="1" si="2117">CO79</f>
        <v>0</v>
      </c>
    </row>
    <row r="80" spans="1:94" ht="20.100000000000001" hidden="1" customHeight="1">
      <c r="A80" s="791"/>
      <c r="B80" s="248" t="s">
        <v>611</v>
      </c>
      <c r="C80" s="249">
        <f t="shared" ref="C80:O80" ca="1" si="2118">C78*C79</f>
        <v>0</v>
      </c>
      <c r="D80" s="248">
        <f t="shared" ca="1" si="2118"/>
        <v>0</v>
      </c>
      <c r="E80" s="248">
        <f t="shared" ca="1" si="2118"/>
        <v>0</v>
      </c>
      <c r="F80" s="248">
        <f t="shared" ca="1" si="2118"/>
        <v>0</v>
      </c>
      <c r="G80" s="248">
        <f t="shared" ca="1" si="2118"/>
        <v>0</v>
      </c>
      <c r="H80" s="248">
        <f t="shared" ca="1" si="2118"/>
        <v>0</v>
      </c>
      <c r="I80" s="248">
        <f t="shared" ca="1" si="2118"/>
        <v>0</v>
      </c>
      <c r="J80" s="248">
        <f t="shared" ca="1" si="2118"/>
        <v>0</v>
      </c>
      <c r="K80" s="248">
        <f t="shared" ca="1" si="2118"/>
        <v>0</v>
      </c>
      <c r="L80" s="248">
        <f t="shared" ca="1" si="2118"/>
        <v>0</v>
      </c>
      <c r="M80" s="248">
        <f t="shared" ca="1" si="2118"/>
        <v>0</v>
      </c>
      <c r="N80" s="248">
        <f t="shared" ca="1" si="2118"/>
        <v>0</v>
      </c>
      <c r="O80" s="248">
        <f t="shared" ca="1" si="2118"/>
        <v>0</v>
      </c>
      <c r="P80" s="432">
        <f ca="1">SUM(D80:O80)</f>
        <v>0</v>
      </c>
      <c r="Q80" s="248">
        <f t="shared" ref="Q80:AB80" ca="1" si="2119">Q78*Q79</f>
        <v>0</v>
      </c>
      <c r="R80" s="248">
        <f t="shared" ca="1" si="2119"/>
        <v>0</v>
      </c>
      <c r="S80" s="248">
        <f t="shared" ca="1" si="2119"/>
        <v>0</v>
      </c>
      <c r="T80" s="248">
        <f t="shared" ca="1" si="2119"/>
        <v>0</v>
      </c>
      <c r="U80" s="248">
        <f t="shared" ca="1" si="2119"/>
        <v>0</v>
      </c>
      <c r="V80" s="248">
        <f t="shared" ca="1" si="2119"/>
        <v>0</v>
      </c>
      <c r="W80" s="248">
        <f t="shared" ca="1" si="2119"/>
        <v>0</v>
      </c>
      <c r="X80" s="248">
        <f t="shared" ca="1" si="2119"/>
        <v>0</v>
      </c>
      <c r="Y80" s="248">
        <f t="shared" ca="1" si="2119"/>
        <v>0</v>
      </c>
      <c r="Z80" s="248">
        <f t="shared" ca="1" si="2119"/>
        <v>0</v>
      </c>
      <c r="AA80" s="248">
        <f t="shared" ca="1" si="2119"/>
        <v>0</v>
      </c>
      <c r="AB80" s="248">
        <f t="shared" ca="1" si="2119"/>
        <v>0</v>
      </c>
      <c r="AC80" s="432">
        <f ca="1">SUM(Q80:AB80)</f>
        <v>0</v>
      </c>
      <c r="AD80" s="248">
        <f t="shared" ref="AD80:AO80" ca="1" si="2120">AD78*AD79</f>
        <v>0</v>
      </c>
      <c r="AE80" s="248">
        <f t="shared" ca="1" si="2120"/>
        <v>0</v>
      </c>
      <c r="AF80" s="248">
        <f t="shared" ca="1" si="2120"/>
        <v>0</v>
      </c>
      <c r="AG80" s="248">
        <f t="shared" ca="1" si="2120"/>
        <v>0</v>
      </c>
      <c r="AH80" s="248">
        <f t="shared" ca="1" si="2120"/>
        <v>0</v>
      </c>
      <c r="AI80" s="248">
        <f t="shared" ca="1" si="2120"/>
        <v>0</v>
      </c>
      <c r="AJ80" s="248">
        <f t="shared" ca="1" si="2120"/>
        <v>0</v>
      </c>
      <c r="AK80" s="248">
        <f t="shared" ca="1" si="2120"/>
        <v>0</v>
      </c>
      <c r="AL80" s="248">
        <f t="shared" ca="1" si="2120"/>
        <v>0</v>
      </c>
      <c r="AM80" s="248">
        <f t="shared" ca="1" si="2120"/>
        <v>0</v>
      </c>
      <c r="AN80" s="248">
        <f t="shared" ca="1" si="2120"/>
        <v>0</v>
      </c>
      <c r="AO80" s="248">
        <f t="shared" ca="1" si="2120"/>
        <v>0</v>
      </c>
      <c r="AP80" s="432">
        <f ca="1">SUM(AD80:AO80)</f>
        <v>0</v>
      </c>
      <c r="AQ80" s="248">
        <f t="shared" ref="AQ80:BB80" ca="1" si="2121">AQ78*AQ79</f>
        <v>0</v>
      </c>
      <c r="AR80" s="248">
        <f t="shared" ca="1" si="2121"/>
        <v>0</v>
      </c>
      <c r="AS80" s="248">
        <f t="shared" ca="1" si="2121"/>
        <v>0</v>
      </c>
      <c r="AT80" s="248">
        <f t="shared" ca="1" si="2121"/>
        <v>0</v>
      </c>
      <c r="AU80" s="248">
        <f t="shared" ca="1" si="2121"/>
        <v>0</v>
      </c>
      <c r="AV80" s="248">
        <f t="shared" ca="1" si="2121"/>
        <v>0</v>
      </c>
      <c r="AW80" s="248">
        <f t="shared" ca="1" si="2121"/>
        <v>0</v>
      </c>
      <c r="AX80" s="248">
        <f t="shared" ca="1" si="2121"/>
        <v>0</v>
      </c>
      <c r="AY80" s="248">
        <f t="shared" ca="1" si="2121"/>
        <v>0</v>
      </c>
      <c r="AZ80" s="248">
        <f t="shared" ca="1" si="2121"/>
        <v>0</v>
      </c>
      <c r="BA80" s="248">
        <f t="shared" ca="1" si="2121"/>
        <v>0</v>
      </c>
      <c r="BB80" s="248">
        <f t="shared" ca="1" si="2121"/>
        <v>0</v>
      </c>
      <c r="BC80" s="432">
        <f ca="1">SUM(AQ80:BB80)</f>
        <v>0</v>
      </c>
      <c r="BD80" s="248">
        <f t="shared" ref="BD80:BO80" ca="1" si="2122">BD78*BD79</f>
        <v>0</v>
      </c>
      <c r="BE80" s="248">
        <f t="shared" ca="1" si="2122"/>
        <v>0</v>
      </c>
      <c r="BF80" s="248">
        <f t="shared" ca="1" si="2122"/>
        <v>0</v>
      </c>
      <c r="BG80" s="248">
        <f t="shared" ca="1" si="2122"/>
        <v>0</v>
      </c>
      <c r="BH80" s="248">
        <f t="shared" ca="1" si="2122"/>
        <v>0</v>
      </c>
      <c r="BI80" s="248">
        <f t="shared" ca="1" si="2122"/>
        <v>0</v>
      </c>
      <c r="BJ80" s="248">
        <f t="shared" ca="1" si="2122"/>
        <v>0</v>
      </c>
      <c r="BK80" s="248">
        <f t="shared" ca="1" si="2122"/>
        <v>0</v>
      </c>
      <c r="BL80" s="248">
        <f t="shared" ca="1" si="2122"/>
        <v>0</v>
      </c>
      <c r="BM80" s="248">
        <f t="shared" ca="1" si="2122"/>
        <v>0</v>
      </c>
      <c r="BN80" s="248">
        <f t="shared" ca="1" si="2122"/>
        <v>0</v>
      </c>
      <c r="BO80" s="248">
        <f t="shared" ca="1" si="2122"/>
        <v>0</v>
      </c>
      <c r="BP80" s="432">
        <f ca="1">SUM(BD80:BO80)</f>
        <v>0</v>
      </c>
      <c r="BQ80" s="248">
        <f t="shared" ref="BQ80:CB80" ca="1" si="2123">BQ78*BQ79</f>
        <v>0</v>
      </c>
      <c r="BR80" s="248">
        <f t="shared" ca="1" si="2123"/>
        <v>0</v>
      </c>
      <c r="BS80" s="248">
        <f t="shared" ca="1" si="2123"/>
        <v>0</v>
      </c>
      <c r="BT80" s="248">
        <f t="shared" ca="1" si="2123"/>
        <v>0</v>
      </c>
      <c r="BU80" s="248">
        <f t="shared" ca="1" si="2123"/>
        <v>0</v>
      </c>
      <c r="BV80" s="248">
        <f t="shared" ca="1" si="2123"/>
        <v>0</v>
      </c>
      <c r="BW80" s="248">
        <f t="shared" ca="1" si="2123"/>
        <v>0</v>
      </c>
      <c r="BX80" s="248">
        <f t="shared" ca="1" si="2123"/>
        <v>0</v>
      </c>
      <c r="BY80" s="248">
        <f t="shared" ca="1" si="2123"/>
        <v>0</v>
      </c>
      <c r="BZ80" s="248">
        <f t="shared" ca="1" si="2123"/>
        <v>0</v>
      </c>
      <c r="CA80" s="248">
        <f t="shared" ca="1" si="2123"/>
        <v>0</v>
      </c>
      <c r="CB80" s="248">
        <f t="shared" ca="1" si="2123"/>
        <v>0</v>
      </c>
      <c r="CC80" s="432">
        <f ca="1">SUM(BQ80:CB80)</f>
        <v>0</v>
      </c>
      <c r="CD80" s="248">
        <f t="shared" ref="CD80:CO80" ca="1" si="2124">CD78*CD79</f>
        <v>0</v>
      </c>
      <c r="CE80" s="248">
        <f t="shared" ca="1" si="2124"/>
        <v>0</v>
      </c>
      <c r="CF80" s="248">
        <f t="shared" ca="1" si="2124"/>
        <v>0</v>
      </c>
      <c r="CG80" s="248">
        <f t="shared" ca="1" si="2124"/>
        <v>0</v>
      </c>
      <c r="CH80" s="248">
        <f t="shared" ca="1" si="2124"/>
        <v>0</v>
      </c>
      <c r="CI80" s="248">
        <f t="shared" ca="1" si="2124"/>
        <v>0</v>
      </c>
      <c r="CJ80" s="248">
        <f t="shared" ca="1" si="2124"/>
        <v>0</v>
      </c>
      <c r="CK80" s="248">
        <f t="shared" ca="1" si="2124"/>
        <v>0</v>
      </c>
      <c r="CL80" s="248">
        <f t="shared" ca="1" si="2124"/>
        <v>0</v>
      </c>
      <c r="CM80" s="248">
        <f t="shared" ca="1" si="2124"/>
        <v>0</v>
      </c>
      <c r="CN80" s="248">
        <f t="shared" ca="1" si="2124"/>
        <v>0</v>
      </c>
      <c r="CO80" s="248">
        <f t="shared" ca="1" si="2124"/>
        <v>0</v>
      </c>
      <c r="CP80" s="432">
        <f ca="1">SUM(CD80:CO80)</f>
        <v>0</v>
      </c>
    </row>
    <row r="81" spans="1:94" ht="20.100000000000001" hidden="1" customHeight="1">
      <c r="A81" s="789">
        <f ca="1">OFFSET('Summary. Assumptions. Inputs'!$A$45,'Internmediate sheet'!A80/3,0)</f>
        <v>0</v>
      </c>
      <c r="B81" s="17" t="s">
        <v>609</v>
      </c>
      <c r="C81" s="18"/>
      <c r="D81" s="17">
        <f ca="1">OFFSET('Sales, Production, &amp; Other Assu'!D$18,'Internmediate sheet'!$A80/3,0)*Capacity</f>
        <v>0</v>
      </c>
      <c r="E81" s="17">
        <f ca="1">OFFSET('Sales, Production, &amp; Other Assu'!E$18,'Internmediate sheet'!$A80/3,0)*Capacity</f>
        <v>0</v>
      </c>
      <c r="F81" s="17">
        <f ca="1">OFFSET('Sales, Production, &amp; Other Assu'!F$18,'Internmediate sheet'!$A80/3,0)*Capacity</f>
        <v>0</v>
      </c>
      <c r="G81" s="17">
        <f ca="1">OFFSET('Sales, Production, &amp; Other Assu'!G$18,'Internmediate sheet'!$A80/3,0)*Capacity</f>
        <v>0</v>
      </c>
      <c r="H81" s="17">
        <f ca="1">OFFSET('Sales, Production, &amp; Other Assu'!H$18,'Internmediate sheet'!$A80/3,0)*Capacity</f>
        <v>0</v>
      </c>
      <c r="I81" s="17">
        <f ca="1">OFFSET('Sales, Production, &amp; Other Assu'!I$18,'Internmediate sheet'!$A80/3,0)*Capacity</f>
        <v>0</v>
      </c>
      <c r="J81" s="17">
        <f ca="1">OFFSET('Sales, Production, &amp; Other Assu'!J$18,'Internmediate sheet'!$A80/3,0)*Capacity</f>
        <v>0</v>
      </c>
      <c r="K81" s="17">
        <f ca="1">OFFSET('Sales, Production, &amp; Other Assu'!K$18,'Internmediate sheet'!$A80/3,0)*Capacity</f>
        <v>0</v>
      </c>
      <c r="L81" s="17">
        <f ca="1">OFFSET('Sales, Production, &amp; Other Assu'!L$18,'Internmediate sheet'!$A80/3,0)*Capacity</f>
        <v>0</v>
      </c>
      <c r="M81" s="17">
        <f ca="1">OFFSET('Sales, Production, &amp; Other Assu'!M$18,'Internmediate sheet'!$A80/3,0)*Capacity</f>
        <v>0</v>
      </c>
      <c r="N81" s="17">
        <f ca="1">OFFSET('Sales, Production, &amp; Other Assu'!N$18,'Internmediate sheet'!$A80/3,0)*Capacity</f>
        <v>0</v>
      </c>
      <c r="O81" s="17">
        <f ca="1">OFFSET('Sales, Production, &amp; Other Assu'!O$18,'Internmediate sheet'!$A80/3,0)*Capacity</f>
        <v>0</v>
      </c>
      <c r="P81" s="430">
        <f ca="1">SUM(D81:O81)</f>
        <v>0</v>
      </c>
      <c r="Q81" s="17">
        <f ca="1">OFFSET('Sales, Production, &amp; Other Assu'!Q$18,'Internmediate sheet'!$A80/3,0)*Capacity</f>
        <v>0</v>
      </c>
      <c r="R81" s="17">
        <f ca="1">OFFSET('Sales, Production, &amp; Other Assu'!R$18,'Internmediate sheet'!$A80/3,0)*Capacity</f>
        <v>0</v>
      </c>
      <c r="S81" s="17">
        <f ca="1">OFFSET('Sales, Production, &amp; Other Assu'!S$18,'Internmediate sheet'!$A80/3,0)*Capacity</f>
        <v>0</v>
      </c>
      <c r="T81" s="17">
        <f ca="1">OFFSET('Sales, Production, &amp; Other Assu'!T$18,'Internmediate sheet'!$A80/3,0)*Capacity</f>
        <v>0</v>
      </c>
      <c r="U81" s="17">
        <f ca="1">OFFSET('Sales, Production, &amp; Other Assu'!U$18,'Internmediate sheet'!$A80/3,0)*Capacity</f>
        <v>0</v>
      </c>
      <c r="V81" s="17">
        <f ca="1">OFFSET('Sales, Production, &amp; Other Assu'!V$18,'Internmediate sheet'!$A80/3,0)*Capacity</f>
        <v>0</v>
      </c>
      <c r="W81" s="17">
        <f ca="1">OFFSET('Sales, Production, &amp; Other Assu'!W$18,'Internmediate sheet'!$A80/3,0)*Capacity</f>
        <v>0</v>
      </c>
      <c r="X81" s="17">
        <f ca="1">OFFSET('Sales, Production, &amp; Other Assu'!X$18,'Internmediate sheet'!$A80/3,0)*Capacity</f>
        <v>0</v>
      </c>
      <c r="Y81" s="17">
        <f ca="1">OFFSET('Sales, Production, &amp; Other Assu'!Y$18,'Internmediate sheet'!$A80/3,0)*Capacity</f>
        <v>0</v>
      </c>
      <c r="Z81" s="17">
        <f ca="1">OFFSET('Sales, Production, &amp; Other Assu'!Z$18,'Internmediate sheet'!$A80/3,0)*Capacity</f>
        <v>0</v>
      </c>
      <c r="AA81" s="17">
        <f ca="1">OFFSET('Sales, Production, &amp; Other Assu'!AA$18,'Internmediate sheet'!$A80/3,0)*Capacity</f>
        <v>0</v>
      </c>
      <c r="AB81" s="17">
        <f ca="1">OFFSET('Sales, Production, &amp; Other Assu'!AB$18,'Internmediate sheet'!$A80/3,0)*Capacity</f>
        <v>0</v>
      </c>
      <c r="AC81" s="430">
        <f ca="1">SUM(Q81:AB81)</f>
        <v>0</v>
      </c>
      <c r="AD81" s="17">
        <f ca="1">OFFSET('Sales, Production, &amp; Other Assu'!AD$18,'Internmediate sheet'!$A80/3,0)*Capacity</f>
        <v>0</v>
      </c>
      <c r="AE81" s="17">
        <f ca="1">OFFSET('Sales, Production, &amp; Other Assu'!AE$18,'Internmediate sheet'!$A80/3,0)*Capacity</f>
        <v>0</v>
      </c>
      <c r="AF81" s="17">
        <f ca="1">OFFSET('Sales, Production, &amp; Other Assu'!AF$18,'Internmediate sheet'!$A80/3,0)*Capacity</f>
        <v>0</v>
      </c>
      <c r="AG81" s="17">
        <f ca="1">OFFSET('Sales, Production, &amp; Other Assu'!AG$18,'Internmediate sheet'!$A80/3,0)*Capacity</f>
        <v>0</v>
      </c>
      <c r="AH81" s="17">
        <f ca="1">OFFSET('Sales, Production, &amp; Other Assu'!AH$18,'Internmediate sheet'!$A80/3,0)*Capacity</f>
        <v>0</v>
      </c>
      <c r="AI81" s="17">
        <f ca="1">OFFSET('Sales, Production, &amp; Other Assu'!AI$18,'Internmediate sheet'!$A80/3,0)*Capacity</f>
        <v>0</v>
      </c>
      <c r="AJ81" s="17">
        <f ca="1">OFFSET('Sales, Production, &amp; Other Assu'!AJ$18,'Internmediate sheet'!$A80/3,0)*Capacity</f>
        <v>0</v>
      </c>
      <c r="AK81" s="17">
        <f ca="1">OFFSET('Sales, Production, &amp; Other Assu'!AK$18,'Internmediate sheet'!$A80/3,0)*Capacity</f>
        <v>0</v>
      </c>
      <c r="AL81" s="17">
        <f ca="1">OFFSET('Sales, Production, &amp; Other Assu'!AL$18,'Internmediate sheet'!$A80/3,0)*Capacity</f>
        <v>0</v>
      </c>
      <c r="AM81" s="17">
        <f ca="1">OFFSET('Sales, Production, &amp; Other Assu'!AM$18,'Internmediate sheet'!$A80/3,0)*Capacity</f>
        <v>0</v>
      </c>
      <c r="AN81" s="17">
        <f ca="1">OFFSET('Sales, Production, &amp; Other Assu'!AN$18,'Internmediate sheet'!$A80/3,0)*Capacity</f>
        <v>0</v>
      </c>
      <c r="AO81" s="17">
        <f ca="1">OFFSET('Sales, Production, &amp; Other Assu'!AO$18,'Internmediate sheet'!$A80/3,0)*Capacity</f>
        <v>0</v>
      </c>
      <c r="AP81" s="430">
        <f ca="1">SUM(AD81:AO81)</f>
        <v>0</v>
      </c>
      <c r="AQ81" s="17">
        <f ca="1">OFFSET('Sales, Production, &amp; Other Assu'!AQ$18,'Internmediate sheet'!$A80/3,0)*Capacity</f>
        <v>0</v>
      </c>
      <c r="AR81" s="17">
        <f ca="1">OFFSET('Sales, Production, &amp; Other Assu'!AR$18,'Internmediate sheet'!$A80/3,0)*Capacity</f>
        <v>0</v>
      </c>
      <c r="AS81" s="17">
        <f ca="1">OFFSET('Sales, Production, &amp; Other Assu'!AS$18,'Internmediate sheet'!$A80/3,0)*Capacity</f>
        <v>0</v>
      </c>
      <c r="AT81" s="17">
        <f ca="1">OFFSET('Sales, Production, &amp; Other Assu'!AT$18,'Internmediate sheet'!$A80/3,0)*Capacity</f>
        <v>0</v>
      </c>
      <c r="AU81" s="17">
        <f ca="1">OFFSET('Sales, Production, &amp; Other Assu'!AU$18,'Internmediate sheet'!$A80/3,0)*Capacity</f>
        <v>0</v>
      </c>
      <c r="AV81" s="17">
        <f ca="1">OFFSET('Sales, Production, &amp; Other Assu'!AV$18,'Internmediate sheet'!$A80/3,0)*Capacity</f>
        <v>0</v>
      </c>
      <c r="AW81" s="17">
        <f ca="1">OFFSET('Sales, Production, &amp; Other Assu'!AW$18,'Internmediate sheet'!$A80/3,0)*Capacity</f>
        <v>0</v>
      </c>
      <c r="AX81" s="17">
        <f ca="1">OFFSET('Sales, Production, &amp; Other Assu'!AX$18,'Internmediate sheet'!$A80/3,0)*Capacity</f>
        <v>0</v>
      </c>
      <c r="AY81" s="17">
        <f ca="1">OFFSET('Sales, Production, &amp; Other Assu'!AY$18,'Internmediate sheet'!$A80/3,0)*Capacity</f>
        <v>0</v>
      </c>
      <c r="AZ81" s="17">
        <f ca="1">OFFSET('Sales, Production, &amp; Other Assu'!AZ$18,'Internmediate sheet'!$A80/3,0)*Capacity</f>
        <v>0</v>
      </c>
      <c r="BA81" s="17">
        <f ca="1">OFFSET('Sales, Production, &amp; Other Assu'!BA$18,'Internmediate sheet'!$A80/3,0)*Capacity</f>
        <v>0</v>
      </c>
      <c r="BB81" s="17">
        <f ca="1">OFFSET('Sales, Production, &amp; Other Assu'!BB$18,'Internmediate sheet'!$A80/3,0)*Capacity</f>
        <v>0</v>
      </c>
      <c r="BC81" s="430">
        <f ca="1">SUM(AQ81:BB81)</f>
        <v>0</v>
      </c>
      <c r="BD81" s="17">
        <f ca="1">OFFSET('Sales, Production, &amp; Other Assu'!BD$18,'Internmediate sheet'!$A80/3,0)*Capacity</f>
        <v>0</v>
      </c>
      <c r="BE81" s="17">
        <f ca="1">OFFSET('Sales, Production, &amp; Other Assu'!BE$18,'Internmediate sheet'!$A80/3,0)*Capacity</f>
        <v>0</v>
      </c>
      <c r="BF81" s="17">
        <f ca="1">OFFSET('Sales, Production, &amp; Other Assu'!BF$18,'Internmediate sheet'!$A80/3,0)*Capacity</f>
        <v>0</v>
      </c>
      <c r="BG81" s="17">
        <f ca="1">OFFSET('Sales, Production, &amp; Other Assu'!BG$18,'Internmediate sheet'!$A80/3,0)*Capacity</f>
        <v>0</v>
      </c>
      <c r="BH81" s="17">
        <f ca="1">OFFSET('Sales, Production, &amp; Other Assu'!BH$18,'Internmediate sheet'!$A80/3,0)*Capacity</f>
        <v>0</v>
      </c>
      <c r="BI81" s="17">
        <f ca="1">OFFSET('Sales, Production, &amp; Other Assu'!BI$18,'Internmediate sheet'!$A80/3,0)*Capacity</f>
        <v>0</v>
      </c>
      <c r="BJ81" s="17">
        <f ca="1">OFFSET('Sales, Production, &amp; Other Assu'!BJ$18,'Internmediate sheet'!$A80/3,0)*Capacity</f>
        <v>0</v>
      </c>
      <c r="BK81" s="17">
        <f ca="1">OFFSET('Sales, Production, &amp; Other Assu'!BK$18,'Internmediate sheet'!$A80/3,0)*Capacity</f>
        <v>0</v>
      </c>
      <c r="BL81" s="17">
        <f ca="1">OFFSET('Sales, Production, &amp; Other Assu'!BL$18,'Internmediate sheet'!$A80/3,0)*Capacity</f>
        <v>0</v>
      </c>
      <c r="BM81" s="17">
        <f ca="1">OFFSET('Sales, Production, &amp; Other Assu'!BM$18,'Internmediate sheet'!$A80/3,0)*Capacity</f>
        <v>0</v>
      </c>
      <c r="BN81" s="17">
        <f ca="1">OFFSET('Sales, Production, &amp; Other Assu'!BN$18,'Internmediate sheet'!$A80/3,0)*Capacity</f>
        <v>0</v>
      </c>
      <c r="BO81" s="17">
        <f ca="1">OFFSET('Sales, Production, &amp; Other Assu'!BO$18,'Internmediate sheet'!$A80/3,0)*Capacity</f>
        <v>0</v>
      </c>
      <c r="BP81" s="430">
        <f ca="1">SUM(BD81:BO81)</f>
        <v>0</v>
      </c>
      <c r="BQ81" s="17">
        <f ca="1">OFFSET('Sales, Production, &amp; Other Assu'!BQ$18,'Internmediate sheet'!$A80/3,0)*Capacity</f>
        <v>0</v>
      </c>
      <c r="BR81" s="17">
        <f ca="1">OFFSET('Sales, Production, &amp; Other Assu'!BR$18,'Internmediate sheet'!$A80/3,0)*Capacity</f>
        <v>0</v>
      </c>
      <c r="BS81" s="17">
        <f ca="1">OFFSET('Sales, Production, &amp; Other Assu'!BS$18,'Internmediate sheet'!$A80/3,0)*Capacity</f>
        <v>0</v>
      </c>
      <c r="BT81" s="17">
        <f ca="1">OFFSET('Sales, Production, &amp; Other Assu'!BT$18,'Internmediate sheet'!$A80/3,0)*Capacity</f>
        <v>0</v>
      </c>
      <c r="BU81" s="17">
        <f ca="1">OFFSET('Sales, Production, &amp; Other Assu'!BU$18,'Internmediate sheet'!$A80/3,0)*Capacity</f>
        <v>0</v>
      </c>
      <c r="BV81" s="17">
        <f ca="1">OFFSET('Sales, Production, &amp; Other Assu'!BV$18,'Internmediate sheet'!$A80/3,0)*Capacity</f>
        <v>0</v>
      </c>
      <c r="BW81" s="17">
        <f ca="1">OFFSET('Sales, Production, &amp; Other Assu'!BW$18,'Internmediate sheet'!$A80/3,0)*Capacity</f>
        <v>0</v>
      </c>
      <c r="BX81" s="17">
        <f ca="1">OFFSET('Sales, Production, &amp; Other Assu'!BX$18,'Internmediate sheet'!$A80/3,0)*Capacity</f>
        <v>0</v>
      </c>
      <c r="BY81" s="17">
        <f ca="1">OFFSET('Sales, Production, &amp; Other Assu'!BY$18,'Internmediate sheet'!$A80/3,0)*Capacity</f>
        <v>0</v>
      </c>
      <c r="BZ81" s="17">
        <f ca="1">OFFSET('Sales, Production, &amp; Other Assu'!BZ$18,'Internmediate sheet'!$A80/3,0)*Capacity</f>
        <v>0</v>
      </c>
      <c r="CA81" s="17">
        <f ca="1">OFFSET('Sales, Production, &amp; Other Assu'!CA$18,'Internmediate sheet'!$A80/3,0)*Capacity</f>
        <v>0</v>
      </c>
      <c r="CB81" s="17">
        <f ca="1">OFFSET('Sales, Production, &amp; Other Assu'!CB$18,'Internmediate sheet'!$A80/3,0)*Capacity</f>
        <v>0</v>
      </c>
      <c r="CC81" s="430">
        <f ca="1">SUM(BQ81:CB81)</f>
        <v>0</v>
      </c>
      <c r="CD81" s="17">
        <f ca="1">OFFSET('Sales, Production, &amp; Other Assu'!CD$18,'Internmediate sheet'!$A80/3,0)*Capacity</f>
        <v>0</v>
      </c>
      <c r="CE81" s="17">
        <f ca="1">OFFSET('Sales, Production, &amp; Other Assu'!CE$18,'Internmediate sheet'!$A80/3,0)*Capacity</f>
        <v>0</v>
      </c>
      <c r="CF81" s="17">
        <f ca="1">OFFSET('Sales, Production, &amp; Other Assu'!CF$18,'Internmediate sheet'!$A80/3,0)*Capacity</f>
        <v>0</v>
      </c>
      <c r="CG81" s="17">
        <f ca="1">OFFSET('Sales, Production, &amp; Other Assu'!CG$18,'Internmediate sheet'!$A80/3,0)*Capacity</f>
        <v>0</v>
      </c>
      <c r="CH81" s="17">
        <f ca="1">OFFSET('Sales, Production, &amp; Other Assu'!CH$18,'Internmediate sheet'!$A80/3,0)*Capacity</f>
        <v>0</v>
      </c>
      <c r="CI81" s="17">
        <f ca="1">OFFSET('Sales, Production, &amp; Other Assu'!CI$18,'Internmediate sheet'!$A80/3,0)*Capacity</f>
        <v>0</v>
      </c>
      <c r="CJ81" s="17">
        <f ca="1">OFFSET('Sales, Production, &amp; Other Assu'!CJ$18,'Internmediate sheet'!$A80/3,0)*Capacity</f>
        <v>0</v>
      </c>
      <c r="CK81" s="17">
        <f ca="1">OFFSET('Sales, Production, &amp; Other Assu'!CK$18,'Internmediate sheet'!$A80/3,0)*Capacity</f>
        <v>0</v>
      </c>
      <c r="CL81" s="17">
        <f ca="1">OFFSET('Sales, Production, &amp; Other Assu'!CL$18,'Internmediate sheet'!$A80/3,0)*Capacity</f>
        <v>0</v>
      </c>
      <c r="CM81" s="17">
        <f ca="1">OFFSET('Sales, Production, &amp; Other Assu'!CM$18,'Internmediate sheet'!$A80/3,0)*Capacity</f>
        <v>0</v>
      </c>
      <c r="CN81" s="17">
        <f ca="1">OFFSET('Sales, Production, &amp; Other Assu'!CN$18,'Internmediate sheet'!$A80/3,0)*Capacity</f>
        <v>0</v>
      </c>
      <c r="CO81" s="17">
        <f ca="1">OFFSET('Sales, Production, &amp; Other Assu'!CO$18,'Internmediate sheet'!$A80/3,0)*Capacity</f>
        <v>0</v>
      </c>
      <c r="CP81" s="430">
        <f ca="1">SUM(CD81:CO81)</f>
        <v>0</v>
      </c>
    </row>
    <row r="82" spans="1:94" ht="20.100000000000001" hidden="1" customHeight="1">
      <c r="A82" s="790"/>
      <c r="B82" s="8" t="s">
        <v>610</v>
      </c>
      <c r="C82" s="8">
        <f ca="1">OFFSET('Summary. Assumptions. Inputs'!$F$46,'Internmediate sheet'!A77/3,0)</f>
        <v>0</v>
      </c>
      <c r="D82" s="8">
        <f t="shared" ref="D82:P82" ca="1" si="2125">C82</f>
        <v>0</v>
      </c>
      <c r="E82" s="8">
        <f t="shared" ca="1" si="2125"/>
        <v>0</v>
      </c>
      <c r="F82" s="8">
        <f t="shared" ca="1" si="2125"/>
        <v>0</v>
      </c>
      <c r="G82" s="8">
        <f t="shared" ca="1" si="2125"/>
        <v>0</v>
      </c>
      <c r="H82" s="8">
        <f t="shared" ca="1" si="2125"/>
        <v>0</v>
      </c>
      <c r="I82" s="8">
        <f t="shared" ca="1" si="2125"/>
        <v>0</v>
      </c>
      <c r="J82" s="8">
        <f t="shared" ca="1" si="2125"/>
        <v>0</v>
      </c>
      <c r="K82" s="8">
        <f t="shared" ca="1" si="2125"/>
        <v>0</v>
      </c>
      <c r="L82" s="8">
        <f t="shared" ca="1" si="2125"/>
        <v>0</v>
      </c>
      <c r="M82" s="8">
        <f t="shared" ca="1" si="2125"/>
        <v>0</v>
      </c>
      <c r="N82" s="8">
        <f t="shared" ca="1" si="2125"/>
        <v>0</v>
      </c>
      <c r="O82" s="8">
        <f t="shared" ca="1" si="2125"/>
        <v>0</v>
      </c>
      <c r="P82" s="431">
        <f t="shared" ca="1" si="2125"/>
        <v>0</v>
      </c>
      <c r="Q82" s="8">
        <f t="shared" ref="Q82" ca="1" si="2126">P82</f>
        <v>0</v>
      </c>
      <c r="R82" s="8">
        <f t="shared" ref="R82" ca="1" si="2127">Q82</f>
        <v>0</v>
      </c>
      <c r="S82" s="8">
        <f t="shared" ref="S82" ca="1" si="2128">R82</f>
        <v>0</v>
      </c>
      <c r="T82" s="8">
        <f t="shared" ref="T82" ca="1" si="2129">S82</f>
        <v>0</v>
      </c>
      <c r="U82" s="8">
        <f t="shared" ref="U82" ca="1" si="2130">T82</f>
        <v>0</v>
      </c>
      <c r="V82" s="8">
        <f t="shared" ref="V82" ca="1" si="2131">U82</f>
        <v>0</v>
      </c>
      <c r="W82" s="8">
        <f t="shared" ref="W82" ca="1" si="2132">V82</f>
        <v>0</v>
      </c>
      <c r="X82" s="8">
        <f t="shared" ref="X82" ca="1" si="2133">W82</f>
        <v>0</v>
      </c>
      <c r="Y82" s="8">
        <f t="shared" ref="Y82" ca="1" si="2134">X82</f>
        <v>0</v>
      </c>
      <c r="Z82" s="8">
        <f t="shared" ref="Z82" ca="1" si="2135">Y82</f>
        <v>0</v>
      </c>
      <c r="AA82" s="8">
        <f t="shared" ref="AA82" ca="1" si="2136">Z82</f>
        <v>0</v>
      </c>
      <c r="AB82" s="8">
        <f t="shared" ref="AB82" ca="1" si="2137">AA82</f>
        <v>0</v>
      </c>
      <c r="AC82" s="431">
        <f t="shared" ref="AC82" ca="1" si="2138">AB82</f>
        <v>0</v>
      </c>
      <c r="AD82" s="8">
        <f t="shared" ref="AD82" ca="1" si="2139">AC82</f>
        <v>0</v>
      </c>
      <c r="AE82" s="8">
        <f t="shared" ref="AE82" ca="1" si="2140">AD82</f>
        <v>0</v>
      </c>
      <c r="AF82" s="8">
        <f t="shared" ref="AF82" ca="1" si="2141">AE82</f>
        <v>0</v>
      </c>
      <c r="AG82" s="8">
        <f t="shared" ref="AG82" ca="1" si="2142">AF82</f>
        <v>0</v>
      </c>
      <c r="AH82" s="8">
        <f t="shared" ref="AH82" ca="1" si="2143">AG82</f>
        <v>0</v>
      </c>
      <c r="AI82" s="8">
        <f t="shared" ref="AI82" ca="1" si="2144">AH82</f>
        <v>0</v>
      </c>
      <c r="AJ82" s="8">
        <f t="shared" ref="AJ82" ca="1" si="2145">AI82</f>
        <v>0</v>
      </c>
      <c r="AK82" s="8">
        <f t="shared" ref="AK82" ca="1" si="2146">AJ82</f>
        <v>0</v>
      </c>
      <c r="AL82" s="8">
        <f t="shared" ref="AL82" ca="1" si="2147">AK82</f>
        <v>0</v>
      </c>
      <c r="AM82" s="8">
        <f t="shared" ref="AM82" ca="1" si="2148">AL82</f>
        <v>0</v>
      </c>
      <c r="AN82" s="8">
        <f t="shared" ref="AN82" ca="1" si="2149">AM82</f>
        <v>0</v>
      </c>
      <c r="AO82" s="8">
        <f t="shared" ref="AO82" ca="1" si="2150">AN82</f>
        <v>0</v>
      </c>
      <c r="AP82" s="431">
        <f t="shared" ref="AP82" ca="1" si="2151">AO82</f>
        <v>0</v>
      </c>
      <c r="AQ82" s="8">
        <f ca="1">AP82</f>
        <v>0</v>
      </c>
      <c r="AR82" s="8">
        <f t="shared" ref="AR82" ca="1" si="2152">AQ82</f>
        <v>0</v>
      </c>
      <c r="AS82" s="8">
        <f t="shared" ref="AS82" ca="1" si="2153">AR82</f>
        <v>0</v>
      </c>
      <c r="AT82" s="8">
        <f t="shared" ref="AT82" ca="1" si="2154">AS82</f>
        <v>0</v>
      </c>
      <c r="AU82" s="8">
        <f t="shared" ref="AU82" ca="1" si="2155">AT82</f>
        <v>0</v>
      </c>
      <c r="AV82" s="8">
        <f t="shared" ref="AV82" ca="1" si="2156">AU82</f>
        <v>0</v>
      </c>
      <c r="AW82" s="8">
        <f t="shared" ref="AW82" ca="1" si="2157">AV82</f>
        <v>0</v>
      </c>
      <c r="AX82" s="8">
        <f t="shared" ref="AX82" ca="1" si="2158">AW82</f>
        <v>0</v>
      </c>
      <c r="AY82" s="8">
        <f t="shared" ref="AY82" ca="1" si="2159">AX82</f>
        <v>0</v>
      </c>
      <c r="AZ82" s="8">
        <f t="shared" ref="AZ82" ca="1" si="2160">AY82</f>
        <v>0</v>
      </c>
      <c r="BA82" s="8">
        <f t="shared" ref="BA82" ca="1" si="2161">AZ82</f>
        <v>0</v>
      </c>
      <c r="BB82" s="8">
        <f t="shared" ref="BB82" ca="1" si="2162">BA82</f>
        <v>0</v>
      </c>
      <c r="BC82" s="431">
        <f t="shared" ref="BC82" ca="1" si="2163">BB82</f>
        <v>0</v>
      </c>
      <c r="BD82" s="8">
        <f t="shared" ref="BD82" ca="1" si="2164">BC82</f>
        <v>0</v>
      </c>
      <c r="BE82" s="8">
        <f t="shared" ref="BE82" ca="1" si="2165">BD82</f>
        <v>0</v>
      </c>
      <c r="BF82" s="8">
        <f t="shared" ref="BF82" ca="1" si="2166">BE82</f>
        <v>0</v>
      </c>
      <c r="BG82" s="8">
        <f t="shared" ref="BG82" ca="1" si="2167">BF82</f>
        <v>0</v>
      </c>
      <c r="BH82" s="8">
        <f t="shared" ref="BH82" ca="1" si="2168">BG82</f>
        <v>0</v>
      </c>
      <c r="BI82" s="8">
        <f t="shared" ref="BI82" ca="1" si="2169">BH82</f>
        <v>0</v>
      </c>
      <c r="BJ82" s="8">
        <f t="shared" ref="BJ82" ca="1" si="2170">BI82</f>
        <v>0</v>
      </c>
      <c r="BK82" s="8">
        <f t="shared" ref="BK82" ca="1" si="2171">BJ82</f>
        <v>0</v>
      </c>
      <c r="BL82" s="8">
        <f t="shared" ref="BL82" ca="1" si="2172">BK82</f>
        <v>0</v>
      </c>
      <c r="BM82" s="8">
        <f t="shared" ref="BM82" ca="1" si="2173">BL82</f>
        <v>0</v>
      </c>
      <c r="BN82" s="8">
        <f t="shared" ref="BN82" ca="1" si="2174">BM82</f>
        <v>0</v>
      </c>
      <c r="BO82" s="8">
        <f t="shared" ref="BO82" ca="1" si="2175">BN82</f>
        <v>0</v>
      </c>
      <c r="BP82" s="431">
        <f t="shared" ref="BP82" ca="1" si="2176">BO82</f>
        <v>0</v>
      </c>
      <c r="BQ82" s="8">
        <f t="shared" ref="BQ82" ca="1" si="2177">BP82</f>
        <v>0</v>
      </c>
      <c r="BR82" s="8">
        <f t="shared" ref="BR82" ca="1" si="2178">BQ82</f>
        <v>0</v>
      </c>
      <c r="BS82" s="8">
        <f t="shared" ref="BS82" ca="1" si="2179">BR82</f>
        <v>0</v>
      </c>
      <c r="BT82" s="8">
        <f t="shared" ref="BT82" ca="1" si="2180">BS82</f>
        <v>0</v>
      </c>
      <c r="BU82" s="8">
        <f t="shared" ref="BU82" ca="1" si="2181">BT82</f>
        <v>0</v>
      </c>
      <c r="BV82" s="8">
        <f t="shared" ref="BV82" ca="1" si="2182">BU82</f>
        <v>0</v>
      </c>
      <c r="BW82" s="8">
        <f t="shared" ref="BW82" ca="1" si="2183">BV82</f>
        <v>0</v>
      </c>
      <c r="BX82" s="8">
        <f t="shared" ref="BX82" ca="1" si="2184">BW82</f>
        <v>0</v>
      </c>
      <c r="BY82" s="8">
        <f t="shared" ref="BY82" ca="1" si="2185">BX82</f>
        <v>0</v>
      </c>
      <c r="BZ82" s="8">
        <f t="shared" ref="BZ82" ca="1" si="2186">BY82</f>
        <v>0</v>
      </c>
      <c r="CA82" s="8">
        <f t="shared" ref="CA82" ca="1" si="2187">BZ82</f>
        <v>0</v>
      </c>
      <c r="CB82" s="8">
        <f t="shared" ref="CB82" ca="1" si="2188">CA82</f>
        <v>0</v>
      </c>
      <c r="CC82" s="431">
        <f t="shared" ref="CC82" ca="1" si="2189">CB82</f>
        <v>0</v>
      </c>
      <c r="CD82" s="8">
        <f t="shared" ref="CD82" ca="1" si="2190">CC82</f>
        <v>0</v>
      </c>
      <c r="CE82" s="8">
        <f t="shared" ref="CE82" ca="1" si="2191">CD82</f>
        <v>0</v>
      </c>
      <c r="CF82" s="8">
        <f t="shared" ref="CF82" ca="1" si="2192">CE82</f>
        <v>0</v>
      </c>
      <c r="CG82" s="8">
        <f t="shared" ref="CG82" ca="1" si="2193">CF82</f>
        <v>0</v>
      </c>
      <c r="CH82" s="8">
        <f t="shared" ref="CH82" ca="1" si="2194">CG82</f>
        <v>0</v>
      </c>
      <c r="CI82" s="8">
        <f t="shared" ref="CI82" ca="1" si="2195">CH82</f>
        <v>0</v>
      </c>
      <c r="CJ82" s="8">
        <f t="shared" ref="CJ82" ca="1" si="2196">CI82</f>
        <v>0</v>
      </c>
      <c r="CK82" s="8">
        <f t="shared" ref="CK82" ca="1" si="2197">CJ82</f>
        <v>0</v>
      </c>
      <c r="CL82" s="8">
        <f t="shared" ref="CL82" ca="1" si="2198">CK82</f>
        <v>0</v>
      </c>
      <c r="CM82" s="8">
        <f t="shared" ref="CM82" ca="1" si="2199">CL82</f>
        <v>0</v>
      </c>
      <c r="CN82" s="8">
        <f t="shared" ref="CN82" ca="1" si="2200">CM82</f>
        <v>0</v>
      </c>
      <c r="CO82" s="8">
        <f t="shared" ref="CO82" ca="1" si="2201">CN82</f>
        <v>0</v>
      </c>
      <c r="CP82" s="431">
        <f t="shared" ref="CP82" ca="1" si="2202">CO82</f>
        <v>0</v>
      </c>
    </row>
    <row r="83" spans="1:94" ht="20.100000000000001" hidden="1" customHeight="1">
      <c r="A83" s="791"/>
      <c r="B83" s="248" t="s">
        <v>611</v>
      </c>
      <c r="C83" s="249">
        <f t="shared" ref="C83:O83" ca="1" si="2203">C81*C82</f>
        <v>0</v>
      </c>
      <c r="D83" s="248">
        <f t="shared" ca="1" si="2203"/>
        <v>0</v>
      </c>
      <c r="E83" s="248">
        <f t="shared" ca="1" si="2203"/>
        <v>0</v>
      </c>
      <c r="F83" s="248">
        <f t="shared" ca="1" si="2203"/>
        <v>0</v>
      </c>
      <c r="G83" s="248">
        <f t="shared" ca="1" si="2203"/>
        <v>0</v>
      </c>
      <c r="H83" s="248">
        <f t="shared" ca="1" si="2203"/>
        <v>0</v>
      </c>
      <c r="I83" s="248">
        <f t="shared" ca="1" si="2203"/>
        <v>0</v>
      </c>
      <c r="J83" s="248">
        <f t="shared" ca="1" si="2203"/>
        <v>0</v>
      </c>
      <c r="K83" s="248">
        <f t="shared" ca="1" si="2203"/>
        <v>0</v>
      </c>
      <c r="L83" s="248">
        <f t="shared" ca="1" si="2203"/>
        <v>0</v>
      </c>
      <c r="M83" s="248">
        <f t="shared" ca="1" si="2203"/>
        <v>0</v>
      </c>
      <c r="N83" s="248">
        <f t="shared" ca="1" si="2203"/>
        <v>0</v>
      </c>
      <c r="O83" s="248">
        <f t="shared" ca="1" si="2203"/>
        <v>0</v>
      </c>
      <c r="P83" s="432">
        <f ca="1">SUM(D83:O83)</f>
        <v>0</v>
      </c>
      <c r="Q83" s="248">
        <f t="shared" ref="Q83:AB83" ca="1" si="2204">Q81*Q82</f>
        <v>0</v>
      </c>
      <c r="R83" s="248">
        <f t="shared" ca="1" si="2204"/>
        <v>0</v>
      </c>
      <c r="S83" s="248">
        <f t="shared" ca="1" si="2204"/>
        <v>0</v>
      </c>
      <c r="T83" s="248">
        <f t="shared" ca="1" si="2204"/>
        <v>0</v>
      </c>
      <c r="U83" s="248">
        <f t="shared" ca="1" si="2204"/>
        <v>0</v>
      </c>
      <c r="V83" s="248">
        <f t="shared" ca="1" si="2204"/>
        <v>0</v>
      </c>
      <c r="W83" s="248">
        <f t="shared" ca="1" si="2204"/>
        <v>0</v>
      </c>
      <c r="X83" s="248">
        <f t="shared" ca="1" si="2204"/>
        <v>0</v>
      </c>
      <c r="Y83" s="248">
        <f t="shared" ca="1" si="2204"/>
        <v>0</v>
      </c>
      <c r="Z83" s="248">
        <f t="shared" ca="1" si="2204"/>
        <v>0</v>
      </c>
      <c r="AA83" s="248">
        <f t="shared" ca="1" si="2204"/>
        <v>0</v>
      </c>
      <c r="AB83" s="248">
        <f t="shared" ca="1" si="2204"/>
        <v>0</v>
      </c>
      <c r="AC83" s="432">
        <f ca="1">SUM(Q83:AB83)</f>
        <v>0</v>
      </c>
      <c r="AD83" s="248">
        <f t="shared" ref="AD83:AO83" ca="1" si="2205">AD81*AD82</f>
        <v>0</v>
      </c>
      <c r="AE83" s="248">
        <f t="shared" ca="1" si="2205"/>
        <v>0</v>
      </c>
      <c r="AF83" s="248">
        <f t="shared" ca="1" si="2205"/>
        <v>0</v>
      </c>
      <c r="AG83" s="248">
        <f t="shared" ca="1" si="2205"/>
        <v>0</v>
      </c>
      <c r="AH83" s="248">
        <f t="shared" ca="1" si="2205"/>
        <v>0</v>
      </c>
      <c r="AI83" s="248">
        <f t="shared" ca="1" si="2205"/>
        <v>0</v>
      </c>
      <c r="AJ83" s="248">
        <f t="shared" ca="1" si="2205"/>
        <v>0</v>
      </c>
      <c r="AK83" s="248">
        <f t="shared" ca="1" si="2205"/>
        <v>0</v>
      </c>
      <c r="AL83" s="248">
        <f t="shared" ca="1" si="2205"/>
        <v>0</v>
      </c>
      <c r="AM83" s="248">
        <f t="shared" ca="1" si="2205"/>
        <v>0</v>
      </c>
      <c r="AN83" s="248">
        <f t="shared" ca="1" si="2205"/>
        <v>0</v>
      </c>
      <c r="AO83" s="248">
        <f t="shared" ca="1" si="2205"/>
        <v>0</v>
      </c>
      <c r="AP83" s="432">
        <f ca="1">SUM(AD83:AO83)</f>
        <v>0</v>
      </c>
      <c r="AQ83" s="248">
        <f t="shared" ref="AQ83:BB83" ca="1" si="2206">AQ81*AQ82</f>
        <v>0</v>
      </c>
      <c r="AR83" s="248">
        <f t="shared" ca="1" si="2206"/>
        <v>0</v>
      </c>
      <c r="AS83" s="248">
        <f t="shared" ca="1" si="2206"/>
        <v>0</v>
      </c>
      <c r="AT83" s="248">
        <f t="shared" ca="1" si="2206"/>
        <v>0</v>
      </c>
      <c r="AU83" s="248">
        <f t="shared" ca="1" si="2206"/>
        <v>0</v>
      </c>
      <c r="AV83" s="248">
        <f t="shared" ca="1" si="2206"/>
        <v>0</v>
      </c>
      <c r="AW83" s="248">
        <f t="shared" ca="1" si="2206"/>
        <v>0</v>
      </c>
      <c r="AX83" s="248">
        <f t="shared" ca="1" si="2206"/>
        <v>0</v>
      </c>
      <c r="AY83" s="248">
        <f t="shared" ca="1" si="2206"/>
        <v>0</v>
      </c>
      <c r="AZ83" s="248">
        <f t="shared" ca="1" si="2206"/>
        <v>0</v>
      </c>
      <c r="BA83" s="248">
        <f t="shared" ca="1" si="2206"/>
        <v>0</v>
      </c>
      <c r="BB83" s="248">
        <f t="shared" ca="1" si="2206"/>
        <v>0</v>
      </c>
      <c r="BC83" s="432">
        <f ca="1">SUM(AQ83:BB83)</f>
        <v>0</v>
      </c>
      <c r="BD83" s="248">
        <f t="shared" ref="BD83:BO83" ca="1" si="2207">BD81*BD82</f>
        <v>0</v>
      </c>
      <c r="BE83" s="248">
        <f t="shared" ca="1" si="2207"/>
        <v>0</v>
      </c>
      <c r="BF83" s="248">
        <f t="shared" ca="1" si="2207"/>
        <v>0</v>
      </c>
      <c r="BG83" s="248">
        <f t="shared" ca="1" si="2207"/>
        <v>0</v>
      </c>
      <c r="BH83" s="248">
        <f t="shared" ca="1" si="2207"/>
        <v>0</v>
      </c>
      <c r="BI83" s="248">
        <f t="shared" ca="1" si="2207"/>
        <v>0</v>
      </c>
      <c r="BJ83" s="248">
        <f t="shared" ca="1" si="2207"/>
        <v>0</v>
      </c>
      <c r="BK83" s="248">
        <f t="shared" ca="1" si="2207"/>
        <v>0</v>
      </c>
      <c r="BL83" s="248">
        <f t="shared" ca="1" si="2207"/>
        <v>0</v>
      </c>
      <c r="BM83" s="248">
        <f t="shared" ca="1" si="2207"/>
        <v>0</v>
      </c>
      <c r="BN83" s="248">
        <f t="shared" ca="1" si="2207"/>
        <v>0</v>
      </c>
      <c r="BO83" s="248">
        <f t="shared" ca="1" si="2207"/>
        <v>0</v>
      </c>
      <c r="BP83" s="432">
        <f ca="1">SUM(BD83:BO83)</f>
        <v>0</v>
      </c>
      <c r="BQ83" s="248">
        <f t="shared" ref="BQ83:CB83" ca="1" si="2208">BQ81*BQ82</f>
        <v>0</v>
      </c>
      <c r="BR83" s="248">
        <f t="shared" ca="1" si="2208"/>
        <v>0</v>
      </c>
      <c r="BS83" s="248">
        <f t="shared" ca="1" si="2208"/>
        <v>0</v>
      </c>
      <c r="BT83" s="248">
        <f t="shared" ca="1" si="2208"/>
        <v>0</v>
      </c>
      <c r="BU83" s="248">
        <f t="shared" ca="1" si="2208"/>
        <v>0</v>
      </c>
      <c r="BV83" s="248">
        <f t="shared" ca="1" si="2208"/>
        <v>0</v>
      </c>
      <c r="BW83" s="248">
        <f t="shared" ca="1" si="2208"/>
        <v>0</v>
      </c>
      <c r="BX83" s="248">
        <f t="shared" ca="1" si="2208"/>
        <v>0</v>
      </c>
      <c r="BY83" s="248">
        <f t="shared" ca="1" si="2208"/>
        <v>0</v>
      </c>
      <c r="BZ83" s="248">
        <f t="shared" ca="1" si="2208"/>
        <v>0</v>
      </c>
      <c r="CA83" s="248">
        <f t="shared" ca="1" si="2208"/>
        <v>0</v>
      </c>
      <c r="CB83" s="248">
        <f t="shared" ca="1" si="2208"/>
        <v>0</v>
      </c>
      <c r="CC83" s="432">
        <f ca="1">SUM(BQ83:CB83)</f>
        <v>0</v>
      </c>
      <c r="CD83" s="248">
        <f t="shared" ref="CD83:CO83" ca="1" si="2209">CD81*CD82</f>
        <v>0</v>
      </c>
      <c r="CE83" s="248">
        <f t="shared" ca="1" si="2209"/>
        <v>0</v>
      </c>
      <c r="CF83" s="248">
        <f t="shared" ca="1" si="2209"/>
        <v>0</v>
      </c>
      <c r="CG83" s="248">
        <f t="shared" ca="1" si="2209"/>
        <v>0</v>
      </c>
      <c r="CH83" s="248">
        <f t="shared" ca="1" si="2209"/>
        <v>0</v>
      </c>
      <c r="CI83" s="248">
        <f t="shared" ca="1" si="2209"/>
        <v>0</v>
      </c>
      <c r="CJ83" s="248">
        <f t="shared" ca="1" si="2209"/>
        <v>0</v>
      </c>
      <c r="CK83" s="248">
        <f t="shared" ca="1" si="2209"/>
        <v>0</v>
      </c>
      <c r="CL83" s="248">
        <f t="shared" ca="1" si="2209"/>
        <v>0</v>
      </c>
      <c r="CM83" s="248">
        <f t="shared" ca="1" si="2209"/>
        <v>0</v>
      </c>
      <c r="CN83" s="248">
        <f t="shared" ca="1" si="2209"/>
        <v>0</v>
      </c>
      <c r="CO83" s="248">
        <f t="shared" ca="1" si="2209"/>
        <v>0</v>
      </c>
      <c r="CP83" s="432">
        <f ca="1">SUM(CD83:CO83)</f>
        <v>0</v>
      </c>
    </row>
    <row r="84" spans="1:94" ht="20.100000000000001" hidden="1" customHeight="1">
      <c r="A84" s="789">
        <f ca="1">OFFSET('Summary. Assumptions. Inputs'!$A$45,'Internmediate sheet'!A83/3,0)</f>
        <v>0</v>
      </c>
      <c r="B84" s="17" t="s">
        <v>609</v>
      </c>
      <c r="C84" s="18"/>
      <c r="D84" s="17">
        <f ca="1">OFFSET('Sales, Production, &amp; Other Assu'!D$18,'Internmediate sheet'!$A83/3,0)*Capacity</f>
        <v>0</v>
      </c>
      <c r="E84" s="17">
        <f ca="1">OFFSET('Sales, Production, &amp; Other Assu'!E$18,'Internmediate sheet'!$A83/3,0)*Capacity</f>
        <v>0</v>
      </c>
      <c r="F84" s="17">
        <f ca="1">OFFSET('Sales, Production, &amp; Other Assu'!F$18,'Internmediate sheet'!$A83/3,0)*Capacity</f>
        <v>0</v>
      </c>
      <c r="G84" s="17">
        <f ca="1">OFFSET('Sales, Production, &amp; Other Assu'!G$18,'Internmediate sheet'!$A83/3,0)*Capacity</f>
        <v>0</v>
      </c>
      <c r="H84" s="17">
        <f ca="1">OFFSET('Sales, Production, &amp; Other Assu'!H$18,'Internmediate sheet'!$A83/3,0)*Capacity</f>
        <v>0</v>
      </c>
      <c r="I84" s="17">
        <f ca="1">OFFSET('Sales, Production, &amp; Other Assu'!I$18,'Internmediate sheet'!$A83/3,0)*Capacity</f>
        <v>0</v>
      </c>
      <c r="J84" s="17">
        <f ca="1">OFFSET('Sales, Production, &amp; Other Assu'!J$18,'Internmediate sheet'!$A83/3,0)*Capacity</f>
        <v>0</v>
      </c>
      <c r="K84" s="17">
        <f ca="1">OFFSET('Sales, Production, &amp; Other Assu'!K$18,'Internmediate sheet'!$A83/3,0)*Capacity</f>
        <v>0</v>
      </c>
      <c r="L84" s="17">
        <f ca="1">OFFSET('Sales, Production, &amp; Other Assu'!L$18,'Internmediate sheet'!$A83/3,0)*Capacity</f>
        <v>0</v>
      </c>
      <c r="M84" s="17">
        <f ca="1">OFFSET('Sales, Production, &amp; Other Assu'!M$18,'Internmediate sheet'!$A83/3,0)*Capacity</f>
        <v>0</v>
      </c>
      <c r="N84" s="17">
        <f ca="1">OFFSET('Sales, Production, &amp; Other Assu'!N$18,'Internmediate sheet'!$A83/3,0)*Capacity</f>
        <v>0</v>
      </c>
      <c r="O84" s="17">
        <f ca="1">OFFSET('Sales, Production, &amp; Other Assu'!O$18,'Internmediate sheet'!$A83/3,0)*Capacity</f>
        <v>0</v>
      </c>
      <c r="P84" s="430">
        <f ca="1">SUM(D84:O84)</f>
        <v>0</v>
      </c>
      <c r="Q84" s="17">
        <f ca="1">OFFSET('Sales, Production, &amp; Other Assu'!Q$18,'Internmediate sheet'!$A83/3,0)*Capacity</f>
        <v>0</v>
      </c>
      <c r="R84" s="17">
        <f ca="1">OFFSET('Sales, Production, &amp; Other Assu'!R$18,'Internmediate sheet'!$A83/3,0)*Capacity</f>
        <v>0</v>
      </c>
      <c r="S84" s="17">
        <f ca="1">OFFSET('Sales, Production, &amp; Other Assu'!S$18,'Internmediate sheet'!$A83/3,0)*Capacity</f>
        <v>0</v>
      </c>
      <c r="T84" s="17">
        <f ca="1">OFFSET('Sales, Production, &amp; Other Assu'!T$18,'Internmediate sheet'!$A83/3,0)*Capacity</f>
        <v>0</v>
      </c>
      <c r="U84" s="17">
        <f ca="1">OFFSET('Sales, Production, &amp; Other Assu'!U$18,'Internmediate sheet'!$A83/3,0)*Capacity</f>
        <v>0</v>
      </c>
      <c r="V84" s="17">
        <f ca="1">OFFSET('Sales, Production, &amp; Other Assu'!V$18,'Internmediate sheet'!$A83/3,0)*Capacity</f>
        <v>0</v>
      </c>
      <c r="W84" s="17">
        <f ca="1">OFFSET('Sales, Production, &amp; Other Assu'!W$18,'Internmediate sheet'!$A83/3,0)*Capacity</f>
        <v>0</v>
      </c>
      <c r="X84" s="17">
        <f ca="1">OFFSET('Sales, Production, &amp; Other Assu'!X$18,'Internmediate sheet'!$A83/3,0)*Capacity</f>
        <v>0</v>
      </c>
      <c r="Y84" s="17">
        <f ca="1">OFFSET('Sales, Production, &amp; Other Assu'!Y$18,'Internmediate sheet'!$A83/3,0)*Capacity</f>
        <v>0</v>
      </c>
      <c r="Z84" s="17">
        <f ca="1">OFFSET('Sales, Production, &amp; Other Assu'!Z$18,'Internmediate sheet'!$A83/3,0)*Capacity</f>
        <v>0</v>
      </c>
      <c r="AA84" s="17">
        <f ca="1">OFFSET('Sales, Production, &amp; Other Assu'!AA$18,'Internmediate sheet'!$A83/3,0)*Capacity</f>
        <v>0</v>
      </c>
      <c r="AB84" s="17">
        <f ca="1">OFFSET('Sales, Production, &amp; Other Assu'!AB$18,'Internmediate sheet'!$A83/3,0)*Capacity</f>
        <v>0</v>
      </c>
      <c r="AC84" s="430">
        <f ca="1">SUM(Q84:AB84)</f>
        <v>0</v>
      </c>
      <c r="AD84" s="17">
        <f ca="1">OFFSET('Sales, Production, &amp; Other Assu'!AD$18,'Internmediate sheet'!$A83/3,0)*Capacity</f>
        <v>0</v>
      </c>
      <c r="AE84" s="17">
        <f ca="1">OFFSET('Sales, Production, &amp; Other Assu'!AE$18,'Internmediate sheet'!$A83/3,0)*Capacity</f>
        <v>0</v>
      </c>
      <c r="AF84" s="17">
        <f ca="1">OFFSET('Sales, Production, &amp; Other Assu'!AF$18,'Internmediate sheet'!$A83/3,0)*Capacity</f>
        <v>0</v>
      </c>
      <c r="AG84" s="17">
        <f ca="1">OFFSET('Sales, Production, &amp; Other Assu'!AG$18,'Internmediate sheet'!$A83/3,0)*Capacity</f>
        <v>0</v>
      </c>
      <c r="AH84" s="17">
        <f ca="1">OFFSET('Sales, Production, &amp; Other Assu'!AH$18,'Internmediate sheet'!$A83/3,0)*Capacity</f>
        <v>0</v>
      </c>
      <c r="AI84" s="17">
        <f ca="1">OFFSET('Sales, Production, &amp; Other Assu'!AI$18,'Internmediate sheet'!$A83/3,0)*Capacity</f>
        <v>0</v>
      </c>
      <c r="AJ84" s="17">
        <f ca="1">OFFSET('Sales, Production, &amp; Other Assu'!AJ$18,'Internmediate sheet'!$A83/3,0)*Capacity</f>
        <v>0</v>
      </c>
      <c r="AK84" s="17">
        <f ca="1">OFFSET('Sales, Production, &amp; Other Assu'!AK$18,'Internmediate sheet'!$A83/3,0)*Capacity</f>
        <v>0</v>
      </c>
      <c r="AL84" s="17">
        <f ca="1">OFFSET('Sales, Production, &amp; Other Assu'!AL$18,'Internmediate sheet'!$A83/3,0)*Capacity</f>
        <v>0</v>
      </c>
      <c r="AM84" s="17">
        <f ca="1">OFFSET('Sales, Production, &amp; Other Assu'!AM$18,'Internmediate sheet'!$A83/3,0)*Capacity</f>
        <v>0</v>
      </c>
      <c r="AN84" s="17">
        <f ca="1">OFFSET('Sales, Production, &amp; Other Assu'!AN$18,'Internmediate sheet'!$A83/3,0)*Capacity</f>
        <v>0</v>
      </c>
      <c r="AO84" s="17">
        <f ca="1">OFFSET('Sales, Production, &amp; Other Assu'!AO$18,'Internmediate sheet'!$A83/3,0)*Capacity</f>
        <v>0</v>
      </c>
      <c r="AP84" s="430">
        <f ca="1">SUM(AD84:AO84)</f>
        <v>0</v>
      </c>
      <c r="AQ84" s="17">
        <f ca="1">OFFSET('Sales, Production, &amp; Other Assu'!AQ$18,'Internmediate sheet'!$A83/3,0)*Capacity</f>
        <v>0</v>
      </c>
      <c r="AR84" s="17">
        <f ca="1">OFFSET('Sales, Production, &amp; Other Assu'!AR$18,'Internmediate sheet'!$A83/3,0)*Capacity</f>
        <v>0</v>
      </c>
      <c r="AS84" s="17">
        <f ca="1">OFFSET('Sales, Production, &amp; Other Assu'!AS$18,'Internmediate sheet'!$A83/3,0)*Capacity</f>
        <v>0</v>
      </c>
      <c r="AT84" s="17">
        <f ca="1">OFFSET('Sales, Production, &amp; Other Assu'!AT$18,'Internmediate sheet'!$A83/3,0)*Capacity</f>
        <v>0</v>
      </c>
      <c r="AU84" s="17">
        <f ca="1">OFFSET('Sales, Production, &amp; Other Assu'!AU$18,'Internmediate sheet'!$A83/3,0)*Capacity</f>
        <v>0</v>
      </c>
      <c r="AV84" s="17">
        <f ca="1">OFFSET('Sales, Production, &amp; Other Assu'!AV$18,'Internmediate sheet'!$A83/3,0)*Capacity</f>
        <v>0</v>
      </c>
      <c r="AW84" s="17">
        <f ca="1">OFFSET('Sales, Production, &amp; Other Assu'!AW$18,'Internmediate sheet'!$A83/3,0)*Capacity</f>
        <v>0</v>
      </c>
      <c r="AX84" s="17">
        <f ca="1">OFFSET('Sales, Production, &amp; Other Assu'!AX$18,'Internmediate sheet'!$A83/3,0)*Capacity</f>
        <v>0</v>
      </c>
      <c r="AY84" s="17">
        <f ca="1">OFFSET('Sales, Production, &amp; Other Assu'!AY$18,'Internmediate sheet'!$A83/3,0)*Capacity</f>
        <v>0</v>
      </c>
      <c r="AZ84" s="17">
        <f ca="1">OFFSET('Sales, Production, &amp; Other Assu'!AZ$18,'Internmediate sheet'!$A83/3,0)*Capacity</f>
        <v>0</v>
      </c>
      <c r="BA84" s="17">
        <f ca="1">OFFSET('Sales, Production, &amp; Other Assu'!BA$18,'Internmediate sheet'!$A83/3,0)*Capacity</f>
        <v>0</v>
      </c>
      <c r="BB84" s="17">
        <f ca="1">OFFSET('Sales, Production, &amp; Other Assu'!BB$18,'Internmediate sheet'!$A83/3,0)*Capacity</f>
        <v>0</v>
      </c>
      <c r="BC84" s="430">
        <f ca="1">SUM(AQ84:BB84)</f>
        <v>0</v>
      </c>
      <c r="BD84" s="17">
        <f ca="1">OFFSET('Sales, Production, &amp; Other Assu'!BD$18,'Internmediate sheet'!$A83/3,0)*Capacity</f>
        <v>0</v>
      </c>
      <c r="BE84" s="17">
        <f ca="1">OFFSET('Sales, Production, &amp; Other Assu'!BE$18,'Internmediate sheet'!$A83/3,0)*Capacity</f>
        <v>0</v>
      </c>
      <c r="BF84" s="17">
        <f ca="1">OFFSET('Sales, Production, &amp; Other Assu'!BF$18,'Internmediate sheet'!$A83/3,0)*Capacity</f>
        <v>0</v>
      </c>
      <c r="BG84" s="17">
        <f ca="1">OFFSET('Sales, Production, &amp; Other Assu'!BG$18,'Internmediate sheet'!$A83/3,0)*Capacity</f>
        <v>0</v>
      </c>
      <c r="BH84" s="17">
        <f ca="1">OFFSET('Sales, Production, &amp; Other Assu'!BH$18,'Internmediate sheet'!$A83/3,0)*Capacity</f>
        <v>0</v>
      </c>
      <c r="BI84" s="17">
        <f ca="1">OFFSET('Sales, Production, &amp; Other Assu'!BI$18,'Internmediate sheet'!$A83/3,0)*Capacity</f>
        <v>0</v>
      </c>
      <c r="BJ84" s="17">
        <f ca="1">OFFSET('Sales, Production, &amp; Other Assu'!BJ$18,'Internmediate sheet'!$A83/3,0)*Capacity</f>
        <v>0</v>
      </c>
      <c r="BK84" s="17">
        <f ca="1">OFFSET('Sales, Production, &amp; Other Assu'!BK$18,'Internmediate sheet'!$A83/3,0)*Capacity</f>
        <v>0</v>
      </c>
      <c r="BL84" s="17">
        <f ca="1">OFFSET('Sales, Production, &amp; Other Assu'!BL$18,'Internmediate sheet'!$A83/3,0)*Capacity</f>
        <v>0</v>
      </c>
      <c r="BM84" s="17">
        <f ca="1">OFFSET('Sales, Production, &amp; Other Assu'!BM$18,'Internmediate sheet'!$A83/3,0)*Capacity</f>
        <v>0</v>
      </c>
      <c r="BN84" s="17">
        <f ca="1">OFFSET('Sales, Production, &amp; Other Assu'!BN$18,'Internmediate sheet'!$A83/3,0)*Capacity</f>
        <v>0</v>
      </c>
      <c r="BO84" s="17">
        <f ca="1">OFFSET('Sales, Production, &amp; Other Assu'!BO$18,'Internmediate sheet'!$A83/3,0)*Capacity</f>
        <v>0</v>
      </c>
      <c r="BP84" s="430">
        <f ca="1">SUM(BD84:BO84)</f>
        <v>0</v>
      </c>
      <c r="BQ84" s="17">
        <f ca="1">OFFSET('Sales, Production, &amp; Other Assu'!BQ$18,'Internmediate sheet'!$A83/3,0)*Capacity</f>
        <v>0</v>
      </c>
      <c r="BR84" s="17">
        <f ca="1">OFFSET('Sales, Production, &amp; Other Assu'!BR$18,'Internmediate sheet'!$A83/3,0)*Capacity</f>
        <v>0</v>
      </c>
      <c r="BS84" s="17">
        <f ca="1">OFFSET('Sales, Production, &amp; Other Assu'!BS$18,'Internmediate sheet'!$A83/3,0)*Capacity</f>
        <v>0</v>
      </c>
      <c r="BT84" s="17">
        <f ca="1">OFFSET('Sales, Production, &amp; Other Assu'!BT$18,'Internmediate sheet'!$A83/3,0)*Capacity</f>
        <v>0</v>
      </c>
      <c r="BU84" s="17">
        <f ca="1">OFFSET('Sales, Production, &amp; Other Assu'!BU$18,'Internmediate sheet'!$A83/3,0)*Capacity</f>
        <v>0</v>
      </c>
      <c r="BV84" s="17">
        <f ca="1">OFFSET('Sales, Production, &amp; Other Assu'!BV$18,'Internmediate sheet'!$A83/3,0)*Capacity</f>
        <v>0</v>
      </c>
      <c r="BW84" s="17">
        <f ca="1">OFFSET('Sales, Production, &amp; Other Assu'!BW$18,'Internmediate sheet'!$A83/3,0)*Capacity</f>
        <v>0</v>
      </c>
      <c r="BX84" s="17">
        <f ca="1">OFFSET('Sales, Production, &amp; Other Assu'!BX$18,'Internmediate sheet'!$A83/3,0)*Capacity</f>
        <v>0</v>
      </c>
      <c r="BY84" s="17">
        <f ca="1">OFFSET('Sales, Production, &amp; Other Assu'!BY$18,'Internmediate sheet'!$A83/3,0)*Capacity</f>
        <v>0</v>
      </c>
      <c r="BZ84" s="17">
        <f ca="1">OFFSET('Sales, Production, &amp; Other Assu'!BZ$18,'Internmediate sheet'!$A83/3,0)*Capacity</f>
        <v>0</v>
      </c>
      <c r="CA84" s="17">
        <f ca="1">OFFSET('Sales, Production, &amp; Other Assu'!CA$18,'Internmediate sheet'!$A83/3,0)*Capacity</f>
        <v>0</v>
      </c>
      <c r="CB84" s="17">
        <f ca="1">OFFSET('Sales, Production, &amp; Other Assu'!CB$18,'Internmediate sheet'!$A83/3,0)*Capacity</f>
        <v>0</v>
      </c>
      <c r="CC84" s="430">
        <f ca="1">SUM(BQ84:CB84)</f>
        <v>0</v>
      </c>
      <c r="CD84" s="17">
        <f ca="1">OFFSET('Sales, Production, &amp; Other Assu'!CD$18,'Internmediate sheet'!$A83/3,0)*Capacity</f>
        <v>0</v>
      </c>
      <c r="CE84" s="17">
        <f ca="1">OFFSET('Sales, Production, &amp; Other Assu'!CE$18,'Internmediate sheet'!$A83/3,0)*Capacity</f>
        <v>0</v>
      </c>
      <c r="CF84" s="17">
        <f ca="1">OFFSET('Sales, Production, &amp; Other Assu'!CF$18,'Internmediate sheet'!$A83/3,0)*Capacity</f>
        <v>0</v>
      </c>
      <c r="CG84" s="17">
        <f ca="1">OFFSET('Sales, Production, &amp; Other Assu'!CG$18,'Internmediate sheet'!$A83/3,0)*Capacity</f>
        <v>0</v>
      </c>
      <c r="CH84" s="17">
        <f ca="1">OFFSET('Sales, Production, &amp; Other Assu'!CH$18,'Internmediate sheet'!$A83/3,0)*Capacity</f>
        <v>0</v>
      </c>
      <c r="CI84" s="17">
        <f ca="1">OFFSET('Sales, Production, &amp; Other Assu'!CI$18,'Internmediate sheet'!$A83/3,0)*Capacity</f>
        <v>0</v>
      </c>
      <c r="CJ84" s="17">
        <f ca="1">OFFSET('Sales, Production, &amp; Other Assu'!CJ$18,'Internmediate sheet'!$A83/3,0)*Capacity</f>
        <v>0</v>
      </c>
      <c r="CK84" s="17">
        <f ca="1">OFFSET('Sales, Production, &amp; Other Assu'!CK$18,'Internmediate sheet'!$A83/3,0)*Capacity</f>
        <v>0</v>
      </c>
      <c r="CL84" s="17">
        <f ca="1">OFFSET('Sales, Production, &amp; Other Assu'!CL$18,'Internmediate sheet'!$A83/3,0)*Capacity</f>
        <v>0</v>
      </c>
      <c r="CM84" s="17">
        <f ca="1">OFFSET('Sales, Production, &amp; Other Assu'!CM$18,'Internmediate sheet'!$A83/3,0)*Capacity</f>
        <v>0</v>
      </c>
      <c r="CN84" s="17">
        <f ca="1">OFFSET('Sales, Production, &amp; Other Assu'!CN$18,'Internmediate sheet'!$A83/3,0)*Capacity</f>
        <v>0</v>
      </c>
      <c r="CO84" s="17">
        <f ca="1">OFFSET('Sales, Production, &amp; Other Assu'!CO$18,'Internmediate sheet'!$A83/3,0)*Capacity</f>
        <v>0</v>
      </c>
      <c r="CP84" s="430">
        <f ca="1">SUM(CD84:CO84)</f>
        <v>0</v>
      </c>
    </row>
    <row r="85" spans="1:94" ht="20.100000000000001" hidden="1" customHeight="1">
      <c r="A85" s="790"/>
      <c r="B85" s="8" t="s">
        <v>610</v>
      </c>
      <c r="C85" s="8">
        <f ca="1">OFFSET('Summary. Assumptions. Inputs'!$F$46,'Internmediate sheet'!A80/3,0)</f>
        <v>0</v>
      </c>
      <c r="D85" s="8">
        <f t="shared" ref="D85:P85" ca="1" si="2210">C85</f>
        <v>0</v>
      </c>
      <c r="E85" s="8">
        <f t="shared" ca="1" si="2210"/>
        <v>0</v>
      </c>
      <c r="F85" s="8">
        <f t="shared" ca="1" si="2210"/>
        <v>0</v>
      </c>
      <c r="G85" s="8">
        <f t="shared" ca="1" si="2210"/>
        <v>0</v>
      </c>
      <c r="H85" s="8">
        <f t="shared" ca="1" si="2210"/>
        <v>0</v>
      </c>
      <c r="I85" s="8">
        <f t="shared" ca="1" si="2210"/>
        <v>0</v>
      </c>
      <c r="J85" s="8">
        <f t="shared" ca="1" si="2210"/>
        <v>0</v>
      </c>
      <c r="K85" s="8">
        <f t="shared" ca="1" si="2210"/>
        <v>0</v>
      </c>
      <c r="L85" s="8">
        <f t="shared" ca="1" si="2210"/>
        <v>0</v>
      </c>
      <c r="M85" s="8">
        <f t="shared" ca="1" si="2210"/>
        <v>0</v>
      </c>
      <c r="N85" s="8">
        <f t="shared" ca="1" si="2210"/>
        <v>0</v>
      </c>
      <c r="O85" s="8">
        <f t="shared" ca="1" si="2210"/>
        <v>0</v>
      </c>
      <c r="P85" s="431">
        <f t="shared" ca="1" si="2210"/>
        <v>0</v>
      </c>
      <c r="Q85" s="8">
        <f t="shared" ref="Q85" ca="1" si="2211">P85</f>
        <v>0</v>
      </c>
      <c r="R85" s="8">
        <f t="shared" ref="R85" ca="1" si="2212">Q85</f>
        <v>0</v>
      </c>
      <c r="S85" s="8">
        <f t="shared" ref="S85" ca="1" si="2213">R85</f>
        <v>0</v>
      </c>
      <c r="T85" s="8">
        <f t="shared" ref="T85" ca="1" si="2214">S85</f>
        <v>0</v>
      </c>
      <c r="U85" s="8">
        <f t="shared" ref="U85" ca="1" si="2215">T85</f>
        <v>0</v>
      </c>
      <c r="V85" s="8">
        <f t="shared" ref="V85" ca="1" si="2216">U85</f>
        <v>0</v>
      </c>
      <c r="W85" s="8">
        <f t="shared" ref="W85" ca="1" si="2217">V85</f>
        <v>0</v>
      </c>
      <c r="X85" s="8">
        <f t="shared" ref="X85" ca="1" si="2218">W85</f>
        <v>0</v>
      </c>
      <c r="Y85" s="8">
        <f t="shared" ref="Y85" ca="1" si="2219">X85</f>
        <v>0</v>
      </c>
      <c r="Z85" s="8">
        <f t="shared" ref="Z85" ca="1" si="2220">Y85</f>
        <v>0</v>
      </c>
      <c r="AA85" s="8">
        <f t="shared" ref="AA85" ca="1" si="2221">Z85</f>
        <v>0</v>
      </c>
      <c r="AB85" s="8">
        <f t="shared" ref="AB85" ca="1" si="2222">AA85</f>
        <v>0</v>
      </c>
      <c r="AC85" s="431">
        <f t="shared" ref="AC85" ca="1" si="2223">AB85</f>
        <v>0</v>
      </c>
      <c r="AD85" s="8">
        <f t="shared" ref="AD85" ca="1" si="2224">AC85</f>
        <v>0</v>
      </c>
      <c r="AE85" s="8">
        <f t="shared" ref="AE85" ca="1" si="2225">AD85</f>
        <v>0</v>
      </c>
      <c r="AF85" s="8">
        <f t="shared" ref="AF85" ca="1" si="2226">AE85</f>
        <v>0</v>
      </c>
      <c r="AG85" s="8">
        <f t="shared" ref="AG85" ca="1" si="2227">AF85</f>
        <v>0</v>
      </c>
      <c r="AH85" s="8">
        <f t="shared" ref="AH85" ca="1" si="2228">AG85</f>
        <v>0</v>
      </c>
      <c r="AI85" s="8">
        <f t="shared" ref="AI85" ca="1" si="2229">AH85</f>
        <v>0</v>
      </c>
      <c r="AJ85" s="8">
        <f t="shared" ref="AJ85" ca="1" si="2230">AI85</f>
        <v>0</v>
      </c>
      <c r="AK85" s="8">
        <f t="shared" ref="AK85" ca="1" si="2231">AJ85</f>
        <v>0</v>
      </c>
      <c r="AL85" s="8">
        <f t="shared" ref="AL85" ca="1" si="2232">AK85</f>
        <v>0</v>
      </c>
      <c r="AM85" s="8">
        <f t="shared" ref="AM85" ca="1" si="2233">AL85</f>
        <v>0</v>
      </c>
      <c r="AN85" s="8">
        <f t="shared" ref="AN85" ca="1" si="2234">AM85</f>
        <v>0</v>
      </c>
      <c r="AO85" s="8">
        <f t="shared" ref="AO85" ca="1" si="2235">AN85</f>
        <v>0</v>
      </c>
      <c r="AP85" s="431">
        <f t="shared" ref="AP85" ca="1" si="2236">AO85</f>
        <v>0</v>
      </c>
      <c r="AQ85" s="8">
        <f ca="1">AP85</f>
        <v>0</v>
      </c>
      <c r="AR85" s="8">
        <f t="shared" ref="AR85" ca="1" si="2237">AQ85</f>
        <v>0</v>
      </c>
      <c r="AS85" s="8">
        <f t="shared" ref="AS85" ca="1" si="2238">AR85</f>
        <v>0</v>
      </c>
      <c r="AT85" s="8">
        <f t="shared" ref="AT85" ca="1" si="2239">AS85</f>
        <v>0</v>
      </c>
      <c r="AU85" s="8">
        <f t="shared" ref="AU85" ca="1" si="2240">AT85</f>
        <v>0</v>
      </c>
      <c r="AV85" s="8">
        <f t="shared" ref="AV85" ca="1" si="2241">AU85</f>
        <v>0</v>
      </c>
      <c r="AW85" s="8">
        <f t="shared" ref="AW85" ca="1" si="2242">AV85</f>
        <v>0</v>
      </c>
      <c r="AX85" s="8">
        <f t="shared" ref="AX85" ca="1" si="2243">AW85</f>
        <v>0</v>
      </c>
      <c r="AY85" s="8">
        <f t="shared" ref="AY85" ca="1" si="2244">AX85</f>
        <v>0</v>
      </c>
      <c r="AZ85" s="8">
        <f t="shared" ref="AZ85" ca="1" si="2245">AY85</f>
        <v>0</v>
      </c>
      <c r="BA85" s="8">
        <f t="shared" ref="BA85" ca="1" si="2246">AZ85</f>
        <v>0</v>
      </c>
      <c r="BB85" s="8">
        <f t="shared" ref="BB85" ca="1" si="2247">BA85</f>
        <v>0</v>
      </c>
      <c r="BC85" s="431">
        <f t="shared" ref="BC85" ca="1" si="2248">BB85</f>
        <v>0</v>
      </c>
      <c r="BD85" s="8">
        <f t="shared" ref="BD85" ca="1" si="2249">BC85</f>
        <v>0</v>
      </c>
      <c r="BE85" s="8">
        <f t="shared" ref="BE85" ca="1" si="2250">BD85</f>
        <v>0</v>
      </c>
      <c r="BF85" s="8">
        <f t="shared" ref="BF85" ca="1" si="2251">BE85</f>
        <v>0</v>
      </c>
      <c r="BG85" s="8">
        <f t="shared" ref="BG85" ca="1" si="2252">BF85</f>
        <v>0</v>
      </c>
      <c r="BH85" s="8">
        <f t="shared" ref="BH85" ca="1" si="2253">BG85</f>
        <v>0</v>
      </c>
      <c r="BI85" s="8">
        <f t="shared" ref="BI85" ca="1" si="2254">BH85</f>
        <v>0</v>
      </c>
      <c r="BJ85" s="8">
        <f t="shared" ref="BJ85" ca="1" si="2255">BI85</f>
        <v>0</v>
      </c>
      <c r="BK85" s="8">
        <f t="shared" ref="BK85" ca="1" si="2256">BJ85</f>
        <v>0</v>
      </c>
      <c r="BL85" s="8">
        <f t="shared" ref="BL85" ca="1" si="2257">BK85</f>
        <v>0</v>
      </c>
      <c r="BM85" s="8">
        <f t="shared" ref="BM85" ca="1" si="2258">BL85</f>
        <v>0</v>
      </c>
      <c r="BN85" s="8">
        <f t="shared" ref="BN85" ca="1" si="2259">BM85</f>
        <v>0</v>
      </c>
      <c r="BO85" s="8">
        <f t="shared" ref="BO85" ca="1" si="2260">BN85</f>
        <v>0</v>
      </c>
      <c r="BP85" s="431">
        <f t="shared" ref="BP85" ca="1" si="2261">BO85</f>
        <v>0</v>
      </c>
      <c r="BQ85" s="8">
        <f t="shared" ref="BQ85" ca="1" si="2262">BP85</f>
        <v>0</v>
      </c>
      <c r="BR85" s="8">
        <f t="shared" ref="BR85" ca="1" si="2263">BQ85</f>
        <v>0</v>
      </c>
      <c r="BS85" s="8">
        <f t="shared" ref="BS85" ca="1" si="2264">BR85</f>
        <v>0</v>
      </c>
      <c r="BT85" s="8">
        <f t="shared" ref="BT85" ca="1" si="2265">BS85</f>
        <v>0</v>
      </c>
      <c r="BU85" s="8">
        <f t="shared" ref="BU85" ca="1" si="2266">BT85</f>
        <v>0</v>
      </c>
      <c r="BV85" s="8">
        <f t="shared" ref="BV85" ca="1" si="2267">BU85</f>
        <v>0</v>
      </c>
      <c r="BW85" s="8">
        <f t="shared" ref="BW85" ca="1" si="2268">BV85</f>
        <v>0</v>
      </c>
      <c r="BX85" s="8">
        <f t="shared" ref="BX85" ca="1" si="2269">BW85</f>
        <v>0</v>
      </c>
      <c r="BY85" s="8">
        <f t="shared" ref="BY85" ca="1" si="2270">BX85</f>
        <v>0</v>
      </c>
      <c r="BZ85" s="8">
        <f t="shared" ref="BZ85" ca="1" si="2271">BY85</f>
        <v>0</v>
      </c>
      <c r="CA85" s="8">
        <f t="shared" ref="CA85" ca="1" si="2272">BZ85</f>
        <v>0</v>
      </c>
      <c r="CB85" s="8">
        <f t="shared" ref="CB85" ca="1" si="2273">CA85</f>
        <v>0</v>
      </c>
      <c r="CC85" s="431">
        <f t="shared" ref="CC85" ca="1" si="2274">CB85</f>
        <v>0</v>
      </c>
      <c r="CD85" s="8">
        <f t="shared" ref="CD85" ca="1" si="2275">CC85</f>
        <v>0</v>
      </c>
      <c r="CE85" s="8">
        <f t="shared" ref="CE85" ca="1" si="2276">CD85</f>
        <v>0</v>
      </c>
      <c r="CF85" s="8">
        <f t="shared" ref="CF85" ca="1" si="2277">CE85</f>
        <v>0</v>
      </c>
      <c r="CG85" s="8">
        <f t="shared" ref="CG85" ca="1" si="2278">CF85</f>
        <v>0</v>
      </c>
      <c r="CH85" s="8">
        <f t="shared" ref="CH85" ca="1" si="2279">CG85</f>
        <v>0</v>
      </c>
      <c r="CI85" s="8">
        <f t="shared" ref="CI85" ca="1" si="2280">CH85</f>
        <v>0</v>
      </c>
      <c r="CJ85" s="8">
        <f t="shared" ref="CJ85" ca="1" si="2281">CI85</f>
        <v>0</v>
      </c>
      <c r="CK85" s="8">
        <f t="shared" ref="CK85" ca="1" si="2282">CJ85</f>
        <v>0</v>
      </c>
      <c r="CL85" s="8">
        <f t="shared" ref="CL85" ca="1" si="2283">CK85</f>
        <v>0</v>
      </c>
      <c r="CM85" s="8">
        <f t="shared" ref="CM85" ca="1" si="2284">CL85</f>
        <v>0</v>
      </c>
      <c r="CN85" s="8">
        <f t="shared" ref="CN85" ca="1" si="2285">CM85</f>
        <v>0</v>
      </c>
      <c r="CO85" s="8">
        <f t="shared" ref="CO85" ca="1" si="2286">CN85</f>
        <v>0</v>
      </c>
      <c r="CP85" s="431">
        <f t="shared" ref="CP85" ca="1" si="2287">CO85</f>
        <v>0</v>
      </c>
    </row>
    <row r="86" spans="1:94" ht="20.100000000000001" hidden="1" customHeight="1">
      <c r="A86" s="791"/>
      <c r="B86" s="248" t="s">
        <v>611</v>
      </c>
      <c r="C86" s="249">
        <f t="shared" ref="C86:O86" ca="1" si="2288">C84*C85</f>
        <v>0</v>
      </c>
      <c r="D86" s="248">
        <f t="shared" ca="1" si="2288"/>
        <v>0</v>
      </c>
      <c r="E86" s="248">
        <f t="shared" ca="1" si="2288"/>
        <v>0</v>
      </c>
      <c r="F86" s="248">
        <f t="shared" ca="1" si="2288"/>
        <v>0</v>
      </c>
      <c r="G86" s="248">
        <f t="shared" ca="1" si="2288"/>
        <v>0</v>
      </c>
      <c r="H86" s="248">
        <f t="shared" ca="1" si="2288"/>
        <v>0</v>
      </c>
      <c r="I86" s="248">
        <f t="shared" ca="1" si="2288"/>
        <v>0</v>
      </c>
      <c r="J86" s="248">
        <f t="shared" ca="1" si="2288"/>
        <v>0</v>
      </c>
      <c r="K86" s="248">
        <f t="shared" ca="1" si="2288"/>
        <v>0</v>
      </c>
      <c r="L86" s="248">
        <f t="shared" ca="1" si="2288"/>
        <v>0</v>
      </c>
      <c r="M86" s="248">
        <f t="shared" ca="1" si="2288"/>
        <v>0</v>
      </c>
      <c r="N86" s="248">
        <f t="shared" ca="1" si="2288"/>
        <v>0</v>
      </c>
      <c r="O86" s="248">
        <f t="shared" ca="1" si="2288"/>
        <v>0</v>
      </c>
      <c r="P86" s="432">
        <f ca="1">SUM(D86:O86)</f>
        <v>0</v>
      </c>
      <c r="Q86" s="248">
        <f t="shared" ref="Q86:AB86" ca="1" si="2289">Q84*Q85</f>
        <v>0</v>
      </c>
      <c r="R86" s="248">
        <f t="shared" ca="1" si="2289"/>
        <v>0</v>
      </c>
      <c r="S86" s="248">
        <f t="shared" ca="1" si="2289"/>
        <v>0</v>
      </c>
      <c r="T86" s="248">
        <f t="shared" ca="1" si="2289"/>
        <v>0</v>
      </c>
      <c r="U86" s="248">
        <f t="shared" ca="1" si="2289"/>
        <v>0</v>
      </c>
      <c r="V86" s="248">
        <f t="shared" ca="1" si="2289"/>
        <v>0</v>
      </c>
      <c r="W86" s="248">
        <f t="shared" ca="1" si="2289"/>
        <v>0</v>
      </c>
      <c r="X86" s="248">
        <f t="shared" ca="1" si="2289"/>
        <v>0</v>
      </c>
      <c r="Y86" s="248">
        <f t="shared" ca="1" si="2289"/>
        <v>0</v>
      </c>
      <c r="Z86" s="248">
        <f t="shared" ca="1" si="2289"/>
        <v>0</v>
      </c>
      <c r="AA86" s="248">
        <f t="shared" ca="1" si="2289"/>
        <v>0</v>
      </c>
      <c r="AB86" s="248">
        <f t="shared" ca="1" si="2289"/>
        <v>0</v>
      </c>
      <c r="AC86" s="432">
        <f ca="1">SUM(Q86:AB86)</f>
        <v>0</v>
      </c>
      <c r="AD86" s="248">
        <f t="shared" ref="AD86:AO86" ca="1" si="2290">AD84*AD85</f>
        <v>0</v>
      </c>
      <c r="AE86" s="248">
        <f t="shared" ca="1" si="2290"/>
        <v>0</v>
      </c>
      <c r="AF86" s="248">
        <f t="shared" ca="1" si="2290"/>
        <v>0</v>
      </c>
      <c r="AG86" s="248">
        <f t="shared" ca="1" si="2290"/>
        <v>0</v>
      </c>
      <c r="AH86" s="248">
        <f t="shared" ca="1" si="2290"/>
        <v>0</v>
      </c>
      <c r="AI86" s="248">
        <f t="shared" ca="1" si="2290"/>
        <v>0</v>
      </c>
      <c r="AJ86" s="248">
        <f t="shared" ca="1" si="2290"/>
        <v>0</v>
      </c>
      <c r="AK86" s="248">
        <f t="shared" ca="1" si="2290"/>
        <v>0</v>
      </c>
      <c r="AL86" s="248">
        <f t="shared" ca="1" si="2290"/>
        <v>0</v>
      </c>
      <c r="AM86" s="248">
        <f t="shared" ca="1" si="2290"/>
        <v>0</v>
      </c>
      <c r="AN86" s="248">
        <f t="shared" ca="1" si="2290"/>
        <v>0</v>
      </c>
      <c r="AO86" s="248">
        <f t="shared" ca="1" si="2290"/>
        <v>0</v>
      </c>
      <c r="AP86" s="432">
        <f ca="1">SUM(AD86:AO86)</f>
        <v>0</v>
      </c>
      <c r="AQ86" s="248">
        <f t="shared" ref="AQ86:BB86" ca="1" si="2291">AQ84*AQ85</f>
        <v>0</v>
      </c>
      <c r="AR86" s="248">
        <f t="shared" ca="1" si="2291"/>
        <v>0</v>
      </c>
      <c r="AS86" s="248">
        <f t="shared" ca="1" si="2291"/>
        <v>0</v>
      </c>
      <c r="AT86" s="248">
        <f t="shared" ca="1" si="2291"/>
        <v>0</v>
      </c>
      <c r="AU86" s="248">
        <f t="shared" ca="1" si="2291"/>
        <v>0</v>
      </c>
      <c r="AV86" s="248">
        <f t="shared" ca="1" si="2291"/>
        <v>0</v>
      </c>
      <c r="AW86" s="248">
        <f t="shared" ca="1" si="2291"/>
        <v>0</v>
      </c>
      <c r="AX86" s="248">
        <f t="shared" ca="1" si="2291"/>
        <v>0</v>
      </c>
      <c r="AY86" s="248">
        <f t="shared" ca="1" si="2291"/>
        <v>0</v>
      </c>
      <c r="AZ86" s="248">
        <f t="shared" ca="1" si="2291"/>
        <v>0</v>
      </c>
      <c r="BA86" s="248">
        <f t="shared" ca="1" si="2291"/>
        <v>0</v>
      </c>
      <c r="BB86" s="248">
        <f t="shared" ca="1" si="2291"/>
        <v>0</v>
      </c>
      <c r="BC86" s="432">
        <f ca="1">SUM(AQ86:BB86)</f>
        <v>0</v>
      </c>
      <c r="BD86" s="248">
        <f t="shared" ref="BD86:BO86" ca="1" si="2292">BD84*BD85</f>
        <v>0</v>
      </c>
      <c r="BE86" s="248">
        <f t="shared" ca="1" si="2292"/>
        <v>0</v>
      </c>
      <c r="BF86" s="248">
        <f t="shared" ca="1" si="2292"/>
        <v>0</v>
      </c>
      <c r="BG86" s="248">
        <f t="shared" ca="1" si="2292"/>
        <v>0</v>
      </c>
      <c r="BH86" s="248">
        <f t="shared" ca="1" si="2292"/>
        <v>0</v>
      </c>
      <c r="BI86" s="248">
        <f t="shared" ca="1" si="2292"/>
        <v>0</v>
      </c>
      <c r="BJ86" s="248">
        <f t="shared" ca="1" si="2292"/>
        <v>0</v>
      </c>
      <c r="BK86" s="248">
        <f t="shared" ca="1" si="2292"/>
        <v>0</v>
      </c>
      <c r="BL86" s="248">
        <f t="shared" ca="1" si="2292"/>
        <v>0</v>
      </c>
      <c r="BM86" s="248">
        <f t="shared" ca="1" si="2292"/>
        <v>0</v>
      </c>
      <c r="BN86" s="248">
        <f t="shared" ca="1" si="2292"/>
        <v>0</v>
      </c>
      <c r="BO86" s="248">
        <f t="shared" ca="1" si="2292"/>
        <v>0</v>
      </c>
      <c r="BP86" s="432">
        <f ca="1">SUM(BD86:BO86)</f>
        <v>0</v>
      </c>
      <c r="BQ86" s="248">
        <f t="shared" ref="BQ86:CB86" ca="1" si="2293">BQ84*BQ85</f>
        <v>0</v>
      </c>
      <c r="BR86" s="248">
        <f t="shared" ca="1" si="2293"/>
        <v>0</v>
      </c>
      <c r="BS86" s="248">
        <f t="shared" ca="1" si="2293"/>
        <v>0</v>
      </c>
      <c r="BT86" s="248">
        <f t="shared" ca="1" si="2293"/>
        <v>0</v>
      </c>
      <c r="BU86" s="248">
        <f t="shared" ca="1" si="2293"/>
        <v>0</v>
      </c>
      <c r="BV86" s="248">
        <f t="shared" ca="1" si="2293"/>
        <v>0</v>
      </c>
      <c r="BW86" s="248">
        <f t="shared" ca="1" si="2293"/>
        <v>0</v>
      </c>
      <c r="BX86" s="248">
        <f t="shared" ca="1" si="2293"/>
        <v>0</v>
      </c>
      <c r="BY86" s="248">
        <f t="shared" ca="1" si="2293"/>
        <v>0</v>
      </c>
      <c r="BZ86" s="248">
        <f t="shared" ca="1" si="2293"/>
        <v>0</v>
      </c>
      <c r="CA86" s="248">
        <f t="shared" ca="1" si="2293"/>
        <v>0</v>
      </c>
      <c r="CB86" s="248">
        <f t="shared" ca="1" si="2293"/>
        <v>0</v>
      </c>
      <c r="CC86" s="432">
        <f ca="1">SUM(BQ86:CB86)</f>
        <v>0</v>
      </c>
      <c r="CD86" s="248">
        <f t="shared" ref="CD86:CO86" ca="1" si="2294">CD84*CD85</f>
        <v>0</v>
      </c>
      <c r="CE86" s="248">
        <f t="shared" ca="1" si="2294"/>
        <v>0</v>
      </c>
      <c r="CF86" s="248">
        <f t="shared" ca="1" si="2294"/>
        <v>0</v>
      </c>
      <c r="CG86" s="248">
        <f t="shared" ca="1" si="2294"/>
        <v>0</v>
      </c>
      <c r="CH86" s="248">
        <f t="shared" ca="1" si="2294"/>
        <v>0</v>
      </c>
      <c r="CI86" s="248">
        <f t="shared" ca="1" si="2294"/>
        <v>0</v>
      </c>
      <c r="CJ86" s="248">
        <f t="shared" ca="1" si="2294"/>
        <v>0</v>
      </c>
      <c r="CK86" s="248">
        <f t="shared" ca="1" si="2294"/>
        <v>0</v>
      </c>
      <c r="CL86" s="248">
        <f t="shared" ca="1" si="2294"/>
        <v>0</v>
      </c>
      <c r="CM86" s="248">
        <f t="shared" ca="1" si="2294"/>
        <v>0</v>
      </c>
      <c r="CN86" s="248">
        <f t="shared" ca="1" si="2294"/>
        <v>0</v>
      </c>
      <c r="CO86" s="248">
        <f t="shared" ca="1" si="2294"/>
        <v>0</v>
      </c>
      <c r="CP86" s="432">
        <f ca="1">SUM(CD86:CO86)</f>
        <v>0</v>
      </c>
    </row>
    <row r="87" spans="1:94" ht="20.100000000000001" hidden="1" customHeight="1">
      <c r="A87" s="789">
        <f ca="1">OFFSET('Summary. Assumptions. Inputs'!$A$45,'Internmediate sheet'!A86/3,0)</f>
        <v>0</v>
      </c>
      <c r="B87" s="17" t="s">
        <v>609</v>
      </c>
      <c r="C87" s="18"/>
      <c r="D87" s="17">
        <f ca="1">OFFSET('Sales, Production, &amp; Other Assu'!D$18,'Internmediate sheet'!$A86/3,0)*Capacity</f>
        <v>0</v>
      </c>
      <c r="E87" s="17">
        <f ca="1">OFFSET('Sales, Production, &amp; Other Assu'!E$18,'Internmediate sheet'!$A86/3,0)*Capacity</f>
        <v>0</v>
      </c>
      <c r="F87" s="17">
        <f ca="1">OFFSET('Sales, Production, &amp; Other Assu'!F$18,'Internmediate sheet'!$A86/3,0)*Capacity</f>
        <v>0</v>
      </c>
      <c r="G87" s="17">
        <f ca="1">OFFSET('Sales, Production, &amp; Other Assu'!G$18,'Internmediate sheet'!$A86/3,0)*Capacity</f>
        <v>0</v>
      </c>
      <c r="H87" s="17">
        <f ca="1">OFFSET('Sales, Production, &amp; Other Assu'!H$18,'Internmediate sheet'!$A86/3,0)*Capacity</f>
        <v>0</v>
      </c>
      <c r="I87" s="17">
        <f ca="1">OFFSET('Sales, Production, &amp; Other Assu'!I$18,'Internmediate sheet'!$A86/3,0)*Capacity</f>
        <v>0</v>
      </c>
      <c r="J87" s="17">
        <f ca="1">OFFSET('Sales, Production, &amp; Other Assu'!J$18,'Internmediate sheet'!$A86/3,0)*Capacity</f>
        <v>0</v>
      </c>
      <c r="K87" s="17">
        <f ca="1">OFFSET('Sales, Production, &amp; Other Assu'!K$18,'Internmediate sheet'!$A86/3,0)*Capacity</f>
        <v>0</v>
      </c>
      <c r="L87" s="17">
        <f ca="1">OFFSET('Sales, Production, &amp; Other Assu'!L$18,'Internmediate sheet'!$A86/3,0)*Capacity</f>
        <v>0</v>
      </c>
      <c r="M87" s="17">
        <f ca="1">OFFSET('Sales, Production, &amp; Other Assu'!M$18,'Internmediate sheet'!$A86/3,0)*Capacity</f>
        <v>0</v>
      </c>
      <c r="N87" s="17">
        <f ca="1">OFFSET('Sales, Production, &amp; Other Assu'!N$18,'Internmediate sheet'!$A86/3,0)*Capacity</f>
        <v>0</v>
      </c>
      <c r="O87" s="17">
        <f ca="1">OFFSET('Sales, Production, &amp; Other Assu'!O$18,'Internmediate sheet'!$A86/3,0)*Capacity</f>
        <v>0</v>
      </c>
      <c r="P87" s="430">
        <f ca="1">SUM(D87:O87)</f>
        <v>0</v>
      </c>
      <c r="Q87" s="17">
        <f ca="1">OFFSET('Sales, Production, &amp; Other Assu'!Q$18,'Internmediate sheet'!$A86/3,0)*Capacity</f>
        <v>0</v>
      </c>
      <c r="R87" s="17">
        <f ca="1">OFFSET('Sales, Production, &amp; Other Assu'!R$18,'Internmediate sheet'!$A86/3,0)*Capacity</f>
        <v>0</v>
      </c>
      <c r="S87" s="17">
        <f ca="1">OFFSET('Sales, Production, &amp; Other Assu'!S$18,'Internmediate sheet'!$A86/3,0)*Capacity</f>
        <v>0</v>
      </c>
      <c r="T87" s="17">
        <f ca="1">OFFSET('Sales, Production, &amp; Other Assu'!T$18,'Internmediate sheet'!$A86/3,0)*Capacity</f>
        <v>0</v>
      </c>
      <c r="U87" s="17">
        <f ca="1">OFFSET('Sales, Production, &amp; Other Assu'!U$18,'Internmediate sheet'!$A86/3,0)*Capacity</f>
        <v>0</v>
      </c>
      <c r="V87" s="17">
        <f ca="1">OFFSET('Sales, Production, &amp; Other Assu'!V$18,'Internmediate sheet'!$A86/3,0)*Capacity</f>
        <v>0</v>
      </c>
      <c r="W87" s="17">
        <f ca="1">OFFSET('Sales, Production, &amp; Other Assu'!W$18,'Internmediate sheet'!$A86/3,0)*Capacity</f>
        <v>0</v>
      </c>
      <c r="X87" s="17">
        <f ca="1">OFFSET('Sales, Production, &amp; Other Assu'!X$18,'Internmediate sheet'!$A86/3,0)*Capacity</f>
        <v>0</v>
      </c>
      <c r="Y87" s="17">
        <f ca="1">OFFSET('Sales, Production, &amp; Other Assu'!Y$18,'Internmediate sheet'!$A86/3,0)*Capacity</f>
        <v>0</v>
      </c>
      <c r="Z87" s="17">
        <f ca="1">OFFSET('Sales, Production, &amp; Other Assu'!Z$18,'Internmediate sheet'!$A86/3,0)*Capacity</f>
        <v>0</v>
      </c>
      <c r="AA87" s="17">
        <f ca="1">OFFSET('Sales, Production, &amp; Other Assu'!AA$18,'Internmediate sheet'!$A86/3,0)*Capacity</f>
        <v>0</v>
      </c>
      <c r="AB87" s="17">
        <f ca="1">OFFSET('Sales, Production, &amp; Other Assu'!AB$18,'Internmediate sheet'!$A86/3,0)*Capacity</f>
        <v>0</v>
      </c>
      <c r="AC87" s="430">
        <f ca="1">SUM(Q87:AB87)</f>
        <v>0</v>
      </c>
      <c r="AD87" s="17">
        <f ca="1">OFFSET('Sales, Production, &amp; Other Assu'!AD$18,'Internmediate sheet'!$A86/3,0)*Capacity</f>
        <v>0</v>
      </c>
      <c r="AE87" s="17">
        <f ca="1">OFFSET('Sales, Production, &amp; Other Assu'!AE$18,'Internmediate sheet'!$A86/3,0)*Capacity</f>
        <v>0</v>
      </c>
      <c r="AF87" s="17">
        <f ca="1">OFFSET('Sales, Production, &amp; Other Assu'!AF$18,'Internmediate sheet'!$A86/3,0)*Capacity</f>
        <v>0</v>
      </c>
      <c r="AG87" s="17">
        <f ca="1">OFFSET('Sales, Production, &amp; Other Assu'!AG$18,'Internmediate sheet'!$A86/3,0)*Capacity</f>
        <v>0</v>
      </c>
      <c r="AH87" s="17">
        <f ca="1">OFFSET('Sales, Production, &amp; Other Assu'!AH$18,'Internmediate sheet'!$A86/3,0)*Capacity</f>
        <v>0</v>
      </c>
      <c r="AI87" s="17">
        <f ca="1">OFFSET('Sales, Production, &amp; Other Assu'!AI$18,'Internmediate sheet'!$A86/3,0)*Capacity</f>
        <v>0</v>
      </c>
      <c r="AJ87" s="17">
        <f ca="1">OFFSET('Sales, Production, &amp; Other Assu'!AJ$18,'Internmediate sheet'!$A86/3,0)*Capacity</f>
        <v>0</v>
      </c>
      <c r="AK87" s="17">
        <f ca="1">OFFSET('Sales, Production, &amp; Other Assu'!AK$18,'Internmediate sheet'!$A86/3,0)*Capacity</f>
        <v>0</v>
      </c>
      <c r="AL87" s="17">
        <f ca="1">OFFSET('Sales, Production, &amp; Other Assu'!AL$18,'Internmediate sheet'!$A86/3,0)*Capacity</f>
        <v>0</v>
      </c>
      <c r="AM87" s="17">
        <f ca="1">OFFSET('Sales, Production, &amp; Other Assu'!AM$18,'Internmediate sheet'!$A86/3,0)*Capacity</f>
        <v>0</v>
      </c>
      <c r="AN87" s="17">
        <f ca="1">OFFSET('Sales, Production, &amp; Other Assu'!AN$18,'Internmediate sheet'!$A86/3,0)*Capacity</f>
        <v>0</v>
      </c>
      <c r="AO87" s="17">
        <f ca="1">OFFSET('Sales, Production, &amp; Other Assu'!AO$18,'Internmediate sheet'!$A86/3,0)*Capacity</f>
        <v>0</v>
      </c>
      <c r="AP87" s="430">
        <f ca="1">SUM(AD87:AO87)</f>
        <v>0</v>
      </c>
      <c r="AQ87" s="17">
        <f ca="1">OFFSET('Sales, Production, &amp; Other Assu'!AQ$18,'Internmediate sheet'!$A86/3,0)*Capacity</f>
        <v>0</v>
      </c>
      <c r="AR87" s="17">
        <f ca="1">OFFSET('Sales, Production, &amp; Other Assu'!AR$18,'Internmediate sheet'!$A86/3,0)*Capacity</f>
        <v>0</v>
      </c>
      <c r="AS87" s="17">
        <f ca="1">OFFSET('Sales, Production, &amp; Other Assu'!AS$18,'Internmediate sheet'!$A86/3,0)*Capacity</f>
        <v>0</v>
      </c>
      <c r="AT87" s="17">
        <f ca="1">OFFSET('Sales, Production, &amp; Other Assu'!AT$18,'Internmediate sheet'!$A86/3,0)*Capacity</f>
        <v>0</v>
      </c>
      <c r="AU87" s="17">
        <f ca="1">OFFSET('Sales, Production, &amp; Other Assu'!AU$18,'Internmediate sheet'!$A86/3,0)*Capacity</f>
        <v>0</v>
      </c>
      <c r="AV87" s="17">
        <f ca="1">OFFSET('Sales, Production, &amp; Other Assu'!AV$18,'Internmediate sheet'!$A86/3,0)*Capacity</f>
        <v>0</v>
      </c>
      <c r="AW87" s="17">
        <f ca="1">OFFSET('Sales, Production, &amp; Other Assu'!AW$18,'Internmediate sheet'!$A86/3,0)*Capacity</f>
        <v>0</v>
      </c>
      <c r="AX87" s="17">
        <f ca="1">OFFSET('Sales, Production, &amp; Other Assu'!AX$18,'Internmediate sheet'!$A86/3,0)*Capacity</f>
        <v>0</v>
      </c>
      <c r="AY87" s="17">
        <f ca="1">OFFSET('Sales, Production, &amp; Other Assu'!AY$18,'Internmediate sheet'!$A86/3,0)*Capacity</f>
        <v>0</v>
      </c>
      <c r="AZ87" s="17">
        <f ca="1">OFFSET('Sales, Production, &amp; Other Assu'!AZ$18,'Internmediate sheet'!$A86/3,0)*Capacity</f>
        <v>0</v>
      </c>
      <c r="BA87" s="17">
        <f ca="1">OFFSET('Sales, Production, &amp; Other Assu'!BA$18,'Internmediate sheet'!$A86/3,0)*Capacity</f>
        <v>0</v>
      </c>
      <c r="BB87" s="17">
        <f ca="1">OFFSET('Sales, Production, &amp; Other Assu'!BB$18,'Internmediate sheet'!$A86/3,0)*Capacity</f>
        <v>0</v>
      </c>
      <c r="BC87" s="430">
        <f ca="1">SUM(AQ87:BB87)</f>
        <v>0</v>
      </c>
      <c r="BD87" s="17">
        <f ca="1">OFFSET('Sales, Production, &amp; Other Assu'!BD$18,'Internmediate sheet'!$A86/3,0)*Capacity</f>
        <v>0</v>
      </c>
      <c r="BE87" s="17">
        <f ca="1">OFFSET('Sales, Production, &amp; Other Assu'!BE$18,'Internmediate sheet'!$A86/3,0)*Capacity</f>
        <v>0</v>
      </c>
      <c r="BF87" s="17">
        <f ca="1">OFFSET('Sales, Production, &amp; Other Assu'!BF$18,'Internmediate sheet'!$A86/3,0)*Capacity</f>
        <v>0</v>
      </c>
      <c r="BG87" s="17">
        <f ca="1">OFFSET('Sales, Production, &amp; Other Assu'!BG$18,'Internmediate sheet'!$A86/3,0)*Capacity</f>
        <v>0</v>
      </c>
      <c r="BH87" s="17">
        <f ca="1">OFFSET('Sales, Production, &amp; Other Assu'!BH$18,'Internmediate sheet'!$A86/3,0)*Capacity</f>
        <v>0</v>
      </c>
      <c r="BI87" s="17">
        <f ca="1">OFFSET('Sales, Production, &amp; Other Assu'!BI$18,'Internmediate sheet'!$A86/3,0)*Capacity</f>
        <v>0</v>
      </c>
      <c r="BJ87" s="17">
        <f ca="1">OFFSET('Sales, Production, &amp; Other Assu'!BJ$18,'Internmediate sheet'!$A86/3,0)*Capacity</f>
        <v>0</v>
      </c>
      <c r="BK87" s="17">
        <f ca="1">OFFSET('Sales, Production, &amp; Other Assu'!BK$18,'Internmediate sheet'!$A86/3,0)*Capacity</f>
        <v>0</v>
      </c>
      <c r="BL87" s="17">
        <f ca="1">OFFSET('Sales, Production, &amp; Other Assu'!BL$18,'Internmediate sheet'!$A86/3,0)*Capacity</f>
        <v>0</v>
      </c>
      <c r="BM87" s="17">
        <f ca="1">OFFSET('Sales, Production, &amp; Other Assu'!BM$18,'Internmediate sheet'!$A86/3,0)*Capacity</f>
        <v>0</v>
      </c>
      <c r="BN87" s="17">
        <f ca="1">OFFSET('Sales, Production, &amp; Other Assu'!BN$18,'Internmediate sheet'!$A86/3,0)*Capacity</f>
        <v>0</v>
      </c>
      <c r="BO87" s="17">
        <f ca="1">OFFSET('Sales, Production, &amp; Other Assu'!BO$18,'Internmediate sheet'!$A86/3,0)*Capacity</f>
        <v>0</v>
      </c>
      <c r="BP87" s="430">
        <f ca="1">SUM(BD87:BO87)</f>
        <v>0</v>
      </c>
      <c r="BQ87" s="17">
        <f ca="1">OFFSET('Sales, Production, &amp; Other Assu'!BQ$18,'Internmediate sheet'!$A86/3,0)*Capacity</f>
        <v>0</v>
      </c>
      <c r="BR87" s="17">
        <f ca="1">OFFSET('Sales, Production, &amp; Other Assu'!BR$18,'Internmediate sheet'!$A86/3,0)*Capacity</f>
        <v>0</v>
      </c>
      <c r="BS87" s="17">
        <f ca="1">OFFSET('Sales, Production, &amp; Other Assu'!BS$18,'Internmediate sheet'!$A86/3,0)*Capacity</f>
        <v>0</v>
      </c>
      <c r="BT87" s="17">
        <f ca="1">OFFSET('Sales, Production, &amp; Other Assu'!BT$18,'Internmediate sheet'!$A86/3,0)*Capacity</f>
        <v>0</v>
      </c>
      <c r="BU87" s="17">
        <f ca="1">OFFSET('Sales, Production, &amp; Other Assu'!BU$18,'Internmediate sheet'!$A86/3,0)*Capacity</f>
        <v>0</v>
      </c>
      <c r="BV87" s="17">
        <f ca="1">OFFSET('Sales, Production, &amp; Other Assu'!BV$18,'Internmediate sheet'!$A86/3,0)*Capacity</f>
        <v>0</v>
      </c>
      <c r="BW87" s="17">
        <f ca="1">OFFSET('Sales, Production, &amp; Other Assu'!BW$18,'Internmediate sheet'!$A86/3,0)*Capacity</f>
        <v>0</v>
      </c>
      <c r="BX87" s="17">
        <f ca="1">OFFSET('Sales, Production, &amp; Other Assu'!BX$18,'Internmediate sheet'!$A86/3,0)*Capacity</f>
        <v>0</v>
      </c>
      <c r="BY87" s="17">
        <f ca="1">OFFSET('Sales, Production, &amp; Other Assu'!BY$18,'Internmediate sheet'!$A86/3,0)*Capacity</f>
        <v>0</v>
      </c>
      <c r="BZ87" s="17">
        <f ca="1">OFFSET('Sales, Production, &amp; Other Assu'!BZ$18,'Internmediate sheet'!$A86/3,0)*Capacity</f>
        <v>0</v>
      </c>
      <c r="CA87" s="17">
        <f ca="1">OFFSET('Sales, Production, &amp; Other Assu'!CA$18,'Internmediate sheet'!$A86/3,0)*Capacity</f>
        <v>0</v>
      </c>
      <c r="CB87" s="17">
        <f ca="1">OFFSET('Sales, Production, &amp; Other Assu'!CB$18,'Internmediate sheet'!$A86/3,0)*Capacity</f>
        <v>0</v>
      </c>
      <c r="CC87" s="430">
        <f ca="1">SUM(BQ87:CB87)</f>
        <v>0</v>
      </c>
      <c r="CD87" s="17">
        <f ca="1">OFFSET('Sales, Production, &amp; Other Assu'!CD$18,'Internmediate sheet'!$A86/3,0)*Capacity</f>
        <v>0</v>
      </c>
      <c r="CE87" s="17">
        <f ca="1">OFFSET('Sales, Production, &amp; Other Assu'!CE$18,'Internmediate sheet'!$A86/3,0)*Capacity</f>
        <v>0</v>
      </c>
      <c r="CF87" s="17">
        <f ca="1">OFFSET('Sales, Production, &amp; Other Assu'!CF$18,'Internmediate sheet'!$A86/3,0)*Capacity</f>
        <v>0</v>
      </c>
      <c r="CG87" s="17">
        <f ca="1">OFFSET('Sales, Production, &amp; Other Assu'!CG$18,'Internmediate sheet'!$A86/3,0)*Capacity</f>
        <v>0</v>
      </c>
      <c r="CH87" s="17">
        <f ca="1">OFFSET('Sales, Production, &amp; Other Assu'!CH$18,'Internmediate sheet'!$A86/3,0)*Capacity</f>
        <v>0</v>
      </c>
      <c r="CI87" s="17">
        <f ca="1">OFFSET('Sales, Production, &amp; Other Assu'!CI$18,'Internmediate sheet'!$A86/3,0)*Capacity</f>
        <v>0</v>
      </c>
      <c r="CJ87" s="17">
        <f ca="1">OFFSET('Sales, Production, &amp; Other Assu'!CJ$18,'Internmediate sheet'!$A86/3,0)*Capacity</f>
        <v>0</v>
      </c>
      <c r="CK87" s="17">
        <f ca="1">OFFSET('Sales, Production, &amp; Other Assu'!CK$18,'Internmediate sheet'!$A86/3,0)*Capacity</f>
        <v>0</v>
      </c>
      <c r="CL87" s="17">
        <f ca="1">OFFSET('Sales, Production, &amp; Other Assu'!CL$18,'Internmediate sheet'!$A86/3,0)*Capacity</f>
        <v>0</v>
      </c>
      <c r="CM87" s="17">
        <f ca="1">OFFSET('Sales, Production, &amp; Other Assu'!CM$18,'Internmediate sheet'!$A86/3,0)*Capacity</f>
        <v>0</v>
      </c>
      <c r="CN87" s="17">
        <f ca="1">OFFSET('Sales, Production, &amp; Other Assu'!CN$18,'Internmediate sheet'!$A86/3,0)*Capacity</f>
        <v>0</v>
      </c>
      <c r="CO87" s="17">
        <f ca="1">OFFSET('Sales, Production, &amp; Other Assu'!CO$18,'Internmediate sheet'!$A86/3,0)*Capacity</f>
        <v>0</v>
      </c>
      <c r="CP87" s="430">
        <f ca="1">SUM(CD87:CO87)</f>
        <v>0</v>
      </c>
    </row>
    <row r="88" spans="1:94" ht="20.100000000000001" hidden="1" customHeight="1">
      <c r="A88" s="790"/>
      <c r="B88" s="8" t="s">
        <v>610</v>
      </c>
      <c r="C88" s="8">
        <f ca="1">OFFSET('Summary. Assumptions. Inputs'!$F$46,'Internmediate sheet'!A83/3,0)</f>
        <v>0</v>
      </c>
      <c r="D88" s="8">
        <f t="shared" ref="D88:P88" ca="1" si="2295">C88</f>
        <v>0</v>
      </c>
      <c r="E88" s="8">
        <f t="shared" ca="1" si="2295"/>
        <v>0</v>
      </c>
      <c r="F88" s="8">
        <f t="shared" ca="1" si="2295"/>
        <v>0</v>
      </c>
      <c r="G88" s="8">
        <f t="shared" ca="1" si="2295"/>
        <v>0</v>
      </c>
      <c r="H88" s="8">
        <f t="shared" ca="1" si="2295"/>
        <v>0</v>
      </c>
      <c r="I88" s="8">
        <f t="shared" ca="1" si="2295"/>
        <v>0</v>
      </c>
      <c r="J88" s="8">
        <f t="shared" ca="1" si="2295"/>
        <v>0</v>
      </c>
      <c r="K88" s="8">
        <f t="shared" ca="1" si="2295"/>
        <v>0</v>
      </c>
      <c r="L88" s="8">
        <f t="shared" ca="1" si="2295"/>
        <v>0</v>
      </c>
      <c r="M88" s="8">
        <f t="shared" ca="1" si="2295"/>
        <v>0</v>
      </c>
      <c r="N88" s="8">
        <f t="shared" ca="1" si="2295"/>
        <v>0</v>
      </c>
      <c r="O88" s="8">
        <f t="shared" ca="1" si="2295"/>
        <v>0</v>
      </c>
      <c r="P88" s="431">
        <f t="shared" ca="1" si="2295"/>
        <v>0</v>
      </c>
      <c r="Q88" s="8">
        <f t="shared" ref="Q88" ca="1" si="2296">P88</f>
        <v>0</v>
      </c>
      <c r="R88" s="8">
        <f t="shared" ref="R88" ca="1" si="2297">Q88</f>
        <v>0</v>
      </c>
      <c r="S88" s="8">
        <f t="shared" ref="S88" ca="1" si="2298">R88</f>
        <v>0</v>
      </c>
      <c r="T88" s="8">
        <f t="shared" ref="T88" ca="1" si="2299">S88</f>
        <v>0</v>
      </c>
      <c r="U88" s="8">
        <f t="shared" ref="U88" ca="1" si="2300">T88</f>
        <v>0</v>
      </c>
      <c r="V88" s="8">
        <f t="shared" ref="V88" ca="1" si="2301">U88</f>
        <v>0</v>
      </c>
      <c r="W88" s="8">
        <f t="shared" ref="W88" ca="1" si="2302">V88</f>
        <v>0</v>
      </c>
      <c r="X88" s="8">
        <f t="shared" ref="X88" ca="1" si="2303">W88</f>
        <v>0</v>
      </c>
      <c r="Y88" s="8">
        <f t="shared" ref="Y88" ca="1" si="2304">X88</f>
        <v>0</v>
      </c>
      <c r="Z88" s="8">
        <f t="shared" ref="Z88" ca="1" si="2305">Y88</f>
        <v>0</v>
      </c>
      <c r="AA88" s="8">
        <f t="shared" ref="AA88" ca="1" si="2306">Z88</f>
        <v>0</v>
      </c>
      <c r="AB88" s="8">
        <f t="shared" ref="AB88" ca="1" si="2307">AA88</f>
        <v>0</v>
      </c>
      <c r="AC88" s="431">
        <f t="shared" ref="AC88" ca="1" si="2308">AB88</f>
        <v>0</v>
      </c>
      <c r="AD88" s="8">
        <f t="shared" ref="AD88" ca="1" si="2309">AC88</f>
        <v>0</v>
      </c>
      <c r="AE88" s="8">
        <f t="shared" ref="AE88" ca="1" si="2310">AD88</f>
        <v>0</v>
      </c>
      <c r="AF88" s="8">
        <f t="shared" ref="AF88" ca="1" si="2311">AE88</f>
        <v>0</v>
      </c>
      <c r="AG88" s="8">
        <f t="shared" ref="AG88" ca="1" si="2312">AF88</f>
        <v>0</v>
      </c>
      <c r="AH88" s="8">
        <f t="shared" ref="AH88" ca="1" si="2313">AG88</f>
        <v>0</v>
      </c>
      <c r="AI88" s="8">
        <f t="shared" ref="AI88" ca="1" si="2314">AH88</f>
        <v>0</v>
      </c>
      <c r="AJ88" s="8">
        <f t="shared" ref="AJ88" ca="1" si="2315">AI88</f>
        <v>0</v>
      </c>
      <c r="AK88" s="8">
        <f t="shared" ref="AK88" ca="1" si="2316">AJ88</f>
        <v>0</v>
      </c>
      <c r="AL88" s="8">
        <f t="shared" ref="AL88" ca="1" si="2317">AK88</f>
        <v>0</v>
      </c>
      <c r="AM88" s="8">
        <f t="shared" ref="AM88" ca="1" si="2318">AL88</f>
        <v>0</v>
      </c>
      <c r="AN88" s="8">
        <f t="shared" ref="AN88" ca="1" si="2319">AM88</f>
        <v>0</v>
      </c>
      <c r="AO88" s="8">
        <f t="shared" ref="AO88" ca="1" si="2320">AN88</f>
        <v>0</v>
      </c>
      <c r="AP88" s="431">
        <f t="shared" ref="AP88" ca="1" si="2321">AO88</f>
        <v>0</v>
      </c>
      <c r="AQ88" s="8">
        <f ca="1">AP88</f>
        <v>0</v>
      </c>
      <c r="AR88" s="8">
        <f t="shared" ref="AR88" ca="1" si="2322">AQ88</f>
        <v>0</v>
      </c>
      <c r="AS88" s="8">
        <f t="shared" ref="AS88" ca="1" si="2323">AR88</f>
        <v>0</v>
      </c>
      <c r="AT88" s="8">
        <f t="shared" ref="AT88" ca="1" si="2324">AS88</f>
        <v>0</v>
      </c>
      <c r="AU88" s="8">
        <f t="shared" ref="AU88" ca="1" si="2325">AT88</f>
        <v>0</v>
      </c>
      <c r="AV88" s="8">
        <f t="shared" ref="AV88" ca="1" si="2326">AU88</f>
        <v>0</v>
      </c>
      <c r="AW88" s="8">
        <f t="shared" ref="AW88" ca="1" si="2327">AV88</f>
        <v>0</v>
      </c>
      <c r="AX88" s="8">
        <f t="shared" ref="AX88" ca="1" si="2328">AW88</f>
        <v>0</v>
      </c>
      <c r="AY88" s="8">
        <f t="shared" ref="AY88" ca="1" si="2329">AX88</f>
        <v>0</v>
      </c>
      <c r="AZ88" s="8">
        <f t="shared" ref="AZ88" ca="1" si="2330">AY88</f>
        <v>0</v>
      </c>
      <c r="BA88" s="8">
        <f t="shared" ref="BA88" ca="1" si="2331">AZ88</f>
        <v>0</v>
      </c>
      <c r="BB88" s="8">
        <f t="shared" ref="BB88" ca="1" si="2332">BA88</f>
        <v>0</v>
      </c>
      <c r="BC88" s="431">
        <f t="shared" ref="BC88" ca="1" si="2333">BB88</f>
        <v>0</v>
      </c>
      <c r="BD88" s="8">
        <f t="shared" ref="BD88" ca="1" si="2334">BC88</f>
        <v>0</v>
      </c>
      <c r="BE88" s="8">
        <f t="shared" ref="BE88" ca="1" si="2335">BD88</f>
        <v>0</v>
      </c>
      <c r="BF88" s="8">
        <f t="shared" ref="BF88" ca="1" si="2336">BE88</f>
        <v>0</v>
      </c>
      <c r="BG88" s="8">
        <f t="shared" ref="BG88" ca="1" si="2337">BF88</f>
        <v>0</v>
      </c>
      <c r="BH88" s="8">
        <f t="shared" ref="BH88" ca="1" si="2338">BG88</f>
        <v>0</v>
      </c>
      <c r="BI88" s="8">
        <f t="shared" ref="BI88" ca="1" si="2339">BH88</f>
        <v>0</v>
      </c>
      <c r="BJ88" s="8">
        <f t="shared" ref="BJ88" ca="1" si="2340">BI88</f>
        <v>0</v>
      </c>
      <c r="BK88" s="8">
        <f t="shared" ref="BK88" ca="1" si="2341">BJ88</f>
        <v>0</v>
      </c>
      <c r="BL88" s="8">
        <f t="shared" ref="BL88" ca="1" si="2342">BK88</f>
        <v>0</v>
      </c>
      <c r="BM88" s="8">
        <f t="shared" ref="BM88" ca="1" si="2343">BL88</f>
        <v>0</v>
      </c>
      <c r="BN88" s="8">
        <f t="shared" ref="BN88" ca="1" si="2344">BM88</f>
        <v>0</v>
      </c>
      <c r="BO88" s="8">
        <f t="shared" ref="BO88" ca="1" si="2345">BN88</f>
        <v>0</v>
      </c>
      <c r="BP88" s="431">
        <f t="shared" ref="BP88" ca="1" si="2346">BO88</f>
        <v>0</v>
      </c>
      <c r="BQ88" s="8">
        <f t="shared" ref="BQ88" ca="1" si="2347">BP88</f>
        <v>0</v>
      </c>
      <c r="BR88" s="8">
        <f t="shared" ref="BR88" ca="1" si="2348">BQ88</f>
        <v>0</v>
      </c>
      <c r="BS88" s="8">
        <f t="shared" ref="BS88" ca="1" si="2349">BR88</f>
        <v>0</v>
      </c>
      <c r="BT88" s="8">
        <f t="shared" ref="BT88" ca="1" si="2350">BS88</f>
        <v>0</v>
      </c>
      <c r="BU88" s="8">
        <f t="shared" ref="BU88" ca="1" si="2351">BT88</f>
        <v>0</v>
      </c>
      <c r="BV88" s="8">
        <f t="shared" ref="BV88" ca="1" si="2352">BU88</f>
        <v>0</v>
      </c>
      <c r="BW88" s="8">
        <f t="shared" ref="BW88" ca="1" si="2353">BV88</f>
        <v>0</v>
      </c>
      <c r="BX88" s="8">
        <f t="shared" ref="BX88" ca="1" si="2354">BW88</f>
        <v>0</v>
      </c>
      <c r="BY88" s="8">
        <f t="shared" ref="BY88" ca="1" si="2355">BX88</f>
        <v>0</v>
      </c>
      <c r="BZ88" s="8">
        <f t="shared" ref="BZ88" ca="1" si="2356">BY88</f>
        <v>0</v>
      </c>
      <c r="CA88" s="8">
        <f t="shared" ref="CA88" ca="1" si="2357">BZ88</f>
        <v>0</v>
      </c>
      <c r="CB88" s="8">
        <f t="shared" ref="CB88" ca="1" si="2358">CA88</f>
        <v>0</v>
      </c>
      <c r="CC88" s="431">
        <f t="shared" ref="CC88" ca="1" si="2359">CB88</f>
        <v>0</v>
      </c>
      <c r="CD88" s="8">
        <f t="shared" ref="CD88" ca="1" si="2360">CC88</f>
        <v>0</v>
      </c>
      <c r="CE88" s="8">
        <f t="shared" ref="CE88" ca="1" si="2361">CD88</f>
        <v>0</v>
      </c>
      <c r="CF88" s="8">
        <f t="shared" ref="CF88" ca="1" si="2362">CE88</f>
        <v>0</v>
      </c>
      <c r="CG88" s="8">
        <f t="shared" ref="CG88" ca="1" si="2363">CF88</f>
        <v>0</v>
      </c>
      <c r="CH88" s="8">
        <f t="shared" ref="CH88" ca="1" si="2364">CG88</f>
        <v>0</v>
      </c>
      <c r="CI88" s="8">
        <f t="shared" ref="CI88" ca="1" si="2365">CH88</f>
        <v>0</v>
      </c>
      <c r="CJ88" s="8">
        <f t="shared" ref="CJ88" ca="1" si="2366">CI88</f>
        <v>0</v>
      </c>
      <c r="CK88" s="8">
        <f t="shared" ref="CK88" ca="1" si="2367">CJ88</f>
        <v>0</v>
      </c>
      <c r="CL88" s="8">
        <f t="shared" ref="CL88" ca="1" si="2368">CK88</f>
        <v>0</v>
      </c>
      <c r="CM88" s="8">
        <f t="shared" ref="CM88" ca="1" si="2369">CL88</f>
        <v>0</v>
      </c>
      <c r="CN88" s="8">
        <f t="shared" ref="CN88" ca="1" si="2370">CM88</f>
        <v>0</v>
      </c>
      <c r="CO88" s="8">
        <f t="shared" ref="CO88" ca="1" si="2371">CN88</f>
        <v>0</v>
      </c>
      <c r="CP88" s="431">
        <f t="shared" ref="CP88" ca="1" si="2372">CO88</f>
        <v>0</v>
      </c>
    </row>
    <row r="89" spans="1:94" ht="20.100000000000001" hidden="1" customHeight="1">
      <c r="A89" s="791"/>
      <c r="B89" s="248" t="s">
        <v>611</v>
      </c>
      <c r="C89" s="249">
        <f t="shared" ref="C89:O89" ca="1" si="2373">C87*C88</f>
        <v>0</v>
      </c>
      <c r="D89" s="248">
        <f t="shared" ca="1" si="2373"/>
        <v>0</v>
      </c>
      <c r="E89" s="248">
        <f t="shared" ca="1" si="2373"/>
        <v>0</v>
      </c>
      <c r="F89" s="248">
        <f t="shared" ca="1" si="2373"/>
        <v>0</v>
      </c>
      <c r="G89" s="248">
        <f t="shared" ca="1" si="2373"/>
        <v>0</v>
      </c>
      <c r="H89" s="248">
        <f t="shared" ca="1" si="2373"/>
        <v>0</v>
      </c>
      <c r="I89" s="248">
        <f t="shared" ca="1" si="2373"/>
        <v>0</v>
      </c>
      <c r="J89" s="248">
        <f t="shared" ca="1" si="2373"/>
        <v>0</v>
      </c>
      <c r="K89" s="248">
        <f t="shared" ca="1" si="2373"/>
        <v>0</v>
      </c>
      <c r="L89" s="248">
        <f t="shared" ca="1" si="2373"/>
        <v>0</v>
      </c>
      <c r="M89" s="248">
        <f t="shared" ca="1" si="2373"/>
        <v>0</v>
      </c>
      <c r="N89" s="248">
        <f t="shared" ca="1" si="2373"/>
        <v>0</v>
      </c>
      <c r="O89" s="248">
        <f t="shared" ca="1" si="2373"/>
        <v>0</v>
      </c>
      <c r="P89" s="432">
        <f ca="1">SUM(D89:O89)</f>
        <v>0</v>
      </c>
      <c r="Q89" s="248">
        <f t="shared" ref="Q89:AB89" ca="1" si="2374">Q87*Q88</f>
        <v>0</v>
      </c>
      <c r="R89" s="248">
        <f t="shared" ca="1" si="2374"/>
        <v>0</v>
      </c>
      <c r="S89" s="248">
        <f t="shared" ca="1" si="2374"/>
        <v>0</v>
      </c>
      <c r="T89" s="248">
        <f t="shared" ca="1" si="2374"/>
        <v>0</v>
      </c>
      <c r="U89" s="248">
        <f t="shared" ca="1" si="2374"/>
        <v>0</v>
      </c>
      <c r="V89" s="248">
        <f t="shared" ca="1" si="2374"/>
        <v>0</v>
      </c>
      <c r="W89" s="248">
        <f t="shared" ca="1" si="2374"/>
        <v>0</v>
      </c>
      <c r="X89" s="248">
        <f t="shared" ca="1" si="2374"/>
        <v>0</v>
      </c>
      <c r="Y89" s="248">
        <f t="shared" ca="1" si="2374"/>
        <v>0</v>
      </c>
      <c r="Z89" s="248">
        <f t="shared" ca="1" si="2374"/>
        <v>0</v>
      </c>
      <c r="AA89" s="248">
        <f t="shared" ca="1" si="2374"/>
        <v>0</v>
      </c>
      <c r="AB89" s="248">
        <f t="shared" ca="1" si="2374"/>
        <v>0</v>
      </c>
      <c r="AC89" s="432">
        <f ca="1">SUM(Q89:AB89)</f>
        <v>0</v>
      </c>
      <c r="AD89" s="248">
        <f t="shared" ref="AD89:AO89" ca="1" si="2375">AD87*AD88</f>
        <v>0</v>
      </c>
      <c r="AE89" s="248">
        <f t="shared" ca="1" si="2375"/>
        <v>0</v>
      </c>
      <c r="AF89" s="248">
        <f t="shared" ca="1" si="2375"/>
        <v>0</v>
      </c>
      <c r="AG89" s="248">
        <f t="shared" ca="1" si="2375"/>
        <v>0</v>
      </c>
      <c r="AH89" s="248">
        <f t="shared" ca="1" si="2375"/>
        <v>0</v>
      </c>
      <c r="AI89" s="248">
        <f t="shared" ca="1" si="2375"/>
        <v>0</v>
      </c>
      <c r="AJ89" s="248">
        <f t="shared" ca="1" si="2375"/>
        <v>0</v>
      </c>
      <c r="AK89" s="248">
        <f t="shared" ca="1" si="2375"/>
        <v>0</v>
      </c>
      <c r="AL89" s="248">
        <f t="shared" ca="1" si="2375"/>
        <v>0</v>
      </c>
      <c r="AM89" s="248">
        <f t="shared" ca="1" si="2375"/>
        <v>0</v>
      </c>
      <c r="AN89" s="248">
        <f t="shared" ca="1" si="2375"/>
        <v>0</v>
      </c>
      <c r="AO89" s="248">
        <f t="shared" ca="1" si="2375"/>
        <v>0</v>
      </c>
      <c r="AP89" s="432">
        <f ca="1">SUM(AD89:AO89)</f>
        <v>0</v>
      </c>
      <c r="AQ89" s="248">
        <f t="shared" ref="AQ89:BB89" ca="1" si="2376">AQ87*AQ88</f>
        <v>0</v>
      </c>
      <c r="AR89" s="248">
        <f t="shared" ca="1" si="2376"/>
        <v>0</v>
      </c>
      <c r="AS89" s="248">
        <f t="shared" ca="1" si="2376"/>
        <v>0</v>
      </c>
      <c r="AT89" s="248">
        <f t="shared" ca="1" si="2376"/>
        <v>0</v>
      </c>
      <c r="AU89" s="248">
        <f t="shared" ca="1" si="2376"/>
        <v>0</v>
      </c>
      <c r="AV89" s="248">
        <f t="shared" ca="1" si="2376"/>
        <v>0</v>
      </c>
      <c r="AW89" s="248">
        <f t="shared" ca="1" si="2376"/>
        <v>0</v>
      </c>
      <c r="AX89" s="248">
        <f t="shared" ca="1" si="2376"/>
        <v>0</v>
      </c>
      <c r="AY89" s="248">
        <f t="shared" ca="1" si="2376"/>
        <v>0</v>
      </c>
      <c r="AZ89" s="248">
        <f t="shared" ca="1" si="2376"/>
        <v>0</v>
      </c>
      <c r="BA89" s="248">
        <f t="shared" ca="1" si="2376"/>
        <v>0</v>
      </c>
      <c r="BB89" s="248">
        <f t="shared" ca="1" si="2376"/>
        <v>0</v>
      </c>
      <c r="BC89" s="432">
        <f ca="1">SUM(AQ89:BB89)</f>
        <v>0</v>
      </c>
      <c r="BD89" s="248">
        <f t="shared" ref="BD89:BO89" ca="1" si="2377">BD87*BD88</f>
        <v>0</v>
      </c>
      <c r="BE89" s="248">
        <f t="shared" ca="1" si="2377"/>
        <v>0</v>
      </c>
      <c r="BF89" s="248">
        <f t="shared" ca="1" si="2377"/>
        <v>0</v>
      </c>
      <c r="BG89" s="248">
        <f t="shared" ca="1" si="2377"/>
        <v>0</v>
      </c>
      <c r="BH89" s="248">
        <f t="shared" ca="1" si="2377"/>
        <v>0</v>
      </c>
      <c r="BI89" s="248">
        <f t="shared" ca="1" si="2377"/>
        <v>0</v>
      </c>
      <c r="BJ89" s="248">
        <f t="shared" ca="1" si="2377"/>
        <v>0</v>
      </c>
      <c r="BK89" s="248">
        <f t="shared" ca="1" si="2377"/>
        <v>0</v>
      </c>
      <c r="BL89" s="248">
        <f t="shared" ca="1" si="2377"/>
        <v>0</v>
      </c>
      <c r="BM89" s="248">
        <f t="shared" ca="1" si="2377"/>
        <v>0</v>
      </c>
      <c r="BN89" s="248">
        <f t="shared" ca="1" si="2377"/>
        <v>0</v>
      </c>
      <c r="BO89" s="248">
        <f t="shared" ca="1" si="2377"/>
        <v>0</v>
      </c>
      <c r="BP89" s="432">
        <f ca="1">SUM(BD89:BO89)</f>
        <v>0</v>
      </c>
      <c r="BQ89" s="248">
        <f t="shared" ref="BQ89:CB89" ca="1" si="2378">BQ87*BQ88</f>
        <v>0</v>
      </c>
      <c r="BR89" s="248">
        <f t="shared" ca="1" si="2378"/>
        <v>0</v>
      </c>
      <c r="BS89" s="248">
        <f t="shared" ca="1" si="2378"/>
        <v>0</v>
      </c>
      <c r="BT89" s="248">
        <f t="shared" ca="1" si="2378"/>
        <v>0</v>
      </c>
      <c r="BU89" s="248">
        <f t="shared" ca="1" si="2378"/>
        <v>0</v>
      </c>
      <c r="BV89" s="248">
        <f t="shared" ca="1" si="2378"/>
        <v>0</v>
      </c>
      <c r="BW89" s="248">
        <f t="shared" ca="1" si="2378"/>
        <v>0</v>
      </c>
      <c r="BX89" s="248">
        <f t="shared" ca="1" si="2378"/>
        <v>0</v>
      </c>
      <c r="BY89" s="248">
        <f t="shared" ca="1" si="2378"/>
        <v>0</v>
      </c>
      <c r="BZ89" s="248">
        <f t="shared" ca="1" si="2378"/>
        <v>0</v>
      </c>
      <c r="CA89" s="248">
        <f t="shared" ca="1" si="2378"/>
        <v>0</v>
      </c>
      <c r="CB89" s="248">
        <f t="shared" ca="1" si="2378"/>
        <v>0</v>
      </c>
      <c r="CC89" s="432">
        <f ca="1">SUM(BQ89:CB89)</f>
        <v>0</v>
      </c>
      <c r="CD89" s="248">
        <f t="shared" ref="CD89:CO89" ca="1" si="2379">CD87*CD88</f>
        <v>0</v>
      </c>
      <c r="CE89" s="248">
        <f t="shared" ca="1" si="2379"/>
        <v>0</v>
      </c>
      <c r="CF89" s="248">
        <f t="shared" ca="1" si="2379"/>
        <v>0</v>
      </c>
      <c r="CG89" s="248">
        <f t="shared" ca="1" si="2379"/>
        <v>0</v>
      </c>
      <c r="CH89" s="248">
        <f t="shared" ca="1" si="2379"/>
        <v>0</v>
      </c>
      <c r="CI89" s="248">
        <f t="shared" ca="1" si="2379"/>
        <v>0</v>
      </c>
      <c r="CJ89" s="248">
        <f t="shared" ca="1" si="2379"/>
        <v>0</v>
      </c>
      <c r="CK89" s="248">
        <f t="shared" ca="1" si="2379"/>
        <v>0</v>
      </c>
      <c r="CL89" s="248">
        <f t="shared" ca="1" si="2379"/>
        <v>0</v>
      </c>
      <c r="CM89" s="248">
        <f t="shared" ca="1" si="2379"/>
        <v>0</v>
      </c>
      <c r="CN89" s="248">
        <f t="shared" ca="1" si="2379"/>
        <v>0</v>
      </c>
      <c r="CO89" s="248">
        <f t="shared" ca="1" si="2379"/>
        <v>0</v>
      </c>
      <c r="CP89" s="432">
        <f ca="1">SUM(CD89:CO89)</f>
        <v>0</v>
      </c>
    </row>
    <row r="90" spans="1:94" ht="20.100000000000001" hidden="1" customHeight="1">
      <c r="A90" s="789">
        <f ca="1">OFFSET('Summary. Assumptions. Inputs'!$A$45,'Internmediate sheet'!A89/3,0)</f>
        <v>0</v>
      </c>
      <c r="B90" s="17" t="s">
        <v>609</v>
      </c>
      <c r="C90" s="18"/>
      <c r="D90" s="17">
        <f ca="1">OFFSET('Sales, Production, &amp; Other Assu'!D$18,'Internmediate sheet'!$A89/3,0)*Capacity</f>
        <v>0</v>
      </c>
      <c r="E90" s="17">
        <f ca="1">OFFSET('Sales, Production, &amp; Other Assu'!E$18,'Internmediate sheet'!$A89/3,0)*Capacity</f>
        <v>0</v>
      </c>
      <c r="F90" s="17">
        <f ca="1">OFFSET('Sales, Production, &amp; Other Assu'!F$18,'Internmediate sheet'!$A89/3,0)*Capacity</f>
        <v>0</v>
      </c>
      <c r="G90" s="17">
        <f ca="1">OFFSET('Sales, Production, &amp; Other Assu'!G$18,'Internmediate sheet'!$A89/3,0)*Capacity</f>
        <v>0</v>
      </c>
      <c r="H90" s="17">
        <f ca="1">OFFSET('Sales, Production, &amp; Other Assu'!H$18,'Internmediate sheet'!$A89/3,0)*Capacity</f>
        <v>0</v>
      </c>
      <c r="I90" s="17">
        <f ca="1">OFFSET('Sales, Production, &amp; Other Assu'!I$18,'Internmediate sheet'!$A89/3,0)*Capacity</f>
        <v>0</v>
      </c>
      <c r="J90" s="17">
        <f ca="1">OFFSET('Sales, Production, &amp; Other Assu'!J$18,'Internmediate sheet'!$A89/3,0)*Capacity</f>
        <v>0</v>
      </c>
      <c r="K90" s="17">
        <f ca="1">OFFSET('Sales, Production, &amp; Other Assu'!K$18,'Internmediate sheet'!$A89/3,0)*Capacity</f>
        <v>0</v>
      </c>
      <c r="L90" s="17">
        <f ca="1">OFFSET('Sales, Production, &amp; Other Assu'!L$18,'Internmediate sheet'!$A89/3,0)*Capacity</f>
        <v>0</v>
      </c>
      <c r="M90" s="17">
        <f ca="1">OFFSET('Sales, Production, &amp; Other Assu'!M$18,'Internmediate sheet'!$A89/3,0)*Capacity</f>
        <v>0</v>
      </c>
      <c r="N90" s="17">
        <f ca="1">OFFSET('Sales, Production, &amp; Other Assu'!N$18,'Internmediate sheet'!$A89/3,0)*Capacity</f>
        <v>0</v>
      </c>
      <c r="O90" s="17">
        <f ca="1">OFFSET('Sales, Production, &amp; Other Assu'!O$18,'Internmediate sheet'!$A89/3,0)*Capacity</f>
        <v>0</v>
      </c>
      <c r="P90" s="430">
        <f ca="1">SUM(D90:O90)</f>
        <v>0</v>
      </c>
      <c r="Q90" s="17">
        <f ca="1">OFFSET('Sales, Production, &amp; Other Assu'!Q$18,'Internmediate sheet'!$A89/3,0)*Capacity</f>
        <v>0</v>
      </c>
      <c r="R90" s="17">
        <f ca="1">OFFSET('Sales, Production, &amp; Other Assu'!R$18,'Internmediate sheet'!$A89/3,0)*Capacity</f>
        <v>0</v>
      </c>
      <c r="S90" s="17">
        <f ca="1">OFFSET('Sales, Production, &amp; Other Assu'!S$18,'Internmediate sheet'!$A89/3,0)*Capacity</f>
        <v>0</v>
      </c>
      <c r="T90" s="17">
        <f ca="1">OFFSET('Sales, Production, &amp; Other Assu'!T$18,'Internmediate sheet'!$A89/3,0)*Capacity</f>
        <v>0</v>
      </c>
      <c r="U90" s="17">
        <f ca="1">OFFSET('Sales, Production, &amp; Other Assu'!U$18,'Internmediate sheet'!$A89/3,0)*Capacity</f>
        <v>0</v>
      </c>
      <c r="V90" s="17">
        <f ca="1">OFFSET('Sales, Production, &amp; Other Assu'!V$18,'Internmediate sheet'!$A89/3,0)*Capacity</f>
        <v>0</v>
      </c>
      <c r="W90" s="17">
        <f ca="1">OFFSET('Sales, Production, &amp; Other Assu'!W$18,'Internmediate sheet'!$A89/3,0)*Capacity</f>
        <v>0</v>
      </c>
      <c r="X90" s="17">
        <f ca="1">OFFSET('Sales, Production, &amp; Other Assu'!X$18,'Internmediate sheet'!$A89/3,0)*Capacity</f>
        <v>0</v>
      </c>
      <c r="Y90" s="17">
        <f ca="1">OFFSET('Sales, Production, &amp; Other Assu'!Y$18,'Internmediate sheet'!$A89/3,0)*Capacity</f>
        <v>0</v>
      </c>
      <c r="Z90" s="17">
        <f ca="1">OFFSET('Sales, Production, &amp; Other Assu'!Z$18,'Internmediate sheet'!$A89/3,0)*Capacity</f>
        <v>0</v>
      </c>
      <c r="AA90" s="17">
        <f ca="1">OFFSET('Sales, Production, &amp; Other Assu'!AA$18,'Internmediate sheet'!$A89/3,0)*Capacity</f>
        <v>0</v>
      </c>
      <c r="AB90" s="17">
        <f ca="1">OFFSET('Sales, Production, &amp; Other Assu'!AB$18,'Internmediate sheet'!$A89/3,0)*Capacity</f>
        <v>0</v>
      </c>
      <c r="AC90" s="430">
        <f ca="1">SUM(Q90:AB90)</f>
        <v>0</v>
      </c>
      <c r="AD90" s="17">
        <f ca="1">OFFSET('Sales, Production, &amp; Other Assu'!AD$18,'Internmediate sheet'!$A89/3,0)*Capacity</f>
        <v>0</v>
      </c>
      <c r="AE90" s="17">
        <f ca="1">OFFSET('Sales, Production, &amp; Other Assu'!AE$18,'Internmediate sheet'!$A89/3,0)*Capacity</f>
        <v>0</v>
      </c>
      <c r="AF90" s="17">
        <f ca="1">OFFSET('Sales, Production, &amp; Other Assu'!AF$18,'Internmediate sheet'!$A89/3,0)*Capacity</f>
        <v>0</v>
      </c>
      <c r="AG90" s="17">
        <f ca="1">OFFSET('Sales, Production, &amp; Other Assu'!AG$18,'Internmediate sheet'!$A89/3,0)*Capacity</f>
        <v>0</v>
      </c>
      <c r="AH90" s="17">
        <f ca="1">OFFSET('Sales, Production, &amp; Other Assu'!AH$18,'Internmediate sheet'!$A89/3,0)*Capacity</f>
        <v>0</v>
      </c>
      <c r="AI90" s="17">
        <f ca="1">OFFSET('Sales, Production, &amp; Other Assu'!AI$18,'Internmediate sheet'!$A89/3,0)*Capacity</f>
        <v>0</v>
      </c>
      <c r="AJ90" s="17">
        <f ca="1">OFFSET('Sales, Production, &amp; Other Assu'!AJ$18,'Internmediate sheet'!$A89/3,0)*Capacity</f>
        <v>0</v>
      </c>
      <c r="AK90" s="17">
        <f ca="1">OFFSET('Sales, Production, &amp; Other Assu'!AK$18,'Internmediate sheet'!$A89/3,0)*Capacity</f>
        <v>0</v>
      </c>
      <c r="AL90" s="17">
        <f ca="1">OFFSET('Sales, Production, &amp; Other Assu'!AL$18,'Internmediate sheet'!$A89/3,0)*Capacity</f>
        <v>0</v>
      </c>
      <c r="AM90" s="17">
        <f ca="1">OFFSET('Sales, Production, &amp; Other Assu'!AM$18,'Internmediate sheet'!$A89/3,0)*Capacity</f>
        <v>0</v>
      </c>
      <c r="AN90" s="17">
        <f ca="1">OFFSET('Sales, Production, &amp; Other Assu'!AN$18,'Internmediate sheet'!$A89/3,0)*Capacity</f>
        <v>0</v>
      </c>
      <c r="AO90" s="17">
        <f ca="1">OFFSET('Sales, Production, &amp; Other Assu'!AO$18,'Internmediate sheet'!$A89/3,0)*Capacity</f>
        <v>0</v>
      </c>
      <c r="AP90" s="430">
        <f ca="1">SUM(AD90:AO90)</f>
        <v>0</v>
      </c>
      <c r="AQ90" s="17">
        <f ca="1">OFFSET('Sales, Production, &amp; Other Assu'!AQ$18,'Internmediate sheet'!$A89/3,0)*Capacity</f>
        <v>0</v>
      </c>
      <c r="AR90" s="17">
        <f ca="1">OFFSET('Sales, Production, &amp; Other Assu'!AR$18,'Internmediate sheet'!$A89/3,0)*Capacity</f>
        <v>0</v>
      </c>
      <c r="AS90" s="17">
        <f ca="1">OFFSET('Sales, Production, &amp; Other Assu'!AS$18,'Internmediate sheet'!$A89/3,0)*Capacity</f>
        <v>0</v>
      </c>
      <c r="AT90" s="17">
        <f ca="1">OFFSET('Sales, Production, &amp; Other Assu'!AT$18,'Internmediate sheet'!$A89/3,0)*Capacity</f>
        <v>0</v>
      </c>
      <c r="AU90" s="17">
        <f ca="1">OFFSET('Sales, Production, &amp; Other Assu'!AU$18,'Internmediate sheet'!$A89/3,0)*Capacity</f>
        <v>0</v>
      </c>
      <c r="AV90" s="17">
        <f ca="1">OFFSET('Sales, Production, &amp; Other Assu'!AV$18,'Internmediate sheet'!$A89/3,0)*Capacity</f>
        <v>0</v>
      </c>
      <c r="AW90" s="17">
        <f ca="1">OFFSET('Sales, Production, &amp; Other Assu'!AW$18,'Internmediate sheet'!$A89/3,0)*Capacity</f>
        <v>0</v>
      </c>
      <c r="AX90" s="17">
        <f ca="1">OFFSET('Sales, Production, &amp; Other Assu'!AX$18,'Internmediate sheet'!$A89/3,0)*Capacity</f>
        <v>0</v>
      </c>
      <c r="AY90" s="17">
        <f ca="1">OFFSET('Sales, Production, &amp; Other Assu'!AY$18,'Internmediate sheet'!$A89/3,0)*Capacity</f>
        <v>0</v>
      </c>
      <c r="AZ90" s="17">
        <f ca="1">OFFSET('Sales, Production, &amp; Other Assu'!AZ$18,'Internmediate sheet'!$A89/3,0)*Capacity</f>
        <v>0</v>
      </c>
      <c r="BA90" s="17">
        <f ca="1">OFFSET('Sales, Production, &amp; Other Assu'!BA$18,'Internmediate sheet'!$A89/3,0)*Capacity</f>
        <v>0</v>
      </c>
      <c r="BB90" s="17">
        <f ca="1">OFFSET('Sales, Production, &amp; Other Assu'!BB$18,'Internmediate sheet'!$A89/3,0)*Capacity</f>
        <v>0</v>
      </c>
      <c r="BC90" s="430">
        <f ca="1">SUM(AQ90:BB90)</f>
        <v>0</v>
      </c>
      <c r="BD90" s="17">
        <f ca="1">OFFSET('Sales, Production, &amp; Other Assu'!BD$18,'Internmediate sheet'!$A89/3,0)*Capacity</f>
        <v>0</v>
      </c>
      <c r="BE90" s="17">
        <f ca="1">OFFSET('Sales, Production, &amp; Other Assu'!BE$18,'Internmediate sheet'!$A89/3,0)*Capacity</f>
        <v>0</v>
      </c>
      <c r="BF90" s="17">
        <f ca="1">OFFSET('Sales, Production, &amp; Other Assu'!BF$18,'Internmediate sheet'!$A89/3,0)*Capacity</f>
        <v>0</v>
      </c>
      <c r="BG90" s="17">
        <f ca="1">OFFSET('Sales, Production, &amp; Other Assu'!BG$18,'Internmediate sheet'!$A89/3,0)*Capacity</f>
        <v>0</v>
      </c>
      <c r="BH90" s="17">
        <f ca="1">OFFSET('Sales, Production, &amp; Other Assu'!BH$18,'Internmediate sheet'!$A89/3,0)*Capacity</f>
        <v>0</v>
      </c>
      <c r="BI90" s="17">
        <f ca="1">OFFSET('Sales, Production, &amp; Other Assu'!BI$18,'Internmediate sheet'!$A89/3,0)*Capacity</f>
        <v>0</v>
      </c>
      <c r="BJ90" s="17">
        <f ca="1">OFFSET('Sales, Production, &amp; Other Assu'!BJ$18,'Internmediate sheet'!$A89/3,0)*Capacity</f>
        <v>0</v>
      </c>
      <c r="BK90" s="17">
        <f ca="1">OFFSET('Sales, Production, &amp; Other Assu'!BK$18,'Internmediate sheet'!$A89/3,0)*Capacity</f>
        <v>0</v>
      </c>
      <c r="BL90" s="17">
        <f ca="1">OFFSET('Sales, Production, &amp; Other Assu'!BL$18,'Internmediate sheet'!$A89/3,0)*Capacity</f>
        <v>0</v>
      </c>
      <c r="BM90" s="17">
        <f ca="1">OFFSET('Sales, Production, &amp; Other Assu'!BM$18,'Internmediate sheet'!$A89/3,0)*Capacity</f>
        <v>0</v>
      </c>
      <c r="BN90" s="17">
        <f ca="1">OFFSET('Sales, Production, &amp; Other Assu'!BN$18,'Internmediate sheet'!$A89/3,0)*Capacity</f>
        <v>0</v>
      </c>
      <c r="BO90" s="17">
        <f ca="1">OFFSET('Sales, Production, &amp; Other Assu'!BO$18,'Internmediate sheet'!$A89/3,0)*Capacity</f>
        <v>0</v>
      </c>
      <c r="BP90" s="430">
        <f ca="1">SUM(BD90:BO90)</f>
        <v>0</v>
      </c>
      <c r="BQ90" s="17">
        <f ca="1">OFFSET('Sales, Production, &amp; Other Assu'!BQ$18,'Internmediate sheet'!$A89/3,0)*Capacity</f>
        <v>0</v>
      </c>
      <c r="BR90" s="17">
        <f ca="1">OFFSET('Sales, Production, &amp; Other Assu'!BR$18,'Internmediate sheet'!$A89/3,0)*Capacity</f>
        <v>0</v>
      </c>
      <c r="BS90" s="17">
        <f ca="1">OFFSET('Sales, Production, &amp; Other Assu'!BS$18,'Internmediate sheet'!$A89/3,0)*Capacity</f>
        <v>0</v>
      </c>
      <c r="BT90" s="17">
        <f ca="1">OFFSET('Sales, Production, &amp; Other Assu'!BT$18,'Internmediate sheet'!$A89/3,0)*Capacity</f>
        <v>0</v>
      </c>
      <c r="BU90" s="17">
        <f ca="1">OFFSET('Sales, Production, &amp; Other Assu'!BU$18,'Internmediate sheet'!$A89/3,0)*Capacity</f>
        <v>0</v>
      </c>
      <c r="BV90" s="17">
        <f ca="1">OFFSET('Sales, Production, &amp; Other Assu'!BV$18,'Internmediate sheet'!$A89/3,0)*Capacity</f>
        <v>0</v>
      </c>
      <c r="BW90" s="17">
        <f ca="1">OFFSET('Sales, Production, &amp; Other Assu'!BW$18,'Internmediate sheet'!$A89/3,0)*Capacity</f>
        <v>0</v>
      </c>
      <c r="BX90" s="17">
        <f ca="1">OFFSET('Sales, Production, &amp; Other Assu'!BX$18,'Internmediate sheet'!$A89/3,0)*Capacity</f>
        <v>0</v>
      </c>
      <c r="BY90" s="17">
        <f ca="1">OFFSET('Sales, Production, &amp; Other Assu'!BY$18,'Internmediate sheet'!$A89/3,0)*Capacity</f>
        <v>0</v>
      </c>
      <c r="BZ90" s="17">
        <f ca="1">OFFSET('Sales, Production, &amp; Other Assu'!BZ$18,'Internmediate sheet'!$A89/3,0)*Capacity</f>
        <v>0</v>
      </c>
      <c r="CA90" s="17">
        <f ca="1">OFFSET('Sales, Production, &amp; Other Assu'!CA$18,'Internmediate sheet'!$A89/3,0)*Capacity</f>
        <v>0</v>
      </c>
      <c r="CB90" s="17">
        <f ca="1">OFFSET('Sales, Production, &amp; Other Assu'!CB$18,'Internmediate sheet'!$A89/3,0)*Capacity</f>
        <v>0</v>
      </c>
      <c r="CC90" s="430">
        <f ca="1">SUM(BQ90:CB90)</f>
        <v>0</v>
      </c>
      <c r="CD90" s="17">
        <f ca="1">OFFSET('Sales, Production, &amp; Other Assu'!CD$18,'Internmediate sheet'!$A89/3,0)*Capacity</f>
        <v>0</v>
      </c>
      <c r="CE90" s="17">
        <f ca="1">OFFSET('Sales, Production, &amp; Other Assu'!CE$18,'Internmediate sheet'!$A89/3,0)*Capacity</f>
        <v>0</v>
      </c>
      <c r="CF90" s="17">
        <f ca="1">OFFSET('Sales, Production, &amp; Other Assu'!CF$18,'Internmediate sheet'!$A89/3,0)*Capacity</f>
        <v>0</v>
      </c>
      <c r="CG90" s="17">
        <f ca="1">OFFSET('Sales, Production, &amp; Other Assu'!CG$18,'Internmediate sheet'!$A89/3,0)*Capacity</f>
        <v>0</v>
      </c>
      <c r="CH90" s="17">
        <f ca="1">OFFSET('Sales, Production, &amp; Other Assu'!CH$18,'Internmediate sheet'!$A89/3,0)*Capacity</f>
        <v>0</v>
      </c>
      <c r="CI90" s="17">
        <f ca="1">OFFSET('Sales, Production, &amp; Other Assu'!CI$18,'Internmediate sheet'!$A89/3,0)*Capacity</f>
        <v>0</v>
      </c>
      <c r="CJ90" s="17">
        <f ca="1">OFFSET('Sales, Production, &amp; Other Assu'!CJ$18,'Internmediate sheet'!$A89/3,0)*Capacity</f>
        <v>0</v>
      </c>
      <c r="CK90" s="17">
        <f ca="1">OFFSET('Sales, Production, &amp; Other Assu'!CK$18,'Internmediate sheet'!$A89/3,0)*Capacity</f>
        <v>0</v>
      </c>
      <c r="CL90" s="17">
        <f ca="1">OFFSET('Sales, Production, &amp; Other Assu'!CL$18,'Internmediate sheet'!$A89/3,0)*Capacity</f>
        <v>0</v>
      </c>
      <c r="CM90" s="17">
        <f ca="1">OFFSET('Sales, Production, &amp; Other Assu'!CM$18,'Internmediate sheet'!$A89/3,0)*Capacity</f>
        <v>0</v>
      </c>
      <c r="CN90" s="17">
        <f ca="1">OFFSET('Sales, Production, &amp; Other Assu'!CN$18,'Internmediate sheet'!$A89/3,0)*Capacity</f>
        <v>0</v>
      </c>
      <c r="CO90" s="17">
        <f ca="1">OFFSET('Sales, Production, &amp; Other Assu'!CO$18,'Internmediate sheet'!$A89/3,0)*Capacity</f>
        <v>0</v>
      </c>
      <c r="CP90" s="430">
        <f ca="1">SUM(CD90:CO90)</f>
        <v>0</v>
      </c>
    </row>
    <row r="91" spans="1:94" ht="20.100000000000001" hidden="1" customHeight="1">
      <c r="A91" s="790"/>
      <c r="B91" s="8" t="s">
        <v>610</v>
      </c>
      <c r="C91" s="8">
        <f ca="1">OFFSET('Summary. Assumptions. Inputs'!$F$46,'Internmediate sheet'!A86/3,0)</f>
        <v>0</v>
      </c>
      <c r="D91" s="8">
        <f t="shared" ref="D91:P91" ca="1" si="2380">C91</f>
        <v>0</v>
      </c>
      <c r="E91" s="8">
        <f t="shared" ca="1" si="2380"/>
        <v>0</v>
      </c>
      <c r="F91" s="8">
        <f t="shared" ca="1" si="2380"/>
        <v>0</v>
      </c>
      <c r="G91" s="8">
        <f t="shared" ca="1" si="2380"/>
        <v>0</v>
      </c>
      <c r="H91" s="8">
        <f t="shared" ca="1" si="2380"/>
        <v>0</v>
      </c>
      <c r="I91" s="8">
        <f t="shared" ca="1" si="2380"/>
        <v>0</v>
      </c>
      <c r="J91" s="8">
        <f t="shared" ca="1" si="2380"/>
        <v>0</v>
      </c>
      <c r="K91" s="8">
        <f t="shared" ca="1" si="2380"/>
        <v>0</v>
      </c>
      <c r="L91" s="8">
        <f t="shared" ca="1" si="2380"/>
        <v>0</v>
      </c>
      <c r="M91" s="8">
        <f t="shared" ca="1" si="2380"/>
        <v>0</v>
      </c>
      <c r="N91" s="8">
        <f t="shared" ca="1" si="2380"/>
        <v>0</v>
      </c>
      <c r="O91" s="8">
        <f t="shared" ca="1" si="2380"/>
        <v>0</v>
      </c>
      <c r="P91" s="431">
        <f t="shared" ca="1" si="2380"/>
        <v>0</v>
      </c>
      <c r="Q91" s="8">
        <f t="shared" ref="Q91" ca="1" si="2381">P91</f>
        <v>0</v>
      </c>
      <c r="R91" s="8">
        <f t="shared" ref="R91" ca="1" si="2382">Q91</f>
        <v>0</v>
      </c>
      <c r="S91" s="8">
        <f t="shared" ref="S91" ca="1" si="2383">R91</f>
        <v>0</v>
      </c>
      <c r="T91" s="8">
        <f t="shared" ref="T91" ca="1" si="2384">S91</f>
        <v>0</v>
      </c>
      <c r="U91" s="8">
        <f t="shared" ref="U91" ca="1" si="2385">T91</f>
        <v>0</v>
      </c>
      <c r="V91" s="8">
        <f t="shared" ref="V91" ca="1" si="2386">U91</f>
        <v>0</v>
      </c>
      <c r="W91" s="8">
        <f t="shared" ref="W91" ca="1" si="2387">V91</f>
        <v>0</v>
      </c>
      <c r="X91" s="8">
        <f t="shared" ref="X91" ca="1" si="2388">W91</f>
        <v>0</v>
      </c>
      <c r="Y91" s="8">
        <f t="shared" ref="Y91" ca="1" si="2389">X91</f>
        <v>0</v>
      </c>
      <c r="Z91" s="8">
        <f t="shared" ref="Z91" ca="1" si="2390">Y91</f>
        <v>0</v>
      </c>
      <c r="AA91" s="8">
        <f t="shared" ref="AA91" ca="1" si="2391">Z91</f>
        <v>0</v>
      </c>
      <c r="AB91" s="8">
        <f t="shared" ref="AB91" ca="1" si="2392">AA91</f>
        <v>0</v>
      </c>
      <c r="AC91" s="431">
        <f t="shared" ref="AC91" ca="1" si="2393">AB91</f>
        <v>0</v>
      </c>
      <c r="AD91" s="8">
        <f t="shared" ref="AD91" ca="1" si="2394">AC91</f>
        <v>0</v>
      </c>
      <c r="AE91" s="8">
        <f t="shared" ref="AE91" ca="1" si="2395">AD91</f>
        <v>0</v>
      </c>
      <c r="AF91" s="8">
        <f t="shared" ref="AF91" ca="1" si="2396">AE91</f>
        <v>0</v>
      </c>
      <c r="AG91" s="8">
        <f t="shared" ref="AG91" ca="1" si="2397">AF91</f>
        <v>0</v>
      </c>
      <c r="AH91" s="8">
        <f t="shared" ref="AH91" ca="1" si="2398">AG91</f>
        <v>0</v>
      </c>
      <c r="AI91" s="8">
        <f t="shared" ref="AI91" ca="1" si="2399">AH91</f>
        <v>0</v>
      </c>
      <c r="AJ91" s="8">
        <f t="shared" ref="AJ91" ca="1" si="2400">AI91</f>
        <v>0</v>
      </c>
      <c r="AK91" s="8">
        <f t="shared" ref="AK91" ca="1" si="2401">AJ91</f>
        <v>0</v>
      </c>
      <c r="AL91" s="8">
        <f t="shared" ref="AL91" ca="1" si="2402">AK91</f>
        <v>0</v>
      </c>
      <c r="AM91" s="8">
        <f t="shared" ref="AM91" ca="1" si="2403">AL91</f>
        <v>0</v>
      </c>
      <c r="AN91" s="8">
        <f t="shared" ref="AN91" ca="1" si="2404">AM91</f>
        <v>0</v>
      </c>
      <c r="AO91" s="8">
        <f t="shared" ref="AO91" ca="1" si="2405">AN91</f>
        <v>0</v>
      </c>
      <c r="AP91" s="431">
        <f t="shared" ref="AP91" ca="1" si="2406">AO91</f>
        <v>0</v>
      </c>
      <c r="AQ91" s="8">
        <f ca="1">AP91</f>
        <v>0</v>
      </c>
      <c r="AR91" s="8">
        <f t="shared" ref="AR91" ca="1" si="2407">AQ91</f>
        <v>0</v>
      </c>
      <c r="AS91" s="8">
        <f t="shared" ref="AS91" ca="1" si="2408">AR91</f>
        <v>0</v>
      </c>
      <c r="AT91" s="8">
        <f t="shared" ref="AT91" ca="1" si="2409">AS91</f>
        <v>0</v>
      </c>
      <c r="AU91" s="8">
        <f t="shared" ref="AU91" ca="1" si="2410">AT91</f>
        <v>0</v>
      </c>
      <c r="AV91" s="8">
        <f t="shared" ref="AV91" ca="1" si="2411">AU91</f>
        <v>0</v>
      </c>
      <c r="AW91" s="8">
        <f t="shared" ref="AW91" ca="1" si="2412">AV91</f>
        <v>0</v>
      </c>
      <c r="AX91" s="8">
        <f t="shared" ref="AX91" ca="1" si="2413">AW91</f>
        <v>0</v>
      </c>
      <c r="AY91" s="8">
        <f t="shared" ref="AY91" ca="1" si="2414">AX91</f>
        <v>0</v>
      </c>
      <c r="AZ91" s="8">
        <f t="shared" ref="AZ91" ca="1" si="2415">AY91</f>
        <v>0</v>
      </c>
      <c r="BA91" s="8">
        <f t="shared" ref="BA91" ca="1" si="2416">AZ91</f>
        <v>0</v>
      </c>
      <c r="BB91" s="8">
        <f t="shared" ref="BB91" ca="1" si="2417">BA91</f>
        <v>0</v>
      </c>
      <c r="BC91" s="431">
        <f t="shared" ref="BC91" ca="1" si="2418">BB91</f>
        <v>0</v>
      </c>
      <c r="BD91" s="8">
        <f t="shared" ref="BD91" ca="1" si="2419">BC91</f>
        <v>0</v>
      </c>
      <c r="BE91" s="8">
        <f t="shared" ref="BE91" ca="1" si="2420">BD91</f>
        <v>0</v>
      </c>
      <c r="BF91" s="8">
        <f t="shared" ref="BF91" ca="1" si="2421">BE91</f>
        <v>0</v>
      </c>
      <c r="BG91" s="8">
        <f t="shared" ref="BG91" ca="1" si="2422">BF91</f>
        <v>0</v>
      </c>
      <c r="BH91" s="8">
        <f t="shared" ref="BH91" ca="1" si="2423">BG91</f>
        <v>0</v>
      </c>
      <c r="BI91" s="8">
        <f t="shared" ref="BI91" ca="1" si="2424">BH91</f>
        <v>0</v>
      </c>
      <c r="BJ91" s="8">
        <f t="shared" ref="BJ91" ca="1" si="2425">BI91</f>
        <v>0</v>
      </c>
      <c r="BK91" s="8">
        <f t="shared" ref="BK91" ca="1" si="2426">BJ91</f>
        <v>0</v>
      </c>
      <c r="BL91" s="8">
        <f t="shared" ref="BL91" ca="1" si="2427">BK91</f>
        <v>0</v>
      </c>
      <c r="BM91" s="8">
        <f t="shared" ref="BM91" ca="1" si="2428">BL91</f>
        <v>0</v>
      </c>
      <c r="BN91" s="8">
        <f t="shared" ref="BN91" ca="1" si="2429">BM91</f>
        <v>0</v>
      </c>
      <c r="BO91" s="8">
        <f t="shared" ref="BO91" ca="1" si="2430">BN91</f>
        <v>0</v>
      </c>
      <c r="BP91" s="431">
        <f t="shared" ref="BP91" ca="1" si="2431">BO91</f>
        <v>0</v>
      </c>
      <c r="BQ91" s="8">
        <f t="shared" ref="BQ91" ca="1" si="2432">BP91</f>
        <v>0</v>
      </c>
      <c r="BR91" s="8">
        <f t="shared" ref="BR91" ca="1" si="2433">BQ91</f>
        <v>0</v>
      </c>
      <c r="BS91" s="8">
        <f t="shared" ref="BS91" ca="1" si="2434">BR91</f>
        <v>0</v>
      </c>
      <c r="BT91" s="8">
        <f t="shared" ref="BT91" ca="1" si="2435">BS91</f>
        <v>0</v>
      </c>
      <c r="BU91" s="8">
        <f t="shared" ref="BU91" ca="1" si="2436">BT91</f>
        <v>0</v>
      </c>
      <c r="BV91" s="8">
        <f t="shared" ref="BV91" ca="1" si="2437">BU91</f>
        <v>0</v>
      </c>
      <c r="BW91" s="8">
        <f t="shared" ref="BW91" ca="1" si="2438">BV91</f>
        <v>0</v>
      </c>
      <c r="BX91" s="8">
        <f t="shared" ref="BX91" ca="1" si="2439">BW91</f>
        <v>0</v>
      </c>
      <c r="BY91" s="8">
        <f t="shared" ref="BY91" ca="1" si="2440">BX91</f>
        <v>0</v>
      </c>
      <c r="BZ91" s="8">
        <f t="shared" ref="BZ91" ca="1" si="2441">BY91</f>
        <v>0</v>
      </c>
      <c r="CA91" s="8">
        <f t="shared" ref="CA91" ca="1" si="2442">BZ91</f>
        <v>0</v>
      </c>
      <c r="CB91" s="8">
        <f t="shared" ref="CB91" ca="1" si="2443">CA91</f>
        <v>0</v>
      </c>
      <c r="CC91" s="431">
        <f t="shared" ref="CC91" ca="1" si="2444">CB91</f>
        <v>0</v>
      </c>
      <c r="CD91" s="8">
        <f t="shared" ref="CD91" ca="1" si="2445">CC91</f>
        <v>0</v>
      </c>
      <c r="CE91" s="8">
        <f t="shared" ref="CE91" ca="1" si="2446">CD91</f>
        <v>0</v>
      </c>
      <c r="CF91" s="8">
        <f t="shared" ref="CF91" ca="1" si="2447">CE91</f>
        <v>0</v>
      </c>
      <c r="CG91" s="8">
        <f t="shared" ref="CG91" ca="1" si="2448">CF91</f>
        <v>0</v>
      </c>
      <c r="CH91" s="8">
        <f t="shared" ref="CH91" ca="1" si="2449">CG91</f>
        <v>0</v>
      </c>
      <c r="CI91" s="8">
        <f t="shared" ref="CI91" ca="1" si="2450">CH91</f>
        <v>0</v>
      </c>
      <c r="CJ91" s="8">
        <f t="shared" ref="CJ91" ca="1" si="2451">CI91</f>
        <v>0</v>
      </c>
      <c r="CK91" s="8">
        <f t="shared" ref="CK91" ca="1" si="2452">CJ91</f>
        <v>0</v>
      </c>
      <c r="CL91" s="8">
        <f t="shared" ref="CL91" ca="1" si="2453">CK91</f>
        <v>0</v>
      </c>
      <c r="CM91" s="8">
        <f t="shared" ref="CM91" ca="1" si="2454">CL91</f>
        <v>0</v>
      </c>
      <c r="CN91" s="8">
        <f t="shared" ref="CN91" ca="1" si="2455">CM91</f>
        <v>0</v>
      </c>
      <c r="CO91" s="8">
        <f t="shared" ref="CO91" ca="1" si="2456">CN91</f>
        <v>0</v>
      </c>
      <c r="CP91" s="431">
        <f t="shared" ref="CP91" ca="1" si="2457">CO91</f>
        <v>0</v>
      </c>
    </row>
    <row r="92" spans="1:94" ht="20.100000000000001" hidden="1" customHeight="1">
      <c r="A92" s="791"/>
      <c r="B92" s="248" t="s">
        <v>611</v>
      </c>
      <c r="C92" s="249">
        <f t="shared" ref="C92:O92" ca="1" si="2458">C90*C91</f>
        <v>0</v>
      </c>
      <c r="D92" s="248">
        <f t="shared" ca="1" si="2458"/>
        <v>0</v>
      </c>
      <c r="E92" s="248">
        <f t="shared" ca="1" si="2458"/>
        <v>0</v>
      </c>
      <c r="F92" s="248">
        <f t="shared" ca="1" si="2458"/>
        <v>0</v>
      </c>
      <c r="G92" s="248">
        <f t="shared" ca="1" si="2458"/>
        <v>0</v>
      </c>
      <c r="H92" s="248">
        <f t="shared" ca="1" si="2458"/>
        <v>0</v>
      </c>
      <c r="I92" s="248">
        <f t="shared" ca="1" si="2458"/>
        <v>0</v>
      </c>
      <c r="J92" s="248">
        <f t="shared" ca="1" si="2458"/>
        <v>0</v>
      </c>
      <c r="K92" s="248">
        <f t="shared" ca="1" si="2458"/>
        <v>0</v>
      </c>
      <c r="L92" s="248">
        <f t="shared" ca="1" si="2458"/>
        <v>0</v>
      </c>
      <c r="M92" s="248">
        <f t="shared" ca="1" si="2458"/>
        <v>0</v>
      </c>
      <c r="N92" s="248">
        <f t="shared" ca="1" si="2458"/>
        <v>0</v>
      </c>
      <c r="O92" s="248">
        <f t="shared" ca="1" si="2458"/>
        <v>0</v>
      </c>
      <c r="P92" s="432">
        <f ca="1">SUM(D92:O92)</f>
        <v>0</v>
      </c>
      <c r="Q92" s="248">
        <f t="shared" ref="Q92:AB92" ca="1" si="2459">Q90*Q91</f>
        <v>0</v>
      </c>
      <c r="R92" s="248">
        <f t="shared" ca="1" si="2459"/>
        <v>0</v>
      </c>
      <c r="S92" s="248">
        <f t="shared" ca="1" si="2459"/>
        <v>0</v>
      </c>
      <c r="T92" s="248">
        <f t="shared" ca="1" si="2459"/>
        <v>0</v>
      </c>
      <c r="U92" s="248">
        <f t="shared" ca="1" si="2459"/>
        <v>0</v>
      </c>
      <c r="V92" s="248">
        <f t="shared" ca="1" si="2459"/>
        <v>0</v>
      </c>
      <c r="W92" s="248">
        <f t="shared" ca="1" si="2459"/>
        <v>0</v>
      </c>
      <c r="X92" s="248">
        <f t="shared" ca="1" si="2459"/>
        <v>0</v>
      </c>
      <c r="Y92" s="248">
        <f t="shared" ca="1" si="2459"/>
        <v>0</v>
      </c>
      <c r="Z92" s="248">
        <f t="shared" ca="1" si="2459"/>
        <v>0</v>
      </c>
      <c r="AA92" s="248">
        <f t="shared" ca="1" si="2459"/>
        <v>0</v>
      </c>
      <c r="AB92" s="248">
        <f t="shared" ca="1" si="2459"/>
        <v>0</v>
      </c>
      <c r="AC92" s="432">
        <f ca="1">SUM(Q92:AB92)</f>
        <v>0</v>
      </c>
      <c r="AD92" s="248">
        <f t="shared" ref="AD92:AO92" ca="1" si="2460">AD90*AD91</f>
        <v>0</v>
      </c>
      <c r="AE92" s="248">
        <f t="shared" ca="1" si="2460"/>
        <v>0</v>
      </c>
      <c r="AF92" s="248">
        <f t="shared" ca="1" si="2460"/>
        <v>0</v>
      </c>
      <c r="AG92" s="248">
        <f t="shared" ca="1" si="2460"/>
        <v>0</v>
      </c>
      <c r="AH92" s="248">
        <f t="shared" ca="1" si="2460"/>
        <v>0</v>
      </c>
      <c r="AI92" s="248">
        <f t="shared" ca="1" si="2460"/>
        <v>0</v>
      </c>
      <c r="AJ92" s="248">
        <f t="shared" ca="1" si="2460"/>
        <v>0</v>
      </c>
      <c r="AK92" s="248">
        <f t="shared" ca="1" si="2460"/>
        <v>0</v>
      </c>
      <c r="AL92" s="248">
        <f t="shared" ca="1" si="2460"/>
        <v>0</v>
      </c>
      <c r="AM92" s="248">
        <f t="shared" ca="1" si="2460"/>
        <v>0</v>
      </c>
      <c r="AN92" s="248">
        <f t="shared" ca="1" si="2460"/>
        <v>0</v>
      </c>
      <c r="AO92" s="248">
        <f t="shared" ca="1" si="2460"/>
        <v>0</v>
      </c>
      <c r="AP92" s="432">
        <f ca="1">SUM(AD92:AO92)</f>
        <v>0</v>
      </c>
      <c r="AQ92" s="248">
        <f t="shared" ref="AQ92:BB92" ca="1" si="2461">AQ90*AQ91</f>
        <v>0</v>
      </c>
      <c r="AR92" s="248">
        <f t="shared" ca="1" si="2461"/>
        <v>0</v>
      </c>
      <c r="AS92" s="248">
        <f t="shared" ca="1" si="2461"/>
        <v>0</v>
      </c>
      <c r="AT92" s="248">
        <f t="shared" ca="1" si="2461"/>
        <v>0</v>
      </c>
      <c r="AU92" s="248">
        <f t="shared" ca="1" si="2461"/>
        <v>0</v>
      </c>
      <c r="AV92" s="248">
        <f t="shared" ca="1" si="2461"/>
        <v>0</v>
      </c>
      <c r="AW92" s="248">
        <f t="shared" ca="1" si="2461"/>
        <v>0</v>
      </c>
      <c r="AX92" s="248">
        <f t="shared" ca="1" si="2461"/>
        <v>0</v>
      </c>
      <c r="AY92" s="248">
        <f t="shared" ca="1" si="2461"/>
        <v>0</v>
      </c>
      <c r="AZ92" s="248">
        <f t="shared" ca="1" si="2461"/>
        <v>0</v>
      </c>
      <c r="BA92" s="248">
        <f t="shared" ca="1" si="2461"/>
        <v>0</v>
      </c>
      <c r="BB92" s="248">
        <f t="shared" ca="1" si="2461"/>
        <v>0</v>
      </c>
      <c r="BC92" s="432">
        <f ca="1">SUM(AQ92:BB92)</f>
        <v>0</v>
      </c>
      <c r="BD92" s="248">
        <f t="shared" ref="BD92:BO92" ca="1" si="2462">BD90*BD91</f>
        <v>0</v>
      </c>
      <c r="BE92" s="248">
        <f t="shared" ca="1" si="2462"/>
        <v>0</v>
      </c>
      <c r="BF92" s="248">
        <f t="shared" ca="1" si="2462"/>
        <v>0</v>
      </c>
      <c r="BG92" s="248">
        <f t="shared" ca="1" si="2462"/>
        <v>0</v>
      </c>
      <c r="BH92" s="248">
        <f t="shared" ca="1" si="2462"/>
        <v>0</v>
      </c>
      <c r="BI92" s="248">
        <f t="shared" ca="1" si="2462"/>
        <v>0</v>
      </c>
      <c r="BJ92" s="248">
        <f t="shared" ca="1" si="2462"/>
        <v>0</v>
      </c>
      <c r="BK92" s="248">
        <f t="shared" ca="1" si="2462"/>
        <v>0</v>
      </c>
      <c r="BL92" s="248">
        <f t="shared" ca="1" si="2462"/>
        <v>0</v>
      </c>
      <c r="BM92" s="248">
        <f t="shared" ca="1" si="2462"/>
        <v>0</v>
      </c>
      <c r="BN92" s="248">
        <f t="shared" ca="1" si="2462"/>
        <v>0</v>
      </c>
      <c r="BO92" s="248">
        <f t="shared" ca="1" si="2462"/>
        <v>0</v>
      </c>
      <c r="BP92" s="432">
        <f ca="1">SUM(BD92:BO92)</f>
        <v>0</v>
      </c>
      <c r="BQ92" s="248">
        <f t="shared" ref="BQ92:CB92" ca="1" si="2463">BQ90*BQ91</f>
        <v>0</v>
      </c>
      <c r="BR92" s="248">
        <f t="shared" ca="1" si="2463"/>
        <v>0</v>
      </c>
      <c r="BS92" s="248">
        <f t="shared" ca="1" si="2463"/>
        <v>0</v>
      </c>
      <c r="BT92" s="248">
        <f t="shared" ca="1" si="2463"/>
        <v>0</v>
      </c>
      <c r="BU92" s="248">
        <f t="shared" ca="1" si="2463"/>
        <v>0</v>
      </c>
      <c r="BV92" s="248">
        <f t="shared" ca="1" si="2463"/>
        <v>0</v>
      </c>
      <c r="BW92" s="248">
        <f t="shared" ca="1" si="2463"/>
        <v>0</v>
      </c>
      <c r="BX92" s="248">
        <f t="shared" ca="1" si="2463"/>
        <v>0</v>
      </c>
      <c r="BY92" s="248">
        <f t="shared" ca="1" si="2463"/>
        <v>0</v>
      </c>
      <c r="BZ92" s="248">
        <f t="shared" ca="1" si="2463"/>
        <v>0</v>
      </c>
      <c r="CA92" s="248">
        <f t="shared" ca="1" si="2463"/>
        <v>0</v>
      </c>
      <c r="CB92" s="248">
        <f t="shared" ca="1" si="2463"/>
        <v>0</v>
      </c>
      <c r="CC92" s="432">
        <f ca="1">SUM(BQ92:CB92)</f>
        <v>0</v>
      </c>
      <c r="CD92" s="248">
        <f t="shared" ref="CD92:CO92" ca="1" si="2464">CD90*CD91</f>
        <v>0</v>
      </c>
      <c r="CE92" s="248">
        <f t="shared" ca="1" si="2464"/>
        <v>0</v>
      </c>
      <c r="CF92" s="248">
        <f t="shared" ca="1" si="2464"/>
        <v>0</v>
      </c>
      <c r="CG92" s="248">
        <f t="shared" ca="1" si="2464"/>
        <v>0</v>
      </c>
      <c r="CH92" s="248">
        <f t="shared" ca="1" si="2464"/>
        <v>0</v>
      </c>
      <c r="CI92" s="248">
        <f t="shared" ca="1" si="2464"/>
        <v>0</v>
      </c>
      <c r="CJ92" s="248">
        <f t="shared" ca="1" si="2464"/>
        <v>0</v>
      </c>
      <c r="CK92" s="248">
        <f t="shared" ca="1" si="2464"/>
        <v>0</v>
      </c>
      <c r="CL92" s="248">
        <f t="shared" ca="1" si="2464"/>
        <v>0</v>
      </c>
      <c r="CM92" s="248">
        <f t="shared" ca="1" si="2464"/>
        <v>0</v>
      </c>
      <c r="CN92" s="248">
        <f t="shared" ca="1" si="2464"/>
        <v>0</v>
      </c>
      <c r="CO92" s="248">
        <f t="shared" ca="1" si="2464"/>
        <v>0</v>
      </c>
      <c r="CP92" s="432">
        <f ca="1">SUM(CD92:CO92)</f>
        <v>0</v>
      </c>
    </row>
    <row r="93" spans="1:94" ht="20.100000000000001" hidden="1" customHeight="1">
      <c r="A93" s="795">
        <f ca="1">OFFSET('Summary. Assumptions. Inputs'!$A$45,'Internmediate sheet'!A92/3,0)</f>
        <v>0</v>
      </c>
      <c r="B93" s="17" t="s">
        <v>609</v>
      </c>
      <c r="C93" s="18"/>
      <c r="D93" s="17">
        <f ca="1">OFFSET('Sales, Production, &amp; Other Assu'!D$18,'Internmediate sheet'!$A92/3,0)*Capacity</f>
        <v>0</v>
      </c>
      <c r="E93" s="17">
        <f ca="1">OFFSET('Sales, Production, &amp; Other Assu'!E$18,'Internmediate sheet'!$A92/3,0)*Capacity</f>
        <v>0</v>
      </c>
      <c r="F93" s="17">
        <f ca="1">OFFSET('Sales, Production, &amp; Other Assu'!F$18,'Internmediate sheet'!$A92/3,0)*Capacity</f>
        <v>0</v>
      </c>
      <c r="G93" s="17">
        <f ca="1">OFFSET('Sales, Production, &amp; Other Assu'!G$18,'Internmediate sheet'!$A92/3,0)*Capacity</f>
        <v>0</v>
      </c>
      <c r="H93" s="17">
        <f ca="1">OFFSET('Sales, Production, &amp; Other Assu'!H$18,'Internmediate sheet'!$A92/3,0)*Capacity</f>
        <v>0</v>
      </c>
      <c r="I93" s="17">
        <f ca="1">OFFSET('Sales, Production, &amp; Other Assu'!I$18,'Internmediate sheet'!$A92/3,0)*Capacity</f>
        <v>0</v>
      </c>
      <c r="J93" s="17">
        <f ca="1">OFFSET('Sales, Production, &amp; Other Assu'!J$18,'Internmediate sheet'!$A92/3,0)*Capacity</f>
        <v>0</v>
      </c>
      <c r="K93" s="17">
        <f ca="1">OFFSET('Sales, Production, &amp; Other Assu'!K$18,'Internmediate sheet'!$A92/3,0)*Capacity</f>
        <v>0</v>
      </c>
      <c r="L93" s="17">
        <f ca="1">OFFSET('Sales, Production, &amp; Other Assu'!L$18,'Internmediate sheet'!$A92/3,0)*Capacity</f>
        <v>0</v>
      </c>
      <c r="M93" s="17">
        <f ca="1">OFFSET('Sales, Production, &amp; Other Assu'!M$18,'Internmediate sheet'!$A92/3,0)*Capacity</f>
        <v>0</v>
      </c>
      <c r="N93" s="17">
        <f ca="1">OFFSET('Sales, Production, &amp; Other Assu'!N$18,'Internmediate sheet'!$A92/3,0)*Capacity</f>
        <v>0</v>
      </c>
      <c r="O93" s="17">
        <f ca="1">OFFSET('Sales, Production, &amp; Other Assu'!O$18,'Internmediate sheet'!$A92/3,0)*Capacity</f>
        <v>0</v>
      </c>
      <c r="P93" s="430">
        <f ca="1">SUM(D93:O93)</f>
        <v>0</v>
      </c>
      <c r="Q93" s="17">
        <f ca="1">OFFSET('Sales, Production, &amp; Other Assu'!Q$18,'Internmediate sheet'!$A92/3,0)*Capacity</f>
        <v>0</v>
      </c>
      <c r="R93" s="17">
        <f ca="1">OFFSET('Sales, Production, &amp; Other Assu'!R$18,'Internmediate sheet'!$A92/3,0)*Capacity</f>
        <v>0</v>
      </c>
      <c r="S93" s="17">
        <f ca="1">OFFSET('Sales, Production, &amp; Other Assu'!S$18,'Internmediate sheet'!$A92/3,0)*Capacity</f>
        <v>0</v>
      </c>
      <c r="T93" s="17">
        <f ca="1">OFFSET('Sales, Production, &amp; Other Assu'!T$18,'Internmediate sheet'!$A92/3,0)*Capacity</f>
        <v>0</v>
      </c>
      <c r="U93" s="17">
        <f ca="1">OFFSET('Sales, Production, &amp; Other Assu'!U$18,'Internmediate sheet'!$A92/3,0)*Capacity</f>
        <v>0</v>
      </c>
      <c r="V93" s="17">
        <f ca="1">OFFSET('Sales, Production, &amp; Other Assu'!V$18,'Internmediate sheet'!$A92/3,0)*Capacity</f>
        <v>0</v>
      </c>
      <c r="W93" s="17">
        <f ca="1">OFFSET('Sales, Production, &amp; Other Assu'!W$18,'Internmediate sheet'!$A92/3,0)*Capacity</f>
        <v>0</v>
      </c>
      <c r="X93" s="17">
        <f ca="1">OFFSET('Sales, Production, &amp; Other Assu'!X$18,'Internmediate sheet'!$A92/3,0)*Capacity</f>
        <v>0</v>
      </c>
      <c r="Y93" s="17">
        <f ca="1">OFFSET('Sales, Production, &amp; Other Assu'!Y$18,'Internmediate sheet'!$A92/3,0)*Capacity</f>
        <v>0</v>
      </c>
      <c r="Z93" s="17">
        <f ca="1">OFFSET('Sales, Production, &amp; Other Assu'!Z$18,'Internmediate sheet'!$A92/3,0)*Capacity</f>
        <v>0</v>
      </c>
      <c r="AA93" s="17">
        <f ca="1">OFFSET('Sales, Production, &amp; Other Assu'!AA$18,'Internmediate sheet'!$A92/3,0)*Capacity</f>
        <v>0</v>
      </c>
      <c r="AB93" s="17">
        <f ca="1">OFFSET('Sales, Production, &amp; Other Assu'!AB$18,'Internmediate sheet'!$A92/3,0)*Capacity</f>
        <v>0</v>
      </c>
      <c r="AC93" s="430">
        <f ca="1">SUM(Q93:AB93)</f>
        <v>0</v>
      </c>
      <c r="AD93" s="17">
        <f ca="1">OFFSET('Sales, Production, &amp; Other Assu'!AD$18,'Internmediate sheet'!$A92/3,0)*Capacity</f>
        <v>0</v>
      </c>
      <c r="AE93" s="17">
        <f ca="1">OFFSET('Sales, Production, &amp; Other Assu'!AE$18,'Internmediate sheet'!$A92/3,0)*Capacity</f>
        <v>0</v>
      </c>
      <c r="AF93" s="17">
        <f ca="1">OFFSET('Sales, Production, &amp; Other Assu'!AF$18,'Internmediate sheet'!$A92/3,0)*Capacity</f>
        <v>0</v>
      </c>
      <c r="AG93" s="17">
        <f ca="1">OFFSET('Sales, Production, &amp; Other Assu'!AG$18,'Internmediate sheet'!$A92/3,0)*Capacity</f>
        <v>0</v>
      </c>
      <c r="AH93" s="17">
        <f ca="1">OFFSET('Sales, Production, &amp; Other Assu'!AH$18,'Internmediate sheet'!$A92/3,0)*Capacity</f>
        <v>0</v>
      </c>
      <c r="AI93" s="17">
        <f ca="1">OFFSET('Sales, Production, &amp; Other Assu'!AI$18,'Internmediate sheet'!$A92/3,0)*Capacity</f>
        <v>0</v>
      </c>
      <c r="AJ93" s="17">
        <f ca="1">OFFSET('Sales, Production, &amp; Other Assu'!AJ$18,'Internmediate sheet'!$A92/3,0)*Capacity</f>
        <v>0</v>
      </c>
      <c r="AK93" s="17">
        <f ca="1">OFFSET('Sales, Production, &amp; Other Assu'!AK$18,'Internmediate sheet'!$A92/3,0)*Capacity</f>
        <v>0</v>
      </c>
      <c r="AL93" s="17">
        <f ca="1">OFFSET('Sales, Production, &amp; Other Assu'!AL$18,'Internmediate sheet'!$A92/3,0)*Capacity</f>
        <v>0</v>
      </c>
      <c r="AM93" s="17">
        <f ca="1">OFFSET('Sales, Production, &amp; Other Assu'!AM$18,'Internmediate sheet'!$A92/3,0)*Capacity</f>
        <v>0</v>
      </c>
      <c r="AN93" s="17">
        <f ca="1">OFFSET('Sales, Production, &amp; Other Assu'!AN$18,'Internmediate sheet'!$A92/3,0)*Capacity</f>
        <v>0</v>
      </c>
      <c r="AO93" s="17">
        <f ca="1">OFFSET('Sales, Production, &amp; Other Assu'!AO$18,'Internmediate sheet'!$A92/3,0)*Capacity</f>
        <v>0</v>
      </c>
      <c r="AP93" s="430">
        <f ca="1">SUM(AD93:AO93)</f>
        <v>0</v>
      </c>
      <c r="AQ93" s="17">
        <f ca="1">OFFSET('Sales, Production, &amp; Other Assu'!AQ$18,'Internmediate sheet'!$A92/3,0)*Capacity</f>
        <v>0</v>
      </c>
      <c r="AR93" s="17">
        <f ca="1">OFFSET('Sales, Production, &amp; Other Assu'!AR$18,'Internmediate sheet'!$A92/3,0)*Capacity</f>
        <v>0</v>
      </c>
      <c r="AS93" s="17">
        <f ca="1">OFFSET('Sales, Production, &amp; Other Assu'!AS$18,'Internmediate sheet'!$A92/3,0)*Capacity</f>
        <v>0</v>
      </c>
      <c r="AT93" s="17">
        <f ca="1">OFFSET('Sales, Production, &amp; Other Assu'!AT$18,'Internmediate sheet'!$A92/3,0)*Capacity</f>
        <v>0</v>
      </c>
      <c r="AU93" s="17">
        <f ca="1">OFFSET('Sales, Production, &amp; Other Assu'!AU$18,'Internmediate sheet'!$A92/3,0)*Capacity</f>
        <v>0</v>
      </c>
      <c r="AV93" s="17">
        <f ca="1">OFFSET('Sales, Production, &amp; Other Assu'!AV$18,'Internmediate sheet'!$A92/3,0)*Capacity</f>
        <v>0</v>
      </c>
      <c r="AW93" s="17">
        <f ca="1">OFFSET('Sales, Production, &amp; Other Assu'!AW$18,'Internmediate sheet'!$A92/3,0)*Capacity</f>
        <v>0</v>
      </c>
      <c r="AX93" s="17">
        <f ca="1">OFFSET('Sales, Production, &amp; Other Assu'!AX$18,'Internmediate sheet'!$A92/3,0)*Capacity</f>
        <v>0</v>
      </c>
      <c r="AY93" s="17">
        <f ca="1">OFFSET('Sales, Production, &amp; Other Assu'!AY$18,'Internmediate sheet'!$A92/3,0)*Capacity</f>
        <v>0</v>
      </c>
      <c r="AZ93" s="17">
        <f ca="1">OFFSET('Sales, Production, &amp; Other Assu'!AZ$18,'Internmediate sheet'!$A92/3,0)*Capacity</f>
        <v>0</v>
      </c>
      <c r="BA93" s="17">
        <f ca="1">OFFSET('Sales, Production, &amp; Other Assu'!BA$18,'Internmediate sheet'!$A92/3,0)*Capacity</f>
        <v>0</v>
      </c>
      <c r="BB93" s="17">
        <f ca="1">OFFSET('Sales, Production, &amp; Other Assu'!BB$18,'Internmediate sheet'!$A92/3,0)*Capacity</f>
        <v>0</v>
      </c>
      <c r="BC93" s="430">
        <f ca="1">SUM(AQ93:BB93)</f>
        <v>0</v>
      </c>
      <c r="BD93" s="17">
        <f ca="1">OFFSET('Sales, Production, &amp; Other Assu'!BD$18,'Internmediate sheet'!$A92/3,0)*Capacity</f>
        <v>0</v>
      </c>
      <c r="BE93" s="17">
        <f ca="1">OFFSET('Sales, Production, &amp; Other Assu'!BE$18,'Internmediate sheet'!$A92/3,0)*Capacity</f>
        <v>0</v>
      </c>
      <c r="BF93" s="17">
        <f ca="1">OFFSET('Sales, Production, &amp; Other Assu'!BF$18,'Internmediate sheet'!$A92/3,0)*Capacity</f>
        <v>0</v>
      </c>
      <c r="BG93" s="17">
        <f ca="1">OFFSET('Sales, Production, &amp; Other Assu'!BG$18,'Internmediate sheet'!$A92/3,0)*Capacity</f>
        <v>0</v>
      </c>
      <c r="BH93" s="17">
        <f ca="1">OFFSET('Sales, Production, &amp; Other Assu'!BH$18,'Internmediate sheet'!$A92/3,0)*Capacity</f>
        <v>0</v>
      </c>
      <c r="BI93" s="17">
        <f ca="1">OFFSET('Sales, Production, &amp; Other Assu'!BI$18,'Internmediate sheet'!$A92/3,0)*Capacity</f>
        <v>0</v>
      </c>
      <c r="BJ93" s="17">
        <f ca="1">OFFSET('Sales, Production, &amp; Other Assu'!BJ$18,'Internmediate sheet'!$A92/3,0)*Capacity</f>
        <v>0</v>
      </c>
      <c r="BK93" s="17">
        <f ca="1">OFFSET('Sales, Production, &amp; Other Assu'!BK$18,'Internmediate sheet'!$A92/3,0)*Capacity</f>
        <v>0</v>
      </c>
      <c r="BL93" s="17">
        <f ca="1">OFFSET('Sales, Production, &amp; Other Assu'!BL$18,'Internmediate sheet'!$A92/3,0)*Capacity</f>
        <v>0</v>
      </c>
      <c r="BM93" s="17">
        <f ca="1">OFFSET('Sales, Production, &amp; Other Assu'!BM$18,'Internmediate sheet'!$A92/3,0)*Capacity</f>
        <v>0</v>
      </c>
      <c r="BN93" s="17">
        <f ca="1">OFFSET('Sales, Production, &amp; Other Assu'!BN$18,'Internmediate sheet'!$A92/3,0)*Capacity</f>
        <v>0</v>
      </c>
      <c r="BO93" s="17">
        <f ca="1">OFFSET('Sales, Production, &amp; Other Assu'!BO$18,'Internmediate sheet'!$A92/3,0)*Capacity</f>
        <v>0</v>
      </c>
      <c r="BP93" s="430">
        <f ca="1">SUM(BD93:BO93)</f>
        <v>0</v>
      </c>
      <c r="BQ93" s="17">
        <f ca="1">OFFSET('Sales, Production, &amp; Other Assu'!BQ$18,'Internmediate sheet'!$A92/3,0)*Capacity</f>
        <v>0</v>
      </c>
      <c r="BR93" s="17">
        <f ca="1">OFFSET('Sales, Production, &amp; Other Assu'!BR$18,'Internmediate sheet'!$A92/3,0)*Capacity</f>
        <v>0</v>
      </c>
      <c r="BS93" s="17">
        <f ca="1">OFFSET('Sales, Production, &amp; Other Assu'!BS$18,'Internmediate sheet'!$A92/3,0)*Capacity</f>
        <v>0</v>
      </c>
      <c r="BT93" s="17">
        <f ca="1">OFFSET('Sales, Production, &amp; Other Assu'!BT$18,'Internmediate sheet'!$A92/3,0)*Capacity</f>
        <v>0</v>
      </c>
      <c r="BU93" s="17">
        <f ca="1">OFFSET('Sales, Production, &amp; Other Assu'!BU$18,'Internmediate sheet'!$A92/3,0)*Capacity</f>
        <v>0</v>
      </c>
      <c r="BV93" s="17">
        <f ca="1">OFFSET('Sales, Production, &amp; Other Assu'!BV$18,'Internmediate sheet'!$A92/3,0)*Capacity</f>
        <v>0</v>
      </c>
      <c r="BW93" s="17">
        <f ca="1">OFFSET('Sales, Production, &amp; Other Assu'!BW$18,'Internmediate sheet'!$A92/3,0)*Capacity</f>
        <v>0</v>
      </c>
      <c r="BX93" s="17">
        <f ca="1">OFFSET('Sales, Production, &amp; Other Assu'!BX$18,'Internmediate sheet'!$A92/3,0)*Capacity</f>
        <v>0</v>
      </c>
      <c r="BY93" s="17">
        <f ca="1">OFFSET('Sales, Production, &amp; Other Assu'!BY$18,'Internmediate sheet'!$A92/3,0)*Capacity</f>
        <v>0</v>
      </c>
      <c r="BZ93" s="17">
        <f ca="1">OFFSET('Sales, Production, &amp; Other Assu'!BZ$18,'Internmediate sheet'!$A92/3,0)*Capacity</f>
        <v>0</v>
      </c>
      <c r="CA93" s="17">
        <f ca="1">OFFSET('Sales, Production, &amp; Other Assu'!CA$18,'Internmediate sheet'!$A92/3,0)*Capacity</f>
        <v>0</v>
      </c>
      <c r="CB93" s="17">
        <f ca="1">OFFSET('Sales, Production, &amp; Other Assu'!CB$18,'Internmediate sheet'!$A92/3,0)*Capacity</f>
        <v>0</v>
      </c>
      <c r="CC93" s="430">
        <f ca="1">SUM(BQ93:CB93)</f>
        <v>0</v>
      </c>
      <c r="CD93" s="17">
        <f ca="1">OFFSET('Sales, Production, &amp; Other Assu'!CD$18,'Internmediate sheet'!$A92/3,0)*Capacity</f>
        <v>0</v>
      </c>
      <c r="CE93" s="17">
        <f ca="1">OFFSET('Sales, Production, &amp; Other Assu'!CE$18,'Internmediate sheet'!$A92/3,0)*Capacity</f>
        <v>0</v>
      </c>
      <c r="CF93" s="17">
        <f ca="1">OFFSET('Sales, Production, &amp; Other Assu'!CF$18,'Internmediate sheet'!$A92/3,0)*Capacity</f>
        <v>0</v>
      </c>
      <c r="CG93" s="17">
        <f ca="1">OFFSET('Sales, Production, &amp; Other Assu'!CG$18,'Internmediate sheet'!$A92/3,0)*Capacity</f>
        <v>0</v>
      </c>
      <c r="CH93" s="17">
        <f ca="1">OFFSET('Sales, Production, &amp; Other Assu'!CH$18,'Internmediate sheet'!$A92/3,0)*Capacity</f>
        <v>0</v>
      </c>
      <c r="CI93" s="17">
        <f ca="1">OFFSET('Sales, Production, &amp; Other Assu'!CI$18,'Internmediate sheet'!$A92/3,0)*Capacity</f>
        <v>0</v>
      </c>
      <c r="CJ93" s="17">
        <f ca="1">OFFSET('Sales, Production, &amp; Other Assu'!CJ$18,'Internmediate sheet'!$A92/3,0)*Capacity</f>
        <v>0</v>
      </c>
      <c r="CK93" s="17">
        <f ca="1">OFFSET('Sales, Production, &amp; Other Assu'!CK$18,'Internmediate sheet'!$A92/3,0)*Capacity</f>
        <v>0</v>
      </c>
      <c r="CL93" s="17">
        <f ca="1">OFFSET('Sales, Production, &amp; Other Assu'!CL$18,'Internmediate sheet'!$A92/3,0)*Capacity</f>
        <v>0</v>
      </c>
      <c r="CM93" s="17">
        <f ca="1">OFFSET('Sales, Production, &amp; Other Assu'!CM$18,'Internmediate sheet'!$A92/3,0)*Capacity</f>
        <v>0</v>
      </c>
      <c r="CN93" s="17">
        <f ca="1">OFFSET('Sales, Production, &amp; Other Assu'!CN$18,'Internmediate sheet'!$A92/3,0)*Capacity</f>
        <v>0</v>
      </c>
      <c r="CO93" s="17">
        <f ca="1">OFFSET('Sales, Production, &amp; Other Assu'!CO$18,'Internmediate sheet'!$A92/3,0)*Capacity</f>
        <v>0</v>
      </c>
      <c r="CP93" s="430">
        <f ca="1">SUM(CD93:CO93)</f>
        <v>0</v>
      </c>
    </row>
    <row r="94" spans="1:94" ht="20.100000000000001" hidden="1" customHeight="1">
      <c r="A94" s="796"/>
      <c r="B94" s="8" t="s">
        <v>610</v>
      </c>
      <c r="C94" s="8">
        <f ca="1">OFFSET('Summary. Assumptions. Inputs'!$F$46,'Internmediate sheet'!A89/3,0)</f>
        <v>0</v>
      </c>
      <c r="D94" s="8">
        <f t="shared" ref="D94:P94" ca="1" si="2465">C94</f>
        <v>0</v>
      </c>
      <c r="E94" s="8">
        <f t="shared" ca="1" si="2465"/>
        <v>0</v>
      </c>
      <c r="F94" s="8">
        <f t="shared" ca="1" si="2465"/>
        <v>0</v>
      </c>
      <c r="G94" s="8">
        <f t="shared" ca="1" si="2465"/>
        <v>0</v>
      </c>
      <c r="H94" s="8">
        <f t="shared" ca="1" si="2465"/>
        <v>0</v>
      </c>
      <c r="I94" s="8">
        <f t="shared" ca="1" si="2465"/>
        <v>0</v>
      </c>
      <c r="J94" s="8">
        <f t="shared" ca="1" si="2465"/>
        <v>0</v>
      </c>
      <c r="K94" s="8">
        <f t="shared" ca="1" si="2465"/>
        <v>0</v>
      </c>
      <c r="L94" s="8">
        <f t="shared" ca="1" si="2465"/>
        <v>0</v>
      </c>
      <c r="M94" s="8">
        <f t="shared" ca="1" si="2465"/>
        <v>0</v>
      </c>
      <c r="N94" s="8">
        <f t="shared" ca="1" si="2465"/>
        <v>0</v>
      </c>
      <c r="O94" s="8">
        <f t="shared" ca="1" si="2465"/>
        <v>0</v>
      </c>
      <c r="P94" s="431">
        <f t="shared" ca="1" si="2465"/>
        <v>0</v>
      </c>
      <c r="Q94" s="8">
        <f t="shared" ref="Q94" ca="1" si="2466">P94</f>
        <v>0</v>
      </c>
      <c r="R94" s="8">
        <f t="shared" ref="R94" ca="1" si="2467">Q94</f>
        <v>0</v>
      </c>
      <c r="S94" s="8">
        <f t="shared" ref="S94" ca="1" si="2468">R94</f>
        <v>0</v>
      </c>
      <c r="T94" s="8">
        <f t="shared" ref="T94" ca="1" si="2469">S94</f>
        <v>0</v>
      </c>
      <c r="U94" s="8">
        <f t="shared" ref="U94" ca="1" si="2470">T94</f>
        <v>0</v>
      </c>
      <c r="V94" s="8">
        <f t="shared" ref="V94" ca="1" si="2471">U94</f>
        <v>0</v>
      </c>
      <c r="W94" s="8">
        <f t="shared" ref="W94" ca="1" si="2472">V94</f>
        <v>0</v>
      </c>
      <c r="X94" s="8">
        <f t="shared" ref="X94" ca="1" si="2473">W94</f>
        <v>0</v>
      </c>
      <c r="Y94" s="8">
        <f t="shared" ref="Y94" ca="1" si="2474">X94</f>
        <v>0</v>
      </c>
      <c r="Z94" s="8">
        <f t="shared" ref="Z94" ca="1" si="2475">Y94</f>
        <v>0</v>
      </c>
      <c r="AA94" s="8">
        <f t="shared" ref="AA94" ca="1" si="2476">Z94</f>
        <v>0</v>
      </c>
      <c r="AB94" s="8">
        <f t="shared" ref="AB94" ca="1" si="2477">AA94</f>
        <v>0</v>
      </c>
      <c r="AC94" s="431">
        <f t="shared" ref="AC94" ca="1" si="2478">AB94</f>
        <v>0</v>
      </c>
      <c r="AD94" s="8">
        <f t="shared" ref="AD94" ca="1" si="2479">AC94</f>
        <v>0</v>
      </c>
      <c r="AE94" s="8">
        <f t="shared" ref="AE94" ca="1" si="2480">AD94</f>
        <v>0</v>
      </c>
      <c r="AF94" s="8">
        <f t="shared" ref="AF94" ca="1" si="2481">AE94</f>
        <v>0</v>
      </c>
      <c r="AG94" s="8">
        <f t="shared" ref="AG94" ca="1" si="2482">AF94</f>
        <v>0</v>
      </c>
      <c r="AH94" s="8">
        <f t="shared" ref="AH94" ca="1" si="2483">AG94</f>
        <v>0</v>
      </c>
      <c r="AI94" s="8">
        <f t="shared" ref="AI94" ca="1" si="2484">AH94</f>
        <v>0</v>
      </c>
      <c r="AJ94" s="8">
        <f t="shared" ref="AJ94" ca="1" si="2485">AI94</f>
        <v>0</v>
      </c>
      <c r="AK94" s="8">
        <f t="shared" ref="AK94" ca="1" si="2486">AJ94</f>
        <v>0</v>
      </c>
      <c r="AL94" s="8">
        <f t="shared" ref="AL94" ca="1" si="2487">AK94</f>
        <v>0</v>
      </c>
      <c r="AM94" s="8">
        <f t="shared" ref="AM94" ca="1" si="2488">AL94</f>
        <v>0</v>
      </c>
      <c r="AN94" s="8">
        <f t="shared" ref="AN94" ca="1" si="2489">AM94</f>
        <v>0</v>
      </c>
      <c r="AO94" s="8">
        <f t="shared" ref="AO94" ca="1" si="2490">AN94</f>
        <v>0</v>
      </c>
      <c r="AP94" s="431">
        <f t="shared" ref="AP94" ca="1" si="2491">AO94</f>
        <v>0</v>
      </c>
      <c r="AQ94" s="8">
        <f ca="1">AP94</f>
        <v>0</v>
      </c>
      <c r="AR94" s="8">
        <f t="shared" ref="AR94" ca="1" si="2492">AQ94</f>
        <v>0</v>
      </c>
      <c r="AS94" s="8">
        <f t="shared" ref="AS94" ca="1" si="2493">AR94</f>
        <v>0</v>
      </c>
      <c r="AT94" s="8">
        <f t="shared" ref="AT94" ca="1" si="2494">AS94</f>
        <v>0</v>
      </c>
      <c r="AU94" s="8">
        <f t="shared" ref="AU94" ca="1" si="2495">AT94</f>
        <v>0</v>
      </c>
      <c r="AV94" s="8">
        <f t="shared" ref="AV94" ca="1" si="2496">AU94</f>
        <v>0</v>
      </c>
      <c r="AW94" s="8">
        <f t="shared" ref="AW94" ca="1" si="2497">AV94</f>
        <v>0</v>
      </c>
      <c r="AX94" s="8">
        <f t="shared" ref="AX94" ca="1" si="2498">AW94</f>
        <v>0</v>
      </c>
      <c r="AY94" s="8">
        <f t="shared" ref="AY94" ca="1" si="2499">AX94</f>
        <v>0</v>
      </c>
      <c r="AZ94" s="8">
        <f t="shared" ref="AZ94" ca="1" si="2500">AY94</f>
        <v>0</v>
      </c>
      <c r="BA94" s="8">
        <f t="shared" ref="BA94" ca="1" si="2501">AZ94</f>
        <v>0</v>
      </c>
      <c r="BB94" s="8">
        <f t="shared" ref="BB94" ca="1" si="2502">BA94</f>
        <v>0</v>
      </c>
      <c r="BC94" s="431">
        <f t="shared" ref="BC94" ca="1" si="2503">BB94</f>
        <v>0</v>
      </c>
      <c r="BD94" s="8">
        <f t="shared" ref="BD94" ca="1" si="2504">BC94</f>
        <v>0</v>
      </c>
      <c r="BE94" s="8">
        <f t="shared" ref="BE94" ca="1" si="2505">BD94</f>
        <v>0</v>
      </c>
      <c r="BF94" s="8">
        <f t="shared" ref="BF94" ca="1" si="2506">BE94</f>
        <v>0</v>
      </c>
      <c r="BG94" s="8">
        <f t="shared" ref="BG94" ca="1" si="2507">BF94</f>
        <v>0</v>
      </c>
      <c r="BH94" s="8">
        <f t="shared" ref="BH94" ca="1" si="2508">BG94</f>
        <v>0</v>
      </c>
      <c r="BI94" s="8">
        <f t="shared" ref="BI94" ca="1" si="2509">BH94</f>
        <v>0</v>
      </c>
      <c r="BJ94" s="8">
        <f t="shared" ref="BJ94" ca="1" si="2510">BI94</f>
        <v>0</v>
      </c>
      <c r="BK94" s="8">
        <f t="shared" ref="BK94" ca="1" si="2511">BJ94</f>
        <v>0</v>
      </c>
      <c r="BL94" s="8">
        <f t="shared" ref="BL94" ca="1" si="2512">BK94</f>
        <v>0</v>
      </c>
      <c r="BM94" s="8">
        <f t="shared" ref="BM94" ca="1" si="2513">BL94</f>
        <v>0</v>
      </c>
      <c r="BN94" s="8">
        <f t="shared" ref="BN94" ca="1" si="2514">BM94</f>
        <v>0</v>
      </c>
      <c r="BO94" s="8">
        <f t="shared" ref="BO94" ca="1" si="2515">BN94</f>
        <v>0</v>
      </c>
      <c r="BP94" s="431">
        <f t="shared" ref="BP94" ca="1" si="2516">BO94</f>
        <v>0</v>
      </c>
      <c r="BQ94" s="8">
        <f t="shared" ref="BQ94" ca="1" si="2517">BP94</f>
        <v>0</v>
      </c>
      <c r="BR94" s="8">
        <f t="shared" ref="BR94" ca="1" si="2518">BQ94</f>
        <v>0</v>
      </c>
      <c r="BS94" s="8">
        <f t="shared" ref="BS94" ca="1" si="2519">BR94</f>
        <v>0</v>
      </c>
      <c r="BT94" s="8">
        <f t="shared" ref="BT94" ca="1" si="2520">BS94</f>
        <v>0</v>
      </c>
      <c r="BU94" s="8">
        <f t="shared" ref="BU94" ca="1" si="2521">BT94</f>
        <v>0</v>
      </c>
      <c r="BV94" s="8">
        <f t="shared" ref="BV94" ca="1" si="2522">BU94</f>
        <v>0</v>
      </c>
      <c r="BW94" s="8">
        <f t="shared" ref="BW94" ca="1" si="2523">BV94</f>
        <v>0</v>
      </c>
      <c r="BX94" s="8">
        <f t="shared" ref="BX94" ca="1" si="2524">BW94</f>
        <v>0</v>
      </c>
      <c r="BY94" s="8">
        <f t="shared" ref="BY94" ca="1" si="2525">BX94</f>
        <v>0</v>
      </c>
      <c r="BZ94" s="8">
        <f t="shared" ref="BZ94" ca="1" si="2526">BY94</f>
        <v>0</v>
      </c>
      <c r="CA94" s="8">
        <f t="shared" ref="CA94" ca="1" si="2527">BZ94</f>
        <v>0</v>
      </c>
      <c r="CB94" s="8">
        <f t="shared" ref="CB94" ca="1" si="2528">CA94</f>
        <v>0</v>
      </c>
      <c r="CC94" s="431">
        <f t="shared" ref="CC94" ca="1" si="2529">CB94</f>
        <v>0</v>
      </c>
      <c r="CD94" s="8">
        <f t="shared" ref="CD94" ca="1" si="2530">CC94</f>
        <v>0</v>
      </c>
      <c r="CE94" s="8">
        <f t="shared" ref="CE94" ca="1" si="2531">CD94</f>
        <v>0</v>
      </c>
      <c r="CF94" s="8">
        <f t="shared" ref="CF94" ca="1" si="2532">CE94</f>
        <v>0</v>
      </c>
      <c r="CG94" s="8">
        <f t="shared" ref="CG94" ca="1" si="2533">CF94</f>
        <v>0</v>
      </c>
      <c r="CH94" s="8">
        <f t="shared" ref="CH94" ca="1" si="2534">CG94</f>
        <v>0</v>
      </c>
      <c r="CI94" s="8">
        <f t="shared" ref="CI94" ca="1" si="2535">CH94</f>
        <v>0</v>
      </c>
      <c r="CJ94" s="8">
        <f t="shared" ref="CJ94" ca="1" si="2536">CI94</f>
        <v>0</v>
      </c>
      <c r="CK94" s="8">
        <f t="shared" ref="CK94" ca="1" si="2537">CJ94</f>
        <v>0</v>
      </c>
      <c r="CL94" s="8">
        <f t="shared" ref="CL94" ca="1" si="2538">CK94</f>
        <v>0</v>
      </c>
      <c r="CM94" s="8">
        <f t="shared" ref="CM94" ca="1" si="2539">CL94</f>
        <v>0</v>
      </c>
      <c r="CN94" s="8">
        <f t="shared" ref="CN94" ca="1" si="2540">CM94</f>
        <v>0</v>
      </c>
      <c r="CO94" s="8">
        <f t="shared" ref="CO94" ca="1" si="2541">CN94</f>
        <v>0</v>
      </c>
      <c r="CP94" s="431">
        <f t="shared" ref="CP94" ca="1" si="2542">CO94</f>
        <v>0</v>
      </c>
    </row>
    <row r="95" spans="1:94" ht="20.100000000000001" hidden="1" customHeight="1">
      <c r="A95" s="796"/>
      <c r="B95" s="248" t="s">
        <v>611</v>
      </c>
      <c r="C95" s="249">
        <f t="shared" ref="C95:O95" ca="1" si="2543">C93*C94</f>
        <v>0</v>
      </c>
      <c r="D95" s="248">
        <f t="shared" ca="1" si="2543"/>
        <v>0</v>
      </c>
      <c r="E95" s="248">
        <f t="shared" ca="1" si="2543"/>
        <v>0</v>
      </c>
      <c r="F95" s="248">
        <f t="shared" ca="1" si="2543"/>
        <v>0</v>
      </c>
      <c r="G95" s="248">
        <f t="shared" ca="1" si="2543"/>
        <v>0</v>
      </c>
      <c r="H95" s="248">
        <f t="shared" ca="1" si="2543"/>
        <v>0</v>
      </c>
      <c r="I95" s="248">
        <f t="shared" ca="1" si="2543"/>
        <v>0</v>
      </c>
      <c r="J95" s="248">
        <f t="shared" ca="1" si="2543"/>
        <v>0</v>
      </c>
      <c r="K95" s="248">
        <f t="shared" ca="1" si="2543"/>
        <v>0</v>
      </c>
      <c r="L95" s="248">
        <f t="shared" ca="1" si="2543"/>
        <v>0</v>
      </c>
      <c r="M95" s="248">
        <f t="shared" ca="1" si="2543"/>
        <v>0</v>
      </c>
      <c r="N95" s="248">
        <f t="shared" ca="1" si="2543"/>
        <v>0</v>
      </c>
      <c r="O95" s="248">
        <f t="shared" ca="1" si="2543"/>
        <v>0</v>
      </c>
      <c r="P95" s="432">
        <f ca="1">SUM(D95:O95)</f>
        <v>0</v>
      </c>
      <c r="Q95" s="248">
        <f t="shared" ref="Q95:AB95" ca="1" si="2544">Q93*Q94</f>
        <v>0</v>
      </c>
      <c r="R95" s="248">
        <f t="shared" ca="1" si="2544"/>
        <v>0</v>
      </c>
      <c r="S95" s="248">
        <f t="shared" ca="1" si="2544"/>
        <v>0</v>
      </c>
      <c r="T95" s="248">
        <f t="shared" ca="1" si="2544"/>
        <v>0</v>
      </c>
      <c r="U95" s="248">
        <f t="shared" ca="1" si="2544"/>
        <v>0</v>
      </c>
      <c r="V95" s="248">
        <f t="shared" ca="1" si="2544"/>
        <v>0</v>
      </c>
      <c r="W95" s="248">
        <f t="shared" ca="1" si="2544"/>
        <v>0</v>
      </c>
      <c r="X95" s="248">
        <f t="shared" ca="1" si="2544"/>
        <v>0</v>
      </c>
      <c r="Y95" s="248">
        <f t="shared" ca="1" si="2544"/>
        <v>0</v>
      </c>
      <c r="Z95" s="248">
        <f t="shared" ca="1" si="2544"/>
        <v>0</v>
      </c>
      <c r="AA95" s="248">
        <f t="shared" ca="1" si="2544"/>
        <v>0</v>
      </c>
      <c r="AB95" s="248">
        <f t="shared" ca="1" si="2544"/>
        <v>0</v>
      </c>
      <c r="AC95" s="432">
        <f ca="1">SUM(Q95:AB95)</f>
        <v>0</v>
      </c>
      <c r="AD95" s="248">
        <f t="shared" ref="AD95:AO95" ca="1" si="2545">AD93*AD94</f>
        <v>0</v>
      </c>
      <c r="AE95" s="248">
        <f t="shared" ca="1" si="2545"/>
        <v>0</v>
      </c>
      <c r="AF95" s="248">
        <f t="shared" ca="1" si="2545"/>
        <v>0</v>
      </c>
      <c r="AG95" s="248">
        <f t="shared" ca="1" si="2545"/>
        <v>0</v>
      </c>
      <c r="AH95" s="248">
        <f t="shared" ca="1" si="2545"/>
        <v>0</v>
      </c>
      <c r="AI95" s="248">
        <f t="shared" ca="1" si="2545"/>
        <v>0</v>
      </c>
      <c r="AJ95" s="248">
        <f t="shared" ca="1" si="2545"/>
        <v>0</v>
      </c>
      <c r="AK95" s="248">
        <f t="shared" ca="1" si="2545"/>
        <v>0</v>
      </c>
      <c r="AL95" s="248">
        <f t="shared" ca="1" si="2545"/>
        <v>0</v>
      </c>
      <c r="AM95" s="248">
        <f t="shared" ca="1" si="2545"/>
        <v>0</v>
      </c>
      <c r="AN95" s="248">
        <f t="shared" ca="1" si="2545"/>
        <v>0</v>
      </c>
      <c r="AO95" s="248">
        <f t="shared" ca="1" si="2545"/>
        <v>0</v>
      </c>
      <c r="AP95" s="432">
        <f ca="1">SUM(AD95:AO95)</f>
        <v>0</v>
      </c>
      <c r="AQ95" s="248">
        <f t="shared" ref="AQ95:BB95" ca="1" si="2546">AQ93*AQ94</f>
        <v>0</v>
      </c>
      <c r="AR95" s="248">
        <f t="shared" ca="1" si="2546"/>
        <v>0</v>
      </c>
      <c r="AS95" s="248">
        <f t="shared" ca="1" si="2546"/>
        <v>0</v>
      </c>
      <c r="AT95" s="248">
        <f t="shared" ca="1" si="2546"/>
        <v>0</v>
      </c>
      <c r="AU95" s="248">
        <f t="shared" ca="1" si="2546"/>
        <v>0</v>
      </c>
      <c r="AV95" s="248">
        <f t="shared" ca="1" si="2546"/>
        <v>0</v>
      </c>
      <c r="AW95" s="248">
        <f t="shared" ca="1" si="2546"/>
        <v>0</v>
      </c>
      <c r="AX95" s="248">
        <f t="shared" ca="1" si="2546"/>
        <v>0</v>
      </c>
      <c r="AY95" s="248">
        <f t="shared" ca="1" si="2546"/>
        <v>0</v>
      </c>
      <c r="AZ95" s="248">
        <f t="shared" ca="1" si="2546"/>
        <v>0</v>
      </c>
      <c r="BA95" s="248">
        <f t="shared" ca="1" si="2546"/>
        <v>0</v>
      </c>
      <c r="BB95" s="248">
        <f t="shared" ca="1" si="2546"/>
        <v>0</v>
      </c>
      <c r="BC95" s="432">
        <f ca="1">SUM(AQ95:BB95)</f>
        <v>0</v>
      </c>
      <c r="BD95" s="248">
        <f t="shared" ref="BD95:BO95" ca="1" si="2547">BD93*BD94</f>
        <v>0</v>
      </c>
      <c r="BE95" s="248">
        <f t="shared" ca="1" si="2547"/>
        <v>0</v>
      </c>
      <c r="BF95" s="248">
        <f t="shared" ca="1" si="2547"/>
        <v>0</v>
      </c>
      <c r="BG95" s="248">
        <f t="shared" ca="1" si="2547"/>
        <v>0</v>
      </c>
      <c r="BH95" s="248">
        <f t="shared" ca="1" si="2547"/>
        <v>0</v>
      </c>
      <c r="BI95" s="248">
        <f t="shared" ca="1" si="2547"/>
        <v>0</v>
      </c>
      <c r="BJ95" s="248">
        <f t="shared" ca="1" si="2547"/>
        <v>0</v>
      </c>
      <c r="BK95" s="248">
        <f t="shared" ca="1" si="2547"/>
        <v>0</v>
      </c>
      <c r="BL95" s="248">
        <f t="shared" ca="1" si="2547"/>
        <v>0</v>
      </c>
      <c r="BM95" s="248">
        <f t="shared" ca="1" si="2547"/>
        <v>0</v>
      </c>
      <c r="BN95" s="248">
        <f t="shared" ca="1" si="2547"/>
        <v>0</v>
      </c>
      <c r="BO95" s="248">
        <f t="shared" ca="1" si="2547"/>
        <v>0</v>
      </c>
      <c r="BP95" s="432">
        <f ca="1">SUM(BD95:BO95)</f>
        <v>0</v>
      </c>
      <c r="BQ95" s="248">
        <f t="shared" ref="BQ95:CB95" ca="1" si="2548">BQ93*BQ94</f>
        <v>0</v>
      </c>
      <c r="BR95" s="248">
        <f t="shared" ca="1" si="2548"/>
        <v>0</v>
      </c>
      <c r="BS95" s="248">
        <f t="shared" ca="1" si="2548"/>
        <v>0</v>
      </c>
      <c r="BT95" s="248">
        <f t="shared" ca="1" si="2548"/>
        <v>0</v>
      </c>
      <c r="BU95" s="248">
        <f t="shared" ca="1" si="2548"/>
        <v>0</v>
      </c>
      <c r="BV95" s="248">
        <f t="shared" ca="1" si="2548"/>
        <v>0</v>
      </c>
      <c r="BW95" s="248">
        <f t="shared" ca="1" si="2548"/>
        <v>0</v>
      </c>
      <c r="BX95" s="248">
        <f t="shared" ca="1" si="2548"/>
        <v>0</v>
      </c>
      <c r="BY95" s="248">
        <f t="shared" ca="1" si="2548"/>
        <v>0</v>
      </c>
      <c r="BZ95" s="248">
        <f t="shared" ca="1" si="2548"/>
        <v>0</v>
      </c>
      <c r="CA95" s="248">
        <f t="shared" ca="1" si="2548"/>
        <v>0</v>
      </c>
      <c r="CB95" s="248">
        <f t="shared" ca="1" si="2548"/>
        <v>0</v>
      </c>
      <c r="CC95" s="432">
        <f ca="1">SUM(BQ95:CB95)</f>
        <v>0</v>
      </c>
      <c r="CD95" s="248">
        <f t="shared" ref="CD95:CO95" ca="1" si="2549">CD93*CD94</f>
        <v>0</v>
      </c>
      <c r="CE95" s="248">
        <f t="shared" ca="1" si="2549"/>
        <v>0</v>
      </c>
      <c r="CF95" s="248">
        <f t="shared" ca="1" si="2549"/>
        <v>0</v>
      </c>
      <c r="CG95" s="248">
        <f t="shared" ca="1" si="2549"/>
        <v>0</v>
      </c>
      <c r="CH95" s="248">
        <f t="shared" ca="1" si="2549"/>
        <v>0</v>
      </c>
      <c r="CI95" s="248">
        <f t="shared" ca="1" si="2549"/>
        <v>0</v>
      </c>
      <c r="CJ95" s="248">
        <f t="shared" ca="1" si="2549"/>
        <v>0</v>
      </c>
      <c r="CK95" s="248">
        <f t="shared" ca="1" si="2549"/>
        <v>0</v>
      </c>
      <c r="CL95" s="248">
        <f t="shared" ca="1" si="2549"/>
        <v>0</v>
      </c>
      <c r="CM95" s="248">
        <f t="shared" ca="1" si="2549"/>
        <v>0</v>
      </c>
      <c r="CN95" s="248">
        <f t="shared" ca="1" si="2549"/>
        <v>0</v>
      </c>
      <c r="CO95" s="248">
        <f t="shared" ca="1" si="2549"/>
        <v>0</v>
      </c>
      <c r="CP95" s="432">
        <f ca="1">SUM(CD95:CO95)</f>
        <v>0</v>
      </c>
    </row>
    <row r="96" spans="1:94" ht="24.95" customHeight="1" thickBot="1">
      <c r="A96" s="798" t="s">
        <v>179</v>
      </c>
      <c r="B96" s="799"/>
      <c r="C96" s="250">
        <f ca="1">SUMIF($B$6:$B$95,"Item Total Sale",C6:C95)</f>
        <v>0</v>
      </c>
      <c r="D96" s="251">
        <f ca="1">SUMIF($B$6:$B$95,"Item Total Sale",D6:D95)</f>
        <v>694676.25</v>
      </c>
      <c r="E96" s="251">
        <f t="shared" ref="E96:P96" ca="1" si="2550">SUMIF($B$6:$B$95,"Item Total Sale",E6:E95)</f>
        <v>694676.25</v>
      </c>
      <c r="F96" s="251">
        <f t="shared" ca="1" si="2550"/>
        <v>694676.25</v>
      </c>
      <c r="G96" s="251">
        <f t="shared" ca="1" si="2550"/>
        <v>694676.25</v>
      </c>
      <c r="H96" s="251">
        <f t="shared" ca="1" si="2550"/>
        <v>694676.25</v>
      </c>
      <c r="I96" s="251">
        <f t="shared" ca="1" si="2550"/>
        <v>694676.25</v>
      </c>
      <c r="J96" s="251">
        <f t="shared" ca="1" si="2550"/>
        <v>694676.25</v>
      </c>
      <c r="K96" s="251">
        <f t="shared" ca="1" si="2550"/>
        <v>694676.25</v>
      </c>
      <c r="L96" s="251">
        <f t="shared" ca="1" si="2550"/>
        <v>694676.25</v>
      </c>
      <c r="M96" s="251">
        <f t="shared" ca="1" si="2550"/>
        <v>694676.25</v>
      </c>
      <c r="N96" s="251">
        <f t="shared" ca="1" si="2550"/>
        <v>694676.25</v>
      </c>
      <c r="O96" s="251">
        <f t="shared" ca="1" si="2550"/>
        <v>694676.25</v>
      </c>
      <c r="P96" s="433">
        <f t="shared" ca="1" si="2550"/>
        <v>8336115</v>
      </c>
      <c r="Q96" s="251">
        <f ca="1">SUMIF($B$6:$B$95,"Item Total Sale",Q6:Q95)</f>
        <v>809992.50749999995</v>
      </c>
      <c r="R96" s="251">
        <f t="shared" ref="R96:AC96" ca="1" si="2551">SUMIF($B$6:$B$95,"Item Total Sale",R6:R95)</f>
        <v>809992.50749999995</v>
      </c>
      <c r="S96" s="251">
        <f t="shared" ca="1" si="2551"/>
        <v>809992.50749999995</v>
      </c>
      <c r="T96" s="251">
        <f t="shared" ca="1" si="2551"/>
        <v>809992.50749999995</v>
      </c>
      <c r="U96" s="251">
        <f t="shared" ca="1" si="2551"/>
        <v>809992.50749999995</v>
      </c>
      <c r="V96" s="251">
        <f t="shared" ca="1" si="2551"/>
        <v>809992.50749999995</v>
      </c>
      <c r="W96" s="251">
        <f t="shared" ca="1" si="2551"/>
        <v>809992.50749999995</v>
      </c>
      <c r="X96" s="251">
        <f t="shared" ca="1" si="2551"/>
        <v>809992.50749999995</v>
      </c>
      <c r="Y96" s="251">
        <f t="shared" ca="1" si="2551"/>
        <v>809992.50749999995</v>
      </c>
      <c r="Z96" s="251">
        <f t="shared" ca="1" si="2551"/>
        <v>809992.50749999995</v>
      </c>
      <c r="AA96" s="251">
        <f t="shared" ca="1" si="2551"/>
        <v>809992.50749999995</v>
      </c>
      <c r="AB96" s="251">
        <f t="shared" ca="1" si="2551"/>
        <v>809992.50749999995</v>
      </c>
      <c r="AC96" s="433">
        <f t="shared" ca="1" si="2551"/>
        <v>9719910.0899999999</v>
      </c>
      <c r="AD96" s="251">
        <f ca="1">SUMIF($B$6:$B$95,"Item Total Sale",AD6:AD95)</f>
        <v>936655.14375000005</v>
      </c>
      <c r="AE96" s="251">
        <f t="shared" ref="AE96:AP96" ca="1" si="2552">SUMIF($B$6:$B$95,"Item Total Sale",AE6:AE95)</f>
        <v>936655.14375000005</v>
      </c>
      <c r="AF96" s="251">
        <f t="shared" ca="1" si="2552"/>
        <v>936655.14375000005</v>
      </c>
      <c r="AG96" s="251">
        <f t="shared" ca="1" si="2552"/>
        <v>936655.14375000005</v>
      </c>
      <c r="AH96" s="251">
        <f t="shared" ca="1" si="2552"/>
        <v>936655.14375000005</v>
      </c>
      <c r="AI96" s="251">
        <f t="shared" ca="1" si="2552"/>
        <v>936655.14375000005</v>
      </c>
      <c r="AJ96" s="251">
        <f t="shared" ca="1" si="2552"/>
        <v>936655.14375000005</v>
      </c>
      <c r="AK96" s="251">
        <f t="shared" ca="1" si="2552"/>
        <v>936655.14375000005</v>
      </c>
      <c r="AL96" s="251">
        <f t="shared" ca="1" si="2552"/>
        <v>936655.14375000005</v>
      </c>
      <c r="AM96" s="251">
        <f t="shared" ca="1" si="2552"/>
        <v>936655.14375000005</v>
      </c>
      <c r="AN96" s="251">
        <f t="shared" ca="1" si="2552"/>
        <v>936655.14375000005</v>
      </c>
      <c r="AO96" s="251">
        <f t="shared" ca="1" si="2552"/>
        <v>936655.14375000005</v>
      </c>
      <c r="AP96" s="433">
        <f t="shared" ca="1" si="2552"/>
        <v>11239861.725</v>
      </c>
      <c r="AQ96" s="251">
        <f ca="1">SUMIF($B$6:$B$95,"Item Total Sale",AQ6:AQ95)</f>
        <v>1075590.3937499998</v>
      </c>
      <c r="AR96" s="251">
        <f t="shared" ref="AR96:BC96" ca="1" si="2553">SUMIF($B$6:$B$95,"Item Total Sale",AR6:AR95)</f>
        <v>1075590.3937499998</v>
      </c>
      <c r="AS96" s="251">
        <f t="shared" ca="1" si="2553"/>
        <v>1075590.3937499998</v>
      </c>
      <c r="AT96" s="251">
        <f t="shared" ca="1" si="2553"/>
        <v>1075590.3937499998</v>
      </c>
      <c r="AU96" s="251">
        <f t="shared" ca="1" si="2553"/>
        <v>1075590.3937499998</v>
      </c>
      <c r="AV96" s="251">
        <f t="shared" ca="1" si="2553"/>
        <v>1075590.3937499998</v>
      </c>
      <c r="AW96" s="251">
        <f t="shared" ca="1" si="2553"/>
        <v>1075590.3937499998</v>
      </c>
      <c r="AX96" s="251">
        <f t="shared" ca="1" si="2553"/>
        <v>1075590.3937499998</v>
      </c>
      <c r="AY96" s="251">
        <f t="shared" ca="1" si="2553"/>
        <v>1075590.3937499998</v>
      </c>
      <c r="AZ96" s="251">
        <f t="shared" ca="1" si="2553"/>
        <v>1075590.3937499998</v>
      </c>
      <c r="BA96" s="251">
        <f t="shared" ca="1" si="2553"/>
        <v>1075590.3937499998</v>
      </c>
      <c r="BB96" s="251">
        <f t="shared" ca="1" si="2553"/>
        <v>1075590.3937499998</v>
      </c>
      <c r="BC96" s="433">
        <f t="shared" ca="1" si="2553"/>
        <v>12907084.724999998</v>
      </c>
      <c r="BD96" s="251">
        <f ca="1">SUMIF($B$6:$B$95,"Item Total Sale",BD6:BD95)</f>
        <v>1227817.1159999997</v>
      </c>
      <c r="BE96" s="251">
        <f t="shared" ref="BE96:BP96" ca="1" si="2554">SUMIF($B$6:$B$95,"Item Total Sale",BE6:BE95)</f>
        <v>1227817.1159999997</v>
      </c>
      <c r="BF96" s="251">
        <f t="shared" ca="1" si="2554"/>
        <v>1227817.1159999997</v>
      </c>
      <c r="BG96" s="251">
        <f t="shared" ca="1" si="2554"/>
        <v>1227817.1159999997</v>
      </c>
      <c r="BH96" s="251">
        <f t="shared" ca="1" si="2554"/>
        <v>1227817.1159999997</v>
      </c>
      <c r="BI96" s="251">
        <f t="shared" ca="1" si="2554"/>
        <v>1227817.1159999997</v>
      </c>
      <c r="BJ96" s="251">
        <f t="shared" ca="1" si="2554"/>
        <v>1227817.1159999997</v>
      </c>
      <c r="BK96" s="251">
        <f t="shared" ca="1" si="2554"/>
        <v>1227817.1159999997</v>
      </c>
      <c r="BL96" s="251">
        <f t="shared" ca="1" si="2554"/>
        <v>1227817.1159999997</v>
      </c>
      <c r="BM96" s="251">
        <f t="shared" ca="1" si="2554"/>
        <v>1227817.1159999997</v>
      </c>
      <c r="BN96" s="251">
        <f t="shared" ca="1" si="2554"/>
        <v>1227817.1159999997</v>
      </c>
      <c r="BO96" s="251">
        <f t="shared" ca="1" si="2554"/>
        <v>1227817.1159999997</v>
      </c>
      <c r="BP96" s="433">
        <f t="shared" ca="1" si="2554"/>
        <v>14733805.391999997</v>
      </c>
      <c r="BQ96" s="251">
        <f ca="1">SUMIF($B$6:$B$95,"Item Total Sale",BQ6:BQ95)</f>
        <v>1394446.7925</v>
      </c>
      <c r="BR96" s="251">
        <f t="shared" ref="BR96:CC96" ca="1" si="2555">SUMIF($B$6:$B$95,"Item Total Sale",BR6:BR95)</f>
        <v>1394446.7925</v>
      </c>
      <c r="BS96" s="251">
        <f t="shared" ca="1" si="2555"/>
        <v>1394446.7925</v>
      </c>
      <c r="BT96" s="251">
        <f t="shared" ca="1" si="2555"/>
        <v>1394446.7925</v>
      </c>
      <c r="BU96" s="251">
        <f t="shared" ca="1" si="2555"/>
        <v>1394446.7925</v>
      </c>
      <c r="BV96" s="251">
        <f t="shared" ca="1" si="2555"/>
        <v>1394446.7925</v>
      </c>
      <c r="BW96" s="251">
        <f t="shared" ca="1" si="2555"/>
        <v>1394446.7925</v>
      </c>
      <c r="BX96" s="251">
        <f t="shared" ca="1" si="2555"/>
        <v>1394446.7925</v>
      </c>
      <c r="BY96" s="251">
        <f t="shared" ca="1" si="2555"/>
        <v>1394446.7925</v>
      </c>
      <c r="BZ96" s="251">
        <f t="shared" ca="1" si="2555"/>
        <v>1394446.7925</v>
      </c>
      <c r="CA96" s="251">
        <f t="shared" ca="1" si="2555"/>
        <v>1394446.7925</v>
      </c>
      <c r="CB96" s="251">
        <f t="shared" ca="1" si="2555"/>
        <v>1394446.7925</v>
      </c>
      <c r="CC96" s="433">
        <f t="shared" ca="1" si="2555"/>
        <v>16733361.510000002</v>
      </c>
      <c r="CD96" s="251">
        <f ca="1">SUMIF($B$6:$B$95,"Item Total Sale",CD6:CD95)</f>
        <v>1478132.12475</v>
      </c>
      <c r="CE96" s="251">
        <f t="shared" ref="CE96:CP96" ca="1" si="2556">SUMIF($B$6:$B$95,"Item Total Sale",CE6:CE95)</f>
        <v>1478132.12475</v>
      </c>
      <c r="CF96" s="251">
        <f t="shared" ca="1" si="2556"/>
        <v>1478132.12475</v>
      </c>
      <c r="CG96" s="251">
        <f t="shared" ca="1" si="2556"/>
        <v>1478132.12475</v>
      </c>
      <c r="CH96" s="251">
        <f t="shared" ca="1" si="2556"/>
        <v>1478132.12475</v>
      </c>
      <c r="CI96" s="251">
        <f t="shared" ca="1" si="2556"/>
        <v>1478132.12475</v>
      </c>
      <c r="CJ96" s="251">
        <f t="shared" ca="1" si="2556"/>
        <v>1478132.12475</v>
      </c>
      <c r="CK96" s="251">
        <f t="shared" ca="1" si="2556"/>
        <v>1478132.12475</v>
      </c>
      <c r="CL96" s="251">
        <f t="shared" ca="1" si="2556"/>
        <v>1478132.12475</v>
      </c>
      <c r="CM96" s="251">
        <f t="shared" ca="1" si="2556"/>
        <v>1478132.12475</v>
      </c>
      <c r="CN96" s="251">
        <f t="shared" ca="1" si="2556"/>
        <v>1478132.12475</v>
      </c>
      <c r="CO96" s="251">
        <f t="shared" ca="1" si="2556"/>
        <v>1478132.12475</v>
      </c>
      <c r="CP96" s="433">
        <f t="shared" ca="1" si="2556"/>
        <v>17737585.496999994</v>
      </c>
    </row>
    <row r="97" spans="1:94" ht="24.95" customHeight="1" thickTop="1">
      <c r="A97"/>
      <c r="B97"/>
      <c r="C97"/>
      <c r="P97"/>
      <c r="AC97"/>
      <c r="AP97"/>
      <c r="BC97"/>
      <c r="BP97"/>
      <c r="CC97"/>
      <c r="CP97"/>
    </row>
    <row r="98" spans="1:94" ht="45" customHeight="1" thickBot="1">
      <c r="A98" s="230" t="s">
        <v>612</v>
      </c>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row>
    <row r="99" spans="1:94" ht="72.75" customHeight="1" thickTop="1">
      <c r="A99" s="252" t="s">
        <v>462</v>
      </c>
      <c r="B99" s="253" t="s">
        <v>252</v>
      </c>
      <c r="C99" s="253" t="s">
        <v>301</v>
      </c>
      <c r="D99" s="439" t="s">
        <v>347</v>
      </c>
      <c r="E99" s="439" t="s">
        <v>348</v>
      </c>
      <c r="F99" s="439" t="s">
        <v>349</v>
      </c>
      <c r="G99" s="439" t="s">
        <v>350</v>
      </c>
      <c r="H99" s="439" t="s">
        <v>351</v>
      </c>
      <c r="I99" s="439" t="s">
        <v>352</v>
      </c>
      <c r="J99" s="439" t="s">
        <v>353</v>
      </c>
      <c r="K99" s="439" t="s">
        <v>354</v>
      </c>
      <c r="L99" s="439" t="s">
        <v>355</v>
      </c>
      <c r="M99" s="439" t="s">
        <v>356</v>
      </c>
      <c r="N99" s="439" t="s">
        <v>357</v>
      </c>
      <c r="O99" s="439" t="s">
        <v>358</v>
      </c>
      <c r="P99" s="440" t="s">
        <v>359</v>
      </c>
      <c r="Q99" s="439" t="s">
        <v>360</v>
      </c>
      <c r="R99" s="439" t="s">
        <v>361</v>
      </c>
      <c r="S99" s="439" t="s">
        <v>362</v>
      </c>
      <c r="T99" s="439" t="s">
        <v>363</v>
      </c>
      <c r="U99" s="439" t="s">
        <v>364</v>
      </c>
      <c r="V99" s="439" t="s">
        <v>365</v>
      </c>
      <c r="W99" s="439" t="s">
        <v>366</v>
      </c>
      <c r="X99" s="439" t="s">
        <v>367</v>
      </c>
      <c r="Y99" s="439" t="s">
        <v>368</v>
      </c>
      <c r="Z99" s="439" t="s">
        <v>369</v>
      </c>
      <c r="AA99" s="439" t="s">
        <v>370</v>
      </c>
      <c r="AB99" s="439" t="s">
        <v>371</v>
      </c>
      <c r="AC99" s="440" t="s">
        <v>608</v>
      </c>
      <c r="AD99" s="439" t="s">
        <v>373</v>
      </c>
      <c r="AE99" s="439" t="s">
        <v>374</v>
      </c>
      <c r="AF99" s="439" t="s">
        <v>375</v>
      </c>
      <c r="AG99" s="439" t="s">
        <v>376</v>
      </c>
      <c r="AH99" s="439" t="s">
        <v>377</v>
      </c>
      <c r="AI99" s="439" t="s">
        <v>378</v>
      </c>
      <c r="AJ99" s="439" t="s">
        <v>379</v>
      </c>
      <c r="AK99" s="439" t="s">
        <v>380</v>
      </c>
      <c r="AL99" s="439" t="s">
        <v>381</v>
      </c>
      <c r="AM99" s="439" t="s">
        <v>382</v>
      </c>
      <c r="AN99" s="439" t="s">
        <v>383</v>
      </c>
      <c r="AO99" s="439" t="s">
        <v>384</v>
      </c>
      <c r="AP99" s="440" t="s">
        <v>385</v>
      </c>
      <c r="AQ99" s="439" t="s">
        <v>386</v>
      </c>
      <c r="AR99" s="439" t="s">
        <v>387</v>
      </c>
      <c r="AS99" s="439" t="s">
        <v>388</v>
      </c>
      <c r="AT99" s="439" t="s">
        <v>389</v>
      </c>
      <c r="AU99" s="439" t="s">
        <v>390</v>
      </c>
      <c r="AV99" s="439" t="s">
        <v>391</v>
      </c>
      <c r="AW99" s="439" t="s">
        <v>392</v>
      </c>
      <c r="AX99" s="439" t="s">
        <v>393</v>
      </c>
      <c r="AY99" s="439" t="s">
        <v>394</v>
      </c>
      <c r="AZ99" s="439" t="s">
        <v>395</v>
      </c>
      <c r="BA99" s="439" t="s">
        <v>396</v>
      </c>
      <c r="BB99" s="439" t="s">
        <v>397</v>
      </c>
      <c r="BC99" s="440" t="s">
        <v>398</v>
      </c>
      <c r="BD99" s="439" t="s">
        <v>399</v>
      </c>
      <c r="BE99" s="439" t="s">
        <v>400</v>
      </c>
      <c r="BF99" s="439" t="s">
        <v>401</v>
      </c>
      <c r="BG99" s="439" t="s">
        <v>402</v>
      </c>
      <c r="BH99" s="439" t="s">
        <v>403</v>
      </c>
      <c r="BI99" s="439" t="s">
        <v>404</v>
      </c>
      <c r="BJ99" s="439" t="s">
        <v>405</v>
      </c>
      <c r="BK99" s="439" t="s">
        <v>406</v>
      </c>
      <c r="BL99" s="439" t="s">
        <v>407</v>
      </c>
      <c r="BM99" s="439" t="s">
        <v>408</v>
      </c>
      <c r="BN99" s="439" t="s">
        <v>409</v>
      </c>
      <c r="BO99" s="439" t="s">
        <v>410</v>
      </c>
      <c r="BP99" s="440" t="s">
        <v>411</v>
      </c>
      <c r="BQ99" s="439" t="s">
        <v>412</v>
      </c>
      <c r="BR99" s="439" t="s">
        <v>413</v>
      </c>
      <c r="BS99" s="439" t="s">
        <v>414</v>
      </c>
      <c r="BT99" s="439" t="s">
        <v>415</v>
      </c>
      <c r="BU99" s="439" t="s">
        <v>416</v>
      </c>
      <c r="BV99" s="439" t="s">
        <v>417</v>
      </c>
      <c r="BW99" s="439" t="s">
        <v>418</v>
      </c>
      <c r="BX99" s="439" t="s">
        <v>419</v>
      </c>
      <c r="BY99" s="439" t="s">
        <v>420</v>
      </c>
      <c r="BZ99" s="439" t="s">
        <v>421</v>
      </c>
      <c r="CA99" s="439" t="s">
        <v>422</v>
      </c>
      <c r="CB99" s="439" t="s">
        <v>423</v>
      </c>
      <c r="CC99" s="440" t="s">
        <v>424</v>
      </c>
      <c r="CD99" s="439" t="s">
        <v>425</v>
      </c>
      <c r="CE99" s="439" t="s">
        <v>426</v>
      </c>
      <c r="CF99" s="439" t="s">
        <v>427</v>
      </c>
      <c r="CG99" s="439" t="s">
        <v>428</v>
      </c>
      <c r="CH99" s="439" t="s">
        <v>429</v>
      </c>
      <c r="CI99" s="439" t="s">
        <v>430</v>
      </c>
      <c r="CJ99" s="439" t="s">
        <v>431</v>
      </c>
      <c r="CK99" s="439" t="s">
        <v>432</v>
      </c>
      <c r="CL99" s="439" t="s">
        <v>433</v>
      </c>
      <c r="CM99" s="439" t="s">
        <v>434</v>
      </c>
      <c r="CN99" s="439" t="s">
        <v>435</v>
      </c>
      <c r="CO99" s="439" t="s">
        <v>436</v>
      </c>
      <c r="CP99" s="440" t="s">
        <v>437</v>
      </c>
    </row>
    <row r="100" spans="1:94" ht="20.100000000000001" customHeight="1">
      <c r="A100" s="792" t="str">
        <f ca="1">OFFSET('Summary. Assumptions. Inputs'!$A$45,'Internmediate sheet'!A5/3,0)</f>
        <v>Greenhouse cover films</v>
      </c>
      <c r="B100" s="19" t="s">
        <v>613</v>
      </c>
      <c r="C100" s="20">
        <f ca="1">OFFSET('Sales, Production, &amp; Other Assu'!C$54,'Internmediate sheet'!$A5/3,0)*Capacity</f>
        <v>143640</v>
      </c>
      <c r="D100" s="19">
        <f ca="1">OFFSET('Sales, Production, &amp; Other Assu'!D$54,'Internmediate sheet'!$A5/3,0)*Capacity</f>
        <v>143640</v>
      </c>
      <c r="E100" s="19">
        <f ca="1">OFFSET('Sales, Production, &amp; Other Assu'!E$54,'Internmediate sheet'!$A5/3,0)*Capacity</f>
        <v>143640</v>
      </c>
      <c r="F100" s="19">
        <f ca="1">OFFSET('Sales, Production, &amp; Other Assu'!F$54,'Internmediate sheet'!$A5/3,0)*Capacity</f>
        <v>143640</v>
      </c>
      <c r="G100" s="19">
        <f ca="1">OFFSET('Sales, Production, &amp; Other Assu'!G$54,'Internmediate sheet'!$A5/3,0)*Capacity</f>
        <v>143640</v>
      </c>
      <c r="H100" s="19">
        <f ca="1">OFFSET('Sales, Production, &amp; Other Assu'!H$54,'Internmediate sheet'!$A5/3,0)*Capacity</f>
        <v>143640</v>
      </c>
      <c r="I100" s="19">
        <f ca="1">OFFSET('Sales, Production, &amp; Other Assu'!I$54,'Internmediate sheet'!$A5/3,0)*Capacity</f>
        <v>143640</v>
      </c>
      <c r="J100" s="19">
        <f ca="1">OFFSET('Sales, Production, &amp; Other Assu'!J$54,'Internmediate sheet'!$A5/3,0)*Capacity</f>
        <v>143640</v>
      </c>
      <c r="K100" s="19">
        <f ca="1">OFFSET('Sales, Production, &amp; Other Assu'!K$54,'Internmediate sheet'!$A5/3,0)*Capacity</f>
        <v>143640</v>
      </c>
      <c r="L100" s="19">
        <f ca="1">OFFSET('Sales, Production, &amp; Other Assu'!L$54,'Internmediate sheet'!$A5/3,0)*Capacity</f>
        <v>143640</v>
      </c>
      <c r="M100" s="19">
        <f ca="1">OFFSET('Sales, Production, &amp; Other Assu'!M$54,'Internmediate sheet'!$A5/3,0)*Capacity</f>
        <v>143640</v>
      </c>
      <c r="N100" s="19">
        <f ca="1">OFFSET('Sales, Production, &amp; Other Assu'!N$54,'Internmediate sheet'!$A5/3,0)*Capacity</f>
        <v>143640</v>
      </c>
      <c r="O100" s="19">
        <f ca="1">OFFSET('Sales, Production, &amp; Other Assu'!O$54,'Internmediate sheet'!$A5/3,0)*Capacity</f>
        <v>143640</v>
      </c>
      <c r="P100" s="434">
        <f ca="1">SUM(D100:O100)</f>
        <v>1723680</v>
      </c>
      <c r="Q100" s="19">
        <f ca="1">OFFSET('Sales, Production, &amp; Other Assu'!Q$54,'Internmediate sheet'!$A5/3,0)*Capacity</f>
        <v>167484.24</v>
      </c>
      <c r="R100" s="19">
        <f ca="1">OFFSET('Sales, Production, &amp; Other Assu'!R$54,'Internmediate sheet'!$A5/3,0)*Capacity</f>
        <v>167484.24</v>
      </c>
      <c r="S100" s="19">
        <f ca="1">OFFSET('Sales, Production, &amp; Other Assu'!S$54,'Internmediate sheet'!$A5/3,0)*Capacity</f>
        <v>167484.24</v>
      </c>
      <c r="T100" s="19">
        <f ca="1">OFFSET('Sales, Production, &amp; Other Assu'!T$54,'Internmediate sheet'!$A5/3,0)*Capacity</f>
        <v>167484.24</v>
      </c>
      <c r="U100" s="19">
        <f ca="1">OFFSET('Sales, Production, &amp; Other Assu'!U$54,'Internmediate sheet'!$A5/3,0)*Capacity</f>
        <v>167484.24</v>
      </c>
      <c r="V100" s="19">
        <f ca="1">OFFSET('Sales, Production, &amp; Other Assu'!V$54,'Internmediate sheet'!$A5/3,0)*Capacity</f>
        <v>167484.24</v>
      </c>
      <c r="W100" s="19">
        <f ca="1">OFFSET('Sales, Production, &amp; Other Assu'!W$54,'Internmediate sheet'!$A5/3,0)*Capacity</f>
        <v>167484.24</v>
      </c>
      <c r="X100" s="19">
        <f ca="1">OFFSET('Sales, Production, &amp; Other Assu'!X$54,'Internmediate sheet'!$A5/3,0)*Capacity</f>
        <v>167484.24</v>
      </c>
      <c r="Y100" s="19">
        <f ca="1">OFFSET('Sales, Production, &amp; Other Assu'!Y$54,'Internmediate sheet'!$A5/3,0)*Capacity</f>
        <v>167484.24</v>
      </c>
      <c r="Z100" s="19">
        <f ca="1">OFFSET('Sales, Production, &amp; Other Assu'!Z$54,'Internmediate sheet'!$A5/3,0)*Capacity</f>
        <v>167484.24</v>
      </c>
      <c r="AA100" s="19">
        <f ca="1">OFFSET('Sales, Production, &amp; Other Assu'!AA$54,'Internmediate sheet'!$A5/3,0)*Capacity</f>
        <v>167484.24</v>
      </c>
      <c r="AB100" s="19">
        <f ca="1">OFFSET('Sales, Production, &amp; Other Assu'!AB$54,'Internmediate sheet'!$A5/3,0)*Capacity</f>
        <v>167484.24</v>
      </c>
      <c r="AC100" s="434">
        <f ca="1">SUM(Q100:AB100)</f>
        <v>2009810.88</v>
      </c>
      <c r="AD100" s="19">
        <f ca="1">OFFSET('Sales, Production, &amp; Other Assu'!AD$54,'Internmediate sheet'!$A5/3,0)*Capacity</f>
        <v>193674.6</v>
      </c>
      <c r="AE100" s="19">
        <f ca="1">OFFSET('Sales, Production, &amp; Other Assu'!AE$54,'Internmediate sheet'!$A5/3,0)*Capacity</f>
        <v>193674.6</v>
      </c>
      <c r="AF100" s="19">
        <f ca="1">OFFSET('Sales, Production, &amp; Other Assu'!AF$54,'Internmediate sheet'!$A5/3,0)*Capacity</f>
        <v>193674.6</v>
      </c>
      <c r="AG100" s="19">
        <f ca="1">OFFSET('Sales, Production, &amp; Other Assu'!AG$54,'Internmediate sheet'!$A5/3,0)*Capacity</f>
        <v>193674.6</v>
      </c>
      <c r="AH100" s="19">
        <f ca="1">OFFSET('Sales, Production, &amp; Other Assu'!AH$54,'Internmediate sheet'!$A5/3,0)*Capacity</f>
        <v>193674.6</v>
      </c>
      <c r="AI100" s="19">
        <f ca="1">OFFSET('Sales, Production, &amp; Other Assu'!AI$54,'Internmediate sheet'!$A5/3,0)*Capacity</f>
        <v>193674.6</v>
      </c>
      <c r="AJ100" s="19">
        <f ca="1">OFFSET('Sales, Production, &amp; Other Assu'!AJ$54,'Internmediate sheet'!$A5/3,0)*Capacity</f>
        <v>193674.6</v>
      </c>
      <c r="AK100" s="19">
        <f ca="1">OFFSET('Sales, Production, &amp; Other Assu'!AK$54,'Internmediate sheet'!$A5/3,0)*Capacity</f>
        <v>193674.6</v>
      </c>
      <c r="AL100" s="19">
        <f ca="1">OFFSET('Sales, Production, &amp; Other Assu'!AL$54,'Internmediate sheet'!$A5/3,0)*Capacity</f>
        <v>193674.6</v>
      </c>
      <c r="AM100" s="19">
        <f ca="1">OFFSET('Sales, Production, &amp; Other Assu'!AM$54,'Internmediate sheet'!$A5/3,0)*Capacity</f>
        <v>193674.6</v>
      </c>
      <c r="AN100" s="19">
        <f ca="1">OFFSET('Sales, Production, &amp; Other Assu'!AN$54,'Internmediate sheet'!$A5/3,0)*Capacity</f>
        <v>193674.6</v>
      </c>
      <c r="AO100" s="19">
        <f ca="1">OFFSET('Sales, Production, &amp; Other Assu'!AO$54,'Internmediate sheet'!$A5/3,0)*Capacity</f>
        <v>193674.6</v>
      </c>
      <c r="AP100" s="434">
        <f ca="1">SUM(AD100:AO100)</f>
        <v>2324095.2000000007</v>
      </c>
      <c r="AQ100" s="19">
        <f ca="1">OFFSET('Sales, Production, &amp; Other Assu'!AQ$54,'Internmediate sheet'!$A5/3,0)*Capacity</f>
        <v>222402.59999999998</v>
      </c>
      <c r="AR100" s="19">
        <f ca="1">OFFSET('Sales, Production, &amp; Other Assu'!AR$54,'Internmediate sheet'!$A5/3,0)*Capacity</f>
        <v>222402.59999999998</v>
      </c>
      <c r="AS100" s="19">
        <f ca="1">OFFSET('Sales, Production, &amp; Other Assu'!AS$54,'Internmediate sheet'!$A5/3,0)*Capacity</f>
        <v>222402.59999999998</v>
      </c>
      <c r="AT100" s="19">
        <f ca="1">OFFSET('Sales, Production, &amp; Other Assu'!AT$54,'Internmediate sheet'!$A5/3,0)*Capacity</f>
        <v>222402.59999999998</v>
      </c>
      <c r="AU100" s="19">
        <f ca="1">OFFSET('Sales, Production, &amp; Other Assu'!AU$54,'Internmediate sheet'!$A5/3,0)*Capacity</f>
        <v>222402.59999999998</v>
      </c>
      <c r="AV100" s="19">
        <f ca="1">OFFSET('Sales, Production, &amp; Other Assu'!AV$54,'Internmediate sheet'!$A5/3,0)*Capacity</f>
        <v>222402.59999999998</v>
      </c>
      <c r="AW100" s="19">
        <f ca="1">OFFSET('Sales, Production, &amp; Other Assu'!AW$54,'Internmediate sheet'!$A5/3,0)*Capacity</f>
        <v>222402.59999999998</v>
      </c>
      <c r="AX100" s="19">
        <f ca="1">OFFSET('Sales, Production, &amp; Other Assu'!AX$54,'Internmediate sheet'!$A5/3,0)*Capacity</f>
        <v>222402.59999999998</v>
      </c>
      <c r="AY100" s="19">
        <f ca="1">OFFSET('Sales, Production, &amp; Other Assu'!AY$54,'Internmediate sheet'!$A5/3,0)*Capacity</f>
        <v>222402.59999999998</v>
      </c>
      <c r="AZ100" s="19">
        <f ca="1">OFFSET('Sales, Production, &amp; Other Assu'!AZ$54,'Internmediate sheet'!$A5/3,0)*Capacity</f>
        <v>222402.59999999998</v>
      </c>
      <c r="BA100" s="19">
        <f ca="1">OFFSET('Sales, Production, &amp; Other Assu'!BA$54,'Internmediate sheet'!$A5/3,0)*Capacity</f>
        <v>222402.59999999998</v>
      </c>
      <c r="BB100" s="19">
        <f ca="1">OFFSET('Sales, Production, &amp; Other Assu'!BB$54,'Internmediate sheet'!$A5/3,0)*Capacity</f>
        <v>222402.59999999998</v>
      </c>
      <c r="BC100" s="434">
        <f ca="1">SUM(AQ100:BB100)</f>
        <v>2668831.2000000007</v>
      </c>
      <c r="BD100" s="19">
        <f ca="1">OFFSET('Sales, Production, &amp; Other Assu'!BD$54,'Internmediate sheet'!$A5/3,0)*Capacity</f>
        <v>253878.91199999995</v>
      </c>
      <c r="BE100" s="19">
        <f ca="1">OFFSET('Sales, Production, &amp; Other Assu'!BE$54,'Internmediate sheet'!$A5/3,0)*Capacity</f>
        <v>253878.91199999995</v>
      </c>
      <c r="BF100" s="19">
        <f ca="1">OFFSET('Sales, Production, &amp; Other Assu'!BF$54,'Internmediate sheet'!$A5/3,0)*Capacity</f>
        <v>253878.91199999995</v>
      </c>
      <c r="BG100" s="19">
        <f ca="1">OFFSET('Sales, Production, &amp; Other Assu'!BG$54,'Internmediate sheet'!$A5/3,0)*Capacity</f>
        <v>253878.91199999995</v>
      </c>
      <c r="BH100" s="19">
        <f ca="1">OFFSET('Sales, Production, &amp; Other Assu'!BH$54,'Internmediate sheet'!$A5/3,0)*Capacity</f>
        <v>253878.91199999995</v>
      </c>
      <c r="BI100" s="19">
        <f ca="1">OFFSET('Sales, Production, &amp; Other Assu'!BI$54,'Internmediate sheet'!$A5/3,0)*Capacity</f>
        <v>253878.91199999995</v>
      </c>
      <c r="BJ100" s="19">
        <f ca="1">OFFSET('Sales, Production, &amp; Other Assu'!BJ$54,'Internmediate sheet'!$A5/3,0)*Capacity</f>
        <v>253878.91199999995</v>
      </c>
      <c r="BK100" s="19">
        <f ca="1">OFFSET('Sales, Production, &amp; Other Assu'!BK$54,'Internmediate sheet'!$A5/3,0)*Capacity</f>
        <v>253878.91199999995</v>
      </c>
      <c r="BL100" s="19">
        <f ca="1">OFFSET('Sales, Production, &amp; Other Assu'!BL$54,'Internmediate sheet'!$A5/3,0)*Capacity</f>
        <v>253878.91199999995</v>
      </c>
      <c r="BM100" s="19">
        <f ca="1">OFFSET('Sales, Production, &amp; Other Assu'!BM$54,'Internmediate sheet'!$A5/3,0)*Capacity</f>
        <v>253878.91199999995</v>
      </c>
      <c r="BN100" s="19">
        <f ca="1">OFFSET('Sales, Production, &amp; Other Assu'!BN$54,'Internmediate sheet'!$A5/3,0)*Capacity</f>
        <v>253878.91199999995</v>
      </c>
      <c r="BO100" s="19">
        <f ca="1">OFFSET('Sales, Production, &amp; Other Assu'!BO$54,'Internmediate sheet'!$A5/3,0)*Capacity</f>
        <v>253878.91199999995</v>
      </c>
      <c r="BP100" s="434">
        <f ca="1">SUM(BD100:BO100)</f>
        <v>3046546.9439999997</v>
      </c>
      <c r="BQ100" s="19">
        <f ca="1">OFFSET('Sales, Production, &amp; Other Assu'!BQ$54,'Internmediate sheet'!$A5/3,0)*Capacity</f>
        <v>288333.36</v>
      </c>
      <c r="BR100" s="19">
        <f ca="1">OFFSET('Sales, Production, &amp; Other Assu'!BR$54,'Internmediate sheet'!$A5/3,0)*Capacity</f>
        <v>288333.36</v>
      </c>
      <c r="BS100" s="19">
        <f ca="1">OFFSET('Sales, Production, &amp; Other Assu'!BS$54,'Internmediate sheet'!$A5/3,0)*Capacity</f>
        <v>288333.36</v>
      </c>
      <c r="BT100" s="19">
        <f ca="1">OFFSET('Sales, Production, &amp; Other Assu'!BT$54,'Internmediate sheet'!$A5/3,0)*Capacity</f>
        <v>288333.36</v>
      </c>
      <c r="BU100" s="19">
        <f ca="1">OFFSET('Sales, Production, &amp; Other Assu'!BU$54,'Internmediate sheet'!$A5/3,0)*Capacity</f>
        <v>288333.36</v>
      </c>
      <c r="BV100" s="19">
        <f ca="1">OFFSET('Sales, Production, &amp; Other Assu'!BV$54,'Internmediate sheet'!$A5/3,0)*Capacity</f>
        <v>288333.36</v>
      </c>
      <c r="BW100" s="19">
        <f ca="1">OFFSET('Sales, Production, &amp; Other Assu'!BW$54,'Internmediate sheet'!$A5/3,0)*Capacity</f>
        <v>288333.36</v>
      </c>
      <c r="BX100" s="19">
        <f ca="1">OFFSET('Sales, Production, &amp; Other Assu'!BX$54,'Internmediate sheet'!$A5/3,0)*Capacity</f>
        <v>288333.36</v>
      </c>
      <c r="BY100" s="19">
        <f ca="1">OFFSET('Sales, Production, &amp; Other Assu'!BY$54,'Internmediate sheet'!$A5/3,0)*Capacity</f>
        <v>288333.36</v>
      </c>
      <c r="BZ100" s="19">
        <f ca="1">OFFSET('Sales, Production, &amp; Other Assu'!BZ$54,'Internmediate sheet'!$A5/3,0)*Capacity</f>
        <v>288333.36</v>
      </c>
      <c r="CA100" s="19">
        <f ca="1">OFFSET('Sales, Production, &amp; Other Assu'!CA$54,'Internmediate sheet'!$A5/3,0)*Capacity</f>
        <v>288333.36</v>
      </c>
      <c r="CB100" s="19">
        <f ca="1">OFFSET('Sales, Production, &amp; Other Assu'!CB$54,'Internmediate sheet'!$A5/3,0)*Capacity</f>
        <v>288333.36</v>
      </c>
      <c r="CC100" s="434">
        <f ca="1">SUM(BQ100:CB100)</f>
        <v>3460000.3199999989</v>
      </c>
      <c r="CD100" s="19">
        <f ca="1">OFFSET('Sales, Production, &amp; Other Assu'!CD$54,'Internmediate sheet'!$A5/3,0)*Capacity</f>
        <v>305637.19199999998</v>
      </c>
      <c r="CE100" s="19">
        <f ca="1">OFFSET('Sales, Production, &amp; Other Assu'!CE$54,'Internmediate sheet'!$A5/3,0)*Capacity</f>
        <v>305637.19199999998</v>
      </c>
      <c r="CF100" s="19">
        <f ca="1">OFFSET('Sales, Production, &amp; Other Assu'!CF$54,'Internmediate sheet'!$A5/3,0)*Capacity</f>
        <v>305637.19199999998</v>
      </c>
      <c r="CG100" s="19">
        <f ca="1">OFFSET('Sales, Production, &amp; Other Assu'!CG$54,'Internmediate sheet'!$A5/3,0)*Capacity</f>
        <v>305637.19199999998</v>
      </c>
      <c r="CH100" s="19">
        <f ca="1">OFFSET('Sales, Production, &amp; Other Assu'!CH$54,'Internmediate sheet'!$A5/3,0)*Capacity</f>
        <v>305637.19199999998</v>
      </c>
      <c r="CI100" s="19">
        <f ca="1">OFFSET('Sales, Production, &amp; Other Assu'!CI$54,'Internmediate sheet'!$A5/3,0)*Capacity</f>
        <v>305637.19199999998</v>
      </c>
      <c r="CJ100" s="19">
        <f ca="1">OFFSET('Sales, Production, &amp; Other Assu'!CJ$54,'Internmediate sheet'!$A5/3,0)*Capacity</f>
        <v>305637.19199999998</v>
      </c>
      <c r="CK100" s="19">
        <f ca="1">OFFSET('Sales, Production, &amp; Other Assu'!CK$54,'Internmediate sheet'!$A5/3,0)*Capacity</f>
        <v>305637.19199999998</v>
      </c>
      <c r="CL100" s="19">
        <f ca="1">OFFSET('Sales, Production, &amp; Other Assu'!CL$54,'Internmediate sheet'!$A5/3,0)*Capacity</f>
        <v>305637.19199999998</v>
      </c>
      <c r="CM100" s="19">
        <f ca="1">OFFSET('Sales, Production, &amp; Other Assu'!CM$54,'Internmediate sheet'!$A5/3,0)*Capacity</f>
        <v>305637.19199999998</v>
      </c>
      <c r="CN100" s="19">
        <f ca="1">OFFSET('Sales, Production, &amp; Other Assu'!CN$54,'Internmediate sheet'!$A5/3,0)*Capacity</f>
        <v>305637.19199999998</v>
      </c>
      <c r="CO100" s="19">
        <f ca="1">OFFSET('Sales, Production, &amp; Other Assu'!CO$54,'Internmediate sheet'!$A5/3,0)*Capacity</f>
        <v>305637.19199999998</v>
      </c>
      <c r="CP100" s="434">
        <f ca="1">SUM(CD100:CO100)</f>
        <v>3667646.3039999991</v>
      </c>
    </row>
    <row r="101" spans="1:94" ht="20.100000000000001" customHeight="1">
      <c r="A101" s="793"/>
      <c r="B101" s="9" t="s">
        <v>614</v>
      </c>
      <c r="C101" s="10">
        <f>'BEP. &amp; Summary Results'!C6</f>
        <v>2.2403999999999997</v>
      </c>
      <c r="D101" s="9">
        <f t="shared" ref="D101:O101" si="2557">C101</f>
        <v>2.2403999999999997</v>
      </c>
      <c r="E101" s="9">
        <f t="shared" si="2557"/>
        <v>2.2403999999999997</v>
      </c>
      <c r="F101" s="9">
        <f t="shared" si="2557"/>
        <v>2.2403999999999997</v>
      </c>
      <c r="G101" s="9">
        <f t="shared" si="2557"/>
        <v>2.2403999999999997</v>
      </c>
      <c r="H101" s="9">
        <f t="shared" si="2557"/>
        <v>2.2403999999999997</v>
      </c>
      <c r="I101" s="9">
        <f t="shared" si="2557"/>
        <v>2.2403999999999997</v>
      </c>
      <c r="J101" s="9">
        <f t="shared" si="2557"/>
        <v>2.2403999999999997</v>
      </c>
      <c r="K101" s="9">
        <f t="shared" si="2557"/>
        <v>2.2403999999999997</v>
      </c>
      <c r="L101" s="9">
        <f t="shared" si="2557"/>
        <v>2.2403999999999997</v>
      </c>
      <c r="M101" s="9">
        <f t="shared" si="2557"/>
        <v>2.2403999999999997</v>
      </c>
      <c r="N101" s="9">
        <f t="shared" si="2557"/>
        <v>2.2403999999999997</v>
      </c>
      <c r="O101" s="9">
        <f t="shared" si="2557"/>
        <v>2.2403999999999997</v>
      </c>
      <c r="P101" s="435">
        <f>'BEP. &amp; Summary Results'!$C$6</f>
        <v>2.2403999999999997</v>
      </c>
      <c r="Q101" s="9">
        <f t="shared" ref="Q101" si="2558">P101</f>
        <v>2.2403999999999997</v>
      </c>
      <c r="R101" s="9">
        <f t="shared" ref="R101" si="2559">Q101</f>
        <v>2.2403999999999997</v>
      </c>
      <c r="S101" s="9">
        <f t="shared" ref="S101" si="2560">R101</f>
        <v>2.2403999999999997</v>
      </c>
      <c r="T101" s="9">
        <f t="shared" ref="T101" si="2561">S101</f>
        <v>2.2403999999999997</v>
      </c>
      <c r="U101" s="9">
        <f t="shared" ref="U101" si="2562">T101</f>
        <v>2.2403999999999997</v>
      </c>
      <c r="V101" s="9">
        <f t="shared" ref="V101" si="2563">U101</f>
        <v>2.2403999999999997</v>
      </c>
      <c r="W101" s="9">
        <f t="shared" ref="W101" si="2564">V101</f>
        <v>2.2403999999999997</v>
      </c>
      <c r="X101" s="9">
        <f t="shared" ref="X101" si="2565">W101</f>
        <v>2.2403999999999997</v>
      </c>
      <c r="Y101" s="9">
        <f t="shared" ref="Y101" si="2566">X101</f>
        <v>2.2403999999999997</v>
      </c>
      <c r="Z101" s="9">
        <f t="shared" ref="Z101" si="2567">Y101</f>
        <v>2.2403999999999997</v>
      </c>
      <c r="AA101" s="9">
        <f t="shared" ref="AA101" si="2568">Z101</f>
        <v>2.2403999999999997</v>
      </c>
      <c r="AB101" s="9">
        <f t="shared" ref="AB101" si="2569">AA101</f>
        <v>2.2403999999999997</v>
      </c>
      <c r="AC101" s="435">
        <f>'BEP. &amp; Summary Results'!$C$6</f>
        <v>2.2403999999999997</v>
      </c>
      <c r="AD101" s="9">
        <f t="shared" ref="AD101" si="2570">AC101</f>
        <v>2.2403999999999997</v>
      </c>
      <c r="AE101" s="9">
        <f t="shared" ref="AE101" si="2571">AD101</f>
        <v>2.2403999999999997</v>
      </c>
      <c r="AF101" s="9">
        <f t="shared" ref="AF101" si="2572">AE101</f>
        <v>2.2403999999999997</v>
      </c>
      <c r="AG101" s="9">
        <f t="shared" ref="AG101" si="2573">AF101</f>
        <v>2.2403999999999997</v>
      </c>
      <c r="AH101" s="9">
        <f t="shared" ref="AH101" si="2574">AG101</f>
        <v>2.2403999999999997</v>
      </c>
      <c r="AI101" s="9">
        <f t="shared" ref="AI101" si="2575">AH101</f>
        <v>2.2403999999999997</v>
      </c>
      <c r="AJ101" s="9">
        <f t="shared" ref="AJ101" si="2576">AI101</f>
        <v>2.2403999999999997</v>
      </c>
      <c r="AK101" s="9">
        <f t="shared" ref="AK101" si="2577">AJ101</f>
        <v>2.2403999999999997</v>
      </c>
      <c r="AL101" s="9">
        <f t="shared" ref="AL101" si="2578">AK101</f>
        <v>2.2403999999999997</v>
      </c>
      <c r="AM101" s="9">
        <f t="shared" ref="AM101" si="2579">AL101</f>
        <v>2.2403999999999997</v>
      </c>
      <c r="AN101" s="9">
        <f t="shared" ref="AN101" si="2580">AM101</f>
        <v>2.2403999999999997</v>
      </c>
      <c r="AO101" s="9">
        <f t="shared" ref="AO101" si="2581">AN101</f>
        <v>2.2403999999999997</v>
      </c>
      <c r="AP101" s="435">
        <f>'BEP. &amp; Summary Results'!$C$6</f>
        <v>2.2403999999999997</v>
      </c>
      <c r="AQ101" s="9">
        <f>AP101</f>
        <v>2.2403999999999997</v>
      </c>
      <c r="AR101" s="9">
        <f t="shared" ref="AR101" si="2582">AQ101</f>
        <v>2.2403999999999997</v>
      </c>
      <c r="AS101" s="9">
        <f t="shared" ref="AS101" si="2583">AR101</f>
        <v>2.2403999999999997</v>
      </c>
      <c r="AT101" s="9">
        <f t="shared" ref="AT101" si="2584">AS101</f>
        <v>2.2403999999999997</v>
      </c>
      <c r="AU101" s="9">
        <f t="shared" ref="AU101" si="2585">AT101</f>
        <v>2.2403999999999997</v>
      </c>
      <c r="AV101" s="9">
        <f t="shared" ref="AV101" si="2586">AU101</f>
        <v>2.2403999999999997</v>
      </c>
      <c r="AW101" s="9">
        <f t="shared" ref="AW101" si="2587">AV101</f>
        <v>2.2403999999999997</v>
      </c>
      <c r="AX101" s="9">
        <f t="shared" ref="AX101" si="2588">AW101</f>
        <v>2.2403999999999997</v>
      </c>
      <c r="AY101" s="9">
        <f t="shared" ref="AY101" si="2589">AX101</f>
        <v>2.2403999999999997</v>
      </c>
      <c r="AZ101" s="9">
        <f t="shared" ref="AZ101" si="2590">AY101</f>
        <v>2.2403999999999997</v>
      </c>
      <c r="BA101" s="9">
        <f t="shared" ref="BA101" si="2591">AZ101</f>
        <v>2.2403999999999997</v>
      </c>
      <c r="BB101" s="9">
        <f t="shared" ref="BB101" si="2592">BA101</f>
        <v>2.2403999999999997</v>
      </c>
      <c r="BC101" s="435">
        <f>'BEP. &amp; Summary Results'!$C$6</f>
        <v>2.2403999999999997</v>
      </c>
      <c r="BD101" s="9">
        <f t="shared" ref="BD101" si="2593">BC101</f>
        <v>2.2403999999999997</v>
      </c>
      <c r="BE101" s="9">
        <f t="shared" ref="BE101" si="2594">BD101</f>
        <v>2.2403999999999997</v>
      </c>
      <c r="BF101" s="9">
        <f t="shared" ref="BF101" si="2595">BE101</f>
        <v>2.2403999999999997</v>
      </c>
      <c r="BG101" s="9">
        <f t="shared" ref="BG101" si="2596">BF101</f>
        <v>2.2403999999999997</v>
      </c>
      <c r="BH101" s="9">
        <f t="shared" ref="BH101" si="2597">BG101</f>
        <v>2.2403999999999997</v>
      </c>
      <c r="BI101" s="9">
        <f t="shared" ref="BI101" si="2598">BH101</f>
        <v>2.2403999999999997</v>
      </c>
      <c r="BJ101" s="9">
        <f t="shared" ref="BJ101" si="2599">BI101</f>
        <v>2.2403999999999997</v>
      </c>
      <c r="BK101" s="9">
        <f t="shared" ref="BK101" si="2600">BJ101</f>
        <v>2.2403999999999997</v>
      </c>
      <c r="BL101" s="9">
        <f t="shared" ref="BL101" si="2601">BK101</f>
        <v>2.2403999999999997</v>
      </c>
      <c r="BM101" s="9">
        <f t="shared" ref="BM101" si="2602">BL101</f>
        <v>2.2403999999999997</v>
      </c>
      <c r="BN101" s="9">
        <f t="shared" ref="BN101" si="2603">BM101</f>
        <v>2.2403999999999997</v>
      </c>
      <c r="BO101" s="9">
        <f t="shared" ref="BO101" si="2604">BN101</f>
        <v>2.2403999999999997</v>
      </c>
      <c r="BP101" s="435">
        <f>'BEP. &amp; Summary Results'!$C$6</f>
        <v>2.2403999999999997</v>
      </c>
      <c r="BQ101" s="9">
        <f t="shared" ref="BQ101" si="2605">BP101</f>
        <v>2.2403999999999997</v>
      </c>
      <c r="BR101" s="9">
        <f t="shared" ref="BR101" si="2606">BQ101</f>
        <v>2.2403999999999997</v>
      </c>
      <c r="BS101" s="9">
        <f t="shared" ref="BS101" si="2607">BR101</f>
        <v>2.2403999999999997</v>
      </c>
      <c r="BT101" s="9">
        <f t="shared" ref="BT101" si="2608">BS101</f>
        <v>2.2403999999999997</v>
      </c>
      <c r="BU101" s="9">
        <f t="shared" ref="BU101" si="2609">BT101</f>
        <v>2.2403999999999997</v>
      </c>
      <c r="BV101" s="9">
        <f t="shared" ref="BV101" si="2610">BU101</f>
        <v>2.2403999999999997</v>
      </c>
      <c r="BW101" s="9">
        <f t="shared" ref="BW101" si="2611">BV101</f>
        <v>2.2403999999999997</v>
      </c>
      <c r="BX101" s="9">
        <f t="shared" ref="BX101" si="2612">BW101</f>
        <v>2.2403999999999997</v>
      </c>
      <c r="BY101" s="9">
        <f t="shared" ref="BY101" si="2613">BX101</f>
        <v>2.2403999999999997</v>
      </c>
      <c r="BZ101" s="9">
        <f t="shared" ref="BZ101" si="2614">BY101</f>
        <v>2.2403999999999997</v>
      </c>
      <c r="CA101" s="9">
        <f t="shared" ref="CA101" si="2615">BZ101</f>
        <v>2.2403999999999997</v>
      </c>
      <c r="CB101" s="9">
        <f t="shared" ref="CB101" si="2616">CA101</f>
        <v>2.2403999999999997</v>
      </c>
      <c r="CC101" s="435">
        <f>'BEP. &amp; Summary Results'!$C$6</f>
        <v>2.2403999999999997</v>
      </c>
      <c r="CD101" s="9">
        <f t="shared" ref="CD101" si="2617">CC101</f>
        <v>2.2403999999999997</v>
      </c>
      <c r="CE101" s="9">
        <f t="shared" ref="CE101" si="2618">CD101</f>
        <v>2.2403999999999997</v>
      </c>
      <c r="CF101" s="9">
        <f t="shared" ref="CF101" si="2619">CE101</f>
        <v>2.2403999999999997</v>
      </c>
      <c r="CG101" s="9">
        <f t="shared" ref="CG101" si="2620">CF101</f>
        <v>2.2403999999999997</v>
      </c>
      <c r="CH101" s="9">
        <f t="shared" ref="CH101" si="2621">CG101</f>
        <v>2.2403999999999997</v>
      </c>
      <c r="CI101" s="9">
        <f t="shared" ref="CI101" si="2622">CH101</f>
        <v>2.2403999999999997</v>
      </c>
      <c r="CJ101" s="9">
        <f t="shared" ref="CJ101" si="2623">CI101</f>
        <v>2.2403999999999997</v>
      </c>
      <c r="CK101" s="9">
        <f t="shared" ref="CK101" si="2624">CJ101</f>
        <v>2.2403999999999997</v>
      </c>
      <c r="CL101" s="9">
        <f t="shared" ref="CL101" si="2625">CK101</f>
        <v>2.2403999999999997</v>
      </c>
      <c r="CM101" s="9">
        <f t="shared" ref="CM101" si="2626">CL101</f>
        <v>2.2403999999999997</v>
      </c>
      <c r="CN101" s="9">
        <f t="shared" ref="CN101" si="2627">CM101</f>
        <v>2.2403999999999997</v>
      </c>
      <c r="CO101" s="9">
        <f t="shared" ref="CO101" si="2628">CN101</f>
        <v>2.2403999999999997</v>
      </c>
      <c r="CP101" s="435">
        <f>'BEP. &amp; Summary Results'!$C$6</f>
        <v>2.2403999999999997</v>
      </c>
    </row>
    <row r="102" spans="1:94" ht="20.100000000000001" customHeight="1">
      <c r="A102" s="794"/>
      <c r="B102" s="255" t="s">
        <v>615</v>
      </c>
      <c r="C102" s="256">
        <f t="shared" ref="C102:O102" ca="1" si="2629">C100*C101</f>
        <v>321811.05599999998</v>
      </c>
      <c r="D102" s="255">
        <f t="shared" ca="1" si="2629"/>
        <v>321811.05599999998</v>
      </c>
      <c r="E102" s="255">
        <f t="shared" ca="1" si="2629"/>
        <v>321811.05599999998</v>
      </c>
      <c r="F102" s="255">
        <f t="shared" ca="1" si="2629"/>
        <v>321811.05599999998</v>
      </c>
      <c r="G102" s="255">
        <f t="shared" ca="1" si="2629"/>
        <v>321811.05599999998</v>
      </c>
      <c r="H102" s="255">
        <f t="shared" ca="1" si="2629"/>
        <v>321811.05599999998</v>
      </c>
      <c r="I102" s="255">
        <f t="shared" ca="1" si="2629"/>
        <v>321811.05599999998</v>
      </c>
      <c r="J102" s="255">
        <f t="shared" ca="1" si="2629"/>
        <v>321811.05599999998</v>
      </c>
      <c r="K102" s="255">
        <f t="shared" ca="1" si="2629"/>
        <v>321811.05599999998</v>
      </c>
      <c r="L102" s="255">
        <f t="shared" ca="1" si="2629"/>
        <v>321811.05599999998</v>
      </c>
      <c r="M102" s="255">
        <f t="shared" ca="1" si="2629"/>
        <v>321811.05599999998</v>
      </c>
      <c r="N102" s="255">
        <f t="shared" ca="1" si="2629"/>
        <v>321811.05599999998</v>
      </c>
      <c r="O102" s="255">
        <f t="shared" ca="1" si="2629"/>
        <v>321811.05599999998</v>
      </c>
      <c r="P102" s="436">
        <f ca="1">SUM(D102:O102)</f>
        <v>3861732.6719999989</v>
      </c>
      <c r="Q102" s="255">
        <f t="shared" ref="Q102:AB102" ca="1" si="2630">Q100*Q101</f>
        <v>375231.69129599992</v>
      </c>
      <c r="R102" s="255">
        <f t="shared" ca="1" si="2630"/>
        <v>375231.69129599992</v>
      </c>
      <c r="S102" s="255">
        <f t="shared" ca="1" si="2630"/>
        <v>375231.69129599992</v>
      </c>
      <c r="T102" s="255">
        <f t="shared" ca="1" si="2630"/>
        <v>375231.69129599992</v>
      </c>
      <c r="U102" s="255">
        <f t="shared" ca="1" si="2630"/>
        <v>375231.69129599992</v>
      </c>
      <c r="V102" s="255">
        <f t="shared" ca="1" si="2630"/>
        <v>375231.69129599992</v>
      </c>
      <c r="W102" s="255">
        <f t="shared" ca="1" si="2630"/>
        <v>375231.69129599992</v>
      </c>
      <c r="X102" s="255">
        <f t="shared" ca="1" si="2630"/>
        <v>375231.69129599992</v>
      </c>
      <c r="Y102" s="255">
        <f t="shared" ca="1" si="2630"/>
        <v>375231.69129599992</v>
      </c>
      <c r="Z102" s="255">
        <f t="shared" ca="1" si="2630"/>
        <v>375231.69129599992</v>
      </c>
      <c r="AA102" s="255">
        <f t="shared" ca="1" si="2630"/>
        <v>375231.69129599992</v>
      </c>
      <c r="AB102" s="255">
        <f t="shared" ca="1" si="2630"/>
        <v>375231.69129599992</v>
      </c>
      <c r="AC102" s="436">
        <f ca="1">SUM(Q102:AB102)</f>
        <v>4502780.2955519995</v>
      </c>
      <c r="AD102" s="255">
        <f t="shared" ref="AD102:AO102" ca="1" si="2631">AD100*AD101</f>
        <v>433908.57383999997</v>
      </c>
      <c r="AE102" s="255">
        <f t="shared" ca="1" si="2631"/>
        <v>433908.57383999997</v>
      </c>
      <c r="AF102" s="255">
        <f t="shared" ca="1" si="2631"/>
        <v>433908.57383999997</v>
      </c>
      <c r="AG102" s="255">
        <f t="shared" ca="1" si="2631"/>
        <v>433908.57383999997</v>
      </c>
      <c r="AH102" s="255">
        <f t="shared" ca="1" si="2631"/>
        <v>433908.57383999997</v>
      </c>
      <c r="AI102" s="255">
        <f t="shared" ca="1" si="2631"/>
        <v>433908.57383999997</v>
      </c>
      <c r="AJ102" s="255">
        <f t="shared" ca="1" si="2631"/>
        <v>433908.57383999997</v>
      </c>
      <c r="AK102" s="255">
        <f t="shared" ca="1" si="2631"/>
        <v>433908.57383999997</v>
      </c>
      <c r="AL102" s="255">
        <f t="shared" ca="1" si="2631"/>
        <v>433908.57383999997</v>
      </c>
      <c r="AM102" s="255">
        <f t="shared" ca="1" si="2631"/>
        <v>433908.57383999997</v>
      </c>
      <c r="AN102" s="255">
        <f t="shared" ca="1" si="2631"/>
        <v>433908.57383999997</v>
      </c>
      <c r="AO102" s="255">
        <f t="shared" ca="1" si="2631"/>
        <v>433908.57383999997</v>
      </c>
      <c r="AP102" s="436">
        <f ca="1">SUM(AD102:AO102)</f>
        <v>5206902.8860799978</v>
      </c>
      <c r="AQ102" s="255">
        <f t="shared" ref="AQ102:BB102" ca="1" si="2632">AQ100*AQ101</f>
        <v>498270.78503999987</v>
      </c>
      <c r="AR102" s="255">
        <f t="shared" ca="1" si="2632"/>
        <v>498270.78503999987</v>
      </c>
      <c r="AS102" s="255">
        <f t="shared" ca="1" si="2632"/>
        <v>498270.78503999987</v>
      </c>
      <c r="AT102" s="255">
        <f t="shared" ca="1" si="2632"/>
        <v>498270.78503999987</v>
      </c>
      <c r="AU102" s="255">
        <f t="shared" ca="1" si="2632"/>
        <v>498270.78503999987</v>
      </c>
      <c r="AV102" s="255">
        <f t="shared" ca="1" si="2632"/>
        <v>498270.78503999987</v>
      </c>
      <c r="AW102" s="255">
        <f t="shared" ca="1" si="2632"/>
        <v>498270.78503999987</v>
      </c>
      <c r="AX102" s="255">
        <f t="shared" ca="1" si="2632"/>
        <v>498270.78503999987</v>
      </c>
      <c r="AY102" s="255">
        <f t="shared" ca="1" si="2632"/>
        <v>498270.78503999987</v>
      </c>
      <c r="AZ102" s="255">
        <f t="shared" ca="1" si="2632"/>
        <v>498270.78503999987</v>
      </c>
      <c r="BA102" s="255">
        <f t="shared" ca="1" si="2632"/>
        <v>498270.78503999987</v>
      </c>
      <c r="BB102" s="255">
        <f t="shared" ca="1" si="2632"/>
        <v>498270.78503999987</v>
      </c>
      <c r="BC102" s="436">
        <f ca="1">SUM(AQ102:BB102)</f>
        <v>5979249.420479998</v>
      </c>
      <c r="BD102" s="255">
        <f t="shared" ref="BD102:BO102" ca="1" si="2633">BD100*BD101</f>
        <v>568790.31444479979</v>
      </c>
      <c r="BE102" s="255">
        <f t="shared" ca="1" si="2633"/>
        <v>568790.31444479979</v>
      </c>
      <c r="BF102" s="255">
        <f t="shared" ca="1" si="2633"/>
        <v>568790.31444479979</v>
      </c>
      <c r="BG102" s="255">
        <f t="shared" ca="1" si="2633"/>
        <v>568790.31444479979</v>
      </c>
      <c r="BH102" s="255">
        <f t="shared" ca="1" si="2633"/>
        <v>568790.31444479979</v>
      </c>
      <c r="BI102" s="255">
        <f t="shared" ca="1" si="2633"/>
        <v>568790.31444479979</v>
      </c>
      <c r="BJ102" s="255">
        <f t="shared" ca="1" si="2633"/>
        <v>568790.31444479979</v>
      </c>
      <c r="BK102" s="255">
        <f t="shared" ca="1" si="2633"/>
        <v>568790.31444479979</v>
      </c>
      <c r="BL102" s="255">
        <f t="shared" ca="1" si="2633"/>
        <v>568790.31444479979</v>
      </c>
      <c r="BM102" s="255">
        <f t="shared" ca="1" si="2633"/>
        <v>568790.31444479979</v>
      </c>
      <c r="BN102" s="255">
        <f t="shared" ca="1" si="2633"/>
        <v>568790.31444479979</v>
      </c>
      <c r="BO102" s="255">
        <f t="shared" ca="1" si="2633"/>
        <v>568790.31444479979</v>
      </c>
      <c r="BP102" s="436">
        <f ca="1">SUM(BD102:BO102)</f>
        <v>6825483.773337598</v>
      </c>
      <c r="BQ102" s="255">
        <f t="shared" ref="BQ102:CB102" ca="1" si="2634">BQ100*BQ101</f>
        <v>645982.05974399985</v>
      </c>
      <c r="BR102" s="255">
        <f t="shared" ca="1" si="2634"/>
        <v>645982.05974399985</v>
      </c>
      <c r="BS102" s="255">
        <f t="shared" ca="1" si="2634"/>
        <v>645982.05974399985</v>
      </c>
      <c r="BT102" s="255">
        <f t="shared" ca="1" si="2634"/>
        <v>645982.05974399985</v>
      </c>
      <c r="BU102" s="255">
        <f t="shared" ca="1" si="2634"/>
        <v>645982.05974399985</v>
      </c>
      <c r="BV102" s="255">
        <f t="shared" ca="1" si="2634"/>
        <v>645982.05974399985</v>
      </c>
      <c r="BW102" s="255">
        <f t="shared" ca="1" si="2634"/>
        <v>645982.05974399985</v>
      </c>
      <c r="BX102" s="255">
        <f t="shared" ca="1" si="2634"/>
        <v>645982.05974399985</v>
      </c>
      <c r="BY102" s="255">
        <f t="shared" ca="1" si="2634"/>
        <v>645982.05974399985</v>
      </c>
      <c r="BZ102" s="255">
        <f t="shared" ca="1" si="2634"/>
        <v>645982.05974399985</v>
      </c>
      <c r="CA102" s="255">
        <f t="shared" ca="1" si="2634"/>
        <v>645982.05974399985</v>
      </c>
      <c r="CB102" s="255">
        <f t="shared" ca="1" si="2634"/>
        <v>645982.05974399985</v>
      </c>
      <c r="CC102" s="436">
        <f ca="1">SUM(BQ102:CB102)</f>
        <v>7751784.7169279968</v>
      </c>
      <c r="CD102" s="255">
        <f t="shared" ref="CD102:CO102" ca="1" si="2635">CD100*CD101</f>
        <v>684749.56495679985</v>
      </c>
      <c r="CE102" s="255">
        <f t="shared" ca="1" si="2635"/>
        <v>684749.56495679985</v>
      </c>
      <c r="CF102" s="255">
        <f t="shared" ca="1" si="2635"/>
        <v>684749.56495679985</v>
      </c>
      <c r="CG102" s="255">
        <f t="shared" ca="1" si="2635"/>
        <v>684749.56495679985</v>
      </c>
      <c r="CH102" s="255">
        <f t="shared" ca="1" si="2635"/>
        <v>684749.56495679985</v>
      </c>
      <c r="CI102" s="255">
        <f t="shared" ca="1" si="2635"/>
        <v>684749.56495679985</v>
      </c>
      <c r="CJ102" s="255">
        <f t="shared" ca="1" si="2635"/>
        <v>684749.56495679985</v>
      </c>
      <c r="CK102" s="255">
        <f t="shared" ca="1" si="2635"/>
        <v>684749.56495679985</v>
      </c>
      <c r="CL102" s="255">
        <f t="shared" ca="1" si="2635"/>
        <v>684749.56495679985</v>
      </c>
      <c r="CM102" s="255">
        <f t="shared" ca="1" si="2635"/>
        <v>684749.56495679985</v>
      </c>
      <c r="CN102" s="255">
        <f t="shared" ca="1" si="2635"/>
        <v>684749.56495679985</v>
      </c>
      <c r="CO102" s="255">
        <f t="shared" ca="1" si="2635"/>
        <v>684749.56495679985</v>
      </c>
      <c r="CP102" s="436">
        <f ca="1">SUM(CD102:CO102)</f>
        <v>8216994.7794816</v>
      </c>
    </row>
    <row r="103" spans="1:94" ht="20.100000000000001" customHeight="1">
      <c r="A103" s="792" t="str">
        <f ca="1">OFFSET('Summary. Assumptions. Inputs'!$A$45,'Internmediate sheet'!A8/3,0)</f>
        <v>Thermal shaders</v>
      </c>
      <c r="B103" s="19" t="s">
        <v>613</v>
      </c>
      <c r="C103" s="20">
        <f ca="1">OFFSET('Sales, Production, &amp; Other Assu'!C$54,'Internmediate sheet'!$A8/3,0)*Capacity</f>
        <v>54000</v>
      </c>
      <c r="D103" s="19">
        <f ca="1">OFFSET('Sales, Production, &amp; Other Assu'!D$54,'Internmediate sheet'!$A8/3,0)*Capacity</f>
        <v>54000</v>
      </c>
      <c r="E103" s="19">
        <f ca="1">OFFSET('Sales, Production, &amp; Other Assu'!E$54,'Internmediate sheet'!$A8/3,0)*Capacity</f>
        <v>54000</v>
      </c>
      <c r="F103" s="19">
        <f ca="1">OFFSET('Sales, Production, &amp; Other Assu'!F$54,'Internmediate sheet'!$A8/3,0)*Capacity</f>
        <v>54000</v>
      </c>
      <c r="G103" s="19">
        <f ca="1">OFFSET('Sales, Production, &amp; Other Assu'!G$54,'Internmediate sheet'!$A8/3,0)*Capacity</f>
        <v>54000</v>
      </c>
      <c r="H103" s="19">
        <f ca="1">OFFSET('Sales, Production, &amp; Other Assu'!H$54,'Internmediate sheet'!$A8/3,0)*Capacity</f>
        <v>54000</v>
      </c>
      <c r="I103" s="19">
        <f ca="1">OFFSET('Sales, Production, &amp; Other Assu'!I$54,'Internmediate sheet'!$A8/3,0)*Capacity</f>
        <v>54000</v>
      </c>
      <c r="J103" s="19">
        <f ca="1">OFFSET('Sales, Production, &amp; Other Assu'!J$54,'Internmediate sheet'!$A8/3,0)*Capacity</f>
        <v>54000</v>
      </c>
      <c r="K103" s="19">
        <f ca="1">OFFSET('Sales, Production, &amp; Other Assu'!K$54,'Internmediate sheet'!$A8/3,0)*Capacity</f>
        <v>54000</v>
      </c>
      <c r="L103" s="19">
        <f ca="1">OFFSET('Sales, Production, &amp; Other Assu'!L$54,'Internmediate sheet'!$A8/3,0)*Capacity</f>
        <v>54000</v>
      </c>
      <c r="M103" s="19">
        <f ca="1">OFFSET('Sales, Production, &amp; Other Assu'!M$54,'Internmediate sheet'!$A8/3,0)*Capacity</f>
        <v>54000</v>
      </c>
      <c r="N103" s="19">
        <f ca="1">OFFSET('Sales, Production, &amp; Other Assu'!N$54,'Internmediate sheet'!$A8/3,0)*Capacity</f>
        <v>54000</v>
      </c>
      <c r="O103" s="19">
        <f ca="1">OFFSET('Sales, Production, &amp; Other Assu'!O$54,'Internmediate sheet'!$A8/3,0)*Capacity</f>
        <v>54000</v>
      </c>
      <c r="P103" s="434">
        <f ca="1">SUM(D103:O103)</f>
        <v>648000</v>
      </c>
      <c r="Q103" s="19">
        <f ca="1">OFFSET('Sales, Production, &amp; Other Assu'!Q$54,'Internmediate sheet'!$A8/3,0)*Capacity</f>
        <v>62964</v>
      </c>
      <c r="R103" s="19">
        <f ca="1">OFFSET('Sales, Production, &amp; Other Assu'!R$54,'Internmediate sheet'!$A8/3,0)*Capacity</f>
        <v>62964</v>
      </c>
      <c r="S103" s="19">
        <f ca="1">OFFSET('Sales, Production, &amp; Other Assu'!S$54,'Internmediate sheet'!$A8/3,0)*Capacity</f>
        <v>62964</v>
      </c>
      <c r="T103" s="19">
        <f ca="1">OFFSET('Sales, Production, &amp; Other Assu'!T$54,'Internmediate sheet'!$A8/3,0)*Capacity</f>
        <v>62964</v>
      </c>
      <c r="U103" s="19">
        <f ca="1">OFFSET('Sales, Production, &amp; Other Assu'!U$54,'Internmediate sheet'!$A8/3,0)*Capacity</f>
        <v>62964</v>
      </c>
      <c r="V103" s="19">
        <f ca="1">OFFSET('Sales, Production, &amp; Other Assu'!V$54,'Internmediate sheet'!$A8/3,0)*Capacity</f>
        <v>62964</v>
      </c>
      <c r="W103" s="19">
        <f ca="1">OFFSET('Sales, Production, &amp; Other Assu'!W$54,'Internmediate sheet'!$A8/3,0)*Capacity</f>
        <v>62964</v>
      </c>
      <c r="X103" s="19">
        <f ca="1">OFFSET('Sales, Production, &amp; Other Assu'!X$54,'Internmediate sheet'!$A8/3,0)*Capacity</f>
        <v>62964</v>
      </c>
      <c r="Y103" s="19">
        <f ca="1">OFFSET('Sales, Production, &amp; Other Assu'!Y$54,'Internmediate sheet'!$A8/3,0)*Capacity</f>
        <v>62964</v>
      </c>
      <c r="Z103" s="19">
        <f ca="1">OFFSET('Sales, Production, &amp; Other Assu'!Z$54,'Internmediate sheet'!$A8/3,0)*Capacity</f>
        <v>62964</v>
      </c>
      <c r="AA103" s="19">
        <f ca="1">OFFSET('Sales, Production, &amp; Other Assu'!AA$54,'Internmediate sheet'!$A8/3,0)*Capacity</f>
        <v>62964</v>
      </c>
      <c r="AB103" s="19">
        <f ca="1">OFFSET('Sales, Production, &amp; Other Assu'!AB$54,'Internmediate sheet'!$A8/3,0)*Capacity</f>
        <v>62964</v>
      </c>
      <c r="AC103" s="434">
        <f ca="1">SUM(Q103:AB103)</f>
        <v>755568</v>
      </c>
      <c r="AD103" s="19">
        <f ca="1">OFFSET('Sales, Production, &amp; Other Assu'!AD$54,'Internmediate sheet'!$A8/3,0)*Capacity</f>
        <v>72810</v>
      </c>
      <c r="AE103" s="19">
        <f ca="1">OFFSET('Sales, Production, &amp; Other Assu'!AE$54,'Internmediate sheet'!$A8/3,0)*Capacity</f>
        <v>72810</v>
      </c>
      <c r="AF103" s="19">
        <f ca="1">OFFSET('Sales, Production, &amp; Other Assu'!AF$54,'Internmediate sheet'!$A8/3,0)*Capacity</f>
        <v>72810</v>
      </c>
      <c r="AG103" s="19">
        <f ca="1">OFFSET('Sales, Production, &amp; Other Assu'!AG$54,'Internmediate sheet'!$A8/3,0)*Capacity</f>
        <v>72810</v>
      </c>
      <c r="AH103" s="19">
        <f ca="1">OFFSET('Sales, Production, &amp; Other Assu'!AH$54,'Internmediate sheet'!$A8/3,0)*Capacity</f>
        <v>72810</v>
      </c>
      <c r="AI103" s="19">
        <f ca="1">OFFSET('Sales, Production, &amp; Other Assu'!AI$54,'Internmediate sheet'!$A8/3,0)*Capacity</f>
        <v>72810</v>
      </c>
      <c r="AJ103" s="19">
        <f ca="1">OFFSET('Sales, Production, &amp; Other Assu'!AJ$54,'Internmediate sheet'!$A8/3,0)*Capacity</f>
        <v>72810</v>
      </c>
      <c r="AK103" s="19">
        <f ca="1">OFFSET('Sales, Production, &amp; Other Assu'!AK$54,'Internmediate sheet'!$A8/3,0)*Capacity</f>
        <v>72810</v>
      </c>
      <c r="AL103" s="19">
        <f ca="1">OFFSET('Sales, Production, &amp; Other Assu'!AL$54,'Internmediate sheet'!$A8/3,0)*Capacity</f>
        <v>72810</v>
      </c>
      <c r="AM103" s="19">
        <f ca="1">OFFSET('Sales, Production, &amp; Other Assu'!AM$54,'Internmediate sheet'!$A8/3,0)*Capacity</f>
        <v>72810</v>
      </c>
      <c r="AN103" s="19">
        <f ca="1">OFFSET('Sales, Production, &amp; Other Assu'!AN$54,'Internmediate sheet'!$A8/3,0)*Capacity</f>
        <v>72810</v>
      </c>
      <c r="AO103" s="19">
        <f ca="1">OFFSET('Sales, Production, &amp; Other Assu'!AO$54,'Internmediate sheet'!$A8/3,0)*Capacity</f>
        <v>72810</v>
      </c>
      <c r="AP103" s="434">
        <f ca="1">SUM(AD103:AO103)</f>
        <v>873720</v>
      </c>
      <c r="AQ103" s="19">
        <f ca="1">OFFSET('Sales, Production, &amp; Other Assu'!AQ$54,'Internmediate sheet'!$A8/3,0)*Capacity</f>
        <v>83610</v>
      </c>
      <c r="AR103" s="19">
        <f ca="1">OFFSET('Sales, Production, &amp; Other Assu'!AR$54,'Internmediate sheet'!$A8/3,0)*Capacity</f>
        <v>83610</v>
      </c>
      <c r="AS103" s="19">
        <f ca="1">OFFSET('Sales, Production, &amp; Other Assu'!AS$54,'Internmediate sheet'!$A8/3,0)*Capacity</f>
        <v>83610</v>
      </c>
      <c r="AT103" s="19">
        <f ca="1">OFFSET('Sales, Production, &amp; Other Assu'!AT$54,'Internmediate sheet'!$A8/3,0)*Capacity</f>
        <v>83610</v>
      </c>
      <c r="AU103" s="19">
        <f ca="1">OFFSET('Sales, Production, &amp; Other Assu'!AU$54,'Internmediate sheet'!$A8/3,0)*Capacity</f>
        <v>83610</v>
      </c>
      <c r="AV103" s="19">
        <f ca="1">OFFSET('Sales, Production, &amp; Other Assu'!AV$54,'Internmediate sheet'!$A8/3,0)*Capacity</f>
        <v>83610</v>
      </c>
      <c r="AW103" s="19">
        <f ca="1">OFFSET('Sales, Production, &amp; Other Assu'!AW$54,'Internmediate sheet'!$A8/3,0)*Capacity</f>
        <v>83610</v>
      </c>
      <c r="AX103" s="19">
        <f ca="1">OFFSET('Sales, Production, &amp; Other Assu'!AX$54,'Internmediate sheet'!$A8/3,0)*Capacity</f>
        <v>83610</v>
      </c>
      <c r="AY103" s="19">
        <f ca="1">OFFSET('Sales, Production, &amp; Other Assu'!AY$54,'Internmediate sheet'!$A8/3,0)*Capacity</f>
        <v>83610</v>
      </c>
      <c r="AZ103" s="19">
        <f ca="1">OFFSET('Sales, Production, &amp; Other Assu'!AZ$54,'Internmediate sheet'!$A8/3,0)*Capacity</f>
        <v>83610</v>
      </c>
      <c r="BA103" s="19">
        <f ca="1">OFFSET('Sales, Production, &amp; Other Assu'!BA$54,'Internmediate sheet'!$A8/3,0)*Capacity</f>
        <v>83610</v>
      </c>
      <c r="BB103" s="19">
        <f ca="1">OFFSET('Sales, Production, &amp; Other Assu'!BB$54,'Internmediate sheet'!$A8/3,0)*Capacity</f>
        <v>83610</v>
      </c>
      <c r="BC103" s="434">
        <f ca="1">SUM(AQ103:BB103)</f>
        <v>1003320</v>
      </c>
      <c r="BD103" s="19">
        <f ca="1">OFFSET('Sales, Production, &amp; Other Assu'!BD$54,'Internmediate sheet'!$A8/3,0)*Capacity</f>
        <v>95443.199999999997</v>
      </c>
      <c r="BE103" s="19">
        <f ca="1">OFFSET('Sales, Production, &amp; Other Assu'!BE$54,'Internmediate sheet'!$A8/3,0)*Capacity</f>
        <v>95443.199999999997</v>
      </c>
      <c r="BF103" s="19">
        <f ca="1">OFFSET('Sales, Production, &amp; Other Assu'!BF$54,'Internmediate sheet'!$A8/3,0)*Capacity</f>
        <v>95443.199999999997</v>
      </c>
      <c r="BG103" s="19">
        <f ca="1">OFFSET('Sales, Production, &amp; Other Assu'!BG$54,'Internmediate sheet'!$A8/3,0)*Capacity</f>
        <v>95443.199999999997</v>
      </c>
      <c r="BH103" s="19">
        <f ca="1">OFFSET('Sales, Production, &amp; Other Assu'!BH$54,'Internmediate sheet'!$A8/3,0)*Capacity</f>
        <v>95443.199999999997</v>
      </c>
      <c r="BI103" s="19">
        <f ca="1">OFFSET('Sales, Production, &amp; Other Assu'!BI$54,'Internmediate sheet'!$A8/3,0)*Capacity</f>
        <v>95443.199999999997</v>
      </c>
      <c r="BJ103" s="19">
        <f ca="1">OFFSET('Sales, Production, &amp; Other Assu'!BJ$54,'Internmediate sheet'!$A8/3,0)*Capacity</f>
        <v>95443.199999999997</v>
      </c>
      <c r="BK103" s="19">
        <f ca="1">OFFSET('Sales, Production, &amp; Other Assu'!BK$54,'Internmediate sheet'!$A8/3,0)*Capacity</f>
        <v>95443.199999999997</v>
      </c>
      <c r="BL103" s="19">
        <f ca="1">OFFSET('Sales, Production, &amp; Other Assu'!BL$54,'Internmediate sheet'!$A8/3,0)*Capacity</f>
        <v>95443.199999999997</v>
      </c>
      <c r="BM103" s="19">
        <f ca="1">OFFSET('Sales, Production, &amp; Other Assu'!BM$54,'Internmediate sheet'!$A8/3,0)*Capacity</f>
        <v>95443.199999999997</v>
      </c>
      <c r="BN103" s="19">
        <f ca="1">OFFSET('Sales, Production, &amp; Other Assu'!BN$54,'Internmediate sheet'!$A8/3,0)*Capacity</f>
        <v>95443.199999999997</v>
      </c>
      <c r="BO103" s="19">
        <f ca="1">OFFSET('Sales, Production, &amp; Other Assu'!BO$54,'Internmediate sheet'!$A8/3,0)*Capacity</f>
        <v>95443.199999999997</v>
      </c>
      <c r="BP103" s="434">
        <f ca="1">SUM(BD103:BO103)</f>
        <v>1145318.3999999997</v>
      </c>
      <c r="BQ103" s="19">
        <f ca="1">OFFSET('Sales, Production, &amp; Other Assu'!BQ$54,'Internmediate sheet'!$A8/3,0)*Capacity</f>
        <v>108396</v>
      </c>
      <c r="BR103" s="19">
        <f ca="1">OFFSET('Sales, Production, &amp; Other Assu'!BR$54,'Internmediate sheet'!$A8/3,0)*Capacity</f>
        <v>108396</v>
      </c>
      <c r="BS103" s="19">
        <f ca="1">OFFSET('Sales, Production, &amp; Other Assu'!BS$54,'Internmediate sheet'!$A8/3,0)*Capacity</f>
        <v>108396</v>
      </c>
      <c r="BT103" s="19">
        <f ca="1">OFFSET('Sales, Production, &amp; Other Assu'!BT$54,'Internmediate sheet'!$A8/3,0)*Capacity</f>
        <v>108396</v>
      </c>
      <c r="BU103" s="19">
        <f ca="1">OFFSET('Sales, Production, &amp; Other Assu'!BU$54,'Internmediate sheet'!$A8/3,0)*Capacity</f>
        <v>108396</v>
      </c>
      <c r="BV103" s="19">
        <f ca="1">OFFSET('Sales, Production, &amp; Other Assu'!BV$54,'Internmediate sheet'!$A8/3,0)*Capacity</f>
        <v>108396</v>
      </c>
      <c r="BW103" s="19">
        <f ca="1">OFFSET('Sales, Production, &amp; Other Assu'!BW$54,'Internmediate sheet'!$A8/3,0)*Capacity</f>
        <v>108396</v>
      </c>
      <c r="BX103" s="19">
        <f ca="1">OFFSET('Sales, Production, &amp; Other Assu'!BX$54,'Internmediate sheet'!$A8/3,0)*Capacity</f>
        <v>108396</v>
      </c>
      <c r="BY103" s="19">
        <f ca="1">OFFSET('Sales, Production, &amp; Other Assu'!BY$54,'Internmediate sheet'!$A8/3,0)*Capacity</f>
        <v>108396</v>
      </c>
      <c r="BZ103" s="19">
        <f ca="1">OFFSET('Sales, Production, &amp; Other Assu'!BZ$54,'Internmediate sheet'!$A8/3,0)*Capacity</f>
        <v>108396</v>
      </c>
      <c r="CA103" s="19">
        <f ca="1">OFFSET('Sales, Production, &amp; Other Assu'!CA$54,'Internmediate sheet'!$A8/3,0)*Capacity</f>
        <v>108396</v>
      </c>
      <c r="CB103" s="19">
        <f ca="1">OFFSET('Sales, Production, &amp; Other Assu'!CB$54,'Internmediate sheet'!$A8/3,0)*Capacity</f>
        <v>108396</v>
      </c>
      <c r="CC103" s="434">
        <f ca="1">SUM(BQ103:CB103)</f>
        <v>1300752</v>
      </c>
      <c r="CD103" s="19">
        <f ca="1">OFFSET('Sales, Production, &amp; Other Assu'!CD$54,'Internmediate sheet'!$A8/3,0)*Capacity</f>
        <v>114901.2</v>
      </c>
      <c r="CE103" s="19">
        <f ca="1">OFFSET('Sales, Production, &amp; Other Assu'!CE$54,'Internmediate sheet'!$A8/3,0)*Capacity</f>
        <v>114901.2</v>
      </c>
      <c r="CF103" s="19">
        <f ca="1">OFFSET('Sales, Production, &amp; Other Assu'!CF$54,'Internmediate sheet'!$A8/3,0)*Capacity</f>
        <v>114901.2</v>
      </c>
      <c r="CG103" s="19">
        <f ca="1">OFFSET('Sales, Production, &amp; Other Assu'!CG$54,'Internmediate sheet'!$A8/3,0)*Capacity</f>
        <v>114901.2</v>
      </c>
      <c r="CH103" s="19">
        <f ca="1">OFFSET('Sales, Production, &amp; Other Assu'!CH$54,'Internmediate sheet'!$A8/3,0)*Capacity</f>
        <v>114901.2</v>
      </c>
      <c r="CI103" s="19">
        <f ca="1">OFFSET('Sales, Production, &amp; Other Assu'!CI$54,'Internmediate sheet'!$A8/3,0)*Capacity</f>
        <v>114901.2</v>
      </c>
      <c r="CJ103" s="19">
        <f ca="1">OFFSET('Sales, Production, &amp; Other Assu'!CJ$54,'Internmediate sheet'!$A8/3,0)*Capacity</f>
        <v>114901.2</v>
      </c>
      <c r="CK103" s="19">
        <f ca="1">OFFSET('Sales, Production, &amp; Other Assu'!CK$54,'Internmediate sheet'!$A8/3,0)*Capacity</f>
        <v>114901.2</v>
      </c>
      <c r="CL103" s="19">
        <f ca="1">OFFSET('Sales, Production, &amp; Other Assu'!CL$54,'Internmediate sheet'!$A8/3,0)*Capacity</f>
        <v>114901.2</v>
      </c>
      <c r="CM103" s="19">
        <f ca="1">OFFSET('Sales, Production, &amp; Other Assu'!CM$54,'Internmediate sheet'!$A8/3,0)*Capacity</f>
        <v>114901.2</v>
      </c>
      <c r="CN103" s="19">
        <f ca="1">OFFSET('Sales, Production, &amp; Other Assu'!CN$54,'Internmediate sheet'!$A8/3,0)*Capacity</f>
        <v>114901.2</v>
      </c>
      <c r="CO103" s="19">
        <f ca="1">OFFSET('Sales, Production, &amp; Other Assu'!CO$54,'Internmediate sheet'!$A8/3,0)*Capacity</f>
        <v>114901.2</v>
      </c>
      <c r="CP103" s="434">
        <f ca="1">SUM(CD103:CO103)</f>
        <v>1378814.3999999997</v>
      </c>
    </row>
    <row r="104" spans="1:94" ht="20.100000000000001" customHeight="1">
      <c r="A104" s="793"/>
      <c r="B104" s="9" t="s">
        <v>614</v>
      </c>
      <c r="C104" s="10">
        <f ca="1">OFFSET('BEP. &amp; Summary Results'!$C$6,'Internmediate sheet'!A5/3,0)</f>
        <v>2.2403999999999997</v>
      </c>
      <c r="D104" s="9">
        <f t="shared" ref="D104:P104" ca="1" si="2636">C104</f>
        <v>2.2403999999999997</v>
      </c>
      <c r="E104" s="9">
        <f t="shared" ca="1" si="2636"/>
        <v>2.2403999999999997</v>
      </c>
      <c r="F104" s="9">
        <f t="shared" ca="1" si="2636"/>
        <v>2.2403999999999997</v>
      </c>
      <c r="G104" s="9">
        <f t="shared" ca="1" si="2636"/>
        <v>2.2403999999999997</v>
      </c>
      <c r="H104" s="9">
        <f t="shared" ca="1" si="2636"/>
        <v>2.2403999999999997</v>
      </c>
      <c r="I104" s="9">
        <f t="shared" ca="1" si="2636"/>
        <v>2.2403999999999997</v>
      </c>
      <c r="J104" s="9">
        <f t="shared" ca="1" si="2636"/>
        <v>2.2403999999999997</v>
      </c>
      <c r="K104" s="9">
        <f t="shared" ca="1" si="2636"/>
        <v>2.2403999999999997</v>
      </c>
      <c r="L104" s="9">
        <f t="shared" ca="1" si="2636"/>
        <v>2.2403999999999997</v>
      </c>
      <c r="M104" s="9">
        <f t="shared" ca="1" si="2636"/>
        <v>2.2403999999999997</v>
      </c>
      <c r="N104" s="9">
        <f t="shared" ca="1" si="2636"/>
        <v>2.2403999999999997</v>
      </c>
      <c r="O104" s="9">
        <f t="shared" ca="1" si="2636"/>
        <v>2.2403999999999997</v>
      </c>
      <c r="P104" s="435">
        <f t="shared" ca="1" si="2636"/>
        <v>2.2403999999999997</v>
      </c>
      <c r="Q104" s="9">
        <f t="shared" ref="Q104" ca="1" si="2637">P104</f>
        <v>2.2403999999999997</v>
      </c>
      <c r="R104" s="9">
        <f t="shared" ref="R104" ca="1" si="2638">Q104</f>
        <v>2.2403999999999997</v>
      </c>
      <c r="S104" s="9">
        <f t="shared" ref="S104" ca="1" si="2639">R104</f>
        <v>2.2403999999999997</v>
      </c>
      <c r="T104" s="9">
        <f t="shared" ref="T104" ca="1" si="2640">S104</f>
        <v>2.2403999999999997</v>
      </c>
      <c r="U104" s="9">
        <f t="shared" ref="U104" ca="1" si="2641">T104</f>
        <v>2.2403999999999997</v>
      </c>
      <c r="V104" s="9">
        <f t="shared" ref="V104" ca="1" si="2642">U104</f>
        <v>2.2403999999999997</v>
      </c>
      <c r="W104" s="9">
        <f t="shared" ref="W104" ca="1" si="2643">V104</f>
        <v>2.2403999999999997</v>
      </c>
      <c r="X104" s="9">
        <f t="shared" ref="X104" ca="1" si="2644">W104</f>
        <v>2.2403999999999997</v>
      </c>
      <c r="Y104" s="9">
        <f t="shared" ref="Y104" ca="1" si="2645">X104</f>
        <v>2.2403999999999997</v>
      </c>
      <c r="Z104" s="9">
        <f t="shared" ref="Z104" ca="1" si="2646">Y104</f>
        <v>2.2403999999999997</v>
      </c>
      <c r="AA104" s="9">
        <f t="shared" ref="AA104" ca="1" si="2647">Z104</f>
        <v>2.2403999999999997</v>
      </c>
      <c r="AB104" s="9">
        <f t="shared" ref="AB104" ca="1" si="2648">AA104</f>
        <v>2.2403999999999997</v>
      </c>
      <c r="AC104" s="435">
        <f t="shared" ref="AC104" ca="1" si="2649">AB104</f>
        <v>2.2403999999999997</v>
      </c>
      <c r="AD104" s="9">
        <f t="shared" ref="AD104" ca="1" si="2650">AC104</f>
        <v>2.2403999999999997</v>
      </c>
      <c r="AE104" s="9">
        <f t="shared" ref="AE104" ca="1" si="2651">AD104</f>
        <v>2.2403999999999997</v>
      </c>
      <c r="AF104" s="9">
        <f t="shared" ref="AF104" ca="1" si="2652">AE104</f>
        <v>2.2403999999999997</v>
      </c>
      <c r="AG104" s="9">
        <f t="shared" ref="AG104" ca="1" si="2653">AF104</f>
        <v>2.2403999999999997</v>
      </c>
      <c r="AH104" s="9">
        <f t="shared" ref="AH104" ca="1" si="2654">AG104</f>
        <v>2.2403999999999997</v>
      </c>
      <c r="AI104" s="9">
        <f t="shared" ref="AI104" ca="1" si="2655">AH104</f>
        <v>2.2403999999999997</v>
      </c>
      <c r="AJ104" s="9">
        <f t="shared" ref="AJ104" ca="1" si="2656">AI104</f>
        <v>2.2403999999999997</v>
      </c>
      <c r="AK104" s="9">
        <f t="shared" ref="AK104" ca="1" si="2657">AJ104</f>
        <v>2.2403999999999997</v>
      </c>
      <c r="AL104" s="9">
        <f t="shared" ref="AL104" ca="1" si="2658">AK104</f>
        <v>2.2403999999999997</v>
      </c>
      <c r="AM104" s="9">
        <f t="shared" ref="AM104" ca="1" si="2659">AL104</f>
        <v>2.2403999999999997</v>
      </c>
      <c r="AN104" s="9">
        <f t="shared" ref="AN104" ca="1" si="2660">AM104</f>
        <v>2.2403999999999997</v>
      </c>
      <c r="AO104" s="9">
        <f t="shared" ref="AO104" ca="1" si="2661">AN104</f>
        <v>2.2403999999999997</v>
      </c>
      <c r="AP104" s="435">
        <f t="shared" ref="AP104" ca="1" si="2662">AO104</f>
        <v>2.2403999999999997</v>
      </c>
      <c r="AQ104" s="9">
        <f ca="1">AP104</f>
        <v>2.2403999999999997</v>
      </c>
      <c r="AR104" s="9">
        <f t="shared" ref="AR104" ca="1" si="2663">AQ104</f>
        <v>2.2403999999999997</v>
      </c>
      <c r="AS104" s="9">
        <f t="shared" ref="AS104" ca="1" si="2664">AR104</f>
        <v>2.2403999999999997</v>
      </c>
      <c r="AT104" s="9">
        <f t="shared" ref="AT104" ca="1" si="2665">AS104</f>
        <v>2.2403999999999997</v>
      </c>
      <c r="AU104" s="9">
        <f t="shared" ref="AU104" ca="1" si="2666">AT104</f>
        <v>2.2403999999999997</v>
      </c>
      <c r="AV104" s="9">
        <f t="shared" ref="AV104" ca="1" si="2667">AU104</f>
        <v>2.2403999999999997</v>
      </c>
      <c r="AW104" s="9">
        <f t="shared" ref="AW104" ca="1" si="2668">AV104</f>
        <v>2.2403999999999997</v>
      </c>
      <c r="AX104" s="9">
        <f t="shared" ref="AX104" ca="1" si="2669">AW104</f>
        <v>2.2403999999999997</v>
      </c>
      <c r="AY104" s="9">
        <f t="shared" ref="AY104" ca="1" si="2670">AX104</f>
        <v>2.2403999999999997</v>
      </c>
      <c r="AZ104" s="9">
        <f t="shared" ref="AZ104" ca="1" si="2671">AY104</f>
        <v>2.2403999999999997</v>
      </c>
      <c r="BA104" s="9">
        <f t="shared" ref="BA104" ca="1" si="2672">AZ104</f>
        <v>2.2403999999999997</v>
      </c>
      <c r="BB104" s="9">
        <f t="shared" ref="BB104" ca="1" si="2673">BA104</f>
        <v>2.2403999999999997</v>
      </c>
      <c r="BC104" s="435">
        <f t="shared" ref="BC104" ca="1" si="2674">BB104</f>
        <v>2.2403999999999997</v>
      </c>
      <c r="BD104" s="9">
        <f t="shared" ref="BD104" ca="1" si="2675">BC104</f>
        <v>2.2403999999999997</v>
      </c>
      <c r="BE104" s="9">
        <f t="shared" ref="BE104" ca="1" si="2676">BD104</f>
        <v>2.2403999999999997</v>
      </c>
      <c r="BF104" s="9">
        <f t="shared" ref="BF104" ca="1" si="2677">BE104</f>
        <v>2.2403999999999997</v>
      </c>
      <c r="BG104" s="9">
        <f t="shared" ref="BG104" ca="1" si="2678">BF104</f>
        <v>2.2403999999999997</v>
      </c>
      <c r="BH104" s="9">
        <f t="shared" ref="BH104" ca="1" si="2679">BG104</f>
        <v>2.2403999999999997</v>
      </c>
      <c r="BI104" s="9">
        <f t="shared" ref="BI104" ca="1" si="2680">BH104</f>
        <v>2.2403999999999997</v>
      </c>
      <c r="BJ104" s="9">
        <f t="shared" ref="BJ104" ca="1" si="2681">BI104</f>
        <v>2.2403999999999997</v>
      </c>
      <c r="BK104" s="9">
        <f t="shared" ref="BK104" ca="1" si="2682">BJ104</f>
        <v>2.2403999999999997</v>
      </c>
      <c r="BL104" s="9">
        <f t="shared" ref="BL104" ca="1" si="2683">BK104</f>
        <v>2.2403999999999997</v>
      </c>
      <c r="BM104" s="9">
        <f t="shared" ref="BM104" ca="1" si="2684">BL104</f>
        <v>2.2403999999999997</v>
      </c>
      <c r="BN104" s="9">
        <f t="shared" ref="BN104" ca="1" si="2685">BM104</f>
        <v>2.2403999999999997</v>
      </c>
      <c r="BO104" s="9">
        <f t="shared" ref="BO104" ca="1" si="2686">BN104</f>
        <v>2.2403999999999997</v>
      </c>
      <c r="BP104" s="435">
        <f t="shared" ref="BP104" ca="1" si="2687">BO104</f>
        <v>2.2403999999999997</v>
      </c>
      <c r="BQ104" s="9">
        <f t="shared" ref="BQ104" ca="1" si="2688">BP104</f>
        <v>2.2403999999999997</v>
      </c>
      <c r="BR104" s="9">
        <f t="shared" ref="BR104" ca="1" si="2689">BQ104</f>
        <v>2.2403999999999997</v>
      </c>
      <c r="BS104" s="9">
        <f t="shared" ref="BS104" ca="1" si="2690">BR104</f>
        <v>2.2403999999999997</v>
      </c>
      <c r="BT104" s="9">
        <f t="shared" ref="BT104" ca="1" si="2691">BS104</f>
        <v>2.2403999999999997</v>
      </c>
      <c r="BU104" s="9">
        <f t="shared" ref="BU104" ca="1" si="2692">BT104</f>
        <v>2.2403999999999997</v>
      </c>
      <c r="BV104" s="9">
        <f t="shared" ref="BV104" ca="1" si="2693">BU104</f>
        <v>2.2403999999999997</v>
      </c>
      <c r="BW104" s="9">
        <f t="shared" ref="BW104" ca="1" si="2694">BV104</f>
        <v>2.2403999999999997</v>
      </c>
      <c r="BX104" s="9">
        <f t="shared" ref="BX104" ca="1" si="2695">BW104</f>
        <v>2.2403999999999997</v>
      </c>
      <c r="BY104" s="9">
        <f t="shared" ref="BY104" ca="1" si="2696">BX104</f>
        <v>2.2403999999999997</v>
      </c>
      <c r="BZ104" s="9">
        <f t="shared" ref="BZ104" ca="1" si="2697">BY104</f>
        <v>2.2403999999999997</v>
      </c>
      <c r="CA104" s="9">
        <f t="shared" ref="CA104" ca="1" si="2698">BZ104</f>
        <v>2.2403999999999997</v>
      </c>
      <c r="CB104" s="9">
        <f t="shared" ref="CB104" ca="1" si="2699">CA104</f>
        <v>2.2403999999999997</v>
      </c>
      <c r="CC104" s="435">
        <f t="shared" ref="CC104" ca="1" si="2700">CB104</f>
        <v>2.2403999999999997</v>
      </c>
      <c r="CD104" s="9">
        <f t="shared" ref="CD104" ca="1" si="2701">CC104</f>
        <v>2.2403999999999997</v>
      </c>
      <c r="CE104" s="9">
        <f t="shared" ref="CE104" ca="1" si="2702">CD104</f>
        <v>2.2403999999999997</v>
      </c>
      <c r="CF104" s="9">
        <f t="shared" ref="CF104" ca="1" si="2703">CE104</f>
        <v>2.2403999999999997</v>
      </c>
      <c r="CG104" s="9">
        <f t="shared" ref="CG104" ca="1" si="2704">CF104</f>
        <v>2.2403999999999997</v>
      </c>
      <c r="CH104" s="9">
        <f t="shared" ref="CH104" ca="1" si="2705">CG104</f>
        <v>2.2403999999999997</v>
      </c>
      <c r="CI104" s="9">
        <f t="shared" ref="CI104" ca="1" si="2706">CH104</f>
        <v>2.2403999999999997</v>
      </c>
      <c r="CJ104" s="9">
        <f t="shared" ref="CJ104" ca="1" si="2707">CI104</f>
        <v>2.2403999999999997</v>
      </c>
      <c r="CK104" s="9">
        <f t="shared" ref="CK104" ca="1" si="2708">CJ104</f>
        <v>2.2403999999999997</v>
      </c>
      <c r="CL104" s="9">
        <f t="shared" ref="CL104" ca="1" si="2709">CK104</f>
        <v>2.2403999999999997</v>
      </c>
      <c r="CM104" s="9">
        <f t="shared" ref="CM104" ca="1" si="2710">CL104</f>
        <v>2.2403999999999997</v>
      </c>
      <c r="CN104" s="9">
        <f t="shared" ref="CN104" ca="1" si="2711">CM104</f>
        <v>2.2403999999999997</v>
      </c>
      <c r="CO104" s="9">
        <f t="shared" ref="CO104" ca="1" si="2712">CN104</f>
        <v>2.2403999999999997</v>
      </c>
      <c r="CP104" s="435">
        <f t="shared" ref="CP104" ca="1" si="2713">CO104</f>
        <v>2.2403999999999997</v>
      </c>
    </row>
    <row r="105" spans="1:94" ht="20.100000000000001" customHeight="1">
      <c r="A105" s="794"/>
      <c r="B105" s="255" t="s">
        <v>615</v>
      </c>
      <c r="C105" s="256">
        <f t="shared" ref="C105:O105" ca="1" si="2714">C103*C104</f>
        <v>120981.59999999999</v>
      </c>
      <c r="D105" s="255">
        <f t="shared" ca="1" si="2714"/>
        <v>120981.59999999999</v>
      </c>
      <c r="E105" s="255">
        <f t="shared" ca="1" si="2714"/>
        <v>120981.59999999999</v>
      </c>
      <c r="F105" s="255">
        <f t="shared" ca="1" si="2714"/>
        <v>120981.59999999999</v>
      </c>
      <c r="G105" s="255">
        <f t="shared" ca="1" si="2714"/>
        <v>120981.59999999999</v>
      </c>
      <c r="H105" s="255">
        <f t="shared" ca="1" si="2714"/>
        <v>120981.59999999999</v>
      </c>
      <c r="I105" s="255">
        <f t="shared" ca="1" si="2714"/>
        <v>120981.59999999999</v>
      </c>
      <c r="J105" s="255">
        <f t="shared" ca="1" si="2714"/>
        <v>120981.59999999999</v>
      </c>
      <c r="K105" s="255">
        <f t="shared" ca="1" si="2714"/>
        <v>120981.59999999999</v>
      </c>
      <c r="L105" s="255">
        <f t="shared" ca="1" si="2714"/>
        <v>120981.59999999999</v>
      </c>
      <c r="M105" s="255">
        <f t="shared" ca="1" si="2714"/>
        <v>120981.59999999999</v>
      </c>
      <c r="N105" s="255">
        <f t="shared" ca="1" si="2714"/>
        <v>120981.59999999999</v>
      </c>
      <c r="O105" s="255">
        <f t="shared" ca="1" si="2714"/>
        <v>120981.59999999999</v>
      </c>
      <c r="P105" s="436">
        <f ca="1">SUM(D105:O105)</f>
        <v>1451779.2000000002</v>
      </c>
      <c r="Q105" s="255">
        <f t="shared" ref="Q105:AB105" ca="1" si="2715">Q103*Q104</f>
        <v>141064.54559999998</v>
      </c>
      <c r="R105" s="255">
        <f t="shared" ca="1" si="2715"/>
        <v>141064.54559999998</v>
      </c>
      <c r="S105" s="255">
        <f t="shared" ca="1" si="2715"/>
        <v>141064.54559999998</v>
      </c>
      <c r="T105" s="255">
        <f t="shared" ca="1" si="2715"/>
        <v>141064.54559999998</v>
      </c>
      <c r="U105" s="255">
        <f t="shared" ca="1" si="2715"/>
        <v>141064.54559999998</v>
      </c>
      <c r="V105" s="255">
        <f t="shared" ca="1" si="2715"/>
        <v>141064.54559999998</v>
      </c>
      <c r="W105" s="255">
        <f t="shared" ca="1" si="2715"/>
        <v>141064.54559999998</v>
      </c>
      <c r="X105" s="255">
        <f t="shared" ca="1" si="2715"/>
        <v>141064.54559999998</v>
      </c>
      <c r="Y105" s="255">
        <f t="shared" ca="1" si="2715"/>
        <v>141064.54559999998</v>
      </c>
      <c r="Z105" s="255">
        <f t="shared" ca="1" si="2715"/>
        <v>141064.54559999998</v>
      </c>
      <c r="AA105" s="255">
        <f t="shared" ca="1" si="2715"/>
        <v>141064.54559999998</v>
      </c>
      <c r="AB105" s="255">
        <f t="shared" ca="1" si="2715"/>
        <v>141064.54559999998</v>
      </c>
      <c r="AC105" s="436">
        <f ca="1">SUM(Q105:AB105)</f>
        <v>1692774.5472000001</v>
      </c>
      <c r="AD105" s="255">
        <f t="shared" ref="AD105:AO105" ca="1" si="2716">AD103*AD104</f>
        <v>163123.52399999998</v>
      </c>
      <c r="AE105" s="255">
        <f t="shared" ca="1" si="2716"/>
        <v>163123.52399999998</v>
      </c>
      <c r="AF105" s="255">
        <f t="shared" ca="1" si="2716"/>
        <v>163123.52399999998</v>
      </c>
      <c r="AG105" s="255">
        <f t="shared" ca="1" si="2716"/>
        <v>163123.52399999998</v>
      </c>
      <c r="AH105" s="255">
        <f t="shared" ca="1" si="2716"/>
        <v>163123.52399999998</v>
      </c>
      <c r="AI105" s="255">
        <f t="shared" ca="1" si="2716"/>
        <v>163123.52399999998</v>
      </c>
      <c r="AJ105" s="255">
        <f t="shared" ca="1" si="2716"/>
        <v>163123.52399999998</v>
      </c>
      <c r="AK105" s="255">
        <f t="shared" ca="1" si="2716"/>
        <v>163123.52399999998</v>
      </c>
      <c r="AL105" s="255">
        <f t="shared" ca="1" si="2716"/>
        <v>163123.52399999998</v>
      </c>
      <c r="AM105" s="255">
        <f t="shared" ca="1" si="2716"/>
        <v>163123.52399999998</v>
      </c>
      <c r="AN105" s="255">
        <f t="shared" ca="1" si="2716"/>
        <v>163123.52399999998</v>
      </c>
      <c r="AO105" s="255">
        <f t="shared" ca="1" si="2716"/>
        <v>163123.52399999998</v>
      </c>
      <c r="AP105" s="436">
        <f ca="1">SUM(AD105:AO105)</f>
        <v>1957482.2879999997</v>
      </c>
      <c r="AQ105" s="255">
        <f t="shared" ref="AQ105:BB105" ca="1" si="2717">AQ103*AQ104</f>
        <v>187319.84399999998</v>
      </c>
      <c r="AR105" s="255">
        <f t="shared" ca="1" si="2717"/>
        <v>187319.84399999998</v>
      </c>
      <c r="AS105" s="255">
        <f t="shared" ca="1" si="2717"/>
        <v>187319.84399999998</v>
      </c>
      <c r="AT105" s="255">
        <f t="shared" ca="1" si="2717"/>
        <v>187319.84399999998</v>
      </c>
      <c r="AU105" s="255">
        <f t="shared" ca="1" si="2717"/>
        <v>187319.84399999998</v>
      </c>
      <c r="AV105" s="255">
        <f t="shared" ca="1" si="2717"/>
        <v>187319.84399999998</v>
      </c>
      <c r="AW105" s="255">
        <f t="shared" ca="1" si="2717"/>
        <v>187319.84399999998</v>
      </c>
      <c r="AX105" s="255">
        <f t="shared" ca="1" si="2717"/>
        <v>187319.84399999998</v>
      </c>
      <c r="AY105" s="255">
        <f t="shared" ca="1" si="2717"/>
        <v>187319.84399999998</v>
      </c>
      <c r="AZ105" s="255">
        <f t="shared" ca="1" si="2717"/>
        <v>187319.84399999998</v>
      </c>
      <c r="BA105" s="255">
        <f t="shared" ca="1" si="2717"/>
        <v>187319.84399999998</v>
      </c>
      <c r="BB105" s="255">
        <f t="shared" ca="1" si="2717"/>
        <v>187319.84399999998</v>
      </c>
      <c r="BC105" s="436">
        <f ca="1">SUM(AQ105:BB105)</f>
        <v>2247838.128</v>
      </c>
      <c r="BD105" s="255">
        <f t="shared" ref="BD105:BO105" ca="1" si="2718">BD103*BD104</f>
        <v>213830.94527999996</v>
      </c>
      <c r="BE105" s="255">
        <f t="shared" ca="1" si="2718"/>
        <v>213830.94527999996</v>
      </c>
      <c r="BF105" s="255">
        <f t="shared" ca="1" si="2718"/>
        <v>213830.94527999996</v>
      </c>
      <c r="BG105" s="255">
        <f t="shared" ca="1" si="2718"/>
        <v>213830.94527999996</v>
      </c>
      <c r="BH105" s="255">
        <f t="shared" ca="1" si="2718"/>
        <v>213830.94527999996</v>
      </c>
      <c r="BI105" s="255">
        <f t="shared" ca="1" si="2718"/>
        <v>213830.94527999996</v>
      </c>
      <c r="BJ105" s="255">
        <f t="shared" ca="1" si="2718"/>
        <v>213830.94527999996</v>
      </c>
      <c r="BK105" s="255">
        <f t="shared" ca="1" si="2718"/>
        <v>213830.94527999996</v>
      </c>
      <c r="BL105" s="255">
        <f t="shared" ca="1" si="2718"/>
        <v>213830.94527999996</v>
      </c>
      <c r="BM105" s="255">
        <f t="shared" ca="1" si="2718"/>
        <v>213830.94527999996</v>
      </c>
      <c r="BN105" s="255">
        <f t="shared" ca="1" si="2718"/>
        <v>213830.94527999996</v>
      </c>
      <c r="BO105" s="255">
        <f t="shared" ca="1" si="2718"/>
        <v>213830.94527999996</v>
      </c>
      <c r="BP105" s="436">
        <f ca="1">SUM(BD105:BO105)</f>
        <v>2565971.3433599994</v>
      </c>
      <c r="BQ105" s="255">
        <f t="shared" ref="BQ105:CB105" ca="1" si="2719">BQ103*BQ104</f>
        <v>242850.39839999998</v>
      </c>
      <c r="BR105" s="255">
        <f t="shared" ca="1" si="2719"/>
        <v>242850.39839999998</v>
      </c>
      <c r="BS105" s="255">
        <f t="shared" ca="1" si="2719"/>
        <v>242850.39839999998</v>
      </c>
      <c r="BT105" s="255">
        <f t="shared" ca="1" si="2719"/>
        <v>242850.39839999998</v>
      </c>
      <c r="BU105" s="255">
        <f t="shared" ca="1" si="2719"/>
        <v>242850.39839999998</v>
      </c>
      <c r="BV105" s="255">
        <f t="shared" ca="1" si="2719"/>
        <v>242850.39839999998</v>
      </c>
      <c r="BW105" s="255">
        <f t="shared" ca="1" si="2719"/>
        <v>242850.39839999998</v>
      </c>
      <c r="BX105" s="255">
        <f t="shared" ca="1" si="2719"/>
        <v>242850.39839999998</v>
      </c>
      <c r="BY105" s="255">
        <f t="shared" ca="1" si="2719"/>
        <v>242850.39839999998</v>
      </c>
      <c r="BZ105" s="255">
        <f t="shared" ca="1" si="2719"/>
        <v>242850.39839999998</v>
      </c>
      <c r="CA105" s="255">
        <f t="shared" ca="1" si="2719"/>
        <v>242850.39839999998</v>
      </c>
      <c r="CB105" s="255">
        <f t="shared" ca="1" si="2719"/>
        <v>242850.39839999998</v>
      </c>
      <c r="CC105" s="436">
        <f ca="1">SUM(BQ105:CB105)</f>
        <v>2914204.7807999994</v>
      </c>
      <c r="CD105" s="255">
        <f t="shared" ref="CD105:CO105" ca="1" si="2720">CD103*CD104</f>
        <v>257424.64847999997</v>
      </c>
      <c r="CE105" s="255">
        <f t="shared" ca="1" si="2720"/>
        <v>257424.64847999997</v>
      </c>
      <c r="CF105" s="255">
        <f t="shared" ca="1" si="2720"/>
        <v>257424.64847999997</v>
      </c>
      <c r="CG105" s="255">
        <f t="shared" ca="1" si="2720"/>
        <v>257424.64847999997</v>
      </c>
      <c r="CH105" s="255">
        <f t="shared" ca="1" si="2720"/>
        <v>257424.64847999997</v>
      </c>
      <c r="CI105" s="255">
        <f t="shared" ca="1" si="2720"/>
        <v>257424.64847999997</v>
      </c>
      <c r="CJ105" s="255">
        <f t="shared" ca="1" si="2720"/>
        <v>257424.64847999997</v>
      </c>
      <c r="CK105" s="255">
        <f t="shared" ca="1" si="2720"/>
        <v>257424.64847999997</v>
      </c>
      <c r="CL105" s="255">
        <f t="shared" ca="1" si="2720"/>
        <v>257424.64847999997</v>
      </c>
      <c r="CM105" s="255">
        <f t="shared" ca="1" si="2720"/>
        <v>257424.64847999997</v>
      </c>
      <c r="CN105" s="255">
        <f t="shared" ca="1" si="2720"/>
        <v>257424.64847999997</v>
      </c>
      <c r="CO105" s="255">
        <f t="shared" ca="1" si="2720"/>
        <v>257424.64847999997</v>
      </c>
      <c r="CP105" s="436">
        <f ca="1">SUM(CD105:CO105)</f>
        <v>3089095.7817599997</v>
      </c>
    </row>
    <row r="106" spans="1:94" ht="20.100000000000001" customHeight="1">
      <c r="A106" s="792" t="str">
        <f ca="1">OFFSET('Summary. Assumptions. Inputs'!$A$45,'Internmediate sheet'!A11/3,0)</f>
        <v>Recycled plastic</v>
      </c>
      <c r="B106" s="19" t="s">
        <v>613</v>
      </c>
      <c r="C106" s="20">
        <f ca="1">OFFSET('Sales, Production, &amp; Other Assu'!C$54,'Internmediate sheet'!$A11/3,0)*Capacity</f>
        <v>61560</v>
      </c>
      <c r="D106" s="19">
        <f ca="1">OFFSET('Sales, Production, &amp; Other Assu'!D$54,'Internmediate sheet'!$A11/3,0)*Capacity</f>
        <v>61560</v>
      </c>
      <c r="E106" s="19">
        <f ca="1">OFFSET('Sales, Production, &amp; Other Assu'!E$54,'Internmediate sheet'!$A11/3,0)*Capacity</f>
        <v>61560</v>
      </c>
      <c r="F106" s="19">
        <f ca="1">OFFSET('Sales, Production, &amp; Other Assu'!F$54,'Internmediate sheet'!$A11/3,0)*Capacity</f>
        <v>61560</v>
      </c>
      <c r="G106" s="19">
        <f ca="1">OFFSET('Sales, Production, &amp; Other Assu'!G$54,'Internmediate sheet'!$A11/3,0)*Capacity</f>
        <v>61560</v>
      </c>
      <c r="H106" s="19">
        <f ca="1">OFFSET('Sales, Production, &amp; Other Assu'!H$54,'Internmediate sheet'!$A11/3,0)*Capacity</f>
        <v>61560</v>
      </c>
      <c r="I106" s="19">
        <f ca="1">OFFSET('Sales, Production, &amp; Other Assu'!I$54,'Internmediate sheet'!$A11/3,0)*Capacity</f>
        <v>61560</v>
      </c>
      <c r="J106" s="19">
        <f ca="1">OFFSET('Sales, Production, &amp; Other Assu'!J$54,'Internmediate sheet'!$A11/3,0)*Capacity</f>
        <v>61560</v>
      </c>
      <c r="K106" s="19">
        <f ca="1">OFFSET('Sales, Production, &amp; Other Assu'!K$54,'Internmediate sheet'!$A11/3,0)*Capacity</f>
        <v>61560</v>
      </c>
      <c r="L106" s="19">
        <f ca="1">OFFSET('Sales, Production, &amp; Other Assu'!L$54,'Internmediate sheet'!$A11/3,0)*Capacity</f>
        <v>61560</v>
      </c>
      <c r="M106" s="19">
        <f ca="1">OFFSET('Sales, Production, &amp; Other Assu'!M$54,'Internmediate sheet'!$A11/3,0)*Capacity</f>
        <v>61560</v>
      </c>
      <c r="N106" s="19">
        <f ca="1">OFFSET('Sales, Production, &amp; Other Assu'!N$54,'Internmediate sheet'!$A11/3,0)*Capacity</f>
        <v>61560</v>
      </c>
      <c r="O106" s="19">
        <f ca="1">OFFSET('Sales, Production, &amp; Other Assu'!O$54,'Internmediate sheet'!$A11/3,0)*Capacity</f>
        <v>61560</v>
      </c>
      <c r="P106" s="434">
        <f ca="1">SUM(D106:O106)</f>
        <v>738720</v>
      </c>
      <c r="Q106" s="19">
        <f ca="1">OFFSET('Sales, Production, &amp; Other Assu'!Q$54,'Internmediate sheet'!$A11/3,0)*Capacity</f>
        <v>71778.959999999992</v>
      </c>
      <c r="R106" s="19">
        <f ca="1">OFFSET('Sales, Production, &amp; Other Assu'!R$54,'Internmediate sheet'!$A11/3,0)*Capacity</f>
        <v>71778.959999999992</v>
      </c>
      <c r="S106" s="19">
        <f ca="1">OFFSET('Sales, Production, &amp; Other Assu'!S$54,'Internmediate sheet'!$A11/3,0)*Capacity</f>
        <v>71778.959999999992</v>
      </c>
      <c r="T106" s="19">
        <f ca="1">OFFSET('Sales, Production, &amp; Other Assu'!T$54,'Internmediate sheet'!$A11/3,0)*Capacity</f>
        <v>71778.959999999992</v>
      </c>
      <c r="U106" s="19">
        <f ca="1">OFFSET('Sales, Production, &amp; Other Assu'!U$54,'Internmediate sheet'!$A11/3,0)*Capacity</f>
        <v>71778.959999999992</v>
      </c>
      <c r="V106" s="19">
        <f ca="1">OFFSET('Sales, Production, &amp; Other Assu'!V$54,'Internmediate sheet'!$A11/3,0)*Capacity</f>
        <v>71778.959999999992</v>
      </c>
      <c r="W106" s="19">
        <f ca="1">OFFSET('Sales, Production, &amp; Other Assu'!W$54,'Internmediate sheet'!$A11/3,0)*Capacity</f>
        <v>71778.959999999992</v>
      </c>
      <c r="X106" s="19">
        <f ca="1">OFFSET('Sales, Production, &amp; Other Assu'!X$54,'Internmediate sheet'!$A11/3,0)*Capacity</f>
        <v>71778.959999999992</v>
      </c>
      <c r="Y106" s="19">
        <f ca="1">OFFSET('Sales, Production, &amp; Other Assu'!Y$54,'Internmediate sheet'!$A11/3,0)*Capacity</f>
        <v>71778.959999999992</v>
      </c>
      <c r="Z106" s="19">
        <f ca="1">OFFSET('Sales, Production, &amp; Other Assu'!Z$54,'Internmediate sheet'!$A11/3,0)*Capacity</f>
        <v>71778.959999999992</v>
      </c>
      <c r="AA106" s="19">
        <f ca="1">OFFSET('Sales, Production, &amp; Other Assu'!AA$54,'Internmediate sheet'!$A11/3,0)*Capacity</f>
        <v>71778.959999999992</v>
      </c>
      <c r="AB106" s="19">
        <f ca="1">OFFSET('Sales, Production, &amp; Other Assu'!AB$54,'Internmediate sheet'!$A11/3,0)*Capacity</f>
        <v>71778.959999999992</v>
      </c>
      <c r="AC106" s="434">
        <f ca="1">SUM(Q106:AB106)</f>
        <v>861347.51999999967</v>
      </c>
      <c r="AD106" s="19">
        <f ca="1">OFFSET('Sales, Production, &amp; Other Assu'!AD$54,'Internmediate sheet'!$A11/3,0)*Capacity</f>
        <v>83003.400000000009</v>
      </c>
      <c r="AE106" s="19">
        <f ca="1">OFFSET('Sales, Production, &amp; Other Assu'!AE$54,'Internmediate sheet'!$A11/3,0)*Capacity</f>
        <v>83003.400000000009</v>
      </c>
      <c r="AF106" s="19">
        <f ca="1">OFFSET('Sales, Production, &amp; Other Assu'!AF$54,'Internmediate sheet'!$A11/3,0)*Capacity</f>
        <v>83003.400000000009</v>
      </c>
      <c r="AG106" s="19">
        <f ca="1">OFFSET('Sales, Production, &amp; Other Assu'!AG$54,'Internmediate sheet'!$A11/3,0)*Capacity</f>
        <v>83003.400000000009</v>
      </c>
      <c r="AH106" s="19">
        <f ca="1">OFFSET('Sales, Production, &amp; Other Assu'!AH$54,'Internmediate sheet'!$A11/3,0)*Capacity</f>
        <v>83003.400000000009</v>
      </c>
      <c r="AI106" s="19">
        <f ca="1">OFFSET('Sales, Production, &amp; Other Assu'!AI$54,'Internmediate sheet'!$A11/3,0)*Capacity</f>
        <v>83003.400000000009</v>
      </c>
      <c r="AJ106" s="19">
        <f ca="1">OFFSET('Sales, Production, &amp; Other Assu'!AJ$54,'Internmediate sheet'!$A11/3,0)*Capacity</f>
        <v>83003.400000000009</v>
      </c>
      <c r="AK106" s="19">
        <f ca="1">OFFSET('Sales, Production, &amp; Other Assu'!AK$54,'Internmediate sheet'!$A11/3,0)*Capacity</f>
        <v>83003.400000000009</v>
      </c>
      <c r="AL106" s="19">
        <f ca="1">OFFSET('Sales, Production, &amp; Other Assu'!AL$54,'Internmediate sheet'!$A11/3,0)*Capacity</f>
        <v>83003.400000000009</v>
      </c>
      <c r="AM106" s="19">
        <f ca="1">OFFSET('Sales, Production, &amp; Other Assu'!AM$54,'Internmediate sheet'!$A11/3,0)*Capacity</f>
        <v>83003.400000000009</v>
      </c>
      <c r="AN106" s="19">
        <f ca="1">OFFSET('Sales, Production, &amp; Other Assu'!AN$54,'Internmediate sheet'!$A11/3,0)*Capacity</f>
        <v>83003.400000000009</v>
      </c>
      <c r="AO106" s="19">
        <f ca="1">OFFSET('Sales, Production, &amp; Other Assu'!AO$54,'Internmediate sheet'!$A11/3,0)*Capacity</f>
        <v>83003.400000000009</v>
      </c>
      <c r="AP106" s="434">
        <f ca="1">SUM(AD106:AO106)</f>
        <v>996040.80000000016</v>
      </c>
      <c r="AQ106" s="19">
        <f ca="1">OFFSET('Sales, Production, &amp; Other Assu'!AQ$54,'Internmediate sheet'!$A11/3,0)*Capacity</f>
        <v>95315.400000000009</v>
      </c>
      <c r="AR106" s="19">
        <f ca="1">OFFSET('Sales, Production, &amp; Other Assu'!AR$54,'Internmediate sheet'!$A11/3,0)*Capacity</f>
        <v>95315.400000000009</v>
      </c>
      <c r="AS106" s="19">
        <f ca="1">OFFSET('Sales, Production, &amp; Other Assu'!AS$54,'Internmediate sheet'!$A11/3,0)*Capacity</f>
        <v>95315.400000000009</v>
      </c>
      <c r="AT106" s="19">
        <f ca="1">OFFSET('Sales, Production, &amp; Other Assu'!AT$54,'Internmediate sheet'!$A11/3,0)*Capacity</f>
        <v>95315.400000000009</v>
      </c>
      <c r="AU106" s="19">
        <f ca="1">OFFSET('Sales, Production, &amp; Other Assu'!AU$54,'Internmediate sheet'!$A11/3,0)*Capacity</f>
        <v>95315.400000000009</v>
      </c>
      <c r="AV106" s="19">
        <f ca="1">OFFSET('Sales, Production, &amp; Other Assu'!AV$54,'Internmediate sheet'!$A11/3,0)*Capacity</f>
        <v>95315.400000000009</v>
      </c>
      <c r="AW106" s="19">
        <f ca="1">OFFSET('Sales, Production, &amp; Other Assu'!AW$54,'Internmediate sheet'!$A11/3,0)*Capacity</f>
        <v>95315.400000000009</v>
      </c>
      <c r="AX106" s="19">
        <f ca="1">OFFSET('Sales, Production, &amp; Other Assu'!AX$54,'Internmediate sheet'!$A11/3,0)*Capacity</f>
        <v>95315.400000000009</v>
      </c>
      <c r="AY106" s="19">
        <f ca="1">OFFSET('Sales, Production, &amp; Other Assu'!AY$54,'Internmediate sheet'!$A11/3,0)*Capacity</f>
        <v>95315.400000000009</v>
      </c>
      <c r="AZ106" s="19">
        <f ca="1">OFFSET('Sales, Production, &amp; Other Assu'!AZ$54,'Internmediate sheet'!$A11/3,0)*Capacity</f>
        <v>95315.400000000009</v>
      </c>
      <c r="BA106" s="19">
        <f ca="1">OFFSET('Sales, Production, &amp; Other Assu'!BA$54,'Internmediate sheet'!$A11/3,0)*Capacity</f>
        <v>95315.400000000009</v>
      </c>
      <c r="BB106" s="19">
        <f ca="1">OFFSET('Sales, Production, &amp; Other Assu'!BB$54,'Internmediate sheet'!$A11/3,0)*Capacity</f>
        <v>95315.400000000009</v>
      </c>
      <c r="BC106" s="434">
        <f ca="1">SUM(AQ106:BB106)</f>
        <v>1143784.8</v>
      </c>
      <c r="BD106" s="19">
        <f ca="1">OFFSET('Sales, Production, &amp; Other Assu'!BD$54,'Internmediate sheet'!$A11/3,0)*Capacity</f>
        <v>108805.24799999999</v>
      </c>
      <c r="BE106" s="19">
        <f ca="1">OFFSET('Sales, Production, &amp; Other Assu'!BE$54,'Internmediate sheet'!$A11/3,0)*Capacity</f>
        <v>108805.24799999999</v>
      </c>
      <c r="BF106" s="19">
        <f ca="1">OFFSET('Sales, Production, &amp; Other Assu'!BF$54,'Internmediate sheet'!$A11/3,0)*Capacity</f>
        <v>108805.24799999999</v>
      </c>
      <c r="BG106" s="19">
        <f ca="1">OFFSET('Sales, Production, &amp; Other Assu'!BG$54,'Internmediate sheet'!$A11/3,0)*Capacity</f>
        <v>108805.24799999999</v>
      </c>
      <c r="BH106" s="19">
        <f ca="1">OFFSET('Sales, Production, &amp; Other Assu'!BH$54,'Internmediate sheet'!$A11/3,0)*Capacity</f>
        <v>108805.24799999999</v>
      </c>
      <c r="BI106" s="19">
        <f ca="1">OFFSET('Sales, Production, &amp; Other Assu'!BI$54,'Internmediate sheet'!$A11/3,0)*Capacity</f>
        <v>108805.24799999999</v>
      </c>
      <c r="BJ106" s="19">
        <f ca="1">OFFSET('Sales, Production, &amp; Other Assu'!BJ$54,'Internmediate sheet'!$A11/3,0)*Capacity</f>
        <v>108805.24799999999</v>
      </c>
      <c r="BK106" s="19">
        <f ca="1">OFFSET('Sales, Production, &amp; Other Assu'!BK$54,'Internmediate sheet'!$A11/3,0)*Capacity</f>
        <v>108805.24799999999</v>
      </c>
      <c r="BL106" s="19">
        <f ca="1">OFFSET('Sales, Production, &amp; Other Assu'!BL$54,'Internmediate sheet'!$A11/3,0)*Capacity</f>
        <v>108805.24799999999</v>
      </c>
      <c r="BM106" s="19">
        <f ca="1">OFFSET('Sales, Production, &amp; Other Assu'!BM$54,'Internmediate sheet'!$A11/3,0)*Capacity</f>
        <v>108805.24799999999</v>
      </c>
      <c r="BN106" s="19">
        <f ca="1">OFFSET('Sales, Production, &amp; Other Assu'!BN$54,'Internmediate sheet'!$A11/3,0)*Capacity</f>
        <v>108805.24799999999</v>
      </c>
      <c r="BO106" s="19">
        <f ca="1">OFFSET('Sales, Production, &amp; Other Assu'!BO$54,'Internmediate sheet'!$A11/3,0)*Capacity</f>
        <v>108805.24799999999</v>
      </c>
      <c r="BP106" s="434">
        <f ca="1">SUM(BD106:BO106)</f>
        <v>1305662.9759999998</v>
      </c>
      <c r="BQ106" s="19">
        <f ca="1">OFFSET('Sales, Production, &amp; Other Assu'!BQ$54,'Internmediate sheet'!$A11/3,0)*Capacity</f>
        <v>123571.44</v>
      </c>
      <c r="BR106" s="19">
        <f ca="1">OFFSET('Sales, Production, &amp; Other Assu'!BR$54,'Internmediate sheet'!$A11/3,0)*Capacity</f>
        <v>123571.44</v>
      </c>
      <c r="BS106" s="19">
        <f ca="1">OFFSET('Sales, Production, &amp; Other Assu'!BS$54,'Internmediate sheet'!$A11/3,0)*Capacity</f>
        <v>123571.44</v>
      </c>
      <c r="BT106" s="19">
        <f ca="1">OFFSET('Sales, Production, &amp; Other Assu'!BT$54,'Internmediate sheet'!$A11/3,0)*Capacity</f>
        <v>123571.44</v>
      </c>
      <c r="BU106" s="19">
        <f ca="1">OFFSET('Sales, Production, &amp; Other Assu'!BU$54,'Internmediate sheet'!$A11/3,0)*Capacity</f>
        <v>123571.44</v>
      </c>
      <c r="BV106" s="19">
        <f ca="1">OFFSET('Sales, Production, &amp; Other Assu'!BV$54,'Internmediate sheet'!$A11/3,0)*Capacity</f>
        <v>123571.44</v>
      </c>
      <c r="BW106" s="19">
        <f ca="1">OFFSET('Sales, Production, &amp; Other Assu'!BW$54,'Internmediate sheet'!$A11/3,0)*Capacity</f>
        <v>123571.44</v>
      </c>
      <c r="BX106" s="19">
        <f ca="1">OFFSET('Sales, Production, &amp; Other Assu'!BX$54,'Internmediate sheet'!$A11/3,0)*Capacity</f>
        <v>123571.44</v>
      </c>
      <c r="BY106" s="19">
        <f ca="1">OFFSET('Sales, Production, &amp; Other Assu'!BY$54,'Internmediate sheet'!$A11/3,0)*Capacity</f>
        <v>123571.44</v>
      </c>
      <c r="BZ106" s="19">
        <f ca="1">OFFSET('Sales, Production, &amp; Other Assu'!BZ$54,'Internmediate sheet'!$A11/3,0)*Capacity</f>
        <v>123571.44</v>
      </c>
      <c r="CA106" s="19">
        <f ca="1">OFFSET('Sales, Production, &amp; Other Assu'!CA$54,'Internmediate sheet'!$A11/3,0)*Capacity</f>
        <v>123571.44</v>
      </c>
      <c r="CB106" s="19">
        <f ca="1">OFFSET('Sales, Production, &amp; Other Assu'!CB$54,'Internmediate sheet'!$A11/3,0)*Capacity</f>
        <v>123571.44</v>
      </c>
      <c r="CC106" s="434">
        <f ca="1">SUM(BQ106:CB106)</f>
        <v>1482857.2799999996</v>
      </c>
      <c r="CD106" s="19">
        <f ca="1">OFFSET('Sales, Production, &amp; Other Assu'!CD$54,'Internmediate sheet'!$A11/3,0)*Capacity</f>
        <v>130987.36799999999</v>
      </c>
      <c r="CE106" s="19">
        <f ca="1">OFFSET('Sales, Production, &amp; Other Assu'!CE$54,'Internmediate sheet'!$A11/3,0)*Capacity</f>
        <v>130987.36799999999</v>
      </c>
      <c r="CF106" s="19">
        <f ca="1">OFFSET('Sales, Production, &amp; Other Assu'!CF$54,'Internmediate sheet'!$A11/3,0)*Capacity</f>
        <v>130987.36799999999</v>
      </c>
      <c r="CG106" s="19">
        <f ca="1">OFFSET('Sales, Production, &amp; Other Assu'!CG$54,'Internmediate sheet'!$A11/3,0)*Capacity</f>
        <v>130987.36799999999</v>
      </c>
      <c r="CH106" s="19">
        <f ca="1">OFFSET('Sales, Production, &amp; Other Assu'!CH$54,'Internmediate sheet'!$A11/3,0)*Capacity</f>
        <v>130987.36799999999</v>
      </c>
      <c r="CI106" s="19">
        <f ca="1">OFFSET('Sales, Production, &amp; Other Assu'!CI$54,'Internmediate sheet'!$A11/3,0)*Capacity</f>
        <v>130987.36799999999</v>
      </c>
      <c r="CJ106" s="19">
        <f ca="1">OFFSET('Sales, Production, &amp; Other Assu'!CJ$54,'Internmediate sheet'!$A11/3,0)*Capacity</f>
        <v>130987.36799999999</v>
      </c>
      <c r="CK106" s="19">
        <f ca="1">OFFSET('Sales, Production, &amp; Other Assu'!CK$54,'Internmediate sheet'!$A11/3,0)*Capacity</f>
        <v>130987.36799999999</v>
      </c>
      <c r="CL106" s="19">
        <f ca="1">OFFSET('Sales, Production, &amp; Other Assu'!CL$54,'Internmediate sheet'!$A11/3,0)*Capacity</f>
        <v>130987.36799999999</v>
      </c>
      <c r="CM106" s="19">
        <f ca="1">OFFSET('Sales, Production, &amp; Other Assu'!CM$54,'Internmediate sheet'!$A11/3,0)*Capacity</f>
        <v>130987.36799999999</v>
      </c>
      <c r="CN106" s="19">
        <f ca="1">OFFSET('Sales, Production, &amp; Other Assu'!CN$54,'Internmediate sheet'!$A11/3,0)*Capacity</f>
        <v>130987.36799999999</v>
      </c>
      <c r="CO106" s="19">
        <f ca="1">OFFSET('Sales, Production, &amp; Other Assu'!CO$54,'Internmediate sheet'!$A11/3,0)*Capacity</f>
        <v>130987.36799999999</v>
      </c>
      <c r="CP106" s="434">
        <f ca="1">SUM(CD106:CO106)</f>
        <v>1571848.416</v>
      </c>
    </row>
    <row r="107" spans="1:94" ht="20.100000000000001" customHeight="1">
      <c r="A107" s="793"/>
      <c r="B107" s="9" t="s">
        <v>614</v>
      </c>
      <c r="C107" s="10">
        <f ca="1">OFFSET('BEP. &amp; Summary Results'!$C$6,'Internmediate sheet'!A8/3,0)</f>
        <v>0.3125</v>
      </c>
      <c r="D107" s="9">
        <f t="shared" ref="D107:P107" ca="1" si="2721">C107</f>
        <v>0.3125</v>
      </c>
      <c r="E107" s="9">
        <f t="shared" ca="1" si="2721"/>
        <v>0.3125</v>
      </c>
      <c r="F107" s="9">
        <f t="shared" ca="1" si="2721"/>
        <v>0.3125</v>
      </c>
      <c r="G107" s="9">
        <f t="shared" ca="1" si="2721"/>
        <v>0.3125</v>
      </c>
      <c r="H107" s="9">
        <f t="shared" ca="1" si="2721"/>
        <v>0.3125</v>
      </c>
      <c r="I107" s="9">
        <f t="shared" ca="1" si="2721"/>
        <v>0.3125</v>
      </c>
      <c r="J107" s="9">
        <f t="shared" ca="1" si="2721"/>
        <v>0.3125</v>
      </c>
      <c r="K107" s="9">
        <f t="shared" ca="1" si="2721"/>
        <v>0.3125</v>
      </c>
      <c r="L107" s="9">
        <f t="shared" ca="1" si="2721"/>
        <v>0.3125</v>
      </c>
      <c r="M107" s="9">
        <f t="shared" ca="1" si="2721"/>
        <v>0.3125</v>
      </c>
      <c r="N107" s="9">
        <f t="shared" ca="1" si="2721"/>
        <v>0.3125</v>
      </c>
      <c r="O107" s="9">
        <f t="shared" ca="1" si="2721"/>
        <v>0.3125</v>
      </c>
      <c r="P107" s="435">
        <f t="shared" ca="1" si="2721"/>
        <v>0.3125</v>
      </c>
      <c r="Q107" s="9">
        <f t="shared" ref="Q107" ca="1" si="2722">P107</f>
        <v>0.3125</v>
      </c>
      <c r="R107" s="9">
        <f t="shared" ref="R107" ca="1" si="2723">Q107</f>
        <v>0.3125</v>
      </c>
      <c r="S107" s="9">
        <f t="shared" ref="S107" ca="1" si="2724">R107</f>
        <v>0.3125</v>
      </c>
      <c r="T107" s="9">
        <f t="shared" ref="T107" ca="1" si="2725">S107</f>
        <v>0.3125</v>
      </c>
      <c r="U107" s="9">
        <f t="shared" ref="U107" ca="1" si="2726">T107</f>
        <v>0.3125</v>
      </c>
      <c r="V107" s="9">
        <f t="shared" ref="V107" ca="1" si="2727">U107</f>
        <v>0.3125</v>
      </c>
      <c r="W107" s="9">
        <f t="shared" ref="W107" ca="1" si="2728">V107</f>
        <v>0.3125</v>
      </c>
      <c r="X107" s="9">
        <f t="shared" ref="X107" ca="1" si="2729">W107</f>
        <v>0.3125</v>
      </c>
      <c r="Y107" s="9">
        <f t="shared" ref="Y107" ca="1" si="2730">X107</f>
        <v>0.3125</v>
      </c>
      <c r="Z107" s="9">
        <f t="shared" ref="Z107" ca="1" si="2731">Y107</f>
        <v>0.3125</v>
      </c>
      <c r="AA107" s="9">
        <f t="shared" ref="AA107" ca="1" si="2732">Z107</f>
        <v>0.3125</v>
      </c>
      <c r="AB107" s="9">
        <f t="shared" ref="AB107" ca="1" si="2733">AA107</f>
        <v>0.3125</v>
      </c>
      <c r="AC107" s="435">
        <f t="shared" ref="AC107" ca="1" si="2734">AB107</f>
        <v>0.3125</v>
      </c>
      <c r="AD107" s="9">
        <f t="shared" ref="AD107" ca="1" si="2735">AC107</f>
        <v>0.3125</v>
      </c>
      <c r="AE107" s="9">
        <f t="shared" ref="AE107" ca="1" si="2736">AD107</f>
        <v>0.3125</v>
      </c>
      <c r="AF107" s="9">
        <f t="shared" ref="AF107" ca="1" si="2737">AE107</f>
        <v>0.3125</v>
      </c>
      <c r="AG107" s="9">
        <f t="shared" ref="AG107" ca="1" si="2738">AF107</f>
        <v>0.3125</v>
      </c>
      <c r="AH107" s="9">
        <f t="shared" ref="AH107" ca="1" si="2739">AG107</f>
        <v>0.3125</v>
      </c>
      <c r="AI107" s="9">
        <f t="shared" ref="AI107" ca="1" si="2740">AH107</f>
        <v>0.3125</v>
      </c>
      <c r="AJ107" s="9">
        <f t="shared" ref="AJ107" ca="1" si="2741">AI107</f>
        <v>0.3125</v>
      </c>
      <c r="AK107" s="9">
        <f t="shared" ref="AK107" ca="1" si="2742">AJ107</f>
        <v>0.3125</v>
      </c>
      <c r="AL107" s="9">
        <f t="shared" ref="AL107" ca="1" si="2743">AK107</f>
        <v>0.3125</v>
      </c>
      <c r="AM107" s="9">
        <f t="shared" ref="AM107" ca="1" si="2744">AL107</f>
        <v>0.3125</v>
      </c>
      <c r="AN107" s="9">
        <f t="shared" ref="AN107" ca="1" si="2745">AM107</f>
        <v>0.3125</v>
      </c>
      <c r="AO107" s="9">
        <f t="shared" ref="AO107" ca="1" si="2746">AN107</f>
        <v>0.3125</v>
      </c>
      <c r="AP107" s="435">
        <f t="shared" ref="AP107" ca="1" si="2747">AO107</f>
        <v>0.3125</v>
      </c>
      <c r="AQ107" s="9">
        <f ca="1">AP107</f>
        <v>0.3125</v>
      </c>
      <c r="AR107" s="9">
        <f t="shared" ref="AR107" ca="1" si="2748">AQ107</f>
        <v>0.3125</v>
      </c>
      <c r="AS107" s="9">
        <f t="shared" ref="AS107" ca="1" si="2749">AR107</f>
        <v>0.3125</v>
      </c>
      <c r="AT107" s="9">
        <f t="shared" ref="AT107" ca="1" si="2750">AS107</f>
        <v>0.3125</v>
      </c>
      <c r="AU107" s="9">
        <f t="shared" ref="AU107" ca="1" si="2751">AT107</f>
        <v>0.3125</v>
      </c>
      <c r="AV107" s="9">
        <f t="shared" ref="AV107" ca="1" si="2752">AU107</f>
        <v>0.3125</v>
      </c>
      <c r="AW107" s="9">
        <f t="shared" ref="AW107" ca="1" si="2753">AV107</f>
        <v>0.3125</v>
      </c>
      <c r="AX107" s="9">
        <f t="shared" ref="AX107" ca="1" si="2754">AW107</f>
        <v>0.3125</v>
      </c>
      <c r="AY107" s="9">
        <f t="shared" ref="AY107" ca="1" si="2755">AX107</f>
        <v>0.3125</v>
      </c>
      <c r="AZ107" s="9">
        <f t="shared" ref="AZ107" ca="1" si="2756">AY107</f>
        <v>0.3125</v>
      </c>
      <c r="BA107" s="9">
        <f t="shared" ref="BA107" ca="1" si="2757">AZ107</f>
        <v>0.3125</v>
      </c>
      <c r="BB107" s="9">
        <f t="shared" ref="BB107" ca="1" si="2758">BA107</f>
        <v>0.3125</v>
      </c>
      <c r="BC107" s="435">
        <f t="shared" ref="BC107" ca="1" si="2759">BB107</f>
        <v>0.3125</v>
      </c>
      <c r="BD107" s="9">
        <f t="shared" ref="BD107" ca="1" si="2760">BC107</f>
        <v>0.3125</v>
      </c>
      <c r="BE107" s="9">
        <f t="shared" ref="BE107" ca="1" si="2761">BD107</f>
        <v>0.3125</v>
      </c>
      <c r="BF107" s="9">
        <f t="shared" ref="BF107" ca="1" si="2762">BE107</f>
        <v>0.3125</v>
      </c>
      <c r="BG107" s="9">
        <f t="shared" ref="BG107" ca="1" si="2763">BF107</f>
        <v>0.3125</v>
      </c>
      <c r="BH107" s="9">
        <f t="shared" ref="BH107" ca="1" si="2764">BG107</f>
        <v>0.3125</v>
      </c>
      <c r="BI107" s="9">
        <f t="shared" ref="BI107" ca="1" si="2765">BH107</f>
        <v>0.3125</v>
      </c>
      <c r="BJ107" s="9">
        <f t="shared" ref="BJ107" ca="1" si="2766">BI107</f>
        <v>0.3125</v>
      </c>
      <c r="BK107" s="9">
        <f t="shared" ref="BK107" ca="1" si="2767">BJ107</f>
        <v>0.3125</v>
      </c>
      <c r="BL107" s="9">
        <f t="shared" ref="BL107" ca="1" si="2768">BK107</f>
        <v>0.3125</v>
      </c>
      <c r="BM107" s="9">
        <f t="shared" ref="BM107" ca="1" si="2769">BL107</f>
        <v>0.3125</v>
      </c>
      <c r="BN107" s="9">
        <f t="shared" ref="BN107" ca="1" si="2770">BM107</f>
        <v>0.3125</v>
      </c>
      <c r="BO107" s="9">
        <f t="shared" ref="BO107" ca="1" si="2771">BN107</f>
        <v>0.3125</v>
      </c>
      <c r="BP107" s="435">
        <f t="shared" ref="BP107" ca="1" si="2772">BO107</f>
        <v>0.3125</v>
      </c>
      <c r="BQ107" s="9">
        <f t="shared" ref="BQ107" ca="1" si="2773">BP107</f>
        <v>0.3125</v>
      </c>
      <c r="BR107" s="9">
        <f t="shared" ref="BR107" ca="1" si="2774">BQ107</f>
        <v>0.3125</v>
      </c>
      <c r="BS107" s="9">
        <f t="shared" ref="BS107" ca="1" si="2775">BR107</f>
        <v>0.3125</v>
      </c>
      <c r="BT107" s="9">
        <f t="shared" ref="BT107" ca="1" si="2776">BS107</f>
        <v>0.3125</v>
      </c>
      <c r="BU107" s="9">
        <f t="shared" ref="BU107" ca="1" si="2777">BT107</f>
        <v>0.3125</v>
      </c>
      <c r="BV107" s="9">
        <f t="shared" ref="BV107" ca="1" si="2778">BU107</f>
        <v>0.3125</v>
      </c>
      <c r="BW107" s="9">
        <f t="shared" ref="BW107" ca="1" si="2779">BV107</f>
        <v>0.3125</v>
      </c>
      <c r="BX107" s="9">
        <f t="shared" ref="BX107" ca="1" si="2780">BW107</f>
        <v>0.3125</v>
      </c>
      <c r="BY107" s="9">
        <f t="shared" ref="BY107" ca="1" si="2781">BX107</f>
        <v>0.3125</v>
      </c>
      <c r="BZ107" s="9">
        <f t="shared" ref="BZ107" ca="1" si="2782">BY107</f>
        <v>0.3125</v>
      </c>
      <c r="CA107" s="9">
        <f t="shared" ref="CA107" ca="1" si="2783">BZ107</f>
        <v>0.3125</v>
      </c>
      <c r="CB107" s="9">
        <f t="shared" ref="CB107" ca="1" si="2784">CA107</f>
        <v>0.3125</v>
      </c>
      <c r="CC107" s="435">
        <f t="shared" ref="CC107" ca="1" si="2785">CB107</f>
        <v>0.3125</v>
      </c>
      <c r="CD107" s="9">
        <f t="shared" ref="CD107" ca="1" si="2786">CC107</f>
        <v>0.3125</v>
      </c>
      <c r="CE107" s="9">
        <f t="shared" ref="CE107" ca="1" si="2787">CD107</f>
        <v>0.3125</v>
      </c>
      <c r="CF107" s="9">
        <f t="shared" ref="CF107" ca="1" si="2788">CE107</f>
        <v>0.3125</v>
      </c>
      <c r="CG107" s="9">
        <f t="shared" ref="CG107" ca="1" si="2789">CF107</f>
        <v>0.3125</v>
      </c>
      <c r="CH107" s="9">
        <f t="shared" ref="CH107" ca="1" si="2790">CG107</f>
        <v>0.3125</v>
      </c>
      <c r="CI107" s="9">
        <f t="shared" ref="CI107" ca="1" si="2791">CH107</f>
        <v>0.3125</v>
      </c>
      <c r="CJ107" s="9">
        <f t="shared" ref="CJ107" ca="1" si="2792">CI107</f>
        <v>0.3125</v>
      </c>
      <c r="CK107" s="9">
        <f t="shared" ref="CK107" ca="1" si="2793">CJ107</f>
        <v>0.3125</v>
      </c>
      <c r="CL107" s="9">
        <f t="shared" ref="CL107" ca="1" si="2794">CK107</f>
        <v>0.3125</v>
      </c>
      <c r="CM107" s="9">
        <f t="shared" ref="CM107" ca="1" si="2795">CL107</f>
        <v>0.3125</v>
      </c>
      <c r="CN107" s="9">
        <f t="shared" ref="CN107" ca="1" si="2796">CM107</f>
        <v>0.3125</v>
      </c>
      <c r="CO107" s="9">
        <f t="shared" ref="CO107" ca="1" si="2797">CN107</f>
        <v>0.3125</v>
      </c>
      <c r="CP107" s="435">
        <f t="shared" ref="CP107" ca="1" si="2798">CO107</f>
        <v>0.3125</v>
      </c>
    </row>
    <row r="108" spans="1:94" ht="20.100000000000001" customHeight="1">
      <c r="A108" s="794"/>
      <c r="B108" s="255" t="s">
        <v>615</v>
      </c>
      <c r="C108" s="256">
        <f t="shared" ref="C108:O108" ca="1" si="2799">C106*C107</f>
        <v>19237.5</v>
      </c>
      <c r="D108" s="255">
        <f t="shared" ca="1" si="2799"/>
        <v>19237.5</v>
      </c>
      <c r="E108" s="255">
        <f t="shared" ca="1" si="2799"/>
        <v>19237.5</v>
      </c>
      <c r="F108" s="255">
        <f t="shared" ca="1" si="2799"/>
        <v>19237.5</v>
      </c>
      <c r="G108" s="255">
        <f t="shared" ca="1" si="2799"/>
        <v>19237.5</v>
      </c>
      <c r="H108" s="255">
        <f t="shared" ca="1" si="2799"/>
        <v>19237.5</v>
      </c>
      <c r="I108" s="255">
        <f t="shared" ca="1" si="2799"/>
        <v>19237.5</v>
      </c>
      <c r="J108" s="255">
        <f t="shared" ca="1" si="2799"/>
        <v>19237.5</v>
      </c>
      <c r="K108" s="255">
        <f t="shared" ca="1" si="2799"/>
        <v>19237.5</v>
      </c>
      <c r="L108" s="255">
        <f t="shared" ca="1" si="2799"/>
        <v>19237.5</v>
      </c>
      <c r="M108" s="255">
        <f t="shared" ca="1" si="2799"/>
        <v>19237.5</v>
      </c>
      <c r="N108" s="255">
        <f t="shared" ca="1" si="2799"/>
        <v>19237.5</v>
      </c>
      <c r="O108" s="255">
        <f t="shared" ca="1" si="2799"/>
        <v>19237.5</v>
      </c>
      <c r="P108" s="436">
        <f ca="1">SUM(D108:O108)</f>
        <v>230850</v>
      </c>
      <c r="Q108" s="255">
        <f t="shared" ref="Q108:AB108" ca="1" si="2800">Q106*Q107</f>
        <v>22430.924999999996</v>
      </c>
      <c r="R108" s="255">
        <f t="shared" ca="1" si="2800"/>
        <v>22430.924999999996</v>
      </c>
      <c r="S108" s="255">
        <f t="shared" ca="1" si="2800"/>
        <v>22430.924999999996</v>
      </c>
      <c r="T108" s="255">
        <f t="shared" ca="1" si="2800"/>
        <v>22430.924999999996</v>
      </c>
      <c r="U108" s="255">
        <f t="shared" ca="1" si="2800"/>
        <v>22430.924999999996</v>
      </c>
      <c r="V108" s="255">
        <f t="shared" ca="1" si="2800"/>
        <v>22430.924999999996</v>
      </c>
      <c r="W108" s="255">
        <f t="shared" ca="1" si="2800"/>
        <v>22430.924999999996</v>
      </c>
      <c r="X108" s="255">
        <f t="shared" ca="1" si="2800"/>
        <v>22430.924999999996</v>
      </c>
      <c r="Y108" s="255">
        <f t="shared" ca="1" si="2800"/>
        <v>22430.924999999996</v>
      </c>
      <c r="Z108" s="255">
        <f t="shared" ca="1" si="2800"/>
        <v>22430.924999999996</v>
      </c>
      <c r="AA108" s="255">
        <f t="shared" ca="1" si="2800"/>
        <v>22430.924999999996</v>
      </c>
      <c r="AB108" s="255">
        <f t="shared" ca="1" si="2800"/>
        <v>22430.924999999996</v>
      </c>
      <c r="AC108" s="436">
        <f ca="1">SUM(Q108:AB108)</f>
        <v>269171.09999999992</v>
      </c>
      <c r="AD108" s="255">
        <f t="shared" ref="AD108:AO108" ca="1" si="2801">AD106*AD107</f>
        <v>25938.562500000004</v>
      </c>
      <c r="AE108" s="255">
        <f t="shared" ca="1" si="2801"/>
        <v>25938.562500000004</v>
      </c>
      <c r="AF108" s="255">
        <f t="shared" ca="1" si="2801"/>
        <v>25938.562500000004</v>
      </c>
      <c r="AG108" s="255">
        <f t="shared" ca="1" si="2801"/>
        <v>25938.562500000004</v>
      </c>
      <c r="AH108" s="255">
        <f t="shared" ca="1" si="2801"/>
        <v>25938.562500000004</v>
      </c>
      <c r="AI108" s="255">
        <f t="shared" ca="1" si="2801"/>
        <v>25938.562500000004</v>
      </c>
      <c r="AJ108" s="255">
        <f t="shared" ca="1" si="2801"/>
        <v>25938.562500000004</v>
      </c>
      <c r="AK108" s="255">
        <f t="shared" ca="1" si="2801"/>
        <v>25938.562500000004</v>
      </c>
      <c r="AL108" s="255">
        <f t="shared" ca="1" si="2801"/>
        <v>25938.562500000004</v>
      </c>
      <c r="AM108" s="255">
        <f t="shared" ca="1" si="2801"/>
        <v>25938.562500000004</v>
      </c>
      <c r="AN108" s="255">
        <f t="shared" ca="1" si="2801"/>
        <v>25938.562500000004</v>
      </c>
      <c r="AO108" s="255">
        <f t="shared" ca="1" si="2801"/>
        <v>25938.562500000004</v>
      </c>
      <c r="AP108" s="436">
        <f ca="1">SUM(AD108:AO108)</f>
        <v>311262.75000000006</v>
      </c>
      <c r="AQ108" s="255">
        <f t="shared" ref="AQ108:BB108" ca="1" si="2802">AQ106*AQ107</f>
        <v>29786.062500000004</v>
      </c>
      <c r="AR108" s="255">
        <f t="shared" ca="1" si="2802"/>
        <v>29786.062500000004</v>
      </c>
      <c r="AS108" s="255">
        <f t="shared" ca="1" si="2802"/>
        <v>29786.062500000004</v>
      </c>
      <c r="AT108" s="255">
        <f t="shared" ca="1" si="2802"/>
        <v>29786.062500000004</v>
      </c>
      <c r="AU108" s="255">
        <f t="shared" ca="1" si="2802"/>
        <v>29786.062500000004</v>
      </c>
      <c r="AV108" s="255">
        <f t="shared" ca="1" si="2802"/>
        <v>29786.062500000004</v>
      </c>
      <c r="AW108" s="255">
        <f t="shared" ca="1" si="2802"/>
        <v>29786.062500000004</v>
      </c>
      <c r="AX108" s="255">
        <f t="shared" ca="1" si="2802"/>
        <v>29786.062500000004</v>
      </c>
      <c r="AY108" s="255">
        <f t="shared" ca="1" si="2802"/>
        <v>29786.062500000004</v>
      </c>
      <c r="AZ108" s="255">
        <f t="shared" ca="1" si="2802"/>
        <v>29786.062500000004</v>
      </c>
      <c r="BA108" s="255">
        <f t="shared" ca="1" si="2802"/>
        <v>29786.062500000004</v>
      </c>
      <c r="BB108" s="255">
        <f t="shared" ca="1" si="2802"/>
        <v>29786.062500000004</v>
      </c>
      <c r="BC108" s="436">
        <f ca="1">SUM(AQ108:BB108)</f>
        <v>357432.75000000006</v>
      </c>
      <c r="BD108" s="255">
        <f t="shared" ref="BD108:BO108" ca="1" si="2803">BD106*BD107</f>
        <v>34001.64</v>
      </c>
      <c r="BE108" s="255">
        <f t="shared" ca="1" si="2803"/>
        <v>34001.64</v>
      </c>
      <c r="BF108" s="255">
        <f t="shared" ca="1" si="2803"/>
        <v>34001.64</v>
      </c>
      <c r="BG108" s="255">
        <f t="shared" ca="1" si="2803"/>
        <v>34001.64</v>
      </c>
      <c r="BH108" s="255">
        <f t="shared" ca="1" si="2803"/>
        <v>34001.64</v>
      </c>
      <c r="BI108" s="255">
        <f t="shared" ca="1" si="2803"/>
        <v>34001.64</v>
      </c>
      <c r="BJ108" s="255">
        <f t="shared" ca="1" si="2803"/>
        <v>34001.64</v>
      </c>
      <c r="BK108" s="255">
        <f t="shared" ca="1" si="2803"/>
        <v>34001.64</v>
      </c>
      <c r="BL108" s="255">
        <f t="shared" ca="1" si="2803"/>
        <v>34001.64</v>
      </c>
      <c r="BM108" s="255">
        <f t="shared" ca="1" si="2803"/>
        <v>34001.64</v>
      </c>
      <c r="BN108" s="255">
        <f t="shared" ca="1" si="2803"/>
        <v>34001.64</v>
      </c>
      <c r="BO108" s="255">
        <f t="shared" ca="1" si="2803"/>
        <v>34001.64</v>
      </c>
      <c r="BP108" s="436">
        <f ca="1">SUM(BD108:BO108)</f>
        <v>408019.68000000011</v>
      </c>
      <c r="BQ108" s="255">
        <f t="shared" ref="BQ108:CB108" ca="1" si="2804">BQ106*BQ107</f>
        <v>38616.074999999997</v>
      </c>
      <c r="BR108" s="255">
        <f t="shared" ca="1" si="2804"/>
        <v>38616.074999999997</v>
      </c>
      <c r="BS108" s="255">
        <f t="shared" ca="1" si="2804"/>
        <v>38616.074999999997</v>
      </c>
      <c r="BT108" s="255">
        <f t="shared" ca="1" si="2804"/>
        <v>38616.074999999997</v>
      </c>
      <c r="BU108" s="255">
        <f t="shared" ca="1" si="2804"/>
        <v>38616.074999999997</v>
      </c>
      <c r="BV108" s="255">
        <f t="shared" ca="1" si="2804"/>
        <v>38616.074999999997</v>
      </c>
      <c r="BW108" s="255">
        <f t="shared" ca="1" si="2804"/>
        <v>38616.074999999997</v>
      </c>
      <c r="BX108" s="255">
        <f t="shared" ca="1" si="2804"/>
        <v>38616.074999999997</v>
      </c>
      <c r="BY108" s="255">
        <f t="shared" ca="1" si="2804"/>
        <v>38616.074999999997</v>
      </c>
      <c r="BZ108" s="255">
        <f t="shared" ca="1" si="2804"/>
        <v>38616.074999999997</v>
      </c>
      <c r="CA108" s="255">
        <f t="shared" ca="1" si="2804"/>
        <v>38616.074999999997</v>
      </c>
      <c r="CB108" s="255">
        <f t="shared" ca="1" si="2804"/>
        <v>38616.074999999997</v>
      </c>
      <c r="CC108" s="436">
        <f ca="1">SUM(BQ108:CB108)</f>
        <v>463392.90000000008</v>
      </c>
      <c r="CD108" s="255">
        <f t="shared" ref="CD108:CO108" ca="1" si="2805">CD106*CD107</f>
        <v>40933.552499999998</v>
      </c>
      <c r="CE108" s="255">
        <f t="shared" ca="1" si="2805"/>
        <v>40933.552499999998</v>
      </c>
      <c r="CF108" s="255">
        <f t="shared" ca="1" si="2805"/>
        <v>40933.552499999998</v>
      </c>
      <c r="CG108" s="255">
        <f t="shared" ca="1" si="2805"/>
        <v>40933.552499999998</v>
      </c>
      <c r="CH108" s="255">
        <f t="shared" ca="1" si="2805"/>
        <v>40933.552499999998</v>
      </c>
      <c r="CI108" s="255">
        <f t="shared" ca="1" si="2805"/>
        <v>40933.552499999998</v>
      </c>
      <c r="CJ108" s="255">
        <f t="shared" ca="1" si="2805"/>
        <v>40933.552499999998</v>
      </c>
      <c r="CK108" s="255">
        <f t="shared" ca="1" si="2805"/>
        <v>40933.552499999998</v>
      </c>
      <c r="CL108" s="255">
        <f t="shared" ca="1" si="2805"/>
        <v>40933.552499999998</v>
      </c>
      <c r="CM108" s="255">
        <f t="shared" ca="1" si="2805"/>
        <v>40933.552499999998</v>
      </c>
      <c r="CN108" s="255">
        <f t="shared" ca="1" si="2805"/>
        <v>40933.552499999998</v>
      </c>
      <c r="CO108" s="255">
        <f t="shared" ca="1" si="2805"/>
        <v>40933.552499999998</v>
      </c>
      <c r="CP108" s="436">
        <f ca="1">SUM(CD108:CO108)</f>
        <v>491202.62999999995</v>
      </c>
    </row>
    <row r="109" spans="1:94" ht="20.100000000000001" hidden="1" customHeight="1">
      <c r="A109" s="792">
        <f ca="1">OFFSET('Summary. Assumptions. Inputs'!$A$45,'Internmediate sheet'!A14/3,0)</f>
        <v>0</v>
      </c>
      <c r="B109" s="19" t="s">
        <v>613</v>
      </c>
      <c r="C109" s="20">
        <f ca="1">OFFSET('Sales, Production, &amp; Other Assu'!C$54,'Internmediate sheet'!$A14/3,0)*Capacity</f>
        <v>0</v>
      </c>
      <c r="D109" s="19">
        <f ca="1">OFFSET('Sales, Production, &amp; Other Assu'!D$54,'Internmediate sheet'!$A14/3,0)*Capacity</f>
        <v>0</v>
      </c>
      <c r="E109" s="19">
        <f ca="1">OFFSET('Sales, Production, &amp; Other Assu'!E$54,'Internmediate sheet'!$A14/3,0)*Capacity</f>
        <v>0</v>
      </c>
      <c r="F109" s="19">
        <f ca="1">OFFSET('Sales, Production, &amp; Other Assu'!F$54,'Internmediate sheet'!$A14/3,0)*Capacity</f>
        <v>0</v>
      </c>
      <c r="G109" s="19">
        <f ca="1">OFFSET('Sales, Production, &amp; Other Assu'!G$54,'Internmediate sheet'!$A14/3,0)*Capacity</f>
        <v>0</v>
      </c>
      <c r="H109" s="19">
        <f ca="1">OFFSET('Sales, Production, &amp; Other Assu'!H$54,'Internmediate sheet'!$A14/3,0)*Capacity</f>
        <v>0</v>
      </c>
      <c r="I109" s="19">
        <f ca="1">OFFSET('Sales, Production, &amp; Other Assu'!I$54,'Internmediate sheet'!$A14/3,0)*Capacity</f>
        <v>0</v>
      </c>
      <c r="J109" s="19">
        <f ca="1">OFFSET('Sales, Production, &amp; Other Assu'!J$54,'Internmediate sheet'!$A14/3,0)*Capacity</f>
        <v>0</v>
      </c>
      <c r="K109" s="19">
        <f ca="1">OFFSET('Sales, Production, &amp; Other Assu'!K$54,'Internmediate sheet'!$A14/3,0)*Capacity</f>
        <v>0</v>
      </c>
      <c r="L109" s="19">
        <f ca="1">OFFSET('Sales, Production, &amp; Other Assu'!L$54,'Internmediate sheet'!$A14/3,0)*Capacity</f>
        <v>0</v>
      </c>
      <c r="M109" s="19">
        <f ca="1">OFFSET('Sales, Production, &amp; Other Assu'!M$54,'Internmediate sheet'!$A14/3,0)*Capacity</f>
        <v>0</v>
      </c>
      <c r="N109" s="19">
        <f ca="1">OFFSET('Sales, Production, &amp; Other Assu'!N$54,'Internmediate sheet'!$A14/3,0)*Capacity</f>
        <v>0</v>
      </c>
      <c r="O109" s="19">
        <f ca="1">OFFSET('Sales, Production, &amp; Other Assu'!O$54,'Internmediate sheet'!$A14/3,0)*Capacity</f>
        <v>0</v>
      </c>
      <c r="P109" s="434">
        <f ca="1">SUM(D109:O109)</f>
        <v>0</v>
      </c>
      <c r="Q109" s="19">
        <f ca="1">OFFSET('Sales, Production, &amp; Other Assu'!Q$54,'Internmediate sheet'!$A14/3,0)*Capacity</f>
        <v>0</v>
      </c>
      <c r="R109" s="19">
        <f ca="1">OFFSET('Sales, Production, &amp; Other Assu'!R$54,'Internmediate sheet'!$A14/3,0)*Capacity</f>
        <v>0</v>
      </c>
      <c r="S109" s="19">
        <f ca="1">OFFSET('Sales, Production, &amp; Other Assu'!S$54,'Internmediate sheet'!$A14/3,0)*Capacity</f>
        <v>0</v>
      </c>
      <c r="T109" s="19">
        <f ca="1">OFFSET('Sales, Production, &amp; Other Assu'!T$54,'Internmediate sheet'!$A14/3,0)*Capacity</f>
        <v>0</v>
      </c>
      <c r="U109" s="19">
        <f ca="1">OFFSET('Sales, Production, &amp; Other Assu'!U$54,'Internmediate sheet'!$A14/3,0)*Capacity</f>
        <v>0</v>
      </c>
      <c r="V109" s="19">
        <f ca="1">OFFSET('Sales, Production, &amp; Other Assu'!V$54,'Internmediate sheet'!$A14/3,0)*Capacity</f>
        <v>0</v>
      </c>
      <c r="W109" s="19">
        <f ca="1">OFFSET('Sales, Production, &amp; Other Assu'!W$54,'Internmediate sheet'!$A14/3,0)*Capacity</f>
        <v>0</v>
      </c>
      <c r="X109" s="19">
        <f ca="1">OFFSET('Sales, Production, &amp; Other Assu'!X$54,'Internmediate sheet'!$A14/3,0)*Capacity</f>
        <v>0</v>
      </c>
      <c r="Y109" s="19">
        <f ca="1">OFFSET('Sales, Production, &amp; Other Assu'!Y$54,'Internmediate sheet'!$A14/3,0)*Capacity</f>
        <v>0</v>
      </c>
      <c r="Z109" s="19">
        <f ca="1">OFFSET('Sales, Production, &amp; Other Assu'!Z$54,'Internmediate sheet'!$A14/3,0)*Capacity</f>
        <v>0</v>
      </c>
      <c r="AA109" s="19">
        <f ca="1">OFFSET('Sales, Production, &amp; Other Assu'!AA$54,'Internmediate sheet'!$A14/3,0)*Capacity</f>
        <v>0</v>
      </c>
      <c r="AB109" s="19">
        <f ca="1">OFFSET('Sales, Production, &amp; Other Assu'!AB$54,'Internmediate sheet'!$A14/3,0)*Capacity</f>
        <v>0</v>
      </c>
      <c r="AC109" s="434">
        <f ca="1">SUM(Q109:AB109)</f>
        <v>0</v>
      </c>
      <c r="AD109" s="19">
        <f ca="1">OFFSET('Sales, Production, &amp; Other Assu'!AD$54,'Internmediate sheet'!$A14/3,0)*Capacity</f>
        <v>0</v>
      </c>
      <c r="AE109" s="19">
        <f ca="1">OFFSET('Sales, Production, &amp; Other Assu'!AE$54,'Internmediate sheet'!$A14/3,0)*Capacity</f>
        <v>0</v>
      </c>
      <c r="AF109" s="19">
        <f ca="1">OFFSET('Sales, Production, &amp; Other Assu'!AF$54,'Internmediate sheet'!$A14/3,0)*Capacity</f>
        <v>0</v>
      </c>
      <c r="AG109" s="19">
        <f ca="1">OFFSET('Sales, Production, &amp; Other Assu'!AG$54,'Internmediate sheet'!$A14/3,0)*Capacity</f>
        <v>0</v>
      </c>
      <c r="AH109" s="19">
        <f ca="1">OFFSET('Sales, Production, &amp; Other Assu'!AH$54,'Internmediate sheet'!$A14/3,0)*Capacity</f>
        <v>0</v>
      </c>
      <c r="AI109" s="19">
        <f ca="1">OFFSET('Sales, Production, &amp; Other Assu'!AI$54,'Internmediate sheet'!$A14/3,0)*Capacity</f>
        <v>0</v>
      </c>
      <c r="AJ109" s="19">
        <f ca="1">OFFSET('Sales, Production, &amp; Other Assu'!AJ$54,'Internmediate sheet'!$A14/3,0)*Capacity</f>
        <v>0</v>
      </c>
      <c r="AK109" s="19">
        <f ca="1">OFFSET('Sales, Production, &amp; Other Assu'!AK$54,'Internmediate sheet'!$A14/3,0)*Capacity</f>
        <v>0</v>
      </c>
      <c r="AL109" s="19">
        <f ca="1">OFFSET('Sales, Production, &amp; Other Assu'!AL$54,'Internmediate sheet'!$A14/3,0)*Capacity</f>
        <v>0</v>
      </c>
      <c r="AM109" s="19">
        <f ca="1">OFFSET('Sales, Production, &amp; Other Assu'!AM$54,'Internmediate sheet'!$A14/3,0)*Capacity</f>
        <v>0</v>
      </c>
      <c r="AN109" s="19">
        <f ca="1">OFFSET('Sales, Production, &amp; Other Assu'!AN$54,'Internmediate sheet'!$A14/3,0)*Capacity</f>
        <v>0</v>
      </c>
      <c r="AO109" s="19">
        <f ca="1">OFFSET('Sales, Production, &amp; Other Assu'!AO$54,'Internmediate sheet'!$A14/3,0)*Capacity</f>
        <v>0</v>
      </c>
      <c r="AP109" s="434">
        <f ca="1">SUM(AD109:AO109)</f>
        <v>0</v>
      </c>
      <c r="AQ109" s="19">
        <f ca="1">OFFSET('Sales, Production, &amp; Other Assu'!AQ$54,'Internmediate sheet'!$A14/3,0)*Capacity</f>
        <v>0</v>
      </c>
      <c r="AR109" s="19">
        <f ca="1">OFFSET('Sales, Production, &amp; Other Assu'!AR$54,'Internmediate sheet'!$A14/3,0)*Capacity</f>
        <v>0</v>
      </c>
      <c r="AS109" s="19">
        <f ca="1">OFFSET('Sales, Production, &amp; Other Assu'!AS$54,'Internmediate sheet'!$A14/3,0)*Capacity</f>
        <v>0</v>
      </c>
      <c r="AT109" s="19">
        <f ca="1">OFFSET('Sales, Production, &amp; Other Assu'!AT$54,'Internmediate sheet'!$A14/3,0)*Capacity</f>
        <v>0</v>
      </c>
      <c r="AU109" s="19">
        <f ca="1">OFFSET('Sales, Production, &amp; Other Assu'!AU$54,'Internmediate sheet'!$A14/3,0)*Capacity</f>
        <v>0</v>
      </c>
      <c r="AV109" s="19">
        <f ca="1">OFFSET('Sales, Production, &amp; Other Assu'!AV$54,'Internmediate sheet'!$A14/3,0)*Capacity</f>
        <v>0</v>
      </c>
      <c r="AW109" s="19">
        <f ca="1">OFFSET('Sales, Production, &amp; Other Assu'!AW$54,'Internmediate sheet'!$A14/3,0)*Capacity</f>
        <v>0</v>
      </c>
      <c r="AX109" s="19">
        <f ca="1">OFFSET('Sales, Production, &amp; Other Assu'!AX$54,'Internmediate sheet'!$A14/3,0)*Capacity</f>
        <v>0</v>
      </c>
      <c r="AY109" s="19">
        <f ca="1">OFFSET('Sales, Production, &amp; Other Assu'!AY$54,'Internmediate sheet'!$A14/3,0)*Capacity</f>
        <v>0</v>
      </c>
      <c r="AZ109" s="19">
        <f ca="1">OFFSET('Sales, Production, &amp; Other Assu'!AZ$54,'Internmediate sheet'!$A14/3,0)*Capacity</f>
        <v>0</v>
      </c>
      <c r="BA109" s="19">
        <f ca="1">OFFSET('Sales, Production, &amp; Other Assu'!BA$54,'Internmediate sheet'!$A14/3,0)*Capacity</f>
        <v>0</v>
      </c>
      <c r="BB109" s="19">
        <f ca="1">OFFSET('Sales, Production, &amp; Other Assu'!BB$54,'Internmediate sheet'!$A14/3,0)*Capacity</f>
        <v>0</v>
      </c>
      <c r="BC109" s="434">
        <f ca="1">SUM(AQ109:BB109)</f>
        <v>0</v>
      </c>
      <c r="BD109" s="19">
        <f ca="1">OFFSET('Sales, Production, &amp; Other Assu'!BD$54,'Internmediate sheet'!$A14/3,0)*Capacity</f>
        <v>0</v>
      </c>
      <c r="BE109" s="19">
        <f ca="1">OFFSET('Sales, Production, &amp; Other Assu'!BE$54,'Internmediate sheet'!$A14/3,0)*Capacity</f>
        <v>0</v>
      </c>
      <c r="BF109" s="19">
        <f ca="1">OFFSET('Sales, Production, &amp; Other Assu'!BF$54,'Internmediate sheet'!$A14/3,0)*Capacity</f>
        <v>0</v>
      </c>
      <c r="BG109" s="19">
        <f ca="1">OFFSET('Sales, Production, &amp; Other Assu'!BG$54,'Internmediate sheet'!$A14/3,0)*Capacity</f>
        <v>0</v>
      </c>
      <c r="BH109" s="19">
        <f ca="1">OFFSET('Sales, Production, &amp; Other Assu'!BH$54,'Internmediate sheet'!$A14/3,0)*Capacity</f>
        <v>0</v>
      </c>
      <c r="BI109" s="19">
        <f ca="1">OFFSET('Sales, Production, &amp; Other Assu'!BI$54,'Internmediate sheet'!$A14/3,0)*Capacity</f>
        <v>0</v>
      </c>
      <c r="BJ109" s="19">
        <f ca="1">OFFSET('Sales, Production, &amp; Other Assu'!BJ$54,'Internmediate sheet'!$A14/3,0)*Capacity</f>
        <v>0</v>
      </c>
      <c r="BK109" s="19">
        <f ca="1">OFFSET('Sales, Production, &amp; Other Assu'!BK$54,'Internmediate sheet'!$A14/3,0)*Capacity</f>
        <v>0</v>
      </c>
      <c r="BL109" s="19">
        <f ca="1">OFFSET('Sales, Production, &amp; Other Assu'!BL$54,'Internmediate sheet'!$A14/3,0)*Capacity</f>
        <v>0</v>
      </c>
      <c r="BM109" s="19">
        <f ca="1">OFFSET('Sales, Production, &amp; Other Assu'!BM$54,'Internmediate sheet'!$A14/3,0)*Capacity</f>
        <v>0</v>
      </c>
      <c r="BN109" s="19">
        <f ca="1">OFFSET('Sales, Production, &amp; Other Assu'!BN$54,'Internmediate sheet'!$A14/3,0)*Capacity</f>
        <v>0</v>
      </c>
      <c r="BO109" s="19">
        <f ca="1">OFFSET('Sales, Production, &amp; Other Assu'!BO$54,'Internmediate sheet'!$A14/3,0)*Capacity</f>
        <v>0</v>
      </c>
      <c r="BP109" s="434">
        <f ca="1">SUM(BD109:BO109)</f>
        <v>0</v>
      </c>
      <c r="BQ109" s="19">
        <f ca="1">OFFSET('Sales, Production, &amp; Other Assu'!BQ$54,'Internmediate sheet'!$A14/3,0)*Capacity</f>
        <v>0</v>
      </c>
      <c r="BR109" s="19">
        <f ca="1">OFFSET('Sales, Production, &amp; Other Assu'!BR$54,'Internmediate sheet'!$A14/3,0)*Capacity</f>
        <v>0</v>
      </c>
      <c r="BS109" s="19">
        <f ca="1">OFFSET('Sales, Production, &amp; Other Assu'!BS$54,'Internmediate sheet'!$A14/3,0)*Capacity</f>
        <v>0</v>
      </c>
      <c r="BT109" s="19">
        <f ca="1">OFFSET('Sales, Production, &amp; Other Assu'!BT$54,'Internmediate sheet'!$A14/3,0)*Capacity</f>
        <v>0</v>
      </c>
      <c r="BU109" s="19">
        <f ca="1">OFFSET('Sales, Production, &amp; Other Assu'!BU$54,'Internmediate sheet'!$A14/3,0)*Capacity</f>
        <v>0</v>
      </c>
      <c r="BV109" s="19">
        <f ca="1">OFFSET('Sales, Production, &amp; Other Assu'!BV$54,'Internmediate sheet'!$A14/3,0)*Capacity</f>
        <v>0</v>
      </c>
      <c r="BW109" s="19">
        <f ca="1">OFFSET('Sales, Production, &amp; Other Assu'!BW$54,'Internmediate sheet'!$A14/3,0)*Capacity</f>
        <v>0</v>
      </c>
      <c r="BX109" s="19">
        <f ca="1">OFFSET('Sales, Production, &amp; Other Assu'!BX$54,'Internmediate sheet'!$A14/3,0)*Capacity</f>
        <v>0</v>
      </c>
      <c r="BY109" s="19">
        <f ca="1">OFFSET('Sales, Production, &amp; Other Assu'!BY$54,'Internmediate sheet'!$A14/3,0)*Capacity</f>
        <v>0</v>
      </c>
      <c r="BZ109" s="19">
        <f ca="1">OFFSET('Sales, Production, &amp; Other Assu'!BZ$54,'Internmediate sheet'!$A14/3,0)*Capacity</f>
        <v>0</v>
      </c>
      <c r="CA109" s="19">
        <f ca="1">OFFSET('Sales, Production, &amp; Other Assu'!CA$54,'Internmediate sheet'!$A14/3,0)*Capacity</f>
        <v>0</v>
      </c>
      <c r="CB109" s="19">
        <f ca="1">OFFSET('Sales, Production, &amp; Other Assu'!CB$54,'Internmediate sheet'!$A14/3,0)*Capacity</f>
        <v>0</v>
      </c>
      <c r="CC109" s="434">
        <f ca="1">SUM(BQ109:CB109)</f>
        <v>0</v>
      </c>
      <c r="CD109" s="19">
        <f ca="1">OFFSET('Sales, Production, &amp; Other Assu'!CD$54,'Internmediate sheet'!$A14/3,0)*Capacity</f>
        <v>0</v>
      </c>
      <c r="CE109" s="19">
        <f ca="1">OFFSET('Sales, Production, &amp; Other Assu'!CE$54,'Internmediate sheet'!$A14/3,0)*Capacity</f>
        <v>0</v>
      </c>
      <c r="CF109" s="19">
        <f ca="1">OFFSET('Sales, Production, &amp; Other Assu'!CF$54,'Internmediate sheet'!$A14/3,0)*Capacity</f>
        <v>0</v>
      </c>
      <c r="CG109" s="19">
        <f ca="1">OFFSET('Sales, Production, &amp; Other Assu'!CG$54,'Internmediate sheet'!$A14/3,0)*Capacity</f>
        <v>0</v>
      </c>
      <c r="CH109" s="19">
        <f ca="1">OFFSET('Sales, Production, &amp; Other Assu'!CH$54,'Internmediate sheet'!$A14/3,0)*Capacity</f>
        <v>0</v>
      </c>
      <c r="CI109" s="19">
        <f ca="1">OFFSET('Sales, Production, &amp; Other Assu'!CI$54,'Internmediate sheet'!$A14/3,0)*Capacity</f>
        <v>0</v>
      </c>
      <c r="CJ109" s="19">
        <f ca="1">OFFSET('Sales, Production, &amp; Other Assu'!CJ$54,'Internmediate sheet'!$A14/3,0)*Capacity</f>
        <v>0</v>
      </c>
      <c r="CK109" s="19">
        <f ca="1">OFFSET('Sales, Production, &amp; Other Assu'!CK$54,'Internmediate sheet'!$A14/3,0)*Capacity</f>
        <v>0</v>
      </c>
      <c r="CL109" s="19">
        <f ca="1">OFFSET('Sales, Production, &amp; Other Assu'!CL$54,'Internmediate sheet'!$A14/3,0)*Capacity</f>
        <v>0</v>
      </c>
      <c r="CM109" s="19">
        <f ca="1">OFFSET('Sales, Production, &amp; Other Assu'!CM$54,'Internmediate sheet'!$A14/3,0)*Capacity</f>
        <v>0</v>
      </c>
      <c r="CN109" s="19">
        <f ca="1">OFFSET('Sales, Production, &amp; Other Assu'!CN$54,'Internmediate sheet'!$A14/3,0)*Capacity</f>
        <v>0</v>
      </c>
      <c r="CO109" s="19">
        <f ca="1">OFFSET('Sales, Production, &amp; Other Assu'!CO$54,'Internmediate sheet'!$A14/3,0)*Capacity</f>
        <v>0</v>
      </c>
      <c r="CP109" s="434">
        <f ca="1">SUM(CD109:CO109)</f>
        <v>0</v>
      </c>
    </row>
    <row r="110" spans="1:94" ht="20.100000000000001" hidden="1" customHeight="1">
      <c r="A110" s="793"/>
      <c r="B110" s="9" t="s">
        <v>614</v>
      </c>
      <c r="C110" s="10">
        <f ca="1">OFFSET('BEP. &amp; Summary Results'!$C$6,'Internmediate sheet'!A11/3,0)</f>
        <v>0</v>
      </c>
      <c r="D110" s="9">
        <f t="shared" ref="D110:P110" ca="1" si="2806">C110</f>
        <v>0</v>
      </c>
      <c r="E110" s="9">
        <f t="shared" ca="1" si="2806"/>
        <v>0</v>
      </c>
      <c r="F110" s="9">
        <f t="shared" ca="1" si="2806"/>
        <v>0</v>
      </c>
      <c r="G110" s="9">
        <f t="shared" ca="1" si="2806"/>
        <v>0</v>
      </c>
      <c r="H110" s="9">
        <f t="shared" ca="1" si="2806"/>
        <v>0</v>
      </c>
      <c r="I110" s="9">
        <f t="shared" ca="1" si="2806"/>
        <v>0</v>
      </c>
      <c r="J110" s="9">
        <f t="shared" ca="1" si="2806"/>
        <v>0</v>
      </c>
      <c r="K110" s="9">
        <f t="shared" ca="1" si="2806"/>
        <v>0</v>
      </c>
      <c r="L110" s="9">
        <f t="shared" ca="1" si="2806"/>
        <v>0</v>
      </c>
      <c r="M110" s="9">
        <f t="shared" ca="1" si="2806"/>
        <v>0</v>
      </c>
      <c r="N110" s="9">
        <f t="shared" ca="1" si="2806"/>
        <v>0</v>
      </c>
      <c r="O110" s="9">
        <f t="shared" ca="1" si="2806"/>
        <v>0</v>
      </c>
      <c r="P110" s="435">
        <f t="shared" ca="1" si="2806"/>
        <v>0</v>
      </c>
      <c r="Q110" s="9">
        <f t="shared" ref="Q110" ca="1" si="2807">P110</f>
        <v>0</v>
      </c>
      <c r="R110" s="9">
        <f t="shared" ref="R110" ca="1" si="2808">Q110</f>
        <v>0</v>
      </c>
      <c r="S110" s="9">
        <f t="shared" ref="S110" ca="1" si="2809">R110</f>
        <v>0</v>
      </c>
      <c r="T110" s="9">
        <f t="shared" ref="T110" ca="1" si="2810">S110</f>
        <v>0</v>
      </c>
      <c r="U110" s="9">
        <f t="shared" ref="U110" ca="1" si="2811">T110</f>
        <v>0</v>
      </c>
      <c r="V110" s="9">
        <f t="shared" ref="V110" ca="1" si="2812">U110</f>
        <v>0</v>
      </c>
      <c r="W110" s="9">
        <f t="shared" ref="W110" ca="1" si="2813">V110</f>
        <v>0</v>
      </c>
      <c r="X110" s="9">
        <f t="shared" ref="X110" ca="1" si="2814">W110</f>
        <v>0</v>
      </c>
      <c r="Y110" s="9">
        <f t="shared" ref="Y110" ca="1" si="2815">X110</f>
        <v>0</v>
      </c>
      <c r="Z110" s="9">
        <f t="shared" ref="Z110" ca="1" si="2816">Y110</f>
        <v>0</v>
      </c>
      <c r="AA110" s="9">
        <f t="shared" ref="AA110" ca="1" si="2817">Z110</f>
        <v>0</v>
      </c>
      <c r="AB110" s="9">
        <f t="shared" ref="AB110" ca="1" si="2818">AA110</f>
        <v>0</v>
      </c>
      <c r="AC110" s="435">
        <f t="shared" ref="AC110" ca="1" si="2819">AB110</f>
        <v>0</v>
      </c>
      <c r="AD110" s="9">
        <f t="shared" ref="AD110" ca="1" si="2820">AC110</f>
        <v>0</v>
      </c>
      <c r="AE110" s="9">
        <f t="shared" ref="AE110" ca="1" si="2821">AD110</f>
        <v>0</v>
      </c>
      <c r="AF110" s="9">
        <f t="shared" ref="AF110" ca="1" si="2822">AE110</f>
        <v>0</v>
      </c>
      <c r="AG110" s="9">
        <f t="shared" ref="AG110" ca="1" si="2823">AF110</f>
        <v>0</v>
      </c>
      <c r="AH110" s="9">
        <f t="shared" ref="AH110" ca="1" si="2824">AG110</f>
        <v>0</v>
      </c>
      <c r="AI110" s="9">
        <f t="shared" ref="AI110" ca="1" si="2825">AH110</f>
        <v>0</v>
      </c>
      <c r="AJ110" s="9">
        <f t="shared" ref="AJ110" ca="1" si="2826">AI110</f>
        <v>0</v>
      </c>
      <c r="AK110" s="9">
        <f t="shared" ref="AK110" ca="1" si="2827">AJ110</f>
        <v>0</v>
      </c>
      <c r="AL110" s="9">
        <f t="shared" ref="AL110" ca="1" si="2828">AK110</f>
        <v>0</v>
      </c>
      <c r="AM110" s="9">
        <f t="shared" ref="AM110" ca="1" si="2829">AL110</f>
        <v>0</v>
      </c>
      <c r="AN110" s="9">
        <f t="shared" ref="AN110" ca="1" si="2830">AM110</f>
        <v>0</v>
      </c>
      <c r="AO110" s="9">
        <f t="shared" ref="AO110" ca="1" si="2831">AN110</f>
        <v>0</v>
      </c>
      <c r="AP110" s="435">
        <f t="shared" ref="AP110" ca="1" si="2832">AO110</f>
        <v>0</v>
      </c>
      <c r="AQ110" s="9">
        <f ca="1">AP110</f>
        <v>0</v>
      </c>
      <c r="AR110" s="9">
        <f t="shared" ref="AR110" ca="1" si="2833">AQ110</f>
        <v>0</v>
      </c>
      <c r="AS110" s="9">
        <f t="shared" ref="AS110" ca="1" si="2834">AR110</f>
        <v>0</v>
      </c>
      <c r="AT110" s="9">
        <f t="shared" ref="AT110" ca="1" si="2835">AS110</f>
        <v>0</v>
      </c>
      <c r="AU110" s="9">
        <f t="shared" ref="AU110" ca="1" si="2836">AT110</f>
        <v>0</v>
      </c>
      <c r="AV110" s="9">
        <f t="shared" ref="AV110" ca="1" si="2837">AU110</f>
        <v>0</v>
      </c>
      <c r="AW110" s="9">
        <f t="shared" ref="AW110" ca="1" si="2838">AV110</f>
        <v>0</v>
      </c>
      <c r="AX110" s="9">
        <f t="shared" ref="AX110" ca="1" si="2839">AW110</f>
        <v>0</v>
      </c>
      <c r="AY110" s="9">
        <f t="shared" ref="AY110" ca="1" si="2840">AX110</f>
        <v>0</v>
      </c>
      <c r="AZ110" s="9">
        <f t="shared" ref="AZ110" ca="1" si="2841">AY110</f>
        <v>0</v>
      </c>
      <c r="BA110" s="9">
        <f t="shared" ref="BA110" ca="1" si="2842">AZ110</f>
        <v>0</v>
      </c>
      <c r="BB110" s="9">
        <f t="shared" ref="BB110" ca="1" si="2843">BA110</f>
        <v>0</v>
      </c>
      <c r="BC110" s="435">
        <f t="shared" ref="BC110" ca="1" si="2844">BB110</f>
        <v>0</v>
      </c>
      <c r="BD110" s="9">
        <f t="shared" ref="BD110" ca="1" si="2845">BC110</f>
        <v>0</v>
      </c>
      <c r="BE110" s="9">
        <f t="shared" ref="BE110" ca="1" si="2846">BD110</f>
        <v>0</v>
      </c>
      <c r="BF110" s="9">
        <f t="shared" ref="BF110" ca="1" si="2847">BE110</f>
        <v>0</v>
      </c>
      <c r="BG110" s="9">
        <f t="shared" ref="BG110" ca="1" si="2848">BF110</f>
        <v>0</v>
      </c>
      <c r="BH110" s="9">
        <f t="shared" ref="BH110" ca="1" si="2849">BG110</f>
        <v>0</v>
      </c>
      <c r="BI110" s="9">
        <f t="shared" ref="BI110" ca="1" si="2850">BH110</f>
        <v>0</v>
      </c>
      <c r="BJ110" s="9">
        <f t="shared" ref="BJ110" ca="1" si="2851">BI110</f>
        <v>0</v>
      </c>
      <c r="BK110" s="9">
        <f t="shared" ref="BK110" ca="1" si="2852">BJ110</f>
        <v>0</v>
      </c>
      <c r="BL110" s="9">
        <f t="shared" ref="BL110" ca="1" si="2853">BK110</f>
        <v>0</v>
      </c>
      <c r="BM110" s="9">
        <f t="shared" ref="BM110" ca="1" si="2854">BL110</f>
        <v>0</v>
      </c>
      <c r="BN110" s="9">
        <f t="shared" ref="BN110" ca="1" si="2855">BM110</f>
        <v>0</v>
      </c>
      <c r="BO110" s="9">
        <f t="shared" ref="BO110" ca="1" si="2856">BN110</f>
        <v>0</v>
      </c>
      <c r="BP110" s="435">
        <f t="shared" ref="BP110" ca="1" si="2857">BO110</f>
        <v>0</v>
      </c>
      <c r="BQ110" s="9">
        <f t="shared" ref="BQ110" ca="1" si="2858">BP110</f>
        <v>0</v>
      </c>
      <c r="BR110" s="9">
        <f t="shared" ref="BR110" ca="1" si="2859">BQ110</f>
        <v>0</v>
      </c>
      <c r="BS110" s="9">
        <f t="shared" ref="BS110" ca="1" si="2860">BR110</f>
        <v>0</v>
      </c>
      <c r="BT110" s="9">
        <f t="shared" ref="BT110" ca="1" si="2861">BS110</f>
        <v>0</v>
      </c>
      <c r="BU110" s="9">
        <f t="shared" ref="BU110" ca="1" si="2862">BT110</f>
        <v>0</v>
      </c>
      <c r="BV110" s="9">
        <f t="shared" ref="BV110" ca="1" si="2863">BU110</f>
        <v>0</v>
      </c>
      <c r="BW110" s="9">
        <f t="shared" ref="BW110" ca="1" si="2864">BV110</f>
        <v>0</v>
      </c>
      <c r="BX110" s="9">
        <f t="shared" ref="BX110" ca="1" si="2865">BW110</f>
        <v>0</v>
      </c>
      <c r="BY110" s="9">
        <f t="shared" ref="BY110" ca="1" si="2866">BX110</f>
        <v>0</v>
      </c>
      <c r="BZ110" s="9">
        <f t="shared" ref="BZ110" ca="1" si="2867">BY110</f>
        <v>0</v>
      </c>
      <c r="CA110" s="9">
        <f t="shared" ref="CA110" ca="1" si="2868">BZ110</f>
        <v>0</v>
      </c>
      <c r="CB110" s="9">
        <f t="shared" ref="CB110" ca="1" si="2869">CA110</f>
        <v>0</v>
      </c>
      <c r="CC110" s="435">
        <f t="shared" ref="CC110" ca="1" si="2870">CB110</f>
        <v>0</v>
      </c>
      <c r="CD110" s="9">
        <f t="shared" ref="CD110" ca="1" si="2871">CC110</f>
        <v>0</v>
      </c>
      <c r="CE110" s="9">
        <f t="shared" ref="CE110" ca="1" si="2872">CD110</f>
        <v>0</v>
      </c>
      <c r="CF110" s="9">
        <f t="shared" ref="CF110" ca="1" si="2873">CE110</f>
        <v>0</v>
      </c>
      <c r="CG110" s="9">
        <f t="shared" ref="CG110" ca="1" si="2874">CF110</f>
        <v>0</v>
      </c>
      <c r="CH110" s="9">
        <f t="shared" ref="CH110" ca="1" si="2875">CG110</f>
        <v>0</v>
      </c>
      <c r="CI110" s="9">
        <f t="shared" ref="CI110" ca="1" si="2876">CH110</f>
        <v>0</v>
      </c>
      <c r="CJ110" s="9">
        <f t="shared" ref="CJ110" ca="1" si="2877">CI110</f>
        <v>0</v>
      </c>
      <c r="CK110" s="9">
        <f t="shared" ref="CK110" ca="1" si="2878">CJ110</f>
        <v>0</v>
      </c>
      <c r="CL110" s="9">
        <f t="shared" ref="CL110" ca="1" si="2879">CK110</f>
        <v>0</v>
      </c>
      <c r="CM110" s="9">
        <f t="shared" ref="CM110" ca="1" si="2880">CL110</f>
        <v>0</v>
      </c>
      <c r="CN110" s="9">
        <f t="shared" ref="CN110" ca="1" si="2881">CM110</f>
        <v>0</v>
      </c>
      <c r="CO110" s="9">
        <f t="shared" ref="CO110" ca="1" si="2882">CN110</f>
        <v>0</v>
      </c>
      <c r="CP110" s="435">
        <f t="shared" ref="CP110" ca="1" si="2883">CO110</f>
        <v>0</v>
      </c>
    </row>
    <row r="111" spans="1:94" ht="20.100000000000001" hidden="1" customHeight="1">
      <c r="A111" s="794"/>
      <c r="B111" s="255" t="s">
        <v>615</v>
      </c>
      <c r="C111" s="256">
        <f t="shared" ref="C111:O111" ca="1" si="2884">C109*C110</f>
        <v>0</v>
      </c>
      <c r="D111" s="255">
        <f t="shared" ca="1" si="2884"/>
        <v>0</v>
      </c>
      <c r="E111" s="255">
        <f t="shared" ca="1" si="2884"/>
        <v>0</v>
      </c>
      <c r="F111" s="255">
        <f t="shared" ca="1" si="2884"/>
        <v>0</v>
      </c>
      <c r="G111" s="255">
        <f t="shared" ca="1" si="2884"/>
        <v>0</v>
      </c>
      <c r="H111" s="255">
        <f t="shared" ca="1" si="2884"/>
        <v>0</v>
      </c>
      <c r="I111" s="255">
        <f t="shared" ca="1" si="2884"/>
        <v>0</v>
      </c>
      <c r="J111" s="255">
        <f t="shared" ca="1" si="2884"/>
        <v>0</v>
      </c>
      <c r="K111" s="255">
        <f t="shared" ca="1" si="2884"/>
        <v>0</v>
      </c>
      <c r="L111" s="255">
        <f t="shared" ca="1" si="2884"/>
        <v>0</v>
      </c>
      <c r="M111" s="255">
        <f t="shared" ca="1" si="2884"/>
        <v>0</v>
      </c>
      <c r="N111" s="255">
        <f t="shared" ca="1" si="2884"/>
        <v>0</v>
      </c>
      <c r="O111" s="255">
        <f t="shared" ca="1" si="2884"/>
        <v>0</v>
      </c>
      <c r="P111" s="436">
        <f ca="1">SUM(D111:O111)</f>
        <v>0</v>
      </c>
      <c r="Q111" s="255">
        <f t="shared" ref="Q111:AB111" ca="1" si="2885">Q109*Q110</f>
        <v>0</v>
      </c>
      <c r="R111" s="255">
        <f t="shared" ca="1" si="2885"/>
        <v>0</v>
      </c>
      <c r="S111" s="255">
        <f t="shared" ca="1" si="2885"/>
        <v>0</v>
      </c>
      <c r="T111" s="255">
        <f t="shared" ca="1" si="2885"/>
        <v>0</v>
      </c>
      <c r="U111" s="255">
        <f t="shared" ca="1" si="2885"/>
        <v>0</v>
      </c>
      <c r="V111" s="255">
        <f t="shared" ca="1" si="2885"/>
        <v>0</v>
      </c>
      <c r="W111" s="255">
        <f t="shared" ca="1" si="2885"/>
        <v>0</v>
      </c>
      <c r="X111" s="255">
        <f t="shared" ca="1" si="2885"/>
        <v>0</v>
      </c>
      <c r="Y111" s="255">
        <f t="shared" ca="1" si="2885"/>
        <v>0</v>
      </c>
      <c r="Z111" s="255">
        <f t="shared" ca="1" si="2885"/>
        <v>0</v>
      </c>
      <c r="AA111" s="255">
        <f t="shared" ca="1" si="2885"/>
        <v>0</v>
      </c>
      <c r="AB111" s="255">
        <f t="shared" ca="1" si="2885"/>
        <v>0</v>
      </c>
      <c r="AC111" s="436">
        <f ca="1">SUM(Q111:AB111)</f>
        <v>0</v>
      </c>
      <c r="AD111" s="255">
        <f t="shared" ref="AD111:AO111" ca="1" si="2886">AD109*AD110</f>
        <v>0</v>
      </c>
      <c r="AE111" s="255">
        <f t="shared" ca="1" si="2886"/>
        <v>0</v>
      </c>
      <c r="AF111" s="255">
        <f t="shared" ca="1" si="2886"/>
        <v>0</v>
      </c>
      <c r="AG111" s="255">
        <f t="shared" ca="1" si="2886"/>
        <v>0</v>
      </c>
      <c r="AH111" s="255">
        <f t="shared" ca="1" si="2886"/>
        <v>0</v>
      </c>
      <c r="AI111" s="255">
        <f t="shared" ca="1" si="2886"/>
        <v>0</v>
      </c>
      <c r="AJ111" s="255">
        <f t="shared" ca="1" si="2886"/>
        <v>0</v>
      </c>
      <c r="AK111" s="255">
        <f t="shared" ca="1" si="2886"/>
        <v>0</v>
      </c>
      <c r="AL111" s="255">
        <f t="shared" ca="1" si="2886"/>
        <v>0</v>
      </c>
      <c r="AM111" s="255">
        <f t="shared" ca="1" si="2886"/>
        <v>0</v>
      </c>
      <c r="AN111" s="255">
        <f t="shared" ca="1" si="2886"/>
        <v>0</v>
      </c>
      <c r="AO111" s="255">
        <f t="shared" ca="1" si="2886"/>
        <v>0</v>
      </c>
      <c r="AP111" s="436">
        <f ca="1">SUM(AD111:AO111)</f>
        <v>0</v>
      </c>
      <c r="AQ111" s="255">
        <f t="shared" ref="AQ111:BB111" ca="1" si="2887">AQ109*AQ110</f>
        <v>0</v>
      </c>
      <c r="AR111" s="255">
        <f t="shared" ca="1" si="2887"/>
        <v>0</v>
      </c>
      <c r="AS111" s="255">
        <f t="shared" ca="1" si="2887"/>
        <v>0</v>
      </c>
      <c r="AT111" s="255">
        <f t="shared" ca="1" si="2887"/>
        <v>0</v>
      </c>
      <c r="AU111" s="255">
        <f t="shared" ca="1" si="2887"/>
        <v>0</v>
      </c>
      <c r="AV111" s="255">
        <f t="shared" ca="1" si="2887"/>
        <v>0</v>
      </c>
      <c r="AW111" s="255">
        <f t="shared" ca="1" si="2887"/>
        <v>0</v>
      </c>
      <c r="AX111" s="255">
        <f t="shared" ca="1" si="2887"/>
        <v>0</v>
      </c>
      <c r="AY111" s="255">
        <f t="shared" ca="1" si="2887"/>
        <v>0</v>
      </c>
      <c r="AZ111" s="255">
        <f t="shared" ca="1" si="2887"/>
        <v>0</v>
      </c>
      <c r="BA111" s="255">
        <f t="shared" ca="1" si="2887"/>
        <v>0</v>
      </c>
      <c r="BB111" s="255">
        <f t="shared" ca="1" si="2887"/>
        <v>0</v>
      </c>
      <c r="BC111" s="436">
        <f ca="1">SUM(AQ111:BB111)</f>
        <v>0</v>
      </c>
      <c r="BD111" s="255">
        <f t="shared" ref="BD111:BO111" ca="1" si="2888">BD109*BD110</f>
        <v>0</v>
      </c>
      <c r="BE111" s="255">
        <f t="shared" ca="1" si="2888"/>
        <v>0</v>
      </c>
      <c r="BF111" s="255">
        <f t="shared" ca="1" si="2888"/>
        <v>0</v>
      </c>
      <c r="BG111" s="255">
        <f t="shared" ca="1" si="2888"/>
        <v>0</v>
      </c>
      <c r="BH111" s="255">
        <f t="shared" ca="1" si="2888"/>
        <v>0</v>
      </c>
      <c r="BI111" s="255">
        <f t="shared" ca="1" si="2888"/>
        <v>0</v>
      </c>
      <c r="BJ111" s="255">
        <f t="shared" ca="1" si="2888"/>
        <v>0</v>
      </c>
      <c r="BK111" s="255">
        <f t="shared" ca="1" si="2888"/>
        <v>0</v>
      </c>
      <c r="BL111" s="255">
        <f t="shared" ca="1" si="2888"/>
        <v>0</v>
      </c>
      <c r="BM111" s="255">
        <f t="shared" ca="1" si="2888"/>
        <v>0</v>
      </c>
      <c r="BN111" s="255">
        <f t="shared" ca="1" si="2888"/>
        <v>0</v>
      </c>
      <c r="BO111" s="255">
        <f t="shared" ca="1" si="2888"/>
        <v>0</v>
      </c>
      <c r="BP111" s="436">
        <f ca="1">SUM(BD111:BO111)</f>
        <v>0</v>
      </c>
      <c r="BQ111" s="255">
        <f t="shared" ref="BQ111:CB111" ca="1" si="2889">BQ109*BQ110</f>
        <v>0</v>
      </c>
      <c r="BR111" s="255">
        <f t="shared" ca="1" si="2889"/>
        <v>0</v>
      </c>
      <c r="BS111" s="255">
        <f t="shared" ca="1" si="2889"/>
        <v>0</v>
      </c>
      <c r="BT111" s="255">
        <f t="shared" ca="1" si="2889"/>
        <v>0</v>
      </c>
      <c r="BU111" s="255">
        <f t="shared" ca="1" si="2889"/>
        <v>0</v>
      </c>
      <c r="BV111" s="255">
        <f t="shared" ca="1" si="2889"/>
        <v>0</v>
      </c>
      <c r="BW111" s="255">
        <f t="shared" ca="1" si="2889"/>
        <v>0</v>
      </c>
      <c r="BX111" s="255">
        <f t="shared" ca="1" si="2889"/>
        <v>0</v>
      </c>
      <c r="BY111" s="255">
        <f t="shared" ca="1" si="2889"/>
        <v>0</v>
      </c>
      <c r="BZ111" s="255">
        <f t="shared" ca="1" si="2889"/>
        <v>0</v>
      </c>
      <c r="CA111" s="255">
        <f t="shared" ca="1" si="2889"/>
        <v>0</v>
      </c>
      <c r="CB111" s="255">
        <f t="shared" ca="1" si="2889"/>
        <v>0</v>
      </c>
      <c r="CC111" s="436">
        <f ca="1">SUM(BQ111:CB111)</f>
        <v>0</v>
      </c>
      <c r="CD111" s="255">
        <f t="shared" ref="CD111:CO111" ca="1" si="2890">CD109*CD110</f>
        <v>0</v>
      </c>
      <c r="CE111" s="255">
        <f t="shared" ca="1" si="2890"/>
        <v>0</v>
      </c>
      <c r="CF111" s="255">
        <f t="shared" ca="1" si="2890"/>
        <v>0</v>
      </c>
      <c r="CG111" s="255">
        <f t="shared" ca="1" si="2890"/>
        <v>0</v>
      </c>
      <c r="CH111" s="255">
        <f t="shared" ca="1" si="2890"/>
        <v>0</v>
      </c>
      <c r="CI111" s="255">
        <f t="shared" ca="1" si="2890"/>
        <v>0</v>
      </c>
      <c r="CJ111" s="255">
        <f t="shared" ca="1" si="2890"/>
        <v>0</v>
      </c>
      <c r="CK111" s="255">
        <f t="shared" ca="1" si="2890"/>
        <v>0</v>
      </c>
      <c r="CL111" s="255">
        <f t="shared" ca="1" si="2890"/>
        <v>0</v>
      </c>
      <c r="CM111" s="255">
        <f t="shared" ca="1" si="2890"/>
        <v>0</v>
      </c>
      <c r="CN111" s="255">
        <f t="shared" ca="1" si="2890"/>
        <v>0</v>
      </c>
      <c r="CO111" s="255">
        <f t="shared" ca="1" si="2890"/>
        <v>0</v>
      </c>
      <c r="CP111" s="436">
        <f ca="1">SUM(CD111:CO111)</f>
        <v>0</v>
      </c>
    </row>
    <row r="112" spans="1:94" ht="20.100000000000001" hidden="1" customHeight="1">
      <c r="A112" s="792">
        <f ca="1">OFFSET('Summary. Assumptions. Inputs'!$A$45,'Internmediate sheet'!A17/3,0)</f>
        <v>0</v>
      </c>
      <c r="B112" s="19" t="s">
        <v>613</v>
      </c>
      <c r="C112" s="20">
        <f ca="1">OFFSET('Sales, Production, &amp; Other Assu'!C$54,'Internmediate sheet'!$A17/3,0)*Capacity</f>
        <v>0</v>
      </c>
      <c r="D112" s="19">
        <f ca="1">OFFSET('Sales, Production, &amp; Other Assu'!D$54,'Internmediate sheet'!$A17/3,0)*Capacity</f>
        <v>0</v>
      </c>
      <c r="E112" s="19">
        <f ca="1">OFFSET('Sales, Production, &amp; Other Assu'!E$54,'Internmediate sheet'!$A17/3,0)*Capacity</f>
        <v>0</v>
      </c>
      <c r="F112" s="19">
        <f ca="1">OFFSET('Sales, Production, &amp; Other Assu'!F$54,'Internmediate sheet'!$A17/3,0)*Capacity</f>
        <v>0</v>
      </c>
      <c r="G112" s="19">
        <f ca="1">OFFSET('Sales, Production, &amp; Other Assu'!G$54,'Internmediate sheet'!$A17/3,0)*Capacity</f>
        <v>0</v>
      </c>
      <c r="H112" s="19">
        <f ca="1">OFFSET('Sales, Production, &amp; Other Assu'!H$54,'Internmediate sheet'!$A17/3,0)*Capacity</f>
        <v>0</v>
      </c>
      <c r="I112" s="19">
        <f ca="1">OFFSET('Sales, Production, &amp; Other Assu'!I$54,'Internmediate sheet'!$A17/3,0)*Capacity</f>
        <v>0</v>
      </c>
      <c r="J112" s="19">
        <f ca="1">OFFSET('Sales, Production, &amp; Other Assu'!J$54,'Internmediate sheet'!$A17/3,0)*Capacity</f>
        <v>0</v>
      </c>
      <c r="K112" s="19">
        <f ca="1">OFFSET('Sales, Production, &amp; Other Assu'!K$54,'Internmediate sheet'!$A17/3,0)*Capacity</f>
        <v>0</v>
      </c>
      <c r="L112" s="19">
        <f ca="1">OFFSET('Sales, Production, &amp; Other Assu'!L$54,'Internmediate sheet'!$A17/3,0)*Capacity</f>
        <v>0</v>
      </c>
      <c r="M112" s="19">
        <f ca="1">OFFSET('Sales, Production, &amp; Other Assu'!M$54,'Internmediate sheet'!$A17/3,0)*Capacity</f>
        <v>0</v>
      </c>
      <c r="N112" s="19">
        <f ca="1">OFFSET('Sales, Production, &amp; Other Assu'!N$54,'Internmediate sheet'!$A17/3,0)*Capacity</f>
        <v>0</v>
      </c>
      <c r="O112" s="19">
        <f ca="1">OFFSET('Sales, Production, &amp; Other Assu'!O$54,'Internmediate sheet'!$A17/3,0)*Capacity</f>
        <v>0</v>
      </c>
      <c r="P112" s="434">
        <f ca="1">SUM(D112:O112)</f>
        <v>0</v>
      </c>
      <c r="Q112" s="19">
        <f ca="1">OFFSET('Sales, Production, &amp; Other Assu'!Q$54,'Internmediate sheet'!$A17/3,0)*Capacity</f>
        <v>0</v>
      </c>
      <c r="R112" s="19">
        <f ca="1">OFFSET('Sales, Production, &amp; Other Assu'!R$54,'Internmediate sheet'!$A17/3,0)*Capacity</f>
        <v>0</v>
      </c>
      <c r="S112" s="19">
        <f ca="1">OFFSET('Sales, Production, &amp; Other Assu'!S$54,'Internmediate sheet'!$A17/3,0)*Capacity</f>
        <v>0</v>
      </c>
      <c r="T112" s="19">
        <f ca="1">OFFSET('Sales, Production, &amp; Other Assu'!T$54,'Internmediate sheet'!$A17/3,0)*Capacity</f>
        <v>0</v>
      </c>
      <c r="U112" s="19">
        <f ca="1">OFFSET('Sales, Production, &amp; Other Assu'!U$54,'Internmediate sheet'!$A17/3,0)*Capacity</f>
        <v>0</v>
      </c>
      <c r="V112" s="19">
        <f ca="1">OFFSET('Sales, Production, &amp; Other Assu'!V$54,'Internmediate sheet'!$A17/3,0)*Capacity</f>
        <v>0</v>
      </c>
      <c r="W112" s="19">
        <f ca="1">OFFSET('Sales, Production, &amp; Other Assu'!W$54,'Internmediate sheet'!$A17/3,0)*Capacity</f>
        <v>0</v>
      </c>
      <c r="X112" s="19">
        <f ca="1">OFFSET('Sales, Production, &amp; Other Assu'!X$54,'Internmediate sheet'!$A17/3,0)*Capacity</f>
        <v>0</v>
      </c>
      <c r="Y112" s="19">
        <f ca="1">OFFSET('Sales, Production, &amp; Other Assu'!Y$54,'Internmediate sheet'!$A17/3,0)*Capacity</f>
        <v>0</v>
      </c>
      <c r="Z112" s="19">
        <f ca="1">OFFSET('Sales, Production, &amp; Other Assu'!Z$54,'Internmediate sheet'!$A17/3,0)*Capacity</f>
        <v>0</v>
      </c>
      <c r="AA112" s="19">
        <f ca="1">OFFSET('Sales, Production, &amp; Other Assu'!AA$54,'Internmediate sheet'!$A17/3,0)*Capacity</f>
        <v>0</v>
      </c>
      <c r="AB112" s="19">
        <f ca="1">OFFSET('Sales, Production, &amp; Other Assu'!AB$54,'Internmediate sheet'!$A17/3,0)*Capacity</f>
        <v>0</v>
      </c>
      <c r="AC112" s="434">
        <f ca="1">SUM(Q112:AB112)</f>
        <v>0</v>
      </c>
      <c r="AD112" s="19">
        <f ca="1">OFFSET('Sales, Production, &amp; Other Assu'!AD$54,'Internmediate sheet'!$A17/3,0)*Capacity</f>
        <v>0</v>
      </c>
      <c r="AE112" s="19">
        <f ca="1">OFFSET('Sales, Production, &amp; Other Assu'!AE$54,'Internmediate sheet'!$A17/3,0)*Capacity</f>
        <v>0</v>
      </c>
      <c r="AF112" s="19">
        <f ca="1">OFFSET('Sales, Production, &amp; Other Assu'!AF$54,'Internmediate sheet'!$A17/3,0)*Capacity</f>
        <v>0</v>
      </c>
      <c r="AG112" s="19">
        <f ca="1">OFFSET('Sales, Production, &amp; Other Assu'!AG$54,'Internmediate sheet'!$A17/3,0)*Capacity</f>
        <v>0</v>
      </c>
      <c r="AH112" s="19">
        <f ca="1">OFFSET('Sales, Production, &amp; Other Assu'!AH$54,'Internmediate sheet'!$A17/3,0)*Capacity</f>
        <v>0</v>
      </c>
      <c r="AI112" s="19">
        <f ca="1">OFFSET('Sales, Production, &amp; Other Assu'!AI$54,'Internmediate sheet'!$A17/3,0)*Capacity</f>
        <v>0</v>
      </c>
      <c r="AJ112" s="19">
        <f ca="1">OFFSET('Sales, Production, &amp; Other Assu'!AJ$54,'Internmediate sheet'!$A17/3,0)*Capacity</f>
        <v>0</v>
      </c>
      <c r="AK112" s="19">
        <f ca="1">OFFSET('Sales, Production, &amp; Other Assu'!AK$54,'Internmediate sheet'!$A17/3,0)*Capacity</f>
        <v>0</v>
      </c>
      <c r="AL112" s="19">
        <f ca="1">OFFSET('Sales, Production, &amp; Other Assu'!AL$54,'Internmediate sheet'!$A17/3,0)*Capacity</f>
        <v>0</v>
      </c>
      <c r="AM112" s="19">
        <f ca="1">OFFSET('Sales, Production, &amp; Other Assu'!AM$54,'Internmediate sheet'!$A17/3,0)*Capacity</f>
        <v>0</v>
      </c>
      <c r="AN112" s="19">
        <f ca="1">OFFSET('Sales, Production, &amp; Other Assu'!AN$54,'Internmediate sheet'!$A17/3,0)*Capacity</f>
        <v>0</v>
      </c>
      <c r="AO112" s="19">
        <f ca="1">OFFSET('Sales, Production, &amp; Other Assu'!AO$54,'Internmediate sheet'!$A17/3,0)*Capacity</f>
        <v>0</v>
      </c>
      <c r="AP112" s="434">
        <f ca="1">SUM(AD112:AO112)</f>
        <v>0</v>
      </c>
      <c r="AQ112" s="19">
        <f ca="1">OFFSET('Sales, Production, &amp; Other Assu'!AQ$54,'Internmediate sheet'!$A17/3,0)*Capacity</f>
        <v>0</v>
      </c>
      <c r="AR112" s="19">
        <f ca="1">OFFSET('Sales, Production, &amp; Other Assu'!AR$54,'Internmediate sheet'!$A17/3,0)*Capacity</f>
        <v>0</v>
      </c>
      <c r="AS112" s="19">
        <f ca="1">OFFSET('Sales, Production, &amp; Other Assu'!AS$54,'Internmediate sheet'!$A17/3,0)*Capacity</f>
        <v>0</v>
      </c>
      <c r="AT112" s="19">
        <f ca="1">OFFSET('Sales, Production, &amp; Other Assu'!AT$54,'Internmediate sheet'!$A17/3,0)*Capacity</f>
        <v>0</v>
      </c>
      <c r="AU112" s="19">
        <f ca="1">OFFSET('Sales, Production, &amp; Other Assu'!AU$54,'Internmediate sheet'!$A17/3,0)*Capacity</f>
        <v>0</v>
      </c>
      <c r="AV112" s="19">
        <f ca="1">OFFSET('Sales, Production, &amp; Other Assu'!AV$54,'Internmediate sheet'!$A17/3,0)*Capacity</f>
        <v>0</v>
      </c>
      <c r="AW112" s="19">
        <f ca="1">OFFSET('Sales, Production, &amp; Other Assu'!AW$54,'Internmediate sheet'!$A17/3,0)*Capacity</f>
        <v>0</v>
      </c>
      <c r="AX112" s="19">
        <f ca="1">OFFSET('Sales, Production, &amp; Other Assu'!AX$54,'Internmediate sheet'!$A17/3,0)*Capacity</f>
        <v>0</v>
      </c>
      <c r="AY112" s="19">
        <f ca="1">OFFSET('Sales, Production, &amp; Other Assu'!AY$54,'Internmediate sheet'!$A17/3,0)*Capacity</f>
        <v>0</v>
      </c>
      <c r="AZ112" s="19">
        <f ca="1">OFFSET('Sales, Production, &amp; Other Assu'!AZ$54,'Internmediate sheet'!$A17/3,0)*Capacity</f>
        <v>0</v>
      </c>
      <c r="BA112" s="19">
        <f ca="1">OFFSET('Sales, Production, &amp; Other Assu'!BA$54,'Internmediate sheet'!$A17/3,0)*Capacity</f>
        <v>0</v>
      </c>
      <c r="BB112" s="19">
        <f ca="1">OFFSET('Sales, Production, &amp; Other Assu'!BB$54,'Internmediate sheet'!$A17/3,0)*Capacity</f>
        <v>0</v>
      </c>
      <c r="BC112" s="434">
        <f ca="1">SUM(AQ112:BB112)</f>
        <v>0</v>
      </c>
      <c r="BD112" s="19">
        <f ca="1">OFFSET('Sales, Production, &amp; Other Assu'!BD$54,'Internmediate sheet'!$A17/3,0)*Capacity</f>
        <v>0</v>
      </c>
      <c r="BE112" s="19">
        <f ca="1">OFFSET('Sales, Production, &amp; Other Assu'!BE$54,'Internmediate sheet'!$A17/3,0)*Capacity</f>
        <v>0</v>
      </c>
      <c r="BF112" s="19">
        <f ca="1">OFFSET('Sales, Production, &amp; Other Assu'!BF$54,'Internmediate sheet'!$A17/3,0)*Capacity</f>
        <v>0</v>
      </c>
      <c r="BG112" s="19">
        <f ca="1">OFFSET('Sales, Production, &amp; Other Assu'!BG$54,'Internmediate sheet'!$A17/3,0)*Capacity</f>
        <v>0</v>
      </c>
      <c r="BH112" s="19">
        <f ca="1">OFFSET('Sales, Production, &amp; Other Assu'!BH$54,'Internmediate sheet'!$A17/3,0)*Capacity</f>
        <v>0</v>
      </c>
      <c r="BI112" s="19">
        <f ca="1">OFFSET('Sales, Production, &amp; Other Assu'!BI$54,'Internmediate sheet'!$A17/3,0)*Capacity</f>
        <v>0</v>
      </c>
      <c r="BJ112" s="19">
        <f ca="1">OFFSET('Sales, Production, &amp; Other Assu'!BJ$54,'Internmediate sheet'!$A17/3,0)*Capacity</f>
        <v>0</v>
      </c>
      <c r="BK112" s="19">
        <f ca="1">OFFSET('Sales, Production, &amp; Other Assu'!BK$54,'Internmediate sheet'!$A17/3,0)*Capacity</f>
        <v>0</v>
      </c>
      <c r="BL112" s="19">
        <f ca="1">OFFSET('Sales, Production, &amp; Other Assu'!BL$54,'Internmediate sheet'!$A17/3,0)*Capacity</f>
        <v>0</v>
      </c>
      <c r="BM112" s="19">
        <f ca="1">OFFSET('Sales, Production, &amp; Other Assu'!BM$54,'Internmediate sheet'!$A17/3,0)*Capacity</f>
        <v>0</v>
      </c>
      <c r="BN112" s="19">
        <f ca="1">OFFSET('Sales, Production, &amp; Other Assu'!BN$54,'Internmediate sheet'!$A17/3,0)*Capacity</f>
        <v>0</v>
      </c>
      <c r="BO112" s="19">
        <f ca="1">OFFSET('Sales, Production, &amp; Other Assu'!BO$54,'Internmediate sheet'!$A17/3,0)*Capacity</f>
        <v>0</v>
      </c>
      <c r="BP112" s="434">
        <f ca="1">SUM(BD112:BO112)</f>
        <v>0</v>
      </c>
      <c r="BQ112" s="19">
        <f ca="1">OFFSET('Sales, Production, &amp; Other Assu'!BQ$54,'Internmediate sheet'!$A17/3,0)*Capacity</f>
        <v>0</v>
      </c>
      <c r="BR112" s="19">
        <f ca="1">OFFSET('Sales, Production, &amp; Other Assu'!BR$54,'Internmediate sheet'!$A17/3,0)*Capacity</f>
        <v>0</v>
      </c>
      <c r="BS112" s="19">
        <f ca="1">OFFSET('Sales, Production, &amp; Other Assu'!BS$54,'Internmediate sheet'!$A17/3,0)*Capacity</f>
        <v>0</v>
      </c>
      <c r="BT112" s="19">
        <f ca="1">OFFSET('Sales, Production, &amp; Other Assu'!BT$54,'Internmediate sheet'!$A17/3,0)*Capacity</f>
        <v>0</v>
      </c>
      <c r="BU112" s="19">
        <f ca="1">OFFSET('Sales, Production, &amp; Other Assu'!BU$54,'Internmediate sheet'!$A17/3,0)*Capacity</f>
        <v>0</v>
      </c>
      <c r="BV112" s="19">
        <f ca="1">OFFSET('Sales, Production, &amp; Other Assu'!BV$54,'Internmediate sheet'!$A17/3,0)*Capacity</f>
        <v>0</v>
      </c>
      <c r="BW112" s="19">
        <f ca="1">OFFSET('Sales, Production, &amp; Other Assu'!BW$54,'Internmediate sheet'!$A17/3,0)*Capacity</f>
        <v>0</v>
      </c>
      <c r="BX112" s="19">
        <f ca="1">OFFSET('Sales, Production, &amp; Other Assu'!BX$54,'Internmediate sheet'!$A17/3,0)*Capacity</f>
        <v>0</v>
      </c>
      <c r="BY112" s="19">
        <f ca="1">OFFSET('Sales, Production, &amp; Other Assu'!BY$54,'Internmediate sheet'!$A17/3,0)*Capacity</f>
        <v>0</v>
      </c>
      <c r="BZ112" s="19">
        <f ca="1">OFFSET('Sales, Production, &amp; Other Assu'!BZ$54,'Internmediate sheet'!$A17/3,0)*Capacity</f>
        <v>0</v>
      </c>
      <c r="CA112" s="19">
        <f ca="1">OFFSET('Sales, Production, &amp; Other Assu'!CA$54,'Internmediate sheet'!$A17/3,0)*Capacity</f>
        <v>0</v>
      </c>
      <c r="CB112" s="19">
        <f ca="1">OFFSET('Sales, Production, &amp; Other Assu'!CB$54,'Internmediate sheet'!$A17/3,0)*Capacity</f>
        <v>0</v>
      </c>
      <c r="CC112" s="434">
        <f ca="1">SUM(BQ112:CB112)</f>
        <v>0</v>
      </c>
      <c r="CD112" s="19">
        <f ca="1">OFFSET('Sales, Production, &amp; Other Assu'!CD$54,'Internmediate sheet'!$A17/3,0)*Capacity</f>
        <v>0</v>
      </c>
      <c r="CE112" s="19">
        <f ca="1">OFFSET('Sales, Production, &amp; Other Assu'!CE$54,'Internmediate sheet'!$A17/3,0)*Capacity</f>
        <v>0</v>
      </c>
      <c r="CF112" s="19">
        <f ca="1">OFFSET('Sales, Production, &amp; Other Assu'!CF$54,'Internmediate sheet'!$A17/3,0)*Capacity</f>
        <v>0</v>
      </c>
      <c r="CG112" s="19">
        <f ca="1">OFFSET('Sales, Production, &amp; Other Assu'!CG$54,'Internmediate sheet'!$A17/3,0)*Capacity</f>
        <v>0</v>
      </c>
      <c r="CH112" s="19">
        <f ca="1">OFFSET('Sales, Production, &amp; Other Assu'!CH$54,'Internmediate sheet'!$A17/3,0)*Capacity</f>
        <v>0</v>
      </c>
      <c r="CI112" s="19">
        <f ca="1">OFFSET('Sales, Production, &amp; Other Assu'!CI$54,'Internmediate sheet'!$A17/3,0)*Capacity</f>
        <v>0</v>
      </c>
      <c r="CJ112" s="19">
        <f ca="1">OFFSET('Sales, Production, &amp; Other Assu'!CJ$54,'Internmediate sheet'!$A17/3,0)*Capacity</f>
        <v>0</v>
      </c>
      <c r="CK112" s="19">
        <f ca="1">OFFSET('Sales, Production, &amp; Other Assu'!CK$54,'Internmediate sheet'!$A17/3,0)*Capacity</f>
        <v>0</v>
      </c>
      <c r="CL112" s="19">
        <f ca="1">OFFSET('Sales, Production, &amp; Other Assu'!CL$54,'Internmediate sheet'!$A17/3,0)*Capacity</f>
        <v>0</v>
      </c>
      <c r="CM112" s="19">
        <f ca="1">OFFSET('Sales, Production, &amp; Other Assu'!CM$54,'Internmediate sheet'!$A17/3,0)*Capacity</f>
        <v>0</v>
      </c>
      <c r="CN112" s="19">
        <f ca="1">OFFSET('Sales, Production, &amp; Other Assu'!CN$54,'Internmediate sheet'!$A17/3,0)*Capacity</f>
        <v>0</v>
      </c>
      <c r="CO112" s="19">
        <f ca="1">OFFSET('Sales, Production, &amp; Other Assu'!CO$54,'Internmediate sheet'!$A17/3,0)*Capacity</f>
        <v>0</v>
      </c>
      <c r="CP112" s="434">
        <f ca="1">SUM(CD112:CO112)</f>
        <v>0</v>
      </c>
    </row>
    <row r="113" spans="1:94" ht="20.100000000000001" hidden="1" customHeight="1">
      <c r="A113" s="793"/>
      <c r="B113" s="9" t="s">
        <v>614</v>
      </c>
      <c r="C113" s="10">
        <f ca="1">OFFSET('BEP. &amp; Summary Results'!$C$6,'Internmediate sheet'!A14/3,0)</f>
        <v>0</v>
      </c>
      <c r="D113" s="9">
        <f t="shared" ref="D113:P113" ca="1" si="2891">C113</f>
        <v>0</v>
      </c>
      <c r="E113" s="9">
        <f t="shared" ca="1" si="2891"/>
        <v>0</v>
      </c>
      <c r="F113" s="9">
        <f t="shared" ca="1" si="2891"/>
        <v>0</v>
      </c>
      <c r="G113" s="9">
        <f t="shared" ca="1" si="2891"/>
        <v>0</v>
      </c>
      <c r="H113" s="9">
        <f t="shared" ca="1" si="2891"/>
        <v>0</v>
      </c>
      <c r="I113" s="9">
        <f t="shared" ca="1" si="2891"/>
        <v>0</v>
      </c>
      <c r="J113" s="9">
        <f t="shared" ca="1" si="2891"/>
        <v>0</v>
      </c>
      <c r="K113" s="9">
        <f t="shared" ca="1" si="2891"/>
        <v>0</v>
      </c>
      <c r="L113" s="9">
        <f t="shared" ca="1" si="2891"/>
        <v>0</v>
      </c>
      <c r="M113" s="9">
        <f t="shared" ca="1" si="2891"/>
        <v>0</v>
      </c>
      <c r="N113" s="9">
        <f t="shared" ca="1" si="2891"/>
        <v>0</v>
      </c>
      <c r="O113" s="9">
        <f t="shared" ca="1" si="2891"/>
        <v>0</v>
      </c>
      <c r="P113" s="435">
        <f t="shared" ca="1" si="2891"/>
        <v>0</v>
      </c>
      <c r="Q113" s="9">
        <f t="shared" ref="Q113" ca="1" si="2892">P113</f>
        <v>0</v>
      </c>
      <c r="R113" s="9">
        <f t="shared" ref="R113" ca="1" si="2893">Q113</f>
        <v>0</v>
      </c>
      <c r="S113" s="9">
        <f t="shared" ref="S113" ca="1" si="2894">R113</f>
        <v>0</v>
      </c>
      <c r="T113" s="9">
        <f t="shared" ref="T113" ca="1" si="2895">S113</f>
        <v>0</v>
      </c>
      <c r="U113" s="9">
        <f t="shared" ref="U113" ca="1" si="2896">T113</f>
        <v>0</v>
      </c>
      <c r="V113" s="9">
        <f t="shared" ref="V113" ca="1" si="2897">U113</f>
        <v>0</v>
      </c>
      <c r="W113" s="9">
        <f t="shared" ref="W113" ca="1" si="2898">V113</f>
        <v>0</v>
      </c>
      <c r="X113" s="9">
        <f t="shared" ref="X113" ca="1" si="2899">W113</f>
        <v>0</v>
      </c>
      <c r="Y113" s="9">
        <f t="shared" ref="Y113" ca="1" si="2900">X113</f>
        <v>0</v>
      </c>
      <c r="Z113" s="9">
        <f t="shared" ref="Z113" ca="1" si="2901">Y113</f>
        <v>0</v>
      </c>
      <c r="AA113" s="9">
        <f t="shared" ref="AA113" ca="1" si="2902">Z113</f>
        <v>0</v>
      </c>
      <c r="AB113" s="9">
        <f t="shared" ref="AB113" ca="1" si="2903">AA113</f>
        <v>0</v>
      </c>
      <c r="AC113" s="435">
        <f t="shared" ref="AC113" ca="1" si="2904">AB113</f>
        <v>0</v>
      </c>
      <c r="AD113" s="9">
        <f t="shared" ref="AD113" ca="1" si="2905">AC113</f>
        <v>0</v>
      </c>
      <c r="AE113" s="9">
        <f t="shared" ref="AE113" ca="1" si="2906">AD113</f>
        <v>0</v>
      </c>
      <c r="AF113" s="9">
        <f t="shared" ref="AF113" ca="1" si="2907">AE113</f>
        <v>0</v>
      </c>
      <c r="AG113" s="9">
        <f t="shared" ref="AG113" ca="1" si="2908">AF113</f>
        <v>0</v>
      </c>
      <c r="AH113" s="9">
        <f t="shared" ref="AH113" ca="1" si="2909">AG113</f>
        <v>0</v>
      </c>
      <c r="AI113" s="9">
        <f t="shared" ref="AI113" ca="1" si="2910">AH113</f>
        <v>0</v>
      </c>
      <c r="AJ113" s="9">
        <f t="shared" ref="AJ113" ca="1" si="2911">AI113</f>
        <v>0</v>
      </c>
      <c r="AK113" s="9">
        <f t="shared" ref="AK113" ca="1" si="2912">AJ113</f>
        <v>0</v>
      </c>
      <c r="AL113" s="9">
        <f t="shared" ref="AL113" ca="1" si="2913">AK113</f>
        <v>0</v>
      </c>
      <c r="AM113" s="9">
        <f t="shared" ref="AM113" ca="1" si="2914">AL113</f>
        <v>0</v>
      </c>
      <c r="AN113" s="9">
        <f t="shared" ref="AN113" ca="1" si="2915">AM113</f>
        <v>0</v>
      </c>
      <c r="AO113" s="9">
        <f t="shared" ref="AO113" ca="1" si="2916">AN113</f>
        <v>0</v>
      </c>
      <c r="AP113" s="435">
        <f t="shared" ref="AP113" ca="1" si="2917">AO113</f>
        <v>0</v>
      </c>
      <c r="AQ113" s="9">
        <f ca="1">AP113</f>
        <v>0</v>
      </c>
      <c r="AR113" s="9">
        <f t="shared" ref="AR113" ca="1" si="2918">AQ113</f>
        <v>0</v>
      </c>
      <c r="AS113" s="9">
        <f t="shared" ref="AS113" ca="1" si="2919">AR113</f>
        <v>0</v>
      </c>
      <c r="AT113" s="9">
        <f t="shared" ref="AT113" ca="1" si="2920">AS113</f>
        <v>0</v>
      </c>
      <c r="AU113" s="9">
        <f t="shared" ref="AU113" ca="1" si="2921">AT113</f>
        <v>0</v>
      </c>
      <c r="AV113" s="9">
        <f t="shared" ref="AV113" ca="1" si="2922">AU113</f>
        <v>0</v>
      </c>
      <c r="AW113" s="9">
        <f t="shared" ref="AW113" ca="1" si="2923">AV113</f>
        <v>0</v>
      </c>
      <c r="AX113" s="9">
        <f t="shared" ref="AX113" ca="1" si="2924">AW113</f>
        <v>0</v>
      </c>
      <c r="AY113" s="9">
        <f t="shared" ref="AY113" ca="1" si="2925">AX113</f>
        <v>0</v>
      </c>
      <c r="AZ113" s="9">
        <f t="shared" ref="AZ113" ca="1" si="2926">AY113</f>
        <v>0</v>
      </c>
      <c r="BA113" s="9">
        <f t="shared" ref="BA113" ca="1" si="2927">AZ113</f>
        <v>0</v>
      </c>
      <c r="BB113" s="9">
        <f t="shared" ref="BB113" ca="1" si="2928">BA113</f>
        <v>0</v>
      </c>
      <c r="BC113" s="435">
        <f t="shared" ref="BC113" ca="1" si="2929">BB113</f>
        <v>0</v>
      </c>
      <c r="BD113" s="9">
        <f t="shared" ref="BD113" ca="1" si="2930">BC113</f>
        <v>0</v>
      </c>
      <c r="BE113" s="9">
        <f t="shared" ref="BE113" ca="1" si="2931">BD113</f>
        <v>0</v>
      </c>
      <c r="BF113" s="9">
        <f t="shared" ref="BF113" ca="1" si="2932">BE113</f>
        <v>0</v>
      </c>
      <c r="BG113" s="9">
        <f t="shared" ref="BG113" ca="1" si="2933">BF113</f>
        <v>0</v>
      </c>
      <c r="BH113" s="9">
        <f t="shared" ref="BH113" ca="1" si="2934">BG113</f>
        <v>0</v>
      </c>
      <c r="BI113" s="9">
        <f t="shared" ref="BI113" ca="1" si="2935">BH113</f>
        <v>0</v>
      </c>
      <c r="BJ113" s="9">
        <f t="shared" ref="BJ113" ca="1" si="2936">BI113</f>
        <v>0</v>
      </c>
      <c r="BK113" s="9">
        <f t="shared" ref="BK113" ca="1" si="2937">BJ113</f>
        <v>0</v>
      </c>
      <c r="BL113" s="9">
        <f t="shared" ref="BL113" ca="1" si="2938">BK113</f>
        <v>0</v>
      </c>
      <c r="BM113" s="9">
        <f t="shared" ref="BM113" ca="1" si="2939">BL113</f>
        <v>0</v>
      </c>
      <c r="BN113" s="9">
        <f t="shared" ref="BN113" ca="1" si="2940">BM113</f>
        <v>0</v>
      </c>
      <c r="BO113" s="9">
        <f t="shared" ref="BO113" ca="1" si="2941">BN113</f>
        <v>0</v>
      </c>
      <c r="BP113" s="435">
        <f t="shared" ref="BP113" ca="1" si="2942">BO113</f>
        <v>0</v>
      </c>
      <c r="BQ113" s="9">
        <f t="shared" ref="BQ113" ca="1" si="2943">BP113</f>
        <v>0</v>
      </c>
      <c r="BR113" s="9">
        <f t="shared" ref="BR113" ca="1" si="2944">BQ113</f>
        <v>0</v>
      </c>
      <c r="BS113" s="9">
        <f t="shared" ref="BS113" ca="1" si="2945">BR113</f>
        <v>0</v>
      </c>
      <c r="BT113" s="9">
        <f t="shared" ref="BT113" ca="1" si="2946">BS113</f>
        <v>0</v>
      </c>
      <c r="BU113" s="9">
        <f t="shared" ref="BU113" ca="1" si="2947">BT113</f>
        <v>0</v>
      </c>
      <c r="BV113" s="9">
        <f t="shared" ref="BV113" ca="1" si="2948">BU113</f>
        <v>0</v>
      </c>
      <c r="BW113" s="9">
        <f t="shared" ref="BW113" ca="1" si="2949">BV113</f>
        <v>0</v>
      </c>
      <c r="BX113" s="9">
        <f t="shared" ref="BX113" ca="1" si="2950">BW113</f>
        <v>0</v>
      </c>
      <c r="BY113" s="9">
        <f t="shared" ref="BY113" ca="1" si="2951">BX113</f>
        <v>0</v>
      </c>
      <c r="BZ113" s="9">
        <f t="shared" ref="BZ113" ca="1" si="2952">BY113</f>
        <v>0</v>
      </c>
      <c r="CA113" s="9">
        <f t="shared" ref="CA113" ca="1" si="2953">BZ113</f>
        <v>0</v>
      </c>
      <c r="CB113" s="9">
        <f t="shared" ref="CB113" ca="1" si="2954">CA113</f>
        <v>0</v>
      </c>
      <c r="CC113" s="435">
        <f t="shared" ref="CC113" ca="1" si="2955">CB113</f>
        <v>0</v>
      </c>
      <c r="CD113" s="9">
        <f t="shared" ref="CD113" ca="1" si="2956">CC113</f>
        <v>0</v>
      </c>
      <c r="CE113" s="9">
        <f t="shared" ref="CE113" ca="1" si="2957">CD113</f>
        <v>0</v>
      </c>
      <c r="CF113" s="9">
        <f t="shared" ref="CF113" ca="1" si="2958">CE113</f>
        <v>0</v>
      </c>
      <c r="CG113" s="9">
        <f t="shared" ref="CG113" ca="1" si="2959">CF113</f>
        <v>0</v>
      </c>
      <c r="CH113" s="9">
        <f t="shared" ref="CH113" ca="1" si="2960">CG113</f>
        <v>0</v>
      </c>
      <c r="CI113" s="9">
        <f t="shared" ref="CI113" ca="1" si="2961">CH113</f>
        <v>0</v>
      </c>
      <c r="CJ113" s="9">
        <f t="shared" ref="CJ113" ca="1" si="2962">CI113</f>
        <v>0</v>
      </c>
      <c r="CK113" s="9">
        <f t="shared" ref="CK113" ca="1" si="2963">CJ113</f>
        <v>0</v>
      </c>
      <c r="CL113" s="9">
        <f t="shared" ref="CL113" ca="1" si="2964">CK113</f>
        <v>0</v>
      </c>
      <c r="CM113" s="9">
        <f t="shared" ref="CM113" ca="1" si="2965">CL113</f>
        <v>0</v>
      </c>
      <c r="CN113" s="9">
        <f t="shared" ref="CN113" ca="1" si="2966">CM113</f>
        <v>0</v>
      </c>
      <c r="CO113" s="9">
        <f t="shared" ref="CO113" ca="1" si="2967">CN113</f>
        <v>0</v>
      </c>
      <c r="CP113" s="435">
        <f t="shared" ref="CP113" ca="1" si="2968">CO113</f>
        <v>0</v>
      </c>
    </row>
    <row r="114" spans="1:94" ht="20.100000000000001" hidden="1" customHeight="1">
      <c r="A114" s="794"/>
      <c r="B114" s="255" t="s">
        <v>615</v>
      </c>
      <c r="C114" s="256">
        <f t="shared" ref="C114:O114" ca="1" si="2969">C112*C113</f>
        <v>0</v>
      </c>
      <c r="D114" s="255">
        <f t="shared" ca="1" si="2969"/>
        <v>0</v>
      </c>
      <c r="E114" s="255">
        <f t="shared" ca="1" si="2969"/>
        <v>0</v>
      </c>
      <c r="F114" s="255">
        <f t="shared" ca="1" si="2969"/>
        <v>0</v>
      </c>
      <c r="G114" s="255">
        <f t="shared" ca="1" si="2969"/>
        <v>0</v>
      </c>
      <c r="H114" s="255">
        <f t="shared" ca="1" si="2969"/>
        <v>0</v>
      </c>
      <c r="I114" s="255">
        <f t="shared" ca="1" si="2969"/>
        <v>0</v>
      </c>
      <c r="J114" s="255">
        <f t="shared" ca="1" si="2969"/>
        <v>0</v>
      </c>
      <c r="K114" s="255">
        <f t="shared" ca="1" si="2969"/>
        <v>0</v>
      </c>
      <c r="L114" s="255">
        <f t="shared" ca="1" si="2969"/>
        <v>0</v>
      </c>
      <c r="M114" s="255">
        <f t="shared" ca="1" si="2969"/>
        <v>0</v>
      </c>
      <c r="N114" s="255">
        <f t="shared" ca="1" si="2969"/>
        <v>0</v>
      </c>
      <c r="O114" s="255">
        <f t="shared" ca="1" si="2969"/>
        <v>0</v>
      </c>
      <c r="P114" s="436">
        <f ca="1">SUM(D114:O114)</f>
        <v>0</v>
      </c>
      <c r="Q114" s="255">
        <f t="shared" ref="Q114:AB114" ca="1" si="2970">Q112*Q113</f>
        <v>0</v>
      </c>
      <c r="R114" s="255">
        <f t="shared" ca="1" si="2970"/>
        <v>0</v>
      </c>
      <c r="S114" s="255">
        <f t="shared" ca="1" si="2970"/>
        <v>0</v>
      </c>
      <c r="T114" s="255">
        <f t="shared" ca="1" si="2970"/>
        <v>0</v>
      </c>
      <c r="U114" s="255">
        <f t="shared" ca="1" si="2970"/>
        <v>0</v>
      </c>
      <c r="V114" s="255">
        <f t="shared" ca="1" si="2970"/>
        <v>0</v>
      </c>
      <c r="W114" s="255">
        <f t="shared" ca="1" si="2970"/>
        <v>0</v>
      </c>
      <c r="X114" s="255">
        <f t="shared" ca="1" si="2970"/>
        <v>0</v>
      </c>
      <c r="Y114" s="255">
        <f t="shared" ca="1" si="2970"/>
        <v>0</v>
      </c>
      <c r="Z114" s="255">
        <f t="shared" ca="1" si="2970"/>
        <v>0</v>
      </c>
      <c r="AA114" s="255">
        <f t="shared" ca="1" si="2970"/>
        <v>0</v>
      </c>
      <c r="AB114" s="255">
        <f t="shared" ca="1" si="2970"/>
        <v>0</v>
      </c>
      <c r="AC114" s="436">
        <f ca="1">SUM(Q114:AB114)</f>
        <v>0</v>
      </c>
      <c r="AD114" s="255">
        <f t="shared" ref="AD114:AO114" ca="1" si="2971">AD112*AD113</f>
        <v>0</v>
      </c>
      <c r="AE114" s="255">
        <f t="shared" ca="1" si="2971"/>
        <v>0</v>
      </c>
      <c r="AF114" s="255">
        <f t="shared" ca="1" si="2971"/>
        <v>0</v>
      </c>
      <c r="AG114" s="255">
        <f t="shared" ca="1" si="2971"/>
        <v>0</v>
      </c>
      <c r="AH114" s="255">
        <f t="shared" ca="1" si="2971"/>
        <v>0</v>
      </c>
      <c r="AI114" s="255">
        <f t="shared" ca="1" si="2971"/>
        <v>0</v>
      </c>
      <c r="AJ114" s="255">
        <f t="shared" ca="1" si="2971"/>
        <v>0</v>
      </c>
      <c r="AK114" s="255">
        <f t="shared" ca="1" si="2971"/>
        <v>0</v>
      </c>
      <c r="AL114" s="255">
        <f t="shared" ca="1" si="2971"/>
        <v>0</v>
      </c>
      <c r="AM114" s="255">
        <f t="shared" ca="1" si="2971"/>
        <v>0</v>
      </c>
      <c r="AN114" s="255">
        <f t="shared" ca="1" si="2971"/>
        <v>0</v>
      </c>
      <c r="AO114" s="255">
        <f t="shared" ca="1" si="2971"/>
        <v>0</v>
      </c>
      <c r="AP114" s="436">
        <f ca="1">SUM(AD114:AO114)</f>
        <v>0</v>
      </c>
      <c r="AQ114" s="255">
        <f t="shared" ref="AQ114:BB114" ca="1" si="2972">AQ112*AQ113</f>
        <v>0</v>
      </c>
      <c r="AR114" s="255">
        <f t="shared" ca="1" si="2972"/>
        <v>0</v>
      </c>
      <c r="AS114" s="255">
        <f t="shared" ca="1" si="2972"/>
        <v>0</v>
      </c>
      <c r="AT114" s="255">
        <f t="shared" ca="1" si="2972"/>
        <v>0</v>
      </c>
      <c r="AU114" s="255">
        <f t="shared" ca="1" si="2972"/>
        <v>0</v>
      </c>
      <c r="AV114" s="255">
        <f t="shared" ca="1" si="2972"/>
        <v>0</v>
      </c>
      <c r="AW114" s="255">
        <f t="shared" ca="1" si="2972"/>
        <v>0</v>
      </c>
      <c r="AX114" s="255">
        <f t="shared" ca="1" si="2972"/>
        <v>0</v>
      </c>
      <c r="AY114" s="255">
        <f t="shared" ca="1" si="2972"/>
        <v>0</v>
      </c>
      <c r="AZ114" s="255">
        <f t="shared" ca="1" si="2972"/>
        <v>0</v>
      </c>
      <c r="BA114" s="255">
        <f t="shared" ca="1" si="2972"/>
        <v>0</v>
      </c>
      <c r="BB114" s="255">
        <f t="shared" ca="1" si="2972"/>
        <v>0</v>
      </c>
      <c r="BC114" s="436">
        <f ca="1">SUM(AQ114:BB114)</f>
        <v>0</v>
      </c>
      <c r="BD114" s="255">
        <f t="shared" ref="BD114:BO114" ca="1" si="2973">BD112*BD113</f>
        <v>0</v>
      </c>
      <c r="BE114" s="255">
        <f t="shared" ca="1" si="2973"/>
        <v>0</v>
      </c>
      <c r="BF114" s="255">
        <f t="shared" ca="1" si="2973"/>
        <v>0</v>
      </c>
      <c r="BG114" s="255">
        <f t="shared" ca="1" si="2973"/>
        <v>0</v>
      </c>
      <c r="BH114" s="255">
        <f t="shared" ca="1" si="2973"/>
        <v>0</v>
      </c>
      <c r="BI114" s="255">
        <f t="shared" ca="1" si="2973"/>
        <v>0</v>
      </c>
      <c r="BJ114" s="255">
        <f t="shared" ca="1" si="2973"/>
        <v>0</v>
      </c>
      <c r="BK114" s="255">
        <f t="shared" ca="1" si="2973"/>
        <v>0</v>
      </c>
      <c r="BL114" s="255">
        <f t="shared" ca="1" si="2973"/>
        <v>0</v>
      </c>
      <c r="BM114" s="255">
        <f t="shared" ca="1" si="2973"/>
        <v>0</v>
      </c>
      <c r="BN114" s="255">
        <f t="shared" ca="1" si="2973"/>
        <v>0</v>
      </c>
      <c r="BO114" s="255">
        <f t="shared" ca="1" si="2973"/>
        <v>0</v>
      </c>
      <c r="BP114" s="436">
        <f ca="1">SUM(BD114:BO114)</f>
        <v>0</v>
      </c>
      <c r="BQ114" s="255">
        <f t="shared" ref="BQ114:CB114" ca="1" si="2974">BQ112*BQ113</f>
        <v>0</v>
      </c>
      <c r="BR114" s="255">
        <f t="shared" ca="1" si="2974"/>
        <v>0</v>
      </c>
      <c r="BS114" s="255">
        <f t="shared" ca="1" si="2974"/>
        <v>0</v>
      </c>
      <c r="BT114" s="255">
        <f t="shared" ca="1" si="2974"/>
        <v>0</v>
      </c>
      <c r="BU114" s="255">
        <f t="shared" ca="1" si="2974"/>
        <v>0</v>
      </c>
      <c r="BV114" s="255">
        <f t="shared" ca="1" si="2974"/>
        <v>0</v>
      </c>
      <c r="BW114" s="255">
        <f t="shared" ca="1" si="2974"/>
        <v>0</v>
      </c>
      <c r="BX114" s="255">
        <f t="shared" ca="1" si="2974"/>
        <v>0</v>
      </c>
      <c r="BY114" s="255">
        <f t="shared" ca="1" si="2974"/>
        <v>0</v>
      </c>
      <c r="BZ114" s="255">
        <f t="shared" ca="1" si="2974"/>
        <v>0</v>
      </c>
      <c r="CA114" s="255">
        <f t="shared" ca="1" si="2974"/>
        <v>0</v>
      </c>
      <c r="CB114" s="255">
        <f t="shared" ca="1" si="2974"/>
        <v>0</v>
      </c>
      <c r="CC114" s="436">
        <f ca="1">SUM(BQ114:CB114)</f>
        <v>0</v>
      </c>
      <c r="CD114" s="255">
        <f t="shared" ref="CD114:CO114" ca="1" si="2975">CD112*CD113</f>
        <v>0</v>
      </c>
      <c r="CE114" s="255">
        <f t="shared" ca="1" si="2975"/>
        <v>0</v>
      </c>
      <c r="CF114" s="255">
        <f t="shared" ca="1" si="2975"/>
        <v>0</v>
      </c>
      <c r="CG114" s="255">
        <f t="shared" ca="1" si="2975"/>
        <v>0</v>
      </c>
      <c r="CH114" s="255">
        <f t="shared" ca="1" si="2975"/>
        <v>0</v>
      </c>
      <c r="CI114" s="255">
        <f t="shared" ca="1" si="2975"/>
        <v>0</v>
      </c>
      <c r="CJ114" s="255">
        <f t="shared" ca="1" si="2975"/>
        <v>0</v>
      </c>
      <c r="CK114" s="255">
        <f t="shared" ca="1" si="2975"/>
        <v>0</v>
      </c>
      <c r="CL114" s="255">
        <f t="shared" ca="1" si="2975"/>
        <v>0</v>
      </c>
      <c r="CM114" s="255">
        <f t="shared" ca="1" si="2975"/>
        <v>0</v>
      </c>
      <c r="CN114" s="255">
        <f t="shared" ca="1" si="2975"/>
        <v>0</v>
      </c>
      <c r="CO114" s="255">
        <f t="shared" ca="1" si="2975"/>
        <v>0</v>
      </c>
      <c r="CP114" s="436">
        <f ca="1">SUM(CD114:CO114)</f>
        <v>0</v>
      </c>
    </row>
    <row r="115" spans="1:94" ht="20.100000000000001" hidden="1" customHeight="1">
      <c r="A115" s="792">
        <f ca="1">OFFSET('Summary. Assumptions. Inputs'!$A$45,'Internmediate sheet'!A20/3,0)</f>
        <v>0</v>
      </c>
      <c r="B115" s="19" t="s">
        <v>613</v>
      </c>
      <c r="C115" s="20">
        <f ca="1">OFFSET('Sales, Production, &amp; Other Assu'!C$54,'Internmediate sheet'!$A20/3,0)*Capacity</f>
        <v>0</v>
      </c>
      <c r="D115" s="19">
        <f ca="1">OFFSET('Sales, Production, &amp; Other Assu'!D$54,'Internmediate sheet'!$A20/3,0)*Capacity</f>
        <v>0</v>
      </c>
      <c r="E115" s="19">
        <f ca="1">OFFSET('Sales, Production, &amp; Other Assu'!E$54,'Internmediate sheet'!$A20/3,0)*Capacity</f>
        <v>0</v>
      </c>
      <c r="F115" s="19">
        <f ca="1">OFFSET('Sales, Production, &amp; Other Assu'!F$54,'Internmediate sheet'!$A20/3,0)*Capacity</f>
        <v>0</v>
      </c>
      <c r="G115" s="19">
        <f ca="1">OFFSET('Sales, Production, &amp; Other Assu'!G$54,'Internmediate sheet'!$A20/3,0)*Capacity</f>
        <v>0</v>
      </c>
      <c r="H115" s="19">
        <f ca="1">OFFSET('Sales, Production, &amp; Other Assu'!H$54,'Internmediate sheet'!$A20/3,0)*Capacity</f>
        <v>0</v>
      </c>
      <c r="I115" s="19">
        <f ca="1">OFFSET('Sales, Production, &amp; Other Assu'!I$54,'Internmediate sheet'!$A20/3,0)*Capacity</f>
        <v>0</v>
      </c>
      <c r="J115" s="19">
        <f ca="1">OFFSET('Sales, Production, &amp; Other Assu'!J$54,'Internmediate sheet'!$A20/3,0)*Capacity</f>
        <v>0</v>
      </c>
      <c r="K115" s="19">
        <f ca="1">OFFSET('Sales, Production, &amp; Other Assu'!K$54,'Internmediate sheet'!$A20/3,0)*Capacity</f>
        <v>0</v>
      </c>
      <c r="L115" s="19">
        <f ca="1">OFFSET('Sales, Production, &amp; Other Assu'!L$54,'Internmediate sheet'!$A20/3,0)*Capacity</f>
        <v>0</v>
      </c>
      <c r="M115" s="19">
        <f ca="1">OFFSET('Sales, Production, &amp; Other Assu'!M$54,'Internmediate sheet'!$A20/3,0)*Capacity</f>
        <v>0</v>
      </c>
      <c r="N115" s="19">
        <f ca="1">OFFSET('Sales, Production, &amp; Other Assu'!N$54,'Internmediate sheet'!$A20/3,0)*Capacity</f>
        <v>0</v>
      </c>
      <c r="O115" s="19">
        <f ca="1">OFFSET('Sales, Production, &amp; Other Assu'!O$54,'Internmediate sheet'!$A20/3,0)*Capacity</f>
        <v>0</v>
      </c>
      <c r="P115" s="434">
        <f ca="1">SUM(D115:O115)</f>
        <v>0</v>
      </c>
      <c r="Q115" s="19">
        <f ca="1">OFFSET('Sales, Production, &amp; Other Assu'!Q$54,'Internmediate sheet'!$A20/3,0)*Capacity</f>
        <v>0</v>
      </c>
      <c r="R115" s="19">
        <f ca="1">OFFSET('Sales, Production, &amp; Other Assu'!R$54,'Internmediate sheet'!$A20/3,0)*Capacity</f>
        <v>0</v>
      </c>
      <c r="S115" s="19">
        <f ca="1">OFFSET('Sales, Production, &amp; Other Assu'!S$54,'Internmediate sheet'!$A20/3,0)*Capacity</f>
        <v>0</v>
      </c>
      <c r="T115" s="19">
        <f ca="1">OFFSET('Sales, Production, &amp; Other Assu'!T$54,'Internmediate sheet'!$A20/3,0)*Capacity</f>
        <v>0</v>
      </c>
      <c r="U115" s="19">
        <f ca="1">OFFSET('Sales, Production, &amp; Other Assu'!U$54,'Internmediate sheet'!$A20/3,0)*Capacity</f>
        <v>0</v>
      </c>
      <c r="V115" s="19">
        <f ca="1">OFFSET('Sales, Production, &amp; Other Assu'!V$54,'Internmediate sheet'!$A20/3,0)*Capacity</f>
        <v>0</v>
      </c>
      <c r="W115" s="19">
        <f ca="1">OFFSET('Sales, Production, &amp; Other Assu'!W$54,'Internmediate sheet'!$A20/3,0)*Capacity</f>
        <v>0</v>
      </c>
      <c r="X115" s="19">
        <f ca="1">OFFSET('Sales, Production, &amp; Other Assu'!X$54,'Internmediate sheet'!$A20/3,0)*Capacity</f>
        <v>0</v>
      </c>
      <c r="Y115" s="19">
        <f ca="1">OFFSET('Sales, Production, &amp; Other Assu'!Y$54,'Internmediate sheet'!$A20/3,0)*Capacity</f>
        <v>0</v>
      </c>
      <c r="Z115" s="19">
        <f ca="1">OFFSET('Sales, Production, &amp; Other Assu'!Z$54,'Internmediate sheet'!$A20/3,0)*Capacity</f>
        <v>0</v>
      </c>
      <c r="AA115" s="19">
        <f ca="1">OFFSET('Sales, Production, &amp; Other Assu'!AA$54,'Internmediate sheet'!$A20/3,0)*Capacity</f>
        <v>0</v>
      </c>
      <c r="AB115" s="19">
        <f ca="1">OFFSET('Sales, Production, &amp; Other Assu'!AB$54,'Internmediate sheet'!$A20/3,0)*Capacity</f>
        <v>0</v>
      </c>
      <c r="AC115" s="434">
        <f ca="1">SUM(Q115:AB115)</f>
        <v>0</v>
      </c>
      <c r="AD115" s="19">
        <f ca="1">OFFSET('Sales, Production, &amp; Other Assu'!AD$54,'Internmediate sheet'!$A20/3,0)*Capacity</f>
        <v>0</v>
      </c>
      <c r="AE115" s="19">
        <f ca="1">OFFSET('Sales, Production, &amp; Other Assu'!AE$54,'Internmediate sheet'!$A20/3,0)*Capacity</f>
        <v>0</v>
      </c>
      <c r="AF115" s="19">
        <f ca="1">OFFSET('Sales, Production, &amp; Other Assu'!AF$54,'Internmediate sheet'!$A20/3,0)*Capacity</f>
        <v>0</v>
      </c>
      <c r="AG115" s="19">
        <f ca="1">OFFSET('Sales, Production, &amp; Other Assu'!AG$54,'Internmediate sheet'!$A20/3,0)*Capacity</f>
        <v>0</v>
      </c>
      <c r="AH115" s="19">
        <f ca="1">OFFSET('Sales, Production, &amp; Other Assu'!AH$54,'Internmediate sheet'!$A20/3,0)*Capacity</f>
        <v>0</v>
      </c>
      <c r="AI115" s="19">
        <f ca="1">OFFSET('Sales, Production, &amp; Other Assu'!AI$54,'Internmediate sheet'!$A20/3,0)*Capacity</f>
        <v>0</v>
      </c>
      <c r="AJ115" s="19">
        <f ca="1">OFFSET('Sales, Production, &amp; Other Assu'!AJ$54,'Internmediate sheet'!$A20/3,0)*Capacity</f>
        <v>0</v>
      </c>
      <c r="AK115" s="19">
        <f ca="1">OFFSET('Sales, Production, &amp; Other Assu'!AK$54,'Internmediate sheet'!$A20/3,0)*Capacity</f>
        <v>0</v>
      </c>
      <c r="AL115" s="19">
        <f ca="1">OFFSET('Sales, Production, &amp; Other Assu'!AL$54,'Internmediate sheet'!$A20/3,0)*Capacity</f>
        <v>0</v>
      </c>
      <c r="AM115" s="19">
        <f ca="1">OFFSET('Sales, Production, &amp; Other Assu'!AM$54,'Internmediate sheet'!$A20/3,0)*Capacity</f>
        <v>0</v>
      </c>
      <c r="AN115" s="19">
        <f ca="1">OFFSET('Sales, Production, &amp; Other Assu'!AN$54,'Internmediate sheet'!$A20/3,0)*Capacity</f>
        <v>0</v>
      </c>
      <c r="AO115" s="19">
        <f ca="1">OFFSET('Sales, Production, &amp; Other Assu'!AO$54,'Internmediate sheet'!$A20/3,0)*Capacity</f>
        <v>0</v>
      </c>
      <c r="AP115" s="434">
        <f ca="1">SUM(AD115:AO115)</f>
        <v>0</v>
      </c>
      <c r="AQ115" s="19">
        <f ca="1">OFFSET('Sales, Production, &amp; Other Assu'!AQ$54,'Internmediate sheet'!$A20/3,0)*Capacity</f>
        <v>0</v>
      </c>
      <c r="AR115" s="19">
        <f ca="1">OFFSET('Sales, Production, &amp; Other Assu'!AR$54,'Internmediate sheet'!$A20/3,0)*Capacity</f>
        <v>0</v>
      </c>
      <c r="AS115" s="19">
        <f ca="1">OFFSET('Sales, Production, &amp; Other Assu'!AS$54,'Internmediate sheet'!$A20/3,0)*Capacity</f>
        <v>0</v>
      </c>
      <c r="AT115" s="19">
        <f ca="1">OFFSET('Sales, Production, &amp; Other Assu'!AT$54,'Internmediate sheet'!$A20/3,0)*Capacity</f>
        <v>0</v>
      </c>
      <c r="AU115" s="19">
        <f ca="1">OFFSET('Sales, Production, &amp; Other Assu'!AU$54,'Internmediate sheet'!$A20/3,0)*Capacity</f>
        <v>0</v>
      </c>
      <c r="AV115" s="19">
        <f ca="1">OFFSET('Sales, Production, &amp; Other Assu'!AV$54,'Internmediate sheet'!$A20/3,0)*Capacity</f>
        <v>0</v>
      </c>
      <c r="AW115" s="19">
        <f ca="1">OFFSET('Sales, Production, &amp; Other Assu'!AW$54,'Internmediate sheet'!$A20/3,0)*Capacity</f>
        <v>0</v>
      </c>
      <c r="AX115" s="19">
        <f ca="1">OFFSET('Sales, Production, &amp; Other Assu'!AX$54,'Internmediate sheet'!$A20/3,0)*Capacity</f>
        <v>0</v>
      </c>
      <c r="AY115" s="19">
        <f ca="1">OFFSET('Sales, Production, &amp; Other Assu'!AY$54,'Internmediate sheet'!$A20/3,0)*Capacity</f>
        <v>0</v>
      </c>
      <c r="AZ115" s="19">
        <f ca="1">OFFSET('Sales, Production, &amp; Other Assu'!AZ$54,'Internmediate sheet'!$A20/3,0)*Capacity</f>
        <v>0</v>
      </c>
      <c r="BA115" s="19">
        <f ca="1">OFFSET('Sales, Production, &amp; Other Assu'!BA$54,'Internmediate sheet'!$A20/3,0)*Capacity</f>
        <v>0</v>
      </c>
      <c r="BB115" s="19">
        <f ca="1">OFFSET('Sales, Production, &amp; Other Assu'!BB$54,'Internmediate sheet'!$A20/3,0)*Capacity</f>
        <v>0</v>
      </c>
      <c r="BC115" s="434">
        <f ca="1">SUM(AQ115:BB115)</f>
        <v>0</v>
      </c>
      <c r="BD115" s="19">
        <f ca="1">OFFSET('Sales, Production, &amp; Other Assu'!BD$54,'Internmediate sheet'!$A20/3,0)*Capacity</f>
        <v>0</v>
      </c>
      <c r="BE115" s="19">
        <f ca="1">OFFSET('Sales, Production, &amp; Other Assu'!BE$54,'Internmediate sheet'!$A20/3,0)*Capacity</f>
        <v>0</v>
      </c>
      <c r="BF115" s="19">
        <f ca="1">OFFSET('Sales, Production, &amp; Other Assu'!BF$54,'Internmediate sheet'!$A20/3,0)*Capacity</f>
        <v>0</v>
      </c>
      <c r="BG115" s="19">
        <f ca="1">OFFSET('Sales, Production, &amp; Other Assu'!BG$54,'Internmediate sheet'!$A20/3,0)*Capacity</f>
        <v>0</v>
      </c>
      <c r="BH115" s="19">
        <f ca="1">OFFSET('Sales, Production, &amp; Other Assu'!BH$54,'Internmediate sheet'!$A20/3,0)*Capacity</f>
        <v>0</v>
      </c>
      <c r="BI115" s="19">
        <f ca="1">OFFSET('Sales, Production, &amp; Other Assu'!BI$54,'Internmediate sheet'!$A20/3,0)*Capacity</f>
        <v>0</v>
      </c>
      <c r="BJ115" s="19">
        <f ca="1">OFFSET('Sales, Production, &amp; Other Assu'!BJ$54,'Internmediate sheet'!$A20/3,0)*Capacity</f>
        <v>0</v>
      </c>
      <c r="BK115" s="19">
        <f ca="1">OFFSET('Sales, Production, &amp; Other Assu'!BK$54,'Internmediate sheet'!$A20/3,0)*Capacity</f>
        <v>0</v>
      </c>
      <c r="BL115" s="19">
        <f ca="1">OFFSET('Sales, Production, &amp; Other Assu'!BL$54,'Internmediate sheet'!$A20/3,0)*Capacity</f>
        <v>0</v>
      </c>
      <c r="BM115" s="19">
        <f ca="1">OFFSET('Sales, Production, &amp; Other Assu'!BM$54,'Internmediate sheet'!$A20/3,0)*Capacity</f>
        <v>0</v>
      </c>
      <c r="BN115" s="19">
        <f ca="1">OFFSET('Sales, Production, &amp; Other Assu'!BN$54,'Internmediate sheet'!$A20/3,0)*Capacity</f>
        <v>0</v>
      </c>
      <c r="BO115" s="19">
        <f ca="1">OFFSET('Sales, Production, &amp; Other Assu'!BO$54,'Internmediate sheet'!$A20/3,0)*Capacity</f>
        <v>0</v>
      </c>
      <c r="BP115" s="434">
        <f ca="1">SUM(BD115:BO115)</f>
        <v>0</v>
      </c>
      <c r="BQ115" s="19">
        <f ca="1">OFFSET('Sales, Production, &amp; Other Assu'!BQ$54,'Internmediate sheet'!$A20/3,0)*Capacity</f>
        <v>0</v>
      </c>
      <c r="BR115" s="19">
        <f ca="1">OFFSET('Sales, Production, &amp; Other Assu'!BR$54,'Internmediate sheet'!$A20/3,0)*Capacity</f>
        <v>0</v>
      </c>
      <c r="BS115" s="19">
        <f ca="1">OFFSET('Sales, Production, &amp; Other Assu'!BS$54,'Internmediate sheet'!$A20/3,0)*Capacity</f>
        <v>0</v>
      </c>
      <c r="BT115" s="19">
        <f ca="1">OFFSET('Sales, Production, &amp; Other Assu'!BT$54,'Internmediate sheet'!$A20/3,0)*Capacity</f>
        <v>0</v>
      </c>
      <c r="BU115" s="19">
        <f ca="1">OFFSET('Sales, Production, &amp; Other Assu'!BU$54,'Internmediate sheet'!$A20/3,0)*Capacity</f>
        <v>0</v>
      </c>
      <c r="BV115" s="19">
        <f ca="1">OFFSET('Sales, Production, &amp; Other Assu'!BV$54,'Internmediate sheet'!$A20/3,0)*Capacity</f>
        <v>0</v>
      </c>
      <c r="BW115" s="19">
        <f ca="1">OFFSET('Sales, Production, &amp; Other Assu'!BW$54,'Internmediate sheet'!$A20/3,0)*Capacity</f>
        <v>0</v>
      </c>
      <c r="BX115" s="19">
        <f ca="1">OFFSET('Sales, Production, &amp; Other Assu'!BX$54,'Internmediate sheet'!$A20/3,0)*Capacity</f>
        <v>0</v>
      </c>
      <c r="BY115" s="19">
        <f ca="1">OFFSET('Sales, Production, &amp; Other Assu'!BY$54,'Internmediate sheet'!$A20/3,0)*Capacity</f>
        <v>0</v>
      </c>
      <c r="BZ115" s="19">
        <f ca="1">OFFSET('Sales, Production, &amp; Other Assu'!BZ$54,'Internmediate sheet'!$A20/3,0)*Capacity</f>
        <v>0</v>
      </c>
      <c r="CA115" s="19">
        <f ca="1">OFFSET('Sales, Production, &amp; Other Assu'!CA$54,'Internmediate sheet'!$A20/3,0)*Capacity</f>
        <v>0</v>
      </c>
      <c r="CB115" s="19">
        <f ca="1">OFFSET('Sales, Production, &amp; Other Assu'!CB$54,'Internmediate sheet'!$A20/3,0)*Capacity</f>
        <v>0</v>
      </c>
      <c r="CC115" s="434">
        <f ca="1">SUM(BQ115:CB115)</f>
        <v>0</v>
      </c>
      <c r="CD115" s="19">
        <f ca="1">OFFSET('Sales, Production, &amp; Other Assu'!CD$54,'Internmediate sheet'!$A20/3,0)*Capacity</f>
        <v>0</v>
      </c>
      <c r="CE115" s="19">
        <f ca="1">OFFSET('Sales, Production, &amp; Other Assu'!CE$54,'Internmediate sheet'!$A20/3,0)*Capacity</f>
        <v>0</v>
      </c>
      <c r="CF115" s="19">
        <f ca="1">OFFSET('Sales, Production, &amp; Other Assu'!CF$54,'Internmediate sheet'!$A20/3,0)*Capacity</f>
        <v>0</v>
      </c>
      <c r="CG115" s="19">
        <f ca="1">OFFSET('Sales, Production, &amp; Other Assu'!CG$54,'Internmediate sheet'!$A20/3,0)*Capacity</f>
        <v>0</v>
      </c>
      <c r="CH115" s="19">
        <f ca="1">OFFSET('Sales, Production, &amp; Other Assu'!CH$54,'Internmediate sheet'!$A20/3,0)*Capacity</f>
        <v>0</v>
      </c>
      <c r="CI115" s="19">
        <f ca="1">OFFSET('Sales, Production, &amp; Other Assu'!CI$54,'Internmediate sheet'!$A20/3,0)*Capacity</f>
        <v>0</v>
      </c>
      <c r="CJ115" s="19">
        <f ca="1">OFFSET('Sales, Production, &amp; Other Assu'!CJ$54,'Internmediate sheet'!$A20/3,0)*Capacity</f>
        <v>0</v>
      </c>
      <c r="CK115" s="19">
        <f ca="1">OFFSET('Sales, Production, &amp; Other Assu'!CK$54,'Internmediate sheet'!$A20/3,0)*Capacity</f>
        <v>0</v>
      </c>
      <c r="CL115" s="19">
        <f ca="1">OFFSET('Sales, Production, &amp; Other Assu'!CL$54,'Internmediate sheet'!$A20/3,0)*Capacity</f>
        <v>0</v>
      </c>
      <c r="CM115" s="19">
        <f ca="1">OFFSET('Sales, Production, &amp; Other Assu'!CM$54,'Internmediate sheet'!$A20/3,0)*Capacity</f>
        <v>0</v>
      </c>
      <c r="CN115" s="19">
        <f ca="1">OFFSET('Sales, Production, &amp; Other Assu'!CN$54,'Internmediate sheet'!$A20/3,0)*Capacity</f>
        <v>0</v>
      </c>
      <c r="CO115" s="19">
        <f ca="1">OFFSET('Sales, Production, &amp; Other Assu'!CO$54,'Internmediate sheet'!$A20/3,0)*Capacity</f>
        <v>0</v>
      </c>
      <c r="CP115" s="434">
        <f ca="1">SUM(CD115:CO115)</f>
        <v>0</v>
      </c>
    </row>
    <row r="116" spans="1:94" ht="20.100000000000001" hidden="1" customHeight="1">
      <c r="A116" s="793"/>
      <c r="B116" s="9" t="s">
        <v>614</v>
      </c>
      <c r="C116" s="10">
        <f ca="1">OFFSET('BEP. &amp; Summary Results'!$C$6,'Internmediate sheet'!A17/3,0)</f>
        <v>0</v>
      </c>
      <c r="D116" s="9">
        <f t="shared" ref="D116:P116" ca="1" si="2976">C116</f>
        <v>0</v>
      </c>
      <c r="E116" s="9">
        <f t="shared" ca="1" si="2976"/>
        <v>0</v>
      </c>
      <c r="F116" s="9">
        <f t="shared" ca="1" si="2976"/>
        <v>0</v>
      </c>
      <c r="G116" s="9">
        <f t="shared" ca="1" si="2976"/>
        <v>0</v>
      </c>
      <c r="H116" s="9">
        <f t="shared" ca="1" si="2976"/>
        <v>0</v>
      </c>
      <c r="I116" s="9">
        <f t="shared" ca="1" si="2976"/>
        <v>0</v>
      </c>
      <c r="J116" s="9">
        <f t="shared" ca="1" si="2976"/>
        <v>0</v>
      </c>
      <c r="K116" s="9">
        <f t="shared" ca="1" si="2976"/>
        <v>0</v>
      </c>
      <c r="L116" s="9">
        <f t="shared" ca="1" si="2976"/>
        <v>0</v>
      </c>
      <c r="M116" s="9">
        <f t="shared" ca="1" si="2976"/>
        <v>0</v>
      </c>
      <c r="N116" s="9">
        <f t="shared" ca="1" si="2976"/>
        <v>0</v>
      </c>
      <c r="O116" s="9">
        <f t="shared" ca="1" si="2976"/>
        <v>0</v>
      </c>
      <c r="P116" s="435">
        <f t="shared" ca="1" si="2976"/>
        <v>0</v>
      </c>
      <c r="Q116" s="9">
        <f t="shared" ref="Q116" ca="1" si="2977">P116</f>
        <v>0</v>
      </c>
      <c r="R116" s="9">
        <f t="shared" ref="R116" ca="1" si="2978">Q116</f>
        <v>0</v>
      </c>
      <c r="S116" s="9">
        <f t="shared" ref="S116" ca="1" si="2979">R116</f>
        <v>0</v>
      </c>
      <c r="T116" s="9">
        <f t="shared" ref="T116" ca="1" si="2980">S116</f>
        <v>0</v>
      </c>
      <c r="U116" s="9">
        <f t="shared" ref="U116" ca="1" si="2981">T116</f>
        <v>0</v>
      </c>
      <c r="V116" s="9">
        <f t="shared" ref="V116" ca="1" si="2982">U116</f>
        <v>0</v>
      </c>
      <c r="W116" s="9">
        <f t="shared" ref="W116" ca="1" si="2983">V116</f>
        <v>0</v>
      </c>
      <c r="X116" s="9">
        <f t="shared" ref="X116" ca="1" si="2984">W116</f>
        <v>0</v>
      </c>
      <c r="Y116" s="9">
        <f t="shared" ref="Y116" ca="1" si="2985">X116</f>
        <v>0</v>
      </c>
      <c r="Z116" s="9">
        <f t="shared" ref="Z116" ca="1" si="2986">Y116</f>
        <v>0</v>
      </c>
      <c r="AA116" s="9">
        <f t="shared" ref="AA116" ca="1" si="2987">Z116</f>
        <v>0</v>
      </c>
      <c r="AB116" s="9">
        <f t="shared" ref="AB116" ca="1" si="2988">AA116</f>
        <v>0</v>
      </c>
      <c r="AC116" s="435">
        <f t="shared" ref="AC116" ca="1" si="2989">AB116</f>
        <v>0</v>
      </c>
      <c r="AD116" s="9">
        <f t="shared" ref="AD116" ca="1" si="2990">AC116</f>
        <v>0</v>
      </c>
      <c r="AE116" s="9">
        <f t="shared" ref="AE116" ca="1" si="2991">AD116</f>
        <v>0</v>
      </c>
      <c r="AF116" s="9">
        <f t="shared" ref="AF116" ca="1" si="2992">AE116</f>
        <v>0</v>
      </c>
      <c r="AG116" s="9">
        <f t="shared" ref="AG116" ca="1" si="2993">AF116</f>
        <v>0</v>
      </c>
      <c r="AH116" s="9">
        <f t="shared" ref="AH116" ca="1" si="2994">AG116</f>
        <v>0</v>
      </c>
      <c r="AI116" s="9">
        <f t="shared" ref="AI116" ca="1" si="2995">AH116</f>
        <v>0</v>
      </c>
      <c r="AJ116" s="9">
        <f t="shared" ref="AJ116" ca="1" si="2996">AI116</f>
        <v>0</v>
      </c>
      <c r="AK116" s="9">
        <f t="shared" ref="AK116" ca="1" si="2997">AJ116</f>
        <v>0</v>
      </c>
      <c r="AL116" s="9">
        <f t="shared" ref="AL116" ca="1" si="2998">AK116</f>
        <v>0</v>
      </c>
      <c r="AM116" s="9">
        <f t="shared" ref="AM116" ca="1" si="2999">AL116</f>
        <v>0</v>
      </c>
      <c r="AN116" s="9">
        <f t="shared" ref="AN116" ca="1" si="3000">AM116</f>
        <v>0</v>
      </c>
      <c r="AO116" s="9">
        <f t="shared" ref="AO116" ca="1" si="3001">AN116</f>
        <v>0</v>
      </c>
      <c r="AP116" s="435">
        <f t="shared" ref="AP116" ca="1" si="3002">AO116</f>
        <v>0</v>
      </c>
      <c r="AQ116" s="9">
        <f ca="1">AP116</f>
        <v>0</v>
      </c>
      <c r="AR116" s="9">
        <f t="shared" ref="AR116" ca="1" si="3003">AQ116</f>
        <v>0</v>
      </c>
      <c r="AS116" s="9">
        <f t="shared" ref="AS116" ca="1" si="3004">AR116</f>
        <v>0</v>
      </c>
      <c r="AT116" s="9">
        <f t="shared" ref="AT116" ca="1" si="3005">AS116</f>
        <v>0</v>
      </c>
      <c r="AU116" s="9">
        <f t="shared" ref="AU116" ca="1" si="3006">AT116</f>
        <v>0</v>
      </c>
      <c r="AV116" s="9">
        <f t="shared" ref="AV116" ca="1" si="3007">AU116</f>
        <v>0</v>
      </c>
      <c r="AW116" s="9">
        <f t="shared" ref="AW116" ca="1" si="3008">AV116</f>
        <v>0</v>
      </c>
      <c r="AX116" s="9">
        <f t="shared" ref="AX116" ca="1" si="3009">AW116</f>
        <v>0</v>
      </c>
      <c r="AY116" s="9">
        <f t="shared" ref="AY116" ca="1" si="3010">AX116</f>
        <v>0</v>
      </c>
      <c r="AZ116" s="9">
        <f t="shared" ref="AZ116" ca="1" si="3011">AY116</f>
        <v>0</v>
      </c>
      <c r="BA116" s="9">
        <f t="shared" ref="BA116" ca="1" si="3012">AZ116</f>
        <v>0</v>
      </c>
      <c r="BB116" s="9">
        <f t="shared" ref="BB116" ca="1" si="3013">BA116</f>
        <v>0</v>
      </c>
      <c r="BC116" s="435">
        <f t="shared" ref="BC116" ca="1" si="3014">BB116</f>
        <v>0</v>
      </c>
      <c r="BD116" s="9">
        <f t="shared" ref="BD116" ca="1" si="3015">BC116</f>
        <v>0</v>
      </c>
      <c r="BE116" s="9">
        <f t="shared" ref="BE116" ca="1" si="3016">BD116</f>
        <v>0</v>
      </c>
      <c r="BF116" s="9">
        <f t="shared" ref="BF116" ca="1" si="3017">BE116</f>
        <v>0</v>
      </c>
      <c r="BG116" s="9">
        <f t="shared" ref="BG116" ca="1" si="3018">BF116</f>
        <v>0</v>
      </c>
      <c r="BH116" s="9">
        <f t="shared" ref="BH116" ca="1" si="3019">BG116</f>
        <v>0</v>
      </c>
      <c r="BI116" s="9">
        <f t="shared" ref="BI116" ca="1" si="3020">BH116</f>
        <v>0</v>
      </c>
      <c r="BJ116" s="9">
        <f t="shared" ref="BJ116" ca="1" si="3021">BI116</f>
        <v>0</v>
      </c>
      <c r="BK116" s="9">
        <f t="shared" ref="BK116" ca="1" si="3022">BJ116</f>
        <v>0</v>
      </c>
      <c r="BL116" s="9">
        <f t="shared" ref="BL116" ca="1" si="3023">BK116</f>
        <v>0</v>
      </c>
      <c r="BM116" s="9">
        <f t="shared" ref="BM116" ca="1" si="3024">BL116</f>
        <v>0</v>
      </c>
      <c r="BN116" s="9">
        <f t="shared" ref="BN116" ca="1" si="3025">BM116</f>
        <v>0</v>
      </c>
      <c r="BO116" s="9">
        <f t="shared" ref="BO116" ca="1" si="3026">BN116</f>
        <v>0</v>
      </c>
      <c r="BP116" s="435">
        <f t="shared" ref="BP116" ca="1" si="3027">BO116</f>
        <v>0</v>
      </c>
      <c r="BQ116" s="9">
        <f t="shared" ref="BQ116" ca="1" si="3028">BP116</f>
        <v>0</v>
      </c>
      <c r="BR116" s="9">
        <f t="shared" ref="BR116" ca="1" si="3029">BQ116</f>
        <v>0</v>
      </c>
      <c r="BS116" s="9">
        <f t="shared" ref="BS116" ca="1" si="3030">BR116</f>
        <v>0</v>
      </c>
      <c r="BT116" s="9">
        <f t="shared" ref="BT116" ca="1" si="3031">BS116</f>
        <v>0</v>
      </c>
      <c r="BU116" s="9">
        <f t="shared" ref="BU116" ca="1" si="3032">BT116</f>
        <v>0</v>
      </c>
      <c r="BV116" s="9">
        <f t="shared" ref="BV116" ca="1" si="3033">BU116</f>
        <v>0</v>
      </c>
      <c r="BW116" s="9">
        <f t="shared" ref="BW116" ca="1" si="3034">BV116</f>
        <v>0</v>
      </c>
      <c r="BX116" s="9">
        <f t="shared" ref="BX116" ca="1" si="3035">BW116</f>
        <v>0</v>
      </c>
      <c r="BY116" s="9">
        <f t="shared" ref="BY116" ca="1" si="3036">BX116</f>
        <v>0</v>
      </c>
      <c r="BZ116" s="9">
        <f t="shared" ref="BZ116" ca="1" si="3037">BY116</f>
        <v>0</v>
      </c>
      <c r="CA116" s="9">
        <f t="shared" ref="CA116" ca="1" si="3038">BZ116</f>
        <v>0</v>
      </c>
      <c r="CB116" s="9">
        <f t="shared" ref="CB116" ca="1" si="3039">CA116</f>
        <v>0</v>
      </c>
      <c r="CC116" s="435">
        <f t="shared" ref="CC116" ca="1" si="3040">CB116</f>
        <v>0</v>
      </c>
      <c r="CD116" s="9">
        <f t="shared" ref="CD116" ca="1" si="3041">CC116</f>
        <v>0</v>
      </c>
      <c r="CE116" s="9">
        <f t="shared" ref="CE116" ca="1" si="3042">CD116</f>
        <v>0</v>
      </c>
      <c r="CF116" s="9">
        <f t="shared" ref="CF116" ca="1" si="3043">CE116</f>
        <v>0</v>
      </c>
      <c r="CG116" s="9">
        <f t="shared" ref="CG116" ca="1" si="3044">CF116</f>
        <v>0</v>
      </c>
      <c r="CH116" s="9">
        <f t="shared" ref="CH116" ca="1" si="3045">CG116</f>
        <v>0</v>
      </c>
      <c r="CI116" s="9">
        <f t="shared" ref="CI116" ca="1" si="3046">CH116</f>
        <v>0</v>
      </c>
      <c r="CJ116" s="9">
        <f t="shared" ref="CJ116" ca="1" si="3047">CI116</f>
        <v>0</v>
      </c>
      <c r="CK116" s="9">
        <f t="shared" ref="CK116" ca="1" si="3048">CJ116</f>
        <v>0</v>
      </c>
      <c r="CL116" s="9">
        <f t="shared" ref="CL116" ca="1" si="3049">CK116</f>
        <v>0</v>
      </c>
      <c r="CM116" s="9">
        <f t="shared" ref="CM116" ca="1" si="3050">CL116</f>
        <v>0</v>
      </c>
      <c r="CN116" s="9">
        <f t="shared" ref="CN116" ca="1" si="3051">CM116</f>
        <v>0</v>
      </c>
      <c r="CO116" s="9">
        <f t="shared" ref="CO116" ca="1" si="3052">CN116</f>
        <v>0</v>
      </c>
      <c r="CP116" s="435">
        <f t="shared" ref="CP116" ca="1" si="3053">CO116</f>
        <v>0</v>
      </c>
    </row>
    <row r="117" spans="1:94" ht="20.100000000000001" hidden="1" customHeight="1">
      <c r="A117" s="794"/>
      <c r="B117" s="255" t="s">
        <v>615</v>
      </c>
      <c r="C117" s="256">
        <f t="shared" ref="C117:O117" ca="1" si="3054">C115*C116</f>
        <v>0</v>
      </c>
      <c r="D117" s="255">
        <f t="shared" ca="1" si="3054"/>
        <v>0</v>
      </c>
      <c r="E117" s="255">
        <f t="shared" ca="1" si="3054"/>
        <v>0</v>
      </c>
      <c r="F117" s="255">
        <f t="shared" ca="1" si="3054"/>
        <v>0</v>
      </c>
      <c r="G117" s="255">
        <f t="shared" ca="1" si="3054"/>
        <v>0</v>
      </c>
      <c r="H117" s="255">
        <f t="shared" ca="1" si="3054"/>
        <v>0</v>
      </c>
      <c r="I117" s="255">
        <f t="shared" ca="1" si="3054"/>
        <v>0</v>
      </c>
      <c r="J117" s="255">
        <f t="shared" ca="1" si="3054"/>
        <v>0</v>
      </c>
      <c r="K117" s="255">
        <f t="shared" ca="1" si="3054"/>
        <v>0</v>
      </c>
      <c r="L117" s="255">
        <f t="shared" ca="1" si="3054"/>
        <v>0</v>
      </c>
      <c r="M117" s="255">
        <f t="shared" ca="1" si="3054"/>
        <v>0</v>
      </c>
      <c r="N117" s="255">
        <f t="shared" ca="1" si="3054"/>
        <v>0</v>
      </c>
      <c r="O117" s="255">
        <f t="shared" ca="1" si="3054"/>
        <v>0</v>
      </c>
      <c r="P117" s="436">
        <f ca="1">SUM(D117:O117)</f>
        <v>0</v>
      </c>
      <c r="Q117" s="255">
        <f t="shared" ref="Q117:AB117" ca="1" si="3055">Q115*Q116</f>
        <v>0</v>
      </c>
      <c r="R117" s="255">
        <f t="shared" ca="1" si="3055"/>
        <v>0</v>
      </c>
      <c r="S117" s="255">
        <f t="shared" ca="1" si="3055"/>
        <v>0</v>
      </c>
      <c r="T117" s="255">
        <f t="shared" ca="1" si="3055"/>
        <v>0</v>
      </c>
      <c r="U117" s="255">
        <f t="shared" ca="1" si="3055"/>
        <v>0</v>
      </c>
      <c r="V117" s="255">
        <f t="shared" ca="1" si="3055"/>
        <v>0</v>
      </c>
      <c r="W117" s="255">
        <f t="shared" ca="1" si="3055"/>
        <v>0</v>
      </c>
      <c r="X117" s="255">
        <f t="shared" ca="1" si="3055"/>
        <v>0</v>
      </c>
      <c r="Y117" s="255">
        <f t="shared" ca="1" si="3055"/>
        <v>0</v>
      </c>
      <c r="Z117" s="255">
        <f t="shared" ca="1" si="3055"/>
        <v>0</v>
      </c>
      <c r="AA117" s="255">
        <f t="shared" ca="1" si="3055"/>
        <v>0</v>
      </c>
      <c r="AB117" s="255">
        <f t="shared" ca="1" si="3055"/>
        <v>0</v>
      </c>
      <c r="AC117" s="436">
        <f ca="1">SUM(Q117:AB117)</f>
        <v>0</v>
      </c>
      <c r="AD117" s="255">
        <f t="shared" ref="AD117:AO117" ca="1" si="3056">AD115*AD116</f>
        <v>0</v>
      </c>
      <c r="AE117" s="255">
        <f t="shared" ca="1" si="3056"/>
        <v>0</v>
      </c>
      <c r="AF117" s="255">
        <f t="shared" ca="1" si="3056"/>
        <v>0</v>
      </c>
      <c r="AG117" s="255">
        <f t="shared" ca="1" si="3056"/>
        <v>0</v>
      </c>
      <c r="AH117" s="255">
        <f t="shared" ca="1" si="3056"/>
        <v>0</v>
      </c>
      <c r="AI117" s="255">
        <f t="shared" ca="1" si="3056"/>
        <v>0</v>
      </c>
      <c r="AJ117" s="255">
        <f t="shared" ca="1" si="3056"/>
        <v>0</v>
      </c>
      <c r="AK117" s="255">
        <f t="shared" ca="1" si="3056"/>
        <v>0</v>
      </c>
      <c r="AL117" s="255">
        <f t="shared" ca="1" si="3056"/>
        <v>0</v>
      </c>
      <c r="AM117" s="255">
        <f t="shared" ca="1" si="3056"/>
        <v>0</v>
      </c>
      <c r="AN117" s="255">
        <f t="shared" ca="1" si="3056"/>
        <v>0</v>
      </c>
      <c r="AO117" s="255">
        <f t="shared" ca="1" si="3056"/>
        <v>0</v>
      </c>
      <c r="AP117" s="436">
        <f ca="1">SUM(AD117:AO117)</f>
        <v>0</v>
      </c>
      <c r="AQ117" s="255">
        <f t="shared" ref="AQ117:BB117" ca="1" si="3057">AQ115*AQ116</f>
        <v>0</v>
      </c>
      <c r="AR117" s="255">
        <f t="shared" ca="1" si="3057"/>
        <v>0</v>
      </c>
      <c r="AS117" s="255">
        <f t="shared" ca="1" si="3057"/>
        <v>0</v>
      </c>
      <c r="AT117" s="255">
        <f t="shared" ca="1" si="3057"/>
        <v>0</v>
      </c>
      <c r="AU117" s="255">
        <f t="shared" ca="1" si="3057"/>
        <v>0</v>
      </c>
      <c r="AV117" s="255">
        <f t="shared" ca="1" si="3057"/>
        <v>0</v>
      </c>
      <c r="AW117" s="255">
        <f t="shared" ca="1" si="3057"/>
        <v>0</v>
      </c>
      <c r="AX117" s="255">
        <f t="shared" ca="1" si="3057"/>
        <v>0</v>
      </c>
      <c r="AY117" s="255">
        <f t="shared" ca="1" si="3057"/>
        <v>0</v>
      </c>
      <c r="AZ117" s="255">
        <f t="shared" ca="1" si="3057"/>
        <v>0</v>
      </c>
      <c r="BA117" s="255">
        <f t="shared" ca="1" si="3057"/>
        <v>0</v>
      </c>
      <c r="BB117" s="255">
        <f t="shared" ca="1" si="3057"/>
        <v>0</v>
      </c>
      <c r="BC117" s="436">
        <f ca="1">SUM(AQ117:BB117)</f>
        <v>0</v>
      </c>
      <c r="BD117" s="255">
        <f t="shared" ref="BD117:BO117" ca="1" si="3058">BD115*BD116</f>
        <v>0</v>
      </c>
      <c r="BE117" s="255">
        <f t="shared" ca="1" si="3058"/>
        <v>0</v>
      </c>
      <c r="BF117" s="255">
        <f t="shared" ca="1" si="3058"/>
        <v>0</v>
      </c>
      <c r="BG117" s="255">
        <f t="shared" ca="1" si="3058"/>
        <v>0</v>
      </c>
      <c r="BH117" s="255">
        <f t="shared" ca="1" si="3058"/>
        <v>0</v>
      </c>
      <c r="BI117" s="255">
        <f t="shared" ca="1" si="3058"/>
        <v>0</v>
      </c>
      <c r="BJ117" s="255">
        <f t="shared" ca="1" si="3058"/>
        <v>0</v>
      </c>
      <c r="BK117" s="255">
        <f t="shared" ca="1" si="3058"/>
        <v>0</v>
      </c>
      <c r="BL117" s="255">
        <f t="shared" ca="1" si="3058"/>
        <v>0</v>
      </c>
      <c r="BM117" s="255">
        <f t="shared" ca="1" si="3058"/>
        <v>0</v>
      </c>
      <c r="BN117" s="255">
        <f t="shared" ca="1" si="3058"/>
        <v>0</v>
      </c>
      <c r="BO117" s="255">
        <f t="shared" ca="1" si="3058"/>
        <v>0</v>
      </c>
      <c r="BP117" s="436">
        <f ca="1">SUM(BD117:BO117)</f>
        <v>0</v>
      </c>
      <c r="BQ117" s="255">
        <f t="shared" ref="BQ117:CB117" ca="1" si="3059">BQ115*BQ116</f>
        <v>0</v>
      </c>
      <c r="BR117" s="255">
        <f t="shared" ca="1" si="3059"/>
        <v>0</v>
      </c>
      <c r="BS117" s="255">
        <f t="shared" ca="1" si="3059"/>
        <v>0</v>
      </c>
      <c r="BT117" s="255">
        <f t="shared" ca="1" si="3059"/>
        <v>0</v>
      </c>
      <c r="BU117" s="255">
        <f t="shared" ca="1" si="3059"/>
        <v>0</v>
      </c>
      <c r="BV117" s="255">
        <f t="shared" ca="1" si="3059"/>
        <v>0</v>
      </c>
      <c r="BW117" s="255">
        <f t="shared" ca="1" si="3059"/>
        <v>0</v>
      </c>
      <c r="BX117" s="255">
        <f t="shared" ca="1" si="3059"/>
        <v>0</v>
      </c>
      <c r="BY117" s="255">
        <f t="shared" ca="1" si="3059"/>
        <v>0</v>
      </c>
      <c r="BZ117" s="255">
        <f t="shared" ca="1" si="3059"/>
        <v>0</v>
      </c>
      <c r="CA117" s="255">
        <f t="shared" ca="1" si="3059"/>
        <v>0</v>
      </c>
      <c r="CB117" s="255">
        <f t="shared" ca="1" si="3059"/>
        <v>0</v>
      </c>
      <c r="CC117" s="436">
        <f ca="1">SUM(BQ117:CB117)</f>
        <v>0</v>
      </c>
      <c r="CD117" s="255">
        <f t="shared" ref="CD117:CO117" ca="1" si="3060">CD115*CD116</f>
        <v>0</v>
      </c>
      <c r="CE117" s="255">
        <f t="shared" ca="1" si="3060"/>
        <v>0</v>
      </c>
      <c r="CF117" s="255">
        <f t="shared" ca="1" si="3060"/>
        <v>0</v>
      </c>
      <c r="CG117" s="255">
        <f t="shared" ca="1" si="3060"/>
        <v>0</v>
      </c>
      <c r="CH117" s="255">
        <f t="shared" ca="1" si="3060"/>
        <v>0</v>
      </c>
      <c r="CI117" s="255">
        <f t="shared" ca="1" si="3060"/>
        <v>0</v>
      </c>
      <c r="CJ117" s="255">
        <f t="shared" ca="1" si="3060"/>
        <v>0</v>
      </c>
      <c r="CK117" s="255">
        <f t="shared" ca="1" si="3060"/>
        <v>0</v>
      </c>
      <c r="CL117" s="255">
        <f t="shared" ca="1" si="3060"/>
        <v>0</v>
      </c>
      <c r="CM117" s="255">
        <f t="shared" ca="1" si="3060"/>
        <v>0</v>
      </c>
      <c r="CN117" s="255">
        <f t="shared" ca="1" si="3060"/>
        <v>0</v>
      </c>
      <c r="CO117" s="255">
        <f t="shared" ca="1" si="3060"/>
        <v>0</v>
      </c>
      <c r="CP117" s="436">
        <f ca="1">SUM(CD117:CO117)</f>
        <v>0</v>
      </c>
    </row>
    <row r="118" spans="1:94" ht="20.100000000000001" hidden="1" customHeight="1">
      <c r="A118" s="792">
        <f ca="1">OFFSET('Summary. Assumptions. Inputs'!$A$45,'Internmediate sheet'!A23/3,0)</f>
        <v>0</v>
      </c>
      <c r="B118" s="19" t="s">
        <v>613</v>
      </c>
      <c r="C118" s="20">
        <f ca="1">OFFSET('Sales, Production, &amp; Other Assu'!C$54,'Internmediate sheet'!$A23/3,0)*Capacity</f>
        <v>0</v>
      </c>
      <c r="D118" s="19">
        <f ca="1">OFFSET('Sales, Production, &amp; Other Assu'!D$54,'Internmediate sheet'!$A23/3,0)*Capacity</f>
        <v>0</v>
      </c>
      <c r="E118" s="19">
        <f ca="1">OFFSET('Sales, Production, &amp; Other Assu'!E$54,'Internmediate sheet'!$A23/3,0)*Capacity</f>
        <v>0</v>
      </c>
      <c r="F118" s="19">
        <f ca="1">OFFSET('Sales, Production, &amp; Other Assu'!F$54,'Internmediate sheet'!$A23/3,0)*Capacity</f>
        <v>0</v>
      </c>
      <c r="G118" s="19">
        <f ca="1">OFFSET('Sales, Production, &amp; Other Assu'!G$54,'Internmediate sheet'!$A23/3,0)*Capacity</f>
        <v>0</v>
      </c>
      <c r="H118" s="19">
        <f ca="1">OFFSET('Sales, Production, &amp; Other Assu'!H$54,'Internmediate sheet'!$A23/3,0)*Capacity</f>
        <v>0</v>
      </c>
      <c r="I118" s="19">
        <f ca="1">OFFSET('Sales, Production, &amp; Other Assu'!I$54,'Internmediate sheet'!$A23/3,0)*Capacity</f>
        <v>0</v>
      </c>
      <c r="J118" s="19">
        <f ca="1">OFFSET('Sales, Production, &amp; Other Assu'!J$54,'Internmediate sheet'!$A23/3,0)*Capacity</f>
        <v>0</v>
      </c>
      <c r="K118" s="19">
        <f ca="1">OFFSET('Sales, Production, &amp; Other Assu'!K$54,'Internmediate sheet'!$A23/3,0)*Capacity</f>
        <v>0</v>
      </c>
      <c r="L118" s="19">
        <f ca="1">OFFSET('Sales, Production, &amp; Other Assu'!L$54,'Internmediate sheet'!$A23/3,0)*Capacity</f>
        <v>0</v>
      </c>
      <c r="M118" s="19">
        <f ca="1">OFFSET('Sales, Production, &amp; Other Assu'!M$54,'Internmediate sheet'!$A23/3,0)*Capacity</f>
        <v>0</v>
      </c>
      <c r="N118" s="19">
        <f ca="1">OFFSET('Sales, Production, &amp; Other Assu'!N$54,'Internmediate sheet'!$A23/3,0)*Capacity</f>
        <v>0</v>
      </c>
      <c r="O118" s="19">
        <f ca="1">OFFSET('Sales, Production, &amp; Other Assu'!O$54,'Internmediate sheet'!$A23/3,0)*Capacity</f>
        <v>0</v>
      </c>
      <c r="P118" s="434">
        <f ca="1">SUM(D118:O118)</f>
        <v>0</v>
      </c>
      <c r="Q118" s="19">
        <f ca="1">OFFSET('Sales, Production, &amp; Other Assu'!Q$54,'Internmediate sheet'!$A23/3,0)*Capacity</f>
        <v>0</v>
      </c>
      <c r="R118" s="19">
        <f ca="1">OFFSET('Sales, Production, &amp; Other Assu'!R$54,'Internmediate sheet'!$A23/3,0)*Capacity</f>
        <v>0</v>
      </c>
      <c r="S118" s="19">
        <f ca="1">OFFSET('Sales, Production, &amp; Other Assu'!S$54,'Internmediate sheet'!$A23/3,0)*Capacity</f>
        <v>0</v>
      </c>
      <c r="T118" s="19">
        <f ca="1">OFFSET('Sales, Production, &amp; Other Assu'!T$54,'Internmediate sheet'!$A23/3,0)*Capacity</f>
        <v>0</v>
      </c>
      <c r="U118" s="19">
        <f ca="1">OFFSET('Sales, Production, &amp; Other Assu'!U$54,'Internmediate sheet'!$A23/3,0)*Capacity</f>
        <v>0</v>
      </c>
      <c r="V118" s="19">
        <f ca="1">OFFSET('Sales, Production, &amp; Other Assu'!V$54,'Internmediate sheet'!$A23/3,0)*Capacity</f>
        <v>0</v>
      </c>
      <c r="W118" s="19">
        <f ca="1">OFFSET('Sales, Production, &amp; Other Assu'!W$54,'Internmediate sheet'!$A23/3,0)*Capacity</f>
        <v>0</v>
      </c>
      <c r="X118" s="19">
        <f ca="1">OFFSET('Sales, Production, &amp; Other Assu'!X$54,'Internmediate sheet'!$A23/3,0)*Capacity</f>
        <v>0</v>
      </c>
      <c r="Y118" s="19">
        <f ca="1">OFFSET('Sales, Production, &amp; Other Assu'!Y$54,'Internmediate sheet'!$A23/3,0)*Capacity</f>
        <v>0</v>
      </c>
      <c r="Z118" s="19">
        <f ca="1">OFFSET('Sales, Production, &amp; Other Assu'!Z$54,'Internmediate sheet'!$A23/3,0)*Capacity</f>
        <v>0</v>
      </c>
      <c r="AA118" s="19">
        <f ca="1">OFFSET('Sales, Production, &amp; Other Assu'!AA$54,'Internmediate sheet'!$A23/3,0)*Capacity</f>
        <v>0</v>
      </c>
      <c r="AB118" s="19">
        <f ca="1">OFFSET('Sales, Production, &amp; Other Assu'!AB$54,'Internmediate sheet'!$A23/3,0)*Capacity</f>
        <v>0</v>
      </c>
      <c r="AC118" s="434">
        <f ca="1">SUM(Q118:AB118)</f>
        <v>0</v>
      </c>
      <c r="AD118" s="19">
        <f ca="1">OFFSET('Sales, Production, &amp; Other Assu'!AD$54,'Internmediate sheet'!$A23/3,0)*Capacity</f>
        <v>0</v>
      </c>
      <c r="AE118" s="19">
        <f ca="1">OFFSET('Sales, Production, &amp; Other Assu'!AE$54,'Internmediate sheet'!$A23/3,0)*Capacity</f>
        <v>0</v>
      </c>
      <c r="AF118" s="19">
        <f ca="1">OFFSET('Sales, Production, &amp; Other Assu'!AF$54,'Internmediate sheet'!$A23/3,0)*Capacity</f>
        <v>0</v>
      </c>
      <c r="AG118" s="19">
        <f ca="1">OFFSET('Sales, Production, &amp; Other Assu'!AG$54,'Internmediate sheet'!$A23/3,0)*Capacity</f>
        <v>0</v>
      </c>
      <c r="AH118" s="19">
        <f ca="1">OFFSET('Sales, Production, &amp; Other Assu'!AH$54,'Internmediate sheet'!$A23/3,0)*Capacity</f>
        <v>0</v>
      </c>
      <c r="AI118" s="19">
        <f ca="1">OFFSET('Sales, Production, &amp; Other Assu'!AI$54,'Internmediate sheet'!$A23/3,0)*Capacity</f>
        <v>0</v>
      </c>
      <c r="AJ118" s="19">
        <f ca="1">OFFSET('Sales, Production, &amp; Other Assu'!AJ$54,'Internmediate sheet'!$A23/3,0)*Capacity</f>
        <v>0</v>
      </c>
      <c r="AK118" s="19">
        <f ca="1">OFFSET('Sales, Production, &amp; Other Assu'!AK$54,'Internmediate sheet'!$A23/3,0)*Capacity</f>
        <v>0</v>
      </c>
      <c r="AL118" s="19">
        <f ca="1">OFFSET('Sales, Production, &amp; Other Assu'!AL$54,'Internmediate sheet'!$A23/3,0)*Capacity</f>
        <v>0</v>
      </c>
      <c r="AM118" s="19">
        <f ca="1">OFFSET('Sales, Production, &amp; Other Assu'!AM$54,'Internmediate sheet'!$A23/3,0)*Capacity</f>
        <v>0</v>
      </c>
      <c r="AN118" s="19">
        <f ca="1">OFFSET('Sales, Production, &amp; Other Assu'!AN$54,'Internmediate sheet'!$A23/3,0)*Capacity</f>
        <v>0</v>
      </c>
      <c r="AO118" s="19">
        <f ca="1">OFFSET('Sales, Production, &amp; Other Assu'!AO$54,'Internmediate sheet'!$A23/3,0)*Capacity</f>
        <v>0</v>
      </c>
      <c r="AP118" s="434">
        <f ca="1">SUM(AD118:AO118)</f>
        <v>0</v>
      </c>
      <c r="AQ118" s="19">
        <f ca="1">OFFSET('Sales, Production, &amp; Other Assu'!AQ$54,'Internmediate sheet'!$A23/3,0)*Capacity</f>
        <v>0</v>
      </c>
      <c r="AR118" s="19">
        <f ca="1">OFFSET('Sales, Production, &amp; Other Assu'!AR$54,'Internmediate sheet'!$A23/3,0)*Capacity</f>
        <v>0</v>
      </c>
      <c r="AS118" s="19">
        <f ca="1">OFFSET('Sales, Production, &amp; Other Assu'!AS$54,'Internmediate sheet'!$A23/3,0)*Capacity</f>
        <v>0</v>
      </c>
      <c r="AT118" s="19">
        <f ca="1">OFFSET('Sales, Production, &amp; Other Assu'!AT$54,'Internmediate sheet'!$A23/3,0)*Capacity</f>
        <v>0</v>
      </c>
      <c r="AU118" s="19">
        <f ca="1">OFFSET('Sales, Production, &amp; Other Assu'!AU$54,'Internmediate sheet'!$A23/3,0)*Capacity</f>
        <v>0</v>
      </c>
      <c r="AV118" s="19">
        <f ca="1">OFFSET('Sales, Production, &amp; Other Assu'!AV$54,'Internmediate sheet'!$A23/3,0)*Capacity</f>
        <v>0</v>
      </c>
      <c r="AW118" s="19">
        <f ca="1">OFFSET('Sales, Production, &amp; Other Assu'!AW$54,'Internmediate sheet'!$A23/3,0)*Capacity</f>
        <v>0</v>
      </c>
      <c r="AX118" s="19">
        <f ca="1">OFFSET('Sales, Production, &amp; Other Assu'!AX$54,'Internmediate sheet'!$A23/3,0)*Capacity</f>
        <v>0</v>
      </c>
      <c r="AY118" s="19">
        <f ca="1">OFFSET('Sales, Production, &amp; Other Assu'!AY$54,'Internmediate sheet'!$A23/3,0)*Capacity</f>
        <v>0</v>
      </c>
      <c r="AZ118" s="19">
        <f ca="1">OFFSET('Sales, Production, &amp; Other Assu'!AZ$54,'Internmediate sheet'!$A23/3,0)*Capacity</f>
        <v>0</v>
      </c>
      <c r="BA118" s="19">
        <f ca="1">OFFSET('Sales, Production, &amp; Other Assu'!BA$54,'Internmediate sheet'!$A23/3,0)*Capacity</f>
        <v>0</v>
      </c>
      <c r="BB118" s="19">
        <f ca="1">OFFSET('Sales, Production, &amp; Other Assu'!BB$54,'Internmediate sheet'!$A23/3,0)*Capacity</f>
        <v>0</v>
      </c>
      <c r="BC118" s="434">
        <f ca="1">SUM(AQ118:BB118)</f>
        <v>0</v>
      </c>
      <c r="BD118" s="19">
        <f ca="1">OFFSET('Sales, Production, &amp; Other Assu'!BD$54,'Internmediate sheet'!$A23/3,0)*Capacity</f>
        <v>0</v>
      </c>
      <c r="BE118" s="19">
        <f ca="1">OFFSET('Sales, Production, &amp; Other Assu'!BE$54,'Internmediate sheet'!$A23/3,0)*Capacity</f>
        <v>0</v>
      </c>
      <c r="BF118" s="19">
        <f ca="1">OFFSET('Sales, Production, &amp; Other Assu'!BF$54,'Internmediate sheet'!$A23/3,0)*Capacity</f>
        <v>0</v>
      </c>
      <c r="BG118" s="19">
        <f ca="1">OFFSET('Sales, Production, &amp; Other Assu'!BG$54,'Internmediate sheet'!$A23/3,0)*Capacity</f>
        <v>0</v>
      </c>
      <c r="BH118" s="19">
        <f ca="1">OFFSET('Sales, Production, &amp; Other Assu'!BH$54,'Internmediate sheet'!$A23/3,0)*Capacity</f>
        <v>0</v>
      </c>
      <c r="BI118" s="19">
        <f ca="1">OFFSET('Sales, Production, &amp; Other Assu'!BI$54,'Internmediate sheet'!$A23/3,0)*Capacity</f>
        <v>0</v>
      </c>
      <c r="BJ118" s="19">
        <f ca="1">OFFSET('Sales, Production, &amp; Other Assu'!BJ$54,'Internmediate sheet'!$A23/3,0)*Capacity</f>
        <v>0</v>
      </c>
      <c r="BK118" s="19">
        <f ca="1">OFFSET('Sales, Production, &amp; Other Assu'!BK$54,'Internmediate sheet'!$A23/3,0)*Capacity</f>
        <v>0</v>
      </c>
      <c r="BL118" s="19">
        <f ca="1">OFFSET('Sales, Production, &amp; Other Assu'!BL$54,'Internmediate sheet'!$A23/3,0)*Capacity</f>
        <v>0</v>
      </c>
      <c r="BM118" s="19">
        <f ca="1">OFFSET('Sales, Production, &amp; Other Assu'!BM$54,'Internmediate sheet'!$A23/3,0)*Capacity</f>
        <v>0</v>
      </c>
      <c r="BN118" s="19">
        <f ca="1">OFFSET('Sales, Production, &amp; Other Assu'!BN$54,'Internmediate sheet'!$A23/3,0)*Capacity</f>
        <v>0</v>
      </c>
      <c r="BO118" s="19">
        <f ca="1">OFFSET('Sales, Production, &amp; Other Assu'!BO$54,'Internmediate sheet'!$A23/3,0)*Capacity</f>
        <v>0</v>
      </c>
      <c r="BP118" s="434">
        <f ca="1">SUM(BD118:BO118)</f>
        <v>0</v>
      </c>
      <c r="BQ118" s="19">
        <f ca="1">OFFSET('Sales, Production, &amp; Other Assu'!BQ$54,'Internmediate sheet'!$A23/3,0)*Capacity</f>
        <v>0</v>
      </c>
      <c r="BR118" s="19">
        <f ca="1">OFFSET('Sales, Production, &amp; Other Assu'!BR$54,'Internmediate sheet'!$A23/3,0)*Capacity</f>
        <v>0</v>
      </c>
      <c r="BS118" s="19">
        <f ca="1">OFFSET('Sales, Production, &amp; Other Assu'!BS$54,'Internmediate sheet'!$A23/3,0)*Capacity</f>
        <v>0</v>
      </c>
      <c r="BT118" s="19">
        <f ca="1">OFFSET('Sales, Production, &amp; Other Assu'!BT$54,'Internmediate sheet'!$A23/3,0)*Capacity</f>
        <v>0</v>
      </c>
      <c r="BU118" s="19">
        <f ca="1">OFFSET('Sales, Production, &amp; Other Assu'!BU$54,'Internmediate sheet'!$A23/3,0)*Capacity</f>
        <v>0</v>
      </c>
      <c r="BV118" s="19">
        <f ca="1">OFFSET('Sales, Production, &amp; Other Assu'!BV$54,'Internmediate sheet'!$A23/3,0)*Capacity</f>
        <v>0</v>
      </c>
      <c r="BW118" s="19">
        <f ca="1">OFFSET('Sales, Production, &amp; Other Assu'!BW$54,'Internmediate sheet'!$A23/3,0)*Capacity</f>
        <v>0</v>
      </c>
      <c r="BX118" s="19">
        <f ca="1">OFFSET('Sales, Production, &amp; Other Assu'!BX$54,'Internmediate sheet'!$A23/3,0)*Capacity</f>
        <v>0</v>
      </c>
      <c r="BY118" s="19">
        <f ca="1">OFFSET('Sales, Production, &amp; Other Assu'!BY$54,'Internmediate sheet'!$A23/3,0)*Capacity</f>
        <v>0</v>
      </c>
      <c r="BZ118" s="19">
        <f ca="1">OFFSET('Sales, Production, &amp; Other Assu'!BZ$54,'Internmediate sheet'!$A23/3,0)*Capacity</f>
        <v>0</v>
      </c>
      <c r="CA118" s="19">
        <f ca="1">OFFSET('Sales, Production, &amp; Other Assu'!CA$54,'Internmediate sheet'!$A23/3,0)*Capacity</f>
        <v>0</v>
      </c>
      <c r="CB118" s="19">
        <f ca="1">OFFSET('Sales, Production, &amp; Other Assu'!CB$54,'Internmediate sheet'!$A23/3,0)*Capacity</f>
        <v>0</v>
      </c>
      <c r="CC118" s="434">
        <f ca="1">SUM(BQ118:CB118)</f>
        <v>0</v>
      </c>
      <c r="CD118" s="19">
        <f ca="1">OFFSET('Sales, Production, &amp; Other Assu'!CD$54,'Internmediate sheet'!$A23/3,0)*Capacity</f>
        <v>0</v>
      </c>
      <c r="CE118" s="19">
        <f ca="1">OFFSET('Sales, Production, &amp; Other Assu'!CE$54,'Internmediate sheet'!$A23/3,0)*Capacity</f>
        <v>0</v>
      </c>
      <c r="CF118" s="19">
        <f ca="1">OFFSET('Sales, Production, &amp; Other Assu'!CF$54,'Internmediate sheet'!$A23/3,0)*Capacity</f>
        <v>0</v>
      </c>
      <c r="CG118" s="19">
        <f ca="1">OFFSET('Sales, Production, &amp; Other Assu'!CG$54,'Internmediate sheet'!$A23/3,0)*Capacity</f>
        <v>0</v>
      </c>
      <c r="CH118" s="19">
        <f ca="1">OFFSET('Sales, Production, &amp; Other Assu'!CH$54,'Internmediate sheet'!$A23/3,0)*Capacity</f>
        <v>0</v>
      </c>
      <c r="CI118" s="19">
        <f ca="1">OFFSET('Sales, Production, &amp; Other Assu'!CI$54,'Internmediate sheet'!$A23/3,0)*Capacity</f>
        <v>0</v>
      </c>
      <c r="CJ118" s="19">
        <f ca="1">OFFSET('Sales, Production, &amp; Other Assu'!CJ$54,'Internmediate sheet'!$A23/3,0)*Capacity</f>
        <v>0</v>
      </c>
      <c r="CK118" s="19">
        <f ca="1">OFFSET('Sales, Production, &amp; Other Assu'!CK$54,'Internmediate sheet'!$A23/3,0)*Capacity</f>
        <v>0</v>
      </c>
      <c r="CL118" s="19">
        <f ca="1">OFFSET('Sales, Production, &amp; Other Assu'!CL$54,'Internmediate sheet'!$A23/3,0)*Capacity</f>
        <v>0</v>
      </c>
      <c r="CM118" s="19">
        <f ca="1">OFFSET('Sales, Production, &amp; Other Assu'!CM$54,'Internmediate sheet'!$A23/3,0)*Capacity</f>
        <v>0</v>
      </c>
      <c r="CN118" s="19">
        <f ca="1">OFFSET('Sales, Production, &amp; Other Assu'!CN$54,'Internmediate sheet'!$A23/3,0)*Capacity</f>
        <v>0</v>
      </c>
      <c r="CO118" s="19">
        <f ca="1">OFFSET('Sales, Production, &amp; Other Assu'!CO$54,'Internmediate sheet'!$A23/3,0)*Capacity</f>
        <v>0</v>
      </c>
      <c r="CP118" s="434">
        <f ca="1">SUM(CD118:CO118)</f>
        <v>0</v>
      </c>
    </row>
    <row r="119" spans="1:94" ht="20.100000000000001" hidden="1" customHeight="1">
      <c r="A119" s="793"/>
      <c r="B119" s="9" t="s">
        <v>614</v>
      </c>
      <c r="C119" s="10">
        <f ca="1">OFFSET('BEP. &amp; Summary Results'!$C$6,'Internmediate sheet'!A20/3,0)</f>
        <v>0</v>
      </c>
      <c r="D119" s="9">
        <f t="shared" ref="D119:P119" ca="1" si="3061">C119</f>
        <v>0</v>
      </c>
      <c r="E119" s="9">
        <f t="shared" ca="1" si="3061"/>
        <v>0</v>
      </c>
      <c r="F119" s="9">
        <f t="shared" ca="1" si="3061"/>
        <v>0</v>
      </c>
      <c r="G119" s="9">
        <f t="shared" ca="1" si="3061"/>
        <v>0</v>
      </c>
      <c r="H119" s="9">
        <f t="shared" ca="1" si="3061"/>
        <v>0</v>
      </c>
      <c r="I119" s="9">
        <f t="shared" ca="1" si="3061"/>
        <v>0</v>
      </c>
      <c r="J119" s="9">
        <f t="shared" ca="1" si="3061"/>
        <v>0</v>
      </c>
      <c r="K119" s="9">
        <f t="shared" ca="1" si="3061"/>
        <v>0</v>
      </c>
      <c r="L119" s="9">
        <f t="shared" ca="1" si="3061"/>
        <v>0</v>
      </c>
      <c r="M119" s="9">
        <f t="shared" ca="1" si="3061"/>
        <v>0</v>
      </c>
      <c r="N119" s="9">
        <f t="shared" ca="1" si="3061"/>
        <v>0</v>
      </c>
      <c r="O119" s="9">
        <f t="shared" ca="1" si="3061"/>
        <v>0</v>
      </c>
      <c r="P119" s="435">
        <f t="shared" ca="1" si="3061"/>
        <v>0</v>
      </c>
      <c r="Q119" s="9">
        <f t="shared" ref="Q119" ca="1" si="3062">P119</f>
        <v>0</v>
      </c>
      <c r="R119" s="9">
        <f t="shared" ref="R119" ca="1" si="3063">Q119</f>
        <v>0</v>
      </c>
      <c r="S119" s="9">
        <f t="shared" ref="S119" ca="1" si="3064">R119</f>
        <v>0</v>
      </c>
      <c r="T119" s="9">
        <f t="shared" ref="T119" ca="1" si="3065">S119</f>
        <v>0</v>
      </c>
      <c r="U119" s="9">
        <f t="shared" ref="U119" ca="1" si="3066">T119</f>
        <v>0</v>
      </c>
      <c r="V119" s="9">
        <f t="shared" ref="V119" ca="1" si="3067">U119</f>
        <v>0</v>
      </c>
      <c r="W119" s="9">
        <f t="shared" ref="W119" ca="1" si="3068">V119</f>
        <v>0</v>
      </c>
      <c r="X119" s="9">
        <f t="shared" ref="X119" ca="1" si="3069">W119</f>
        <v>0</v>
      </c>
      <c r="Y119" s="9">
        <f t="shared" ref="Y119" ca="1" si="3070">X119</f>
        <v>0</v>
      </c>
      <c r="Z119" s="9">
        <f t="shared" ref="Z119" ca="1" si="3071">Y119</f>
        <v>0</v>
      </c>
      <c r="AA119" s="9">
        <f t="shared" ref="AA119" ca="1" si="3072">Z119</f>
        <v>0</v>
      </c>
      <c r="AB119" s="9">
        <f t="shared" ref="AB119" ca="1" si="3073">AA119</f>
        <v>0</v>
      </c>
      <c r="AC119" s="435">
        <f t="shared" ref="AC119" ca="1" si="3074">AB119</f>
        <v>0</v>
      </c>
      <c r="AD119" s="9">
        <f t="shared" ref="AD119" ca="1" si="3075">AC119</f>
        <v>0</v>
      </c>
      <c r="AE119" s="9">
        <f t="shared" ref="AE119" ca="1" si="3076">AD119</f>
        <v>0</v>
      </c>
      <c r="AF119" s="9">
        <f t="shared" ref="AF119" ca="1" si="3077">AE119</f>
        <v>0</v>
      </c>
      <c r="AG119" s="9">
        <f t="shared" ref="AG119" ca="1" si="3078">AF119</f>
        <v>0</v>
      </c>
      <c r="AH119" s="9">
        <f t="shared" ref="AH119" ca="1" si="3079">AG119</f>
        <v>0</v>
      </c>
      <c r="AI119" s="9">
        <f t="shared" ref="AI119" ca="1" si="3080">AH119</f>
        <v>0</v>
      </c>
      <c r="AJ119" s="9">
        <f t="shared" ref="AJ119" ca="1" si="3081">AI119</f>
        <v>0</v>
      </c>
      <c r="AK119" s="9">
        <f t="shared" ref="AK119" ca="1" si="3082">AJ119</f>
        <v>0</v>
      </c>
      <c r="AL119" s="9">
        <f t="shared" ref="AL119" ca="1" si="3083">AK119</f>
        <v>0</v>
      </c>
      <c r="AM119" s="9">
        <f t="shared" ref="AM119" ca="1" si="3084">AL119</f>
        <v>0</v>
      </c>
      <c r="AN119" s="9">
        <f t="shared" ref="AN119" ca="1" si="3085">AM119</f>
        <v>0</v>
      </c>
      <c r="AO119" s="9">
        <f t="shared" ref="AO119" ca="1" si="3086">AN119</f>
        <v>0</v>
      </c>
      <c r="AP119" s="435">
        <f t="shared" ref="AP119" ca="1" si="3087">AO119</f>
        <v>0</v>
      </c>
      <c r="AQ119" s="9">
        <f ca="1">AP119</f>
        <v>0</v>
      </c>
      <c r="AR119" s="9">
        <f t="shared" ref="AR119" ca="1" si="3088">AQ119</f>
        <v>0</v>
      </c>
      <c r="AS119" s="9">
        <f t="shared" ref="AS119" ca="1" si="3089">AR119</f>
        <v>0</v>
      </c>
      <c r="AT119" s="9">
        <f t="shared" ref="AT119" ca="1" si="3090">AS119</f>
        <v>0</v>
      </c>
      <c r="AU119" s="9">
        <f t="shared" ref="AU119" ca="1" si="3091">AT119</f>
        <v>0</v>
      </c>
      <c r="AV119" s="9">
        <f t="shared" ref="AV119" ca="1" si="3092">AU119</f>
        <v>0</v>
      </c>
      <c r="AW119" s="9">
        <f t="shared" ref="AW119" ca="1" si="3093">AV119</f>
        <v>0</v>
      </c>
      <c r="AX119" s="9">
        <f t="shared" ref="AX119" ca="1" si="3094">AW119</f>
        <v>0</v>
      </c>
      <c r="AY119" s="9">
        <f t="shared" ref="AY119" ca="1" si="3095">AX119</f>
        <v>0</v>
      </c>
      <c r="AZ119" s="9">
        <f t="shared" ref="AZ119" ca="1" si="3096">AY119</f>
        <v>0</v>
      </c>
      <c r="BA119" s="9">
        <f t="shared" ref="BA119" ca="1" si="3097">AZ119</f>
        <v>0</v>
      </c>
      <c r="BB119" s="9">
        <f t="shared" ref="BB119" ca="1" si="3098">BA119</f>
        <v>0</v>
      </c>
      <c r="BC119" s="435">
        <f t="shared" ref="BC119" ca="1" si="3099">BB119</f>
        <v>0</v>
      </c>
      <c r="BD119" s="9">
        <f t="shared" ref="BD119" ca="1" si="3100">BC119</f>
        <v>0</v>
      </c>
      <c r="BE119" s="9">
        <f t="shared" ref="BE119" ca="1" si="3101">BD119</f>
        <v>0</v>
      </c>
      <c r="BF119" s="9">
        <f t="shared" ref="BF119" ca="1" si="3102">BE119</f>
        <v>0</v>
      </c>
      <c r="BG119" s="9">
        <f t="shared" ref="BG119" ca="1" si="3103">BF119</f>
        <v>0</v>
      </c>
      <c r="BH119" s="9">
        <f t="shared" ref="BH119" ca="1" si="3104">BG119</f>
        <v>0</v>
      </c>
      <c r="BI119" s="9">
        <f t="shared" ref="BI119" ca="1" si="3105">BH119</f>
        <v>0</v>
      </c>
      <c r="BJ119" s="9">
        <f t="shared" ref="BJ119" ca="1" si="3106">BI119</f>
        <v>0</v>
      </c>
      <c r="BK119" s="9">
        <f t="shared" ref="BK119" ca="1" si="3107">BJ119</f>
        <v>0</v>
      </c>
      <c r="BL119" s="9">
        <f t="shared" ref="BL119" ca="1" si="3108">BK119</f>
        <v>0</v>
      </c>
      <c r="BM119" s="9">
        <f t="shared" ref="BM119" ca="1" si="3109">BL119</f>
        <v>0</v>
      </c>
      <c r="BN119" s="9">
        <f t="shared" ref="BN119" ca="1" si="3110">BM119</f>
        <v>0</v>
      </c>
      <c r="BO119" s="9">
        <f t="shared" ref="BO119" ca="1" si="3111">BN119</f>
        <v>0</v>
      </c>
      <c r="BP119" s="435">
        <f t="shared" ref="BP119" ca="1" si="3112">BO119</f>
        <v>0</v>
      </c>
      <c r="BQ119" s="9">
        <f t="shared" ref="BQ119" ca="1" si="3113">BP119</f>
        <v>0</v>
      </c>
      <c r="BR119" s="9">
        <f t="shared" ref="BR119" ca="1" si="3114">BQ119</f>
        <v>0</v>
      </c>
      <c r="BS119" s="9">
        <f t="shared" ref="BS119" ca="1" si="3115">BR119</f>
        <v>0</v>
      </c>
      <c r="BT119" s="9">
        <f t="shared" ref="BT119" ca="1" si="3116">BS119</f>
        <v>0</v>
      </c>
      <c r="BU119" s="9">
        <f t="shared" ref="BU119" ca="1" si="3117">BT119</f>
        <v>0</v>
      </c>
      <c r="BV119" s="9">
        <f t="shared" ref="BV119" ca="1" si="3118">BU119</f>
        <v>0</v>
      </c>
      <c r="BW119" s="9">
        <f t="shared" ref="BW119" ca="1" si="3119">BV119</f>
        <v>0</v>
      </c>
      <c r="BX119" s="9">
        <f t="shared" ref="BX119" ca="1" si="3120">BW119</f>
        <v>0</v>
      </c>
      <c r="BY119" s="9">
        <f t="shared" ref="BY119" ca="1" si="3121">BX119</f>
        <v>0</v>
      </c>
      <c r="BZ119" s="9">
        <f t="shared" ref="BZ119" ca="1" si="3122">BY119</f>
        <v>0</v>
      </c>
      <c r="CA119" s="9">
        <f t="shared" ref="CA119" ca="1" si="3123">BZ119</f>
        <v>0</v>
      </c>
      <c r="CB119" s="9">
        <f t="shared" ref="CB119" ca="1" si="3124">CA119</f>
        <v>0</v>
      </c>
      <c r="CC119" s="435">
        <f t="shared" ref="CC119" ca="1" si="3125">CB119</f>
        <v>0</v>
      </c>
      <c r="CD119" s="9">
        <f t="shared" ref="CD119" ca="1" si="3126">CC119</f>
        <v>0</v>
      </c>
      <c r="CE119" s="9">
        <f t="shared" ref="CE119" ca="1" si="3127">CD119</f>
        <v>0</v>
      </c>
      <c r="CF119" s="9">
        <f t="shared" ref="CF119" ca="1" si="3128">CE119</f>
        <v>0</v>
      </c>
      <c r="CG119" s="9">
        <f t="shared" ref="CG119" ca="1" si="3129">CF119</f>
        <v>0</v>
      </c>
      <c r="CH119" s="9">
        <f t="shared" ref="CH119" ca="1" si="3130">CG119</f>
        <v>0</v>
      </c>
      <c r="CI119" s="9">
        <f t="shared" ref="CI119" ca="1" si="3131">CH119</f>
        <v>0</v>
      </c>
      <c r="CJ119" s="9">
        <f t="shared" ref="CJ119" ca="1" si="3132">CI119</f>
        <v>0</v>
      </c>
      <c r="CK119" s="9">
        <f t="shared" ref="CK119" ca="1" si="3133">CJ119</f>
        <v>0</v>
      </c>
      <c r="CL119" s="9">
        <f t="shared" ref="CL119" ca="1" si="3134">CK119</f>
        <v>0</v>
      </c>
      <c r="CM119" s="9">
        <f t="shared" ref="CM119" ca="1" si="3135">CL119</f>
        <v>0</v>
      </c>
      <c r="CN119" s="9">
        <f t="shared" ref="CN119" ca="1" si="3136">CM119</f>
        <v>0</v>
      </c>
      <c r="CO119" s="9">
        <f t="shared" ref="CO119" ca="1" si="3137">CN119</f>
        <v>0</v>
      </c>
      <c r="CP119" s="435">
        <f t="shared" ref="CP119" ca="1" si="3138">CO119</f>
        <v>0</v>
      </c>
    </row>
    <row r="120" spans="1:94" ht="20.100000000000001" hidden="1" customHeight="1">
      <c r="A120" s="794"/>
      <c r="B120" s="255" t="s">
        <v>615</v>
      </c>
      <c r="C120" s="256">
        <f t="shared" ref="C120:O120" ca="1" si="3139">C118*C119</f>
        <v>0</v>
      </c>
      <c r="D120" s="255">
        <f t="shared" ca="1" si="3139"/>
        <v>0</v>
      </c>
      <c r="E120" s="255">
        <f t="shared" ca="1" si="3139"/>
        <v>0</v>
      </c>
      <c r="F120" s="255">
        <f t="shared" ca="1" si="3139"/>
        <v>0</v>
      </c>
      <c r="G120" s="255">
        <f t="shared" ca="1" si="3139"/>
        <v>0</v>
      </c>
      <c r="H120" s="255">
        <f t="shared" ca="1" si="3139"/>
        <v>0</v>
      </c>
      <c r="I120" s="255">
        <f t="shared" ca="1" si="3139"/>
        <v>0</v>
      </c>
      <c r="J120" s="255">
        <f t="shared" ca="1" si="3139"/>
        <v>0</v>
      </c>
      <c r="K120" s="255">
        <f t="shared" ca="1" si="3139"/>
        <v>0</v>
      </c>
      <c r="L120" s="255">
        <f t="shared" ca="1" si="3139"/>
        <v>0</v>
      </c>
      <c r="M120" s="255">
        <f t="shared" ca="1" si="3139"/>
        <v>0</v>
      </c>
      <c r="N120" s="255">
        <f t="shared" ca="1" si="3139"/>
        <v>0</v>
      </c>
      <c r="O120" s="255">
        <f t="shared" ca="1" si="3139"/>
        <v>0</v>
      </c>
      <c r="P120" s="434">
        <f ca="1">SUM(D120:O120)</f>
        <v>0</v>
      </c>
      <c r="Q120" s="255">
        <f t="shared" ref="Q120:AB120" ca="1" si="3140">Q118*Q119</f>
        <v>0</v>
      </c>
      <c r="R120" s="255">
        <f t="shared" ca="1" si="3140"/>
        <v>0</v>
      </c>
      <c r="S120" s="255">
        <f t="shared" ca="1" si="3140"/>
        <v>0</v>
      </c>
      <c r="T120" s="255">
        <f t="shared" ca="1" si="3140"/>
        <v>0</v>
      </c>
      <c r="U120" s="255">
        <f t="shared" ca="1" si="3140"/>
        <v>0</v>
      </c>
      <c r="V120" s="255">
        <f t="shared" ca="1" si="3140"/>
        <v>0</v>
      </c>
      <c r="W120" s="255">
        <f t="shared" ca="1" si="3140"/>
        <v>0</v>
      </c>
      <c r="X120" s="255">
        <f t="shared" ca="1" si="3140"/>
        <v>0</v>
      </c>
      <c r="Y120" s="255">
        <f t="shared" ca="1" si="3140"/>
        <v>0</v>
      </c>
      <c r="Z120" s="255">
        <f t="shared" ca="1" si="3140"/>
        <v>0</v>
      </c>
      <c r="AA120" s="255">
        <f t="shared" ca="1" si="3140"/>
        <v>0</v>
      </c>
      <c r="AB120" s="255">
        <f t="shared" ca="1" si="3140"/>
        <v>0</v>
      </c>
      <c r="AC120" s="434">
        <f ca="1">SUM(Q120:AB120)</f>
        <v>0</v>
      </c>
      <c r="AD120" s="255">
        <f t="shared" ref="AD120:AO120" ca="1" si="3141">AD118*AD119</f>
        <v>0</v>
      </c>
      <c r="AE120" s="255">
        <f t="shared" ca="1" si="3141"/>
        <v>0</v>
      </c>
      <c r="AF120" s="255">
        <f t="shared" ca="1" si="3141"/>
        <v>0</v>
      </c>
      <c r="AG120" s="255">
        <f t="shared" ca="1" si="3141"/>
        <v>0</v>
      </c>
      <c r="AH120" s="255">
        <f t="shared" ca="1" si="3141"/>
        <v>0</v>
      </c>
      <c r="AI120" s="255">
        <f t="shared" ca="1" si="3141"/>
        <v>0</v>
      </c>
      <c r="AJ120" s="255">
        <f t="shared" ca="1" si="3141"/>
        <v>0</v>
      </c>
      <c r="AK120" s="255">
        <f t="shared" ca="1" si="3141"/>
        <v>0</v>
      </c>
      <c r="AL120" s="255">
        <f t="shared" ca="1" si="3141"/>
        <v>0</v>
      </c>
      <c r="AM120" s="255">
        <f t="shared" ca="1" si="3141"/>
        <v>0</v>
      </c>
      <c r="AN120" s="255">
        <f t="shared" ca="1" si="3141"/>
        <v>0</v>
      </c>
      <c r="AO120" s="255">
        <f t="shared" ca="1" si="3141"/>
        <v>0</v>
      </c>
      <c r="AP120" s="434">
        <f ca="1">SUM(AD120:AO120)</f>
        <v>0</v>
      </c>
      <c r="AQ120" s="255">
        <f t="shared" ref="AQ120:BB120" ca="1" si="3142">AQ118*AQ119</f>
        <v>0</v>
      </c>
      <c r="AR120" s="255">
        <f t="shared" ca="1" si="3142"/>
        <v>0</v>
      </c>
      <c r="AS120" s="255">
        <f t="shared" ca="1" si="3142"/>
        <v>0</v>
      </c>
      <c r="AT120" s="255">
        <f t="shared" ca="1" si="3142"/>
        <v>0</v>
      </c>
      <c r="AU120" s="255">
        <f t="shared" ca="1" si="3142"/>
        <v>0</v>
      </c>
      <c r="AV120" s="255">
        <f t="shared" ca="1" si="3142"/>
        <v>0</v>
      </c>
      <c r="AW120" s="255">
        <f t="shared" ca="1" si="3142"/>
        <v>0</v>
      </c>
      <c r="AX120" s="255">
        <f t="shared" ca="1" si="3142"/>
        <v>0</v>
      </c>
      <c r="AY120" s="255">
        <f t="shared" ca="1" si="3142"/>
        <v>0</v>
      </c>
      <c r="AZ120" s="255">
        <f t="shared" ca="1" si="3142"/>
        <v>0</v>
      </c>
      <c r="BA120" s="255">
        <f t="shared" ca="1" si="3142"/>
        <v>0</v>
      </c>
      <c r="BB120" s="255">
        <f t="shared" ca="1" si="3142"/>
        <v>0</v>
      </c>
      <c r="BC120" s="434">
        <f ca="1">SUM(AQ120:BB120)</f>
        <v>0</v>
      </c>
      <c r="BD120" s="255">
        <f t="shared" ref="BD120:BO120" ca="1" si="3143">BD118*BD119</f>
        <v>0</v>
      </c>
      <c r="BE120" s="255">
        <f t="shared" ca="1" si="3143"/>
        <v>0</v>
      </c>
      <c r="BF120" s="255">
        <f t="shared" ca="1" si="3143"/>
        <v>0</v>
      </c>
      <c r="BG120" s="255">
        <f t="shared" ca="1" si="3143"/>
        <v>0</v>
      </c>
      <c r="BH120" s="255">
        <f t="shared" ca="1" si="3143"/>
        <v>0</v>
      </c>
      <c r="BI120" s="255">
        <f t="shared" ca="1" si="3143"/>
        <v>0</v>
      </c>
      <c r="BJ120" s="255">
        <f t="shared" ca="1" si="3143"/>
        <v>0</v>
      </c>
      <c r="BK120" s="255">
        <f t="shared" ca="1" si="3143"/>
        <v>0</v>
      </c>
      <c r="BL120" s="255">
        <f t="shared" ca="1" si="3143"/>
        <v>0</v>
      </c>
      <c r="BM120" s="255">
        <f t="shared" ca="1" si="3143"/>
        <v>0</v>
      </c>
      <c r="BN120" s="255">
        <f t="shared" ca="1" si="3143"/>
        <v>0</v>
      </c>
      <c r="BO120" s="255">
        <f t="shared" ca="1" si="3143"/>
        <v>0</v>
      </c>
      <c r="BP120" s="434">
        <f ca="1">SUM(BD120:BO120)</f>
        <v>0</v>
      </c>
      <c r="BQ120" s="255">
        <f t="shared" ref="BQ120:CB120" ca="1" si="3144">BQ118*BQ119</f>
        <v>0</v>
      </c>
      <c r="BR120" s="255">
        <f t="shared" ca="1" si="3144"/>
        <v>0</v>
      </c>
      <c r="BS120" s="255">
        <f t="shared" ca="1" si="3144"/>
        <v>0</v>
      </c>
      <c r="BT120" s="255">
        <f t="shared" ca="1" si="3144"/>
        <v>0</v>
      </c>
      <c r="BU120" s="255">
        <f t="shared" ca="1" si="3144"/>
        <v>0</v>
      </c>
      <c r="BV120" s="255">
        <f t="shared" ca="1" si="3144"/>
        <v>0</v>
      </c>
      <c r="BW120" s="255">
        <f t="shared" ca="1" si="3144"/>
        <v>0</v>
      </c>
      <c r="BX120" s="255">
        <f t="shared" ca="1" si="3144"/>
        <v>0</v>
      </c>
      <c r="BY120" s="255">
        <f t="shared" ca="1" si="3144"/>
        <v>0</v>
      </c>
      <c r="BZ120" s="255">
        <f t="shared" ca="1" si="3144"/>
        <v>0</v>
      </c>
      <c r="CA120" s="255">
        <f t="shared" ca="1" si="3144"/>
        <v>0</v>
      </c>
      <c r="CB120" s="255">
        <f t="shared" ca="1" si="3144"/>
        <v>0</v>
      </c>
      <c r="CC120" s="434">
        <f ca="1">SUM(BQ120:CB120)</f>
        <v>0</v>
      </c>
      <c r="CD120" s="255">
        <f t="shared" ref="CD120:CO120" ca="1" si="3145">CD118*CD119</f>
        <v>0</v>
      </c>
      <c r="CE120" s="255">
        <f t="shared" ca="1" si="3145"/>
        <v>0</v>
      </c>
      <c r="CF120" s="255">
        <f t="shared" ca="1" si="3145"/>
        <v>0</v>
      </c>
      <c r="CG120" s="255">
        <f t="shared" ca="1" si="3145"/>
        <v>0</v>
      </c>
      <c r="CH120" s="255">
        <f t="shared" ca="1" si="3145"/>
        <v>0</v>
      </c>
      <c r="CI120" s="255">
        <f t="shared" ca="1" si="3145"/>
        <v>0</v>
      </c>
      <c r="CJ120" s="255">
        <f t="shared" ca="1" si="3145"/>
        <v>0</v>
      </c>
      <c r="CK120" s="255">
        <f t="shared" ca="1" si="3145"/>
        <v>0</v>
      </c>
      <c r="CL120" s="255">
        <f t="shared" ca="1" si="3145"/>
        <v>0</v>
      </c>
      <c r="CM120" s="255">
        <f t="shared" ca="1" si="3145"/>
        <v>0</v>
      </c>
      <c r="CN120" s="255">
        <f t="shared" ca="1" si="3145"/>
        <v>0</v>
      </c>
      <c r="CO120" s="255">
        <f t="shared" ca="1" si="3145"/>
        <v>0</v>
      </c>
      <c r="CP120" s="434">
        <f ca="1">SUM(CD120:CO120)</f>
        <v>0</v>
      </c>
    </row>
    <row r="121" spans="1:94" ht="20.100000000000001" hidden="1" customHeight="1">
      <c r="A121" s="792">
        <f ca="1">OFFSET('Summary. Assumptions. Inputs'!$A$45,'Internmediate sheet'!A26/3,0)</f>
        <v>0</v>
      </c>
      <c r="B121" s="19" t="s">
        <v>613</v>
      </c>
      <c r="C121" s="20">
        <f ca="1">OFFSET('Sales, Production, &amp; Other Assu'!C$54,'Internmediate sheet'!$A26/3,0)*Capacity</f>
        <v>0</v>
      </c>
      <c r="D121" s="19">
        <f ca="1">OFFSET('Sales, Production, &amp; Other Assu'!D$54,'Internmediate sheet'!$A26/3,0)*Capacity</f>
        <v>0</v>
      </c>
      <c r="E121" s="19">
        <f ca="1">OFFSET('Sales, Production, &amp; Other Assu'!E$54,'Internmediate sheet'!$A26/3,0)*Capacity</f>
        <v>0</v>
      </c>
      <c r="F121" s="19">
        <f ca="1">OFFSET('Sales, Production, &amp; Other Assu'!F$54,'Internmediate sheet'!$A26/3,0)*Capacity</f>
        <v>0</v>
      </c>
      <c r="G121" s="19">
        <f ca="1">OFFSET('Sales, Production, &amp; Other Assu'!G$54,'Internmediate sheet'!$A26/3,0)*Capacity</f>
        <v>0</v>
      </c>
      <c r="H121" s="19">
        <f ca="1">OFFSET('Sales, Production, &amp; Other Assu'!H$54,'Internmediate sheet'!$A26/3,0)*Capacity</f>
        <v>0</v>
      </c>
      <c r="I121" s="19">
        <f ca="1">OFFSET('Sales, Production, &amp; Other Assu'!I$54,'Internmediate sheet'!$A26/3,0)*Capacity</f>
        <v>0</v>
      </c>
      <c r="J121" s="19">
        <f ca="1">OFFSET('Sales, Production, &amp; Other Assu'!J$54,'Internmediate sheet'!$A26/3,0)*Capacity</f>
        <v>0</v>
      </c>
      <c r="K121" s="19">
        <f ca="1">OFFSET('Sales, Production, &amp; Other Assu'!K$54,'Internmediate sheet'!$A26/3,0)*Capacity</f>
        <v>0</v>
      </c>
      <c r="L121" s="19">
        <f ca="1">OFFSET('Sales, Production, &amp; Other Assu'!L$54,'Internmediate sheet'!$A26/3,0)*Capacity</f>
        <v>0</v>
      </c>
      <c r="M121" s="19">
        <f ca="1">OFFSET('Sales, Production, &amp; Other Assu'!M$54,'Internmediate sheet'!$A26/3,0)*Capacity</f>
        <v>0</v>
      </c>
      <c r="N121" s="19">
        <f ca="1">OFFSET('Sales, Production, &amp; Other Assu'!N$54,'Internmediate sheet'!$A26/3,0)*Capacity</f>
        <v>0</v>
      </c>
      <c r="O121" s="19">
        <f ca="1">OFFSET('Sales, Production, &amp; Other Assu'!O$54,'Internmediate sheet'!$A26/3,0)*Capacity</f>
        <v>0</v>
      </c>
      <c r="P121" s="434">
        <f ca="1">SUM(D121:O121)</f>
        <v>0</v>
      </c>
      <c r="Q121" s="19">
        <f ca="1">OFFSET('Sales, Production, &amp; Other Assu'!Q$54,'Internmediate sheet'!$A26/3,0)*Capacity</f>
        <v>0</v>
      </c>
      <c r="R121" s="19">
        <f ca="1">OFFSET('Sales, Production, &amp; Other Assu'!R$54,'Internmediate sheet'!$A26/3,0)*Capacity</f>
        <v>0</v>
      </c>
      <c r="S121" s="19">
        <f ca="1">OFFSET('Sales, Production, &amp; Other Assu'!S$54,'Internmediate sheet'!$A26/3,0)*Capacity</f>
        <v>0</v>
      </c>
      <c r="T121" s="19">
        <f ca="1">OFFSET('Sales, Production, &amp; Other Assu'!T$54,'Internmediate sheet'!$A26/3,0)*Capacity</f>
        <v>0</v>
      </c>
      <c r="U121" s="19">
        <f ca="1">OFFSET('Sales, Production, &amp; Other Assu'!U$54,'Internmediate sheet'!$A26/3,0)*Capacity</f>
        <v>0</v>
      </c>
      <c r="V121" s="19">
        <f ca="1">OFFSET('Sales, Production, &amp; Other Assu'!V$54,'Internmediate sheet'!$A26/3,0)*Capacity</f>
        <v>0</v>
      </c>
      <c r="W121" s="19">
        <f ca="1">OFFSET('Sales, Production, &amp; Other Assu'!W$54,'Internmediate sheet'!$A26/3,0)*Capacity</f>
        <v>0</v>
      </c>
      <c r="X121" s="19">
        <f ca="1">OFFSET('Sales, Production, &amp; Other Assu'!X$54,'Internmediate sheet'!$A26/3,0)*Capacity</f>
        <v>0</v>
      </c>
      <c r="Y121" s="19">
        <f ca="1">OFFSET('Sales, Production, &amp; Other Assu'!Y$54,'Internmediate sheet'!$A26/3,0)*Capacity</f>
        <v>0</v>
      </c>
      <c r="Z121" s="19">
        <f ca="1">OFFSET('Sales, Production, &amp; Other Assu'!Z$54,'Internmediate sheet'!$A26/3,0)*Capacity</f>
        <v>0</v>
      </c>
      <c r="AA121" s="19">
        <f ca="1">OFFSET('Sales, Production, &amp; Other Assu'!AA$54,'Internmediate sheet'!$A26/3,0)*Capacity</f>
        <v>0</v>
      </c>
      <c r="AB121" s="19">
        <f ca="1">OFFSET('Sales, Production, &amp; Other Assu'!AB$54,'Internmediate sheet'!$A26/3,0)*Capacity</f>
        <v>0</v>
      </c>
      <c r="AC121" s="434">
        <f ca="1">SUM(Q121:AB121)</f>
        <v>0</v>
      </c>
      <c r="AD121" s="19">
        <f ca="1">OFFSET('Sales, Production, &amp; Other Assu'!AD$54,'Internmediate sheet'!$A26/3,0)*Capacity</f>
        <v>0</v>
      </c>
      <c r="AE121" s="19">
        <f ca="1">OFFSET('Sales, Production, &amp; Other Assu'!AE$54,'Internmediate sheet'!$A26/3,0)*Capacity</f>
        <v>0</v>
      </c>
      <c r="AF121" s="19">
        <f ca="1">OFFSET('Sales, Production, &amp; Other Assu'!AF$54,'Internmediate sheet'!$A26/3,0)*Capacity</f>
        <v>0</v>
      </c>
      <c r="AG121" s="19">
        <f ca="1">OFFSET('Sales, Production, &amp; Other Assu'!AG$54,'Internmediate sheet'!$A26/3,0)*Capacity</f>
        <v>0</v>
      </c>
      <c r="AH121" s="19">
        <f ca="1">OFFSET('Sales, Production, &amp; Other Assu'!AH$54,'Internmediate sheet'!$A26/3,0)*Capacity</f>
        <v>0</v>
      </c>
      <c r="AI121" s="19">
        <f ca="1">OFFSET('Sales, Production, &amp; Other Assu'!AI$54,'Internmediate sheet'!$A26/3,0)*Capacity</f>
        <v>0</v>
      </c>
      <c r="AJ121" s="19">
        <f ca="1">OFFSET('Sales, Production, &amp; Other Assu'!AJ$54,'Internmediate sheet'!$A26/3,0)*Capacity</f>
        <v>0</v>
      </c>
      <c r="AK121" s="19">
        <f ca="1">OFFSET('Sales, Production, &amp; Other Assu'!AK$54,'Internmediate sheet'!$A26/3,0)*Capacity</f>
        <v>0</v>
      </c>
      <c r="AL121" s="19">
        <f ca="1">OFFSET('Sales, Production, &amp; Other Assu'!AL$54,'Internmediate sheet'!$A26/3,0)*Capacity</f>
        <v>0</v>
      </c>
      <c r="AM121" s="19">
        <f ca="1">OFFSET('Sales, Production, &amp; Other Assu'!AM$54,'Internmediate sheet'!$A26/3,0)*Capacity</f>
        <v>0</v>
      </c>
      <c r="AN121" s="19">
        <f ca="1">OFFSET('Sales, Production, &amp; Other Assu'!AN$54,'Internmediate sheet'!$A26/3,0)*Capacity</f>
        <v>0</v>
      </c>
      <c r="AO121" s="19">
        <f ca="1">OFFSET('Sales, Production, &amp; Other Assu'!AO$54,'Internmediate sheet'!$A26/3,0)*Capacity</f>
        <v>0</v>
      </c>
      <c r="AP121" s="434">
        <f ca="1">SUM(AD121:AO121)</f>
        <v>0</v>
      </c>
      <c r="AQ121" s="19">
        <f ca="1">OFFSET('Sales, Production, &amp; Other Assu'!AQ$54,'Internmediate sheet'!$A26/3,0)*Capacity</f>
        <v>0</v>
      </c>
      <c r="AR121" s="19">
        <f ca="1">OFFSET('Sales, Production, &amp; Other Assu'!AR$54,'Internmediate sheet'!$A26/3,0)*Capacity</f>
        <v>0</v>
      </c>
      <c r="AS121" s="19">
        <f ca="1">OFFSET('Sales, Production, &amp; Other Assu'!AS$54,'Internmediate sheet'!$A26/3,0)*Capacity</f>
        <v>0</v>
      </c>
      <c r="AT121" s="19">
        <f ca="1">OFFSET('Sales, Production, &amp; Other Assu'!AT$54,'Internmediate sheet'!$A26/3,0)*Capacity</f>
        <v>0</v>
      </c>
      <c r="AU121" s="19">
        <f ca="1">OFFSET('Sales, Production, &amp; Other Assu'!AU$54,'Internmediate sheet'!$A26/3,0)*Capacity</f>
        <v>0</v>
      </c>
      <c r="AV121" s="19">
        <f ca="1">OFFSET('Sales, Production, &amp; Other Assu'!AV$54,'Internmediate sheet'!$A26/3,0)*Capacity</f>
        <v>0</v>
      </c>
      <c r="AW121" s="19">
        <f ca="1">OFFSET('Sales, Production, &amp; Other Assu'!AW$54,'Internmediate sheet'!$A26/3,0)*Capacity</f>
        <v>0</v>
      </c>
      <c r="AX121" s="19">
        <f ca="1">OFFSET('Sales, Production, &amp; Other Assu'!AX$54,'Internmediate sheet'!$A26/3,0)*Capacity</f>
        <v>0</v>
      </c>
      <c r="AY121" s="19">
        <f ca="1">OFFSET('Sales, Production, &amp; Other Assu'!AY$54,'Internmediate sheet'!$A26/3,0)*Capacity</f>
        <v>0</v>
      </c>
      <c r="AZ121" s="19">
        <f ca="1">OFFSET('Sales, Production, &amp; Other Assu'!AZ$54,'Internmediate sheet'!$A26/3,0)*Capacity</f>
        <v>0</v>
      </c>
      <c r="BA121" s="19">
        <f ca="1">OFFSET('Sales, Production, &amp; Other Assu'!BA$54,'Internmediate sheet'!$A26/3,0)*Capacity</f>
        <v>0</v>
      </c>
      <c r="BB121" s="19">
        <f ca="1">OFFSET('Sales, Production, &amp; Other Assu'!BB$54,'Internmediate sheet'!$A26/3,0)*Capacity</f>
        <v>0</v>
      </c>
      <c r="BC121" s="434">
        <f ca="1">SUM(AQ121:BB121)</f>
        <v>0</v>
      </c>
      <c r="BD121" s="19">
        <f ca="1">OFFSET('Sales, Production, &amp; Other Assu'!BD$54,'Internmediate sheet'!$A26/3,0)*Capacity</f>
        <v>0</v>
      </c>
      <c r="BE121" s="19">
        <f ca="1">OFFSET('Sales, Production, &amp; Other Assu'!BE$54,'Internmediate sheet'!$A26/3,0)*Capacity</f>
        <v>0</v>
      </c>
      <c r="BF121" s="19">
        <f ca="1">OFFSET('Sales, Production, &amp; Other Assu'!BF$54,'Internmediate sheet'!$A26/3,0)*Capacity</f>
        <v>0</v>
      </c>
      <c r="BG121" s="19">
        <f ca="1">OFFSET('Sales, Production, &amp; Other Assu'!BG$54,'Internmediate sheet'!$A26/3,0)*Capacity</f>
        <v>0</v>
      </c>
      <c r="BH121" s="19">
        <f ca="1">OFFSET('Sales, Production, &amp; Other Assu'!BH$54,'Internmediate sheet'!$A26/3,0)*Capacity</f>
        <v>0</v>
      </c>
      <c r="BI121" s="19">
        <f ca="1">OFFSET('Sales, Production, &amp; Other Assu'!BI$54,'Internmediate sheet'!$A26/3,0)*Capacity</f>
        <v>0</v>
      </c>
      <c r="BJ121" s="19">
        <f ca="1">OFFSET('Sales, Production, &amp; Other Assu'!BJ$54,'Internmediate sheet'!$A26/3,0)*Capacity</f>
        <v>0</v>
      </c>
      <c r="BK121" s="19">
        <f ca="1">OFFSET('Sales, Production, &amp; Other Assu'!BK$54,'Internmediate sheet'!$A26/3,0)*Capacity</f>
        <v>0</v>
      </c>
      <c r="BL121" s="19">
        <f ca="1">OFFSET('Sales, Production, &amp; Other Assu'!BL$54,'Internmediate sheet'!$A26/3,0)*Capacity</f>
        <v>0</v>
      </c>
      <c r="BM121" s="19">
        <f ca="1">OFFSET('Sales, Production, &amp; Other Assu'!BM$54,'Internmediate sheet'!$A26/3,0)*Capacity</f>
        <v>0</v>
      </c>
      <c r="BN121" s="19">
        <f ca="1">OFFSET('Sales, Production, &amp; Other Assu'!BN$54,'Internmediate sheet'!$A26/3,0)*Capacity</f>
        <v>0</v>
      </c>
      <c r="BO121" s="19">
        <f ca="1">OFFSET('Sales, Production, &amp; Other Assu'!BO$54,'Internmediate sheet'!$A26/3,0)*Capacity</f>
        <v>0</v>
      </c>
      <c r="BP121" s="434">
        <f ca="1">SUM(BD121:BO121)</f>
        <v>0</v>
      </c>
      <c r="BQ121" s="19">
        <f ca="1">OFFSET('Sales, Production, &amp; Other Assu'!BQ$54,'Internmediate sheet'!$A26/3,0)*Capacity</f>
        <v>0</v>
      </c>
      <c r="BR121" s="19">
        <f ca="1">OFFSET('Sales, Production, &amp; Other Assu'!BR$54,'Internmediate sheet'!$A26/3,0)*Capacity</f>
        <v>0</v>
      </c>
      <c r="BS121" s="19">
        <f ca="1">OFFSET('Sales, Production, &amp; Other Assu'!BS$54,'Internmediate sheet'!$A26/3,0)*Capacity</f>
        <v>0</v>
      </c>
      <c r="BT121" s="19">
        <f ca="1">OFFSET('Sales, Production, &amp; Other Assu'!BT$54,'Internmediate sheet'!$A26/3,0)*Capacity</f>
        <v>0</v>
      </c>
      <c r="BU121" s="19">
        <f ca="1">OFFSET('Sales, Production, &amp; Other Assu'!BU$54,'Internmediate sheet'!$A26/3,0)*Capacity</f>
        <v>0</v>
      </c>
      <c r="BV121" s="19">
        <f ca="1">OFFSET('Sales, Production, &amp; Other Assu'!BV$54,'Internmediate sheet'!$A26/3,0)*Capacity</f>
        <v>0</v>
      </c>
      <c r="BW121" s="19">
        <f ca="1">OFFSET('Sales, Production, &amp; Other Assu'!BW$54,'Internmediate sheet'!$A26/3,0)*Capacity</f>
        <v>0</v>
      </c>
      <c r="BX121" s="19">
        <f ca="1">OFFSET('Sales, Production, &amp; Other Assu'!BX$54,'Internmediate sheet'!$A26/3,0)*Capacity</f>
        <v>0</v>
      </c>
      <c r="BY121" s="19">
        <f ca="1">OFFSET('Sales, Production, &amp; Other Assu'!BY$54,'Internmediate sheet'!$A26/3,0)*Capacity</f>
        <v>0</v>
      </c>
      <c r="BZ121" s="19">
        <f ca="1">OFFSET('Sales, Production, &amp; Other Assu'!BZ$54,'Internmediate sheet'!$A26/3,0)*Capacity</f>
        <v>0</v>
      </c>
      <c r="CA121" s="19">
        <f ca="1">OFFSET('Sales, Production, &amp; Other Assu'!CA$54,'Internmediate sheet'!$A26/3,0)*Capacity</f>
        <v>0</v>
      </c>
      <c r="CB121" s="19">
        <f ca="1">OFFSET('Sales, Production, &amp; Other Assu'!CB$54,'Internmediate sheet'!$A26/3,0)*Capacity</f>
        <v>0</v>
      </c>
      <c r="CC121" s="434">
        <f ca="1">SUM(BQ121:CB121)</f>
        <v>0</v>
      </c>
      <c r="CD121" s="19">
        <f ca="1">OFFSET('Sales, Production, &amp; Other Assu'!CD$54,'Internmediate sheet'!$A26/3,0)*Capacity</f>
        <v>0</v>
      </c>
      <c r="CE121" s="19">
        <f ca="1">OFFSET('Sales, Production, &amp; Other Assu'!CE$54,'Internmediate sheet'!$A26/3,0)*Capacity</f>
        <v>0</v>
      </c>
      <c r="CF121" s="19">
        <f ca="1">OFFSET('Sales, Production, &amp; Other Assu'!CF$54,'Internmediate sheet'!$A26/3,0)*Capacity</f>
        <v>0</v>
      </c>
      <c r="CG121" s="19">
        <f ca="1">OFFSET('Sales, Production, &amp; Other Assu'!CG$54,'Internmediate sheet'!$A26/3,0)*Capacity</f>
        <v>0</v>
      </c>
      <c r="CH121" s="19">
        <f ca="1">OFFSET('Sales, Production, &amp; Other Assu'!CH$54,'Internmediate sheet'!$A26/3,0)*Capacity</f>
        <v>0</v>
      </c>
      <c r="CI121" s="19">
        <f ca="1">OFFSET('Sales, Production, &amp; Other Assu'!CI$54,'Internmediate sheet'!$A26/3,0)*Capacity</f>
        <v>0</v>
      </c>
      <c r="CJ121" s="19">
        <f ca="1">OFFSET('Sales, Production, &amp; Other Assu'!CJ$54,'Internmediate sheet'!$A26/3,0)*Capacity</f>
        <v>0</v>
      </c>
      <c r="CK121" s="19">
        <f ca="1">OFFSET('Sales, Production, &amp; Other Assu'!CK$54,'Internmediate sheet'!$A26/3,0)*Capacity</f>
        <v>0</v>
      </c>
      <c r="CL121" s="19">
        <f ca="1">OFFSET('Sales, Production, &amp; Other Assu'!CL$54,'Internmediate sheet'!$A26/3,0)*Capacity</f>
        <v>0</v>
      </c>
      <c r="CM121" s="19">
        <f ca="1">OFFSET('Sales, Production, &amp; Other Assu'!CM$54,'Internmediate sheet'!$A26/3,0)*Capacity</f>
        <v>0</v>
      </c>
      <c r="CN121" s="19">
        <f ca="1">OFFSET('Sales, Production, &amp; Other Assu'!CN$54,'Internmediate sheet'!$A26/3,0)*Capacity</f>
        <v>0</v>
      </c>
      <c r="CO121" s="19">
        <f ca="1">OFFSET('Sales, Production, &amp; Other Assu'!CO$54,'Internmediate sheet'!$A26/3,0)*Capacity</f>
        <v>0</v>
      </c>
      <c r="CP121" s="434">
        <f ca="1">SUM(CD121:CO121)</f>
        <v>0</v>
      </c>
    </row>
    <row r="122" spans="1:94" ht="20.100000000000001" hidden="1" customHeight="1">
      <c r="A122" s="793"/>
      <c r="B122" s="9" t="s">
        <v>614</v>
      </c>
      <c r="C122" s="10">
        <f ca="1">OFFSET('BEP. &amp; Summary Results'!$C$6,'Internmediate sheet'!A23/3,0)</f>
        <v>0</v>
      </c>
      <c r="D122" s="9">
        <f t="shared" ref="D122" ca="1" si="3146">C122</f>
        <v>0</v>
      </c>
      <c r="E122" s="9">
        <f t="shared" ref="E122" ca="1" si="3147">D122</f>
        <v>0</v>
      </c>
      <c r="F122" s="9">
        <f t="shared" ref="F122" ca="1" si="3148">E122</f>
        <v>0</v>
      </c>
      <c r="G122" s="9">
        <f t="shared" ref="G122" ca="1" si="3149">F122</f>
        <v>0</v>
      </c>
      <c r="H122" s="9">
        <f t="shared" ref="H122" ca="1" si="3150">G122</f>
        <v>0</v>
      </c>
      <c r="I122" s="9">
        <f t="shared" ref="I122" ca="1" si="3151">H122</f>
        <v>0</v>
      </c>
      <c r="J122" s="9">
        <f t="shared" ref="J122" ca="1" si="3152">I122</f>
        <v>0</v>
      </c>
      <c r="K122" s="9">
        <f t="shared" ref="K122" ca="1" si="3153">J122</f>
        <v>0</v>
      </c>
      <c r="L122" s="9">
        <f t="shared" ref="L122" ca="1" si="3154">K122</f>
        <v>0</v>
      </c>
      <c r="M122" s="9">
        <f t="shared" ref="M122" ca="1" si="3155">L122</f>
        <v>0</v>
      </c>
      <c r="N122" s="9">
        <f t="shared" ref="N122" ca="1" si="3156">M122</f>
        <v>0</v>
      </c>
      <c r="O122" s="9">
        <f t="shared" ref="O122" ca="1" si="3157">N122</f>
        <v>0</v>
      </c>
      <c r="P122" s="435">
        <f t="shared" ref="P122" ca="1" si="3158">O122</f>
        <v>0</v>
      </c>
      <c r="Q122" s="9">
        <f t="shared" ref="Q122" ca="1" si="3159">P122</f>
        <v>0</v>
      </c>
      <c r="R122" s="9">
        <f t="shared" ref="R122" ca="1" si="3160">Q122</f>
        <v>0</v>
      </c>
      <c r="S122" s="9">
        <f t="shared" ref="S122" ca="1" si="3161">R122</f>
        <v>0</v>
      </c>
      <c r="T122" s="9">
        <f t="shared" ref="T122" ca="1" si="3162">S122</f>
        <v>0</v>
      </c>
      <c r="U122" s="9">
        <f t="shared" ref="U122" ca="1" si="3163">T122</f>
        <v>0</v>
      </c>
      <c r="V122" s="9">
        <f t="shared" ref="V122" ca="1" si="3164">U122</f>
        <v>0</v>
      </c>
      <c r="W122" s="9">
        <f t="shared" ref="W122" ca="1" si="3165">V122</f>
        <v>0</v>
      </c>
      <c r="X122" s="9">
        <f t="shared" ref="X122" ca="1" si="3166">W122</f>
        <v>0</v>
      </c>
      <c r="Y122" s="9">
        <f t="shared" ref="Y122" ca="1" si="3167">X122</f>
        <v>0</v>
      </c>
      <c r="Z122" s="9">
        <f t="shared" ref="Z122" ca="1" si="3168">Y122</f>
        <v>0</v>
      </c>
      <c r="AA122" s="9">
        <f t="shared" ref="AA122" ca="1" si="3169">Z122</f>
        <v>0</v>
      </c>
      <c r="AB122" s="9">
        <f t="shared" ref="AB122" ca="1" si="3170">AA122</f>
        <v>0</v>
      </c>
      <c r="AC122" s="435">
        <f t="shared" ref="AC122" ca="1" si="3171">AB122</f>
        <v>0</v>
      </c>
      <c r="AD122" s="9">
        <f t="shared" ref="AD122" ca="1" si="3172">AC122</f>
        <v>0</v>
      </c>
      <c r="AE122" s="9">
        <f t="shared" ref="AE122" ca="1" si="3173">AD122</f>
        <v>0</v>
      </c>
      <c r="AF122" s="9">
        <f t="shared" ref="AF122" ca="1" si="3174">AE122</f>
        <v>0</v>
      </c>
      <c r="AG122" s="9">
        <f t="shared" ref="AG122" ca="1" si="3175">AF122</f>
        <v>0</v>
      </c>
      <c r="AH122" s="9">
        <f t="shared" ref="AH122" ca="1" si="3176">AG122</f>
        <v>0</v>
      </c>
      <c r="AI122" s="9">
        <f t="shared" ref="AI122" ca="1" si="3177">AH122</f>
        <v>0</v>
      </c>
      <c r="AJ122" s="9">
        <f t="shared" ref="AJ122" ca="1" si="3178">AI122</f>
        <v>0</v>
      </c>
      <c r="AK122" s="9">
        <f t="shared" ref="AK122" ca="1" si="3179">AJ122</f>
        <v>0</v>
      </c>
      <c r="AL122" s="9">
        <f t="shared" ref="AL122" ca="1" si="3180">AK122</f>
        <v>0</v>
      </c>
      <c r="AM122" s="9">
        <f t="shared" ref="AM122" ca="1" si="3181">AL122</f>
        <v>0</v>
      </c>
      <c r="AN122" s="9">
        <f t="shared" ref="AN122" ca="1" si="3182">AM122</f>
        <v>0</v>
      </c>
      <c r="AO122" s="9">
        <f t="shared" ref="AO122" ca="1" si="3183">AN122</f>
        <v>0</v>
      </c>
      <c r="AP122" s="435">
        <f t="shared" ref="AP122" ca="1" si="3184">AO122</f>
        <v>0</v>
      </c>
      <c r="AQ122" s="9">
        <f ca="1">AP122</f>
        <v>0</v>
      </c>
      <c r="AR122" s="9">
        <f t="shared" ref="AR122" ca="1" si="3185">AQ122</f>
        <v>0</v>
      </c>
      <c r="AS122" s="9">
        <f t="shared" ref="AS122" ca="1" si="3186">AR122</f>
        <v>0</v>
      </c>
      <c r="AT122" s="9">
        <f t="shared" ref="AT122" ca="1" si="3187">AS122</f>
        <v>0</v>
      </c>
      <c r="AU122" s="9">
        <f t="shared" ref="AU122" ca="1" si="3188">AT122</f>
        <v>0</v>
      </c>
      <c r="AV122" s="9">
        <f t="shared" ref="AV122" ca="1" si="3189">AU122</f>
        <v>0</v>
      </c>
      <c r="AW122" s="9">
        <f t="shared" ref="AW122" ca="1" si="3190">AV122</f>
        <v>0</v>
      </c>
      <c r="AX122" s="9">
        <f t="shared" ref="AX122" ca="1" si="3191">AW122</f>
        <v>0</v>
      </c>
      <c r="AY122" s="9">
        <f t="shared" ref="AY122" ca="1" si="3192">AX122</f>
        <v>0</v>
      </c>
      <c r="AZ122" s="9">
        <f t="shared" ref="AZ122" ca="1" si="3193">AY122</f>
        <v>0</v>
      </c>
      <c r="BA122" s="9">
        <f t="shared" ref="BA122" ca="1" si="3194">AZ122</f>
        <v>0</v>
      </c>
      <c r="BB122" s="9">
        <f t="shared" ref="BB122" ca="1" si="3195">BA122</f>
        <v>0</v>
      </c>
      <c r="BC122" s="435">
        <f t="shared" ref="BC122" ca="1" si="3196">BB122</f>
        <v>0</v>
      </c>
      <c r="BD122" s="9">
        <f t="shared" ref="BD122" ca="1" si="3197">BC122</f>
        <v>0</v>
      </c>
      <c r="BE122" s="9">
        <f t="shared" ref="BE122" ca="1" si="3198">BD122</f>
        <v>0</v>
      </c>
      <c r="BF122" s="9">
        <f t="shared" ref="BF122" ca="1" si="3199">BE122</f>
        <v>0</v>
      </c>
      <c r="BG122" s="9">
        <f t="shared" ref="BG122" ca="1" si="3200">BF122</f>
        <v>0</v>
      </c>
      <c r="BH122" s="9">
        <f t="shared" ref="BH122" ca="1" si="3201">BG122</f>
        <v>0</v>
      </c>
      <c r="BI122" s="9">
        <f t="shared" ref="BI122" ca="1" si="3202">BH122</f>
        <v>0</v>
      </c>
      <c r="BJ122" s="9">
        <f t="shared" ref="BJ122" ca="1" si="3203">BI122</f>
        <v>0</v>
      </c>
      <c r="BK122" s="9">
        <f t="shared" ref="BK122" ca="1" si="3204">BJ122</f>
        <v>0</v>
      </c>
      <c r="BL122" s="9">
        <f t="shared" ref="BL122" ca="1" si="3205">BK122</f>
        <v>0</v>
      </c>
      <c r="BM122" s="9">
        <f t="shared" ref="BM122" ca="1" si="3206">BL122</f>
        <v>0</v>
      </c>
      <c r="BN122" s="9">
        <f t="shared" ref="BN122" ca="1" si="3207">BM122</f>
        <v>0</v>
      </c>
      <c r="BO122" s="9">
        <f t="shared" ref="BO122" ca="1" si="3208">BN122</f>
        <v>0</v>
      </c>
      <c r="BP122" s="435">
        <f t="shared" ref="BP122" ca="1" si="3209">BO122</f>
        <v>0</v>
      </c>
      <c r="BQ122" s="9">
        <f t="shared" ref="BQ122" ca="1" si="3210">BP122</f>
        <v>0</v>
      </c>
      <c r="BR122" s="9">
        <f t="shared" ref="BR122" ca="1" si="3211">BQ122</f>
        <v>0</v>
      </c>
      <c r="BS122" s="9">
        <f t="shared" ref="BS122" ca="1" si="3212">BR122</f>
        <v>0</v>
      </c>
      <c r="BT122" s="9">
        <f t="shared" ref="BT122" ca="1" si="3213">BS122</f>
        <v>0</v>
      </c>
      <c r="BU122" s="9">
        <f t="shared" ref="BU122" ca="1" si="3214">BT122</f>
        <v>0</v>
      </c>
      <c r="BV122" s="9">
        <f t="shared" ref="BV122" ca="1" si="3215">BU122</f>
        <v>0</v>
      </c>
      <c r="BW122" s="9">
        <f t="shared" ref="BW122" ca="1" si="3216">BV122</f>
        <v>0</v>
      </c>
      <c r="BX122" s="9">
        <f t="shared" ref="BX122" ca="1" si="3217">BW122</f>
        <v>0</v>
      </c>
      <c r="BY122" s="9">
        <f t="shared" ref="BY122" ca="1" si="3218">BX122</f>
        <v>0</v>
      </c>
      <c r="BZ122" s="9">
        <f t="shared" ref="BZ122" ca="1" si="3219">BY122</f>
        <v>0</v>
      </c>
      <c r="CA122" s="9">
        <f t="shared" ref="CA122" ca="1" si="3220">BZ122</f>
        <v>0</v>
      </c>
      <c r="CB122" s="9">
        <f t="shared" ref="CB122" ca="1" si="3221">CA122</f>
        <v>0</v>
      </c>
      <c r="CC122" s="435">
        <f t="shared" ref="CC122" ca="1" si="3222">CB122</f>
        <v>0</v>
      </c>
      <c r="CD122" s="9">
        <f t="shared" ref="CD122" ca="1" si="3223">CC122</f>
        <v>0</v>
      </c>
      <c r="CE122" s="9">
        <f t="shared" ref="CE122" ca="1" si="3224">CD122</f>
        <v>0</v>
      </c>
      <c r="CF122" s="9">
        <f t="shared" ref="CF122" ca="1" si="3225">CE122</f>
        <v>0</v>
      </c>
      <c r="CG122" s="9">
        <f t="shared" ref="CG122" ca="1" si="3226">CF122</f>
        <v>0</v>
      </c>
      <c r="CH122" s="9">
        <f t="shared" ref="CH122" ca="1" si="3227">CG122</f>
        <v>0</v>
      </c>
      <c r="CI122" s="9">
        <f t="shared" ref="CI122" ca="1" si="3228">CH122</f>
        <v>0</v>
      </c>
      <c r="CJ122" s="9">
        <f t="shared" ref="CJ122" ca="1" si="3229">CI122</f>
        <v>0</v>
      </c>
      <c r="CK122" s="9">
        <f t="shared" ref="CK122" ca="1" si="3230">CJ122</f>
        <v>0</v>
      </c>
      <c r="CL122" s="9">
        <f t="shared" ref="CL122" ca="1" si="3231">CK122</f>
        <v>0</v>
      </c>
      <c r="CM122" s="9">
        <f t="shared" ref="CM122" ca="1" si="3232">CL122</f>
        <v>0</v>
      </c>
      <c r="CN122" s="9">
        <f t="shared" ref="CN122" ca="1" si="3233">CM122</f>
        <v>0</v>
      </c>
      <c r="CO122" s="9">
        <f t="shared" ref="CO122" ca="1" si="3234">CN122</f>
        <v>0</v>
      </c>
      <c r="CP122" s="435">
        <f t="shared" ref="CP122" ca="1" si="3235">CO122</f>
        <v>0</v>
      </c>
    </row>
    <row r="123" spans="1:94" ht="20.100000000000001" hidden="1" customHeight="1">
      <c r="A123" s="794"/>
      <c r="B123" s="255" t="s">
        <v>615</v>
      </c>
      <c r="C123" s="256">
        <f t="shared" ref="C123:O123" ca="1" si="3236">C121*C122</f>
        <v>0</v>
      </c>
      <c r="D123" s="255">
        <f t="shared" ca="1" si="3236"/>
        <v>0</v>
      </c>
      <c r="E123" s="255">
        <f t="shared" ca="1" si="3236"/>
        <v>0</v>
      </c>
      <c r="F123" s="255">
        <f t="shared" ca="1" si="3236"/>
        <v>0</v>
      </c>
      <c r="G123" s="255">
        <f t="shared" ca="1" si="3236"/>
        <v>0</v>
      </c>
      <c r="H123" s="255">
        <f t="shared" ca="1" si="3236"/>
        <v>0</v>
      </c>
      <c r="I123" s="255">
        <f t="shared" ca="1" si="3236"/>
        <v>0</v>
      </c>
      <c r="J123" s="255">
        <f t="shared" ca="1" si="3236"/>
        <v>0</v>
      </c>
      <c r="K123" s="255">
        <f t="shared" ca="1" si="3236"/>
        <v>0</v>
      </c>
      <c r="L123" s="255">
        <f t="shared" ca="1" si="3236"/>
        <v>0</v>
      </c>
      <c r="M123" s="255">
        <f t="shared" ca="1" si="3236"/>
        <v>0</v>
      </c>
      <c r="N123" s="255">
        <f t="shared" ca="1" si="3236"/>
        <v>0</v>
      </c>
      <c r="O123" s="255">
        <f t="shared" ca="1" si="3236"/>
        <v>0</v>
      </c>
      <c r="P123" s="434">
        <f ca="1">SUM(D123:O123)</f>
        <v>0</v>
      </c>
      <c r="Q123" s="255">
        <f t="shared" ref="Q123:AB123" ca="1" si="3237">Q121*Q122</f>
        <v>0</v>
      </c>
      <c r="R123" s="255">
        <f t="shared" ca="1" si="3237"/>
        <v>0</v>
      </c>
      <c r="S123" s="255">
        <f t="shared" ca="1" si="3237"/>
        <v>0</v>
      </c>
      <c r="T123" s="255">
        <f t="shared" ca="1" si="3237"/>
        <v>0</v>
      </c>
      <c r="U123" s="255">
        <f t="shared" ca="1" si="3237"/>
        <v>0</v>
      </c>
      <c r="V123" s="255">
        <f t="shared" ca="1" si="3237"/>
        <v>0</v>
      </c>
      <c r="W123" s="255">
        <f t="shared" ca="1" si="3237"/>
        <v>0</v>
      </c>
      <c r="X123" s="255">
        <f t="shared" ca="1" si="3237"/>
        <v>0</v>
      </c>
      <c r="Y123" s="255">
        <f t="shared" ca="1" si="3237"/>
        <v>0</v>
      </c>
      <c r="Z123" s="255">
        <f t="shared" ca="1" si="3237"/>
        <v>0</v>
      </c>
      <c r="AA123" s="255">
        <f t="shared" ca="1" si="3237"/>
        <v>0</v>
      </c>
      <c r="AB123" s="255">
        <f t="shared" ca="1" si="3237"/>
        <v>0</v>
      </c>
      <c r="AC123" s="434">
        <f ca="1">SUM(Q123:AB123)</f>
        <v>0</v>
      </c>
      <c r="AD123" s="255">
        <f t="shared" ref="AD123:AO123" ca="1" si="3238">AD121*AD122</f>
        <v>0</v>
      </c>
      <c r="AE123" s="255">
        <f t="shared" ca="1" si="3238"/>
        <v>0</v>
      </c>
      <c r="AF123" s="255">
        <f t="shared" ca="1" si="3238"/>
        <v>0</v>
      </c>
      <c r="AG123" s="255">
        <f t="shared" ca="1" si="3238"/>
        <v>0</v>
      </c>
      <c r="AH123" s="255">
        <f t="shared" ca="1" si="3238"/>
        <v>0</v>
      </c>
      <c r="AI123" s="255">
        <f t="shared" ca="1" si="3238"/>
        <v>0</v>
      </c>
      <c r="AJ123" s="255">
        <f t="shared" ca="1" si="3238"/>
        <v>0</v>
      </c>
      <c r="AK123" s="255">
        <f t="shared" ca="1" si="3238"/>
        <v>0</v>
      </c>
      <c r="AL123" s="255">
        <f t="shared" ca="1" si="3238"/>
        <v>0</v>
      </c>
      <c r="AM123" s="255">
        <f t="shared" ca="1" si="3238"/>
        <v>0</v>
      </c>
      <c r="AN123" s="255">
        <f t="shared" ca="1" si="3238"/>
        <v>0</v>
      </c>
      <c r="AO123" s="255">
        <f t="shared" ca="1" si="3238"/>
        <v>0</v>
      </c>
      <c r="AP123" s="434">
        <f ca="1">SUM(AD123:AO123)</f>
        <v>0</v>
      </c>
      <c r="AQ123" s="255">
        <f t="shared" ref="AQ123:BB123" ca="1" si="3239">AQ121*AQ122</f>
        <v>0</v>
      </c>
      <c r="AR123" s="255">
        <f t="shared" ca="1" si="3239"/>
        <v>0</v>
      </c>
      <c r="AS123" s="255">
        <f t="shared" ca="1" si="3239"/>
        <v>0</v>
      </c>
      <c r="AT123" s="255">
        <f t="shared" ca="1" si="3239"/>
        <v>0</v>
      </c>
      <c r="AU123" s="255">
        <f t="shared" ca="1" si="3239"/>
        <v>0</v>
      </c>
      <c r="AV123" s="255">
        <f t="shared" ca="1" si="3239"/>
        <v>0</v>
      </c>
      <c r="AW123" s="255">
        <f t="shared" ca="1" si="3239"/>
        <v>0</v>
      </c>
      <c r="AX123" s="255">
        <f t="shared" ca="1" si="3239"/>
        <v>0</v>
      </c>
      <c r="AY123" s="255">
        <f t="shared" ca="1" si="3239"/>
        <v>0</v>
      </c>
      <c r="AZ123" s="255">
        <f t="shared" ca="1" si="3239"/>
        <v>0</v>
      </c>
      <c r="BA123" s="255">
        <f t="shared" ca="1" si="3239"/>
        <v>0</v>
      </c>
      <c r="BB123" s="255">
        <f t="shared" ca="1" si="3239"/>
        <v>0</v>
      </c>
      <c r="BC123" s="434">
        <f ca="1">SUM(AQ123:BB123)</f>
        <v>0</v>
      </c>
      <c r="BD123" s="255">
        <f t="shared" ref="BD123:BO123" ca="1" si="3240">BD121*BD122</f>
        <v>0</v>
      </c>
      <c r="BE123" s="255">
        <f t="shared" ca="1" si="3240"/>
        <v>0</v>
      </c>
      <c r="BF123" s="255">
        <f t="shared" ca="1" si="3240"/>
        <v>0</v>
      </c>
      <c r="BG123" s="255">
        <f t="shared" ca="1" si="3240"/>
        <v>0</v>
      </c>
      <c r="BH123" s="255">
        <f t="shared" ca="1" si="3240"/>
        <v>0</v>
      </c>
      <c r="BI123" s="255">
        <f t="shared" ca="1" si="3240"/>
        <v>0</v>
      </c>
      <c r="BJ123" s="255">
        <f t="shared" ca="1" si="3240"/>
        <v>0</v>
      </c>
      <c r="BK123" s="255">
        <f t="shared" ca="1" si="3240"/>
        <v>0</v>
      </c>
      <c r="BL123" s="255">
        <f t="shared" ca="1" si="3240"/>
        <v>0</v>
      </c>
      <c r="BM123" s="255">
        <f t="shared" ca="1" si="3240"/>
        <v>0</v>
      </c>
      <c r="BN123" s="255">
        <f t="shared" ca="1" si="3240"/>
        <v>0</v>
      </c>
      <c r="BO123" s="255">
        <f t="shared" ca="1" si="3240"/>
        <v>0</v>
      </c>
      <c r="BP123" s="434">
        <f ca="1">SUM(BD123:BO123)</f>
        <v>0</v>
      </c>
      <c r="BQ123" s="255">
        <f t="shared" ref="BQ123:CB123" ca="1" si="3241">BQ121*BQ122</f>
        <v>0</v>
      </c>
      <c r="BR123" s="255">
        <f t="shared" ca="1" si="3241"/>
        <v>0</v>
      </c>
      <c r="BS123" s="255">
        <f t="shared" ca="1" si="3241"/>
        <v>0</v>
      </c>
      <c r="BT123" s="255">
        <f t="shared" ca="1" si="3241"/>
        <v>0</v>
      </c>
      <c r="BU123" s="255">
        <f t="shared" ca="1" si="3241"/>
        <v>0</v>
      </c>
      <c r="BV123" s="255">
        <f t="shared" ca="1" si="3241"/>
        <v>0</v>
      </c>
      <c r="BW123" s="255">
        <f t="shared" ca="1" si="3241"/>
        <v>0</v>
      </c>
      <c r="BX123" s="255">
        <f t="shared" ca="1" si="3241"/>
        <v>0</v>
      </c>
      <c r="BY123" s="255">
        <f t="shared" ca="1" si="3241"/>
        <v>0</v>
      </c>
      <c r="BZ123" s="255">
        <f t="shared" ca="1" si="3241"/>
        <v>0</v>
      </c>
      <c r="CA123" s="255">
        <f t="shared" ca="1" si="3241"/>
        <v>0</v>
      </c>
      <c r="CB123" s="255">
        <f t="shared" ca="1" si="3241"/>
        <v>0</v>
      </c>
      <c r="CC123" s="434">
        <f ca="1">SUM(BQ123:CB123)</f>
        <v>0</v>
      </c>
      <c r="CD123" s="255">
        <f t="shared" ref="CD123:CO123" ca="1" si="3242">CD121*CD122</f>
        <v>0</v>
      </c>
      <c r="CE123" s="255">
        <f t="shared" ca="1" si="3242"/>
        <v>0</v>
      </c>
      <c r="CF123" s="255">
        <f t="shared" ca="1" si="3242"/>
        <v>0</v>
      </c>
      <c r="CG123" s="255">
        <f t="shared" ca="1" si="3242"/>
        <v>0</v>
      </c>
      <c r="CH123" s="255">
        <f t="shared" ca="1" si="3242"/>
        <v>0</v>
      </c>
      <c r="CI123" s="255">
        <f t="shared" ca="1" si="3242"/>
        <v>0</v>
      </c>
      <c r="CJ123" s="255">
        <f t="shared" ca="1" si="3242"/>
        <v>0</v>
      </c>
      <c r="CK123" s="255">
        <f t="shared" ca="1" si="3242"/>
        <v>0</v>
      </c>
      <c r="CL123" s="255">
        <f t="shared" ca="1" si="3242"/>
        <v>0</v>
      </c>
      <c r="CM123" s="255">
        <f t="shared" ca="1" si="3242"/>
        <v>0</v>
      </c>
      <c r="CN123" s="255">
        <f t="shared" ca="1" si="3242"/>
        <v>0</v>
      </c>
      <c r="CO123" s="255">
        <f t="shared" ca="1" si="3242"/>
        <v>0</v>
      </c>
      <c r="CP123" s="434">
        <f ca="1">SUM(CD123:CO123)</f>
        <v>0</v>
      </c>
    </row>
    <row r="124" spans="1:94" ht="20.100000000000001" hidden="1" customHeight="1">
      <c r="A124" s="792">
        <f ca="1">OFFSET('Summary. Assumptions. Inputs'!$A$45,'Internmediate sheet'!A29/3,0)</f>
        <v>0</v>
      </c>
      <c r="B124" s="19" t="s">
        <v>613</v>
      </c>
      <c r="C124" s="20">
        <f ca="1">OFFSET('Sales, Production, &amp; Other Assu'!C$54,'Internmediate sheet'!$A29/3,0)*Capacity</f>
        <v>0</v>
      </c>
      <c r="D124" s="19">
        <f ca="1">OFFSET('Sales, Production, &amp; Other Assu'!D$54,'Internmediate sheet'!$A29/3,0)*Capacity</f>
        <v>0</v>
      </c>
      <c r="E124" s="19">
        <f ca="1">OFFSET('Sales, Production, &amp; Other Assu'!E$54,'Internmediate sheet'!$A29/3,0)*Capacity</f>
        <v>0</v>
      </c>
      <c r="F124" s="19">
        <f ca="1">OFFSET('Sales, Production, &amp; Other Assu'!F$54,'Internmediate sheet'!$A29/3,0)*Capacity</f>
        <v>0</v>
      </c>
      <c r="G124" s="19">
        <f ca="1">OFFSET('Sales, Production, &amp; Other Assu'!G$54,'Internmediate sheet'!$A29/3,0)*Capacity</f>
        <v>0</v>
      </c>
      <c r="H124" s="19">
        <f ca="1">OFFSET('Sales, Production, &amp; Other Assu'!H$54,'Internmediate sheet'!$A29/3,0)*Capacity</f>
        <v>0</v>
      </c>
      <c r="I124" s="19">
        <f ca="1">OFFSET('Sales, Production, &amp; Other Assu'!I$54,'Internmediate sheet'!$A29/3,0)*Capacity</f>
        <v>0</v>
      </c>
      <c r="J124" s="19">
        <f ca="1">OFFSET('Sales, Production, &amp; Other Assu'!J$54,'Internmediate sheet'!$A29/3,0)*Capacity</f>
        <v>0</v>
      </c>
      <c r="K124" s="19">
        <f ca="1">OFFSET('Sales, Production, &amp; Other Assu'!K$54,'Internmediate sheet'!$A29/3,0)*Capacity</f>
        <v>0</v>
      </c>
      <c r="L124" s="19">
        <f ca="1">OFFSET('Sales, Production, &amp; Other Assu'!L$54,'Internmediate sheet'!$A29/3,0)*Capacity</f>
        <v>0</v>
      </c>
      <c r="M124" s="19">
        <f ca="1">OFFSET('Sales, Production, &amp; Other Assu'!M$54,'Internmediate sheet'!$A29/3,0)*Capacity</f>
        <v>0</v>
      </c>
      <c r="N124" s="19">
        <f ca="1">OFFSET('Sales, Production, &amp; Other Assu'!N$54,'Internmediate sheet'!$A29/3,0)*Capacity</f>
        <v>0</v>
      </c>
      <c r="O124" s="19">
        <f ca="1">OFFSET('Sales, Production, &amp; Other Assu'!O$54,'Internmediate sheet'!$A29/3,0)*Capacity</f>
        <v>0</v>
      </c>
      <c r="P124" s="434">
        <f ca="1">SUM(D124:O124)</f>
        <v>0</v>
      </c>
      <c r="Q124" s="19">
        <f ca="1">OFFSET('Sales, Production, &amp; Other Assu'!Q$54,'Internmediate sheet'!$A29/3,0)*Capacity</f>
        <v>0</v>
      </c>
      <c r="R124" s="19">
        <f ca="1">OFFSET('Sales, Production, &amp; Other Assu'!R$54,'Internmediate sheet'!$A29/3,0)*Capacity</f>
        <v>0</v>
      </c>
      <c r="S124" s="19">
        <f ca="1">OFFSET('Sales, Production, &amp; Other Assu'!S$54,'Internmediate sheet'!$A29/3,0)*Capacity</f>
        <v>0</v>
      </c>
      <c r="T124" s="19">
        <f ca="1">OFFSET('Sales, Production, &amp; Other Assu'!T$54,'Internmediate sheet'!$A29/3,0)*Capacity</f>
        <v>0</v>
      </c>
      <c r="U124" s="19">
        <f ca="1">OFFSET('Sales, Production, &amp; Other Assu'!U$54,'Internmediate sheet'!$A29/3,0)*Capacity</f>
        <v>0</v>
      </c>
      <c r="V124" s="19">
        <f ca="1">OFFSET('Sales, Production, &amp; Other Assu'!V$54,'Internmediate sheet'!$A29/3,0)*Capacity</f>
        <v>0</v>
      </c>
      <c r="W124" s="19">
        <f ca="1">OFFSET('Sales, Production, &amp; Other Assu'!W$54,'Internmediate sheet'!$A29/3,0)*Capacity</f>
        <v>0</v>
      </c>
      <c r="X124" s="19">
        <f ca="1">OFFSET('Sales, Production, &amp; Other Assu'!X$54,'Internmediate sheet'!$A29/3,0)*Capacity</f>
        <v>0</v>
      </c>
      <c r="Y124" s="19">
        <f ca="1">OFFSET('Sales, Production, &amp; Other Assu'!Y$54,'Internmediate sheet'!$A29/3,0)*Capacity</f>
        <v>0</v>
      </c>
      <c r="Z124" s="19">
        <f ca="1">OFFSET('Sales, Production, &amp; Other Assu'!Z$54,'Internmediate sheet'!$A29/3,0)*Capacity</f>
        <v>0</v>
      </c>
      <c r="AA124" s="19">
        <f ca="1">OFFSET('Sales, Production, &amp; Other Assu'!AA$54,'Internmediate sheet'!$A29/3,0)*Capacity</f>
        <v>0</v>
      </c>
      <c r="AB124" s="19">
        <f ca="1">OFFSET('Sales, Production, &amp; Other Assu'!AB$54,'Internmediate sheet'!$A29/3,0)*Capacity</f>
        <v>0</v>
      </c>
      <c r="AC124" s="434">
        <f ca="1">SUM(Q124:AB124)</f>
        <v>0</v>
      </c>
      <c r="AD124" s="19">
        <f ca="1">OFFSET('Sales, Production, &amp; Other Assu'!AD$54,'Internmediate sheet'!$A29/3,0)*Capacity</f>
        <v>0</v>
      </c>
      <c r="AE124" s="19">
        <f ca="1">OFFSET('Sales, Production, &amp; Other Assu'!AE$54,'Internmediate sheet'!$A29/3,0)*Capacity</f>
        <v>0</v>
      </c>
      <c r="AF124" s="19">
        <f ca="1">OFFSET('Sales, Production, &amp; Other Assu'!AF$54,'Internmediate sheet'!$A29/3,0)*Capacity</f>
        <v>0</v>
      </c>
      <c r="AG124" s="19">
        <f ca="1">OFFSET('Sales, Production, &amp; Other Assu'!AG$54,'Internmediate sheet'!$A29/3,0)*Capacity</f>
        <v>0</v>
      </c>
      <c r="AH124" s="19">
        <f ca="1">OFFSET('Sales, Production, &amp; Other Assu'!AH$54,'Internmediate sheet'!$A29/3,0)*Capacity</f>
        <v>0</v>
      </c>
      <c r="AI124" s="19">
        <f ca="1">OFFSET('Sales, Production, &amp; Other Assu'!AI$54,'Internmediate sheet'!$A29/3,0)*Capacity</f>
        <v>0</v>
      </c>
      <c r="AJ124" s="19">
        <f ca="1">OFFSET('Sales, Production, &amp; Other Assu'!AJ$54,'Internmediate sheet'!$A29/3,0)*Capacity</f>
        <v>0</v>
      </c>
      <c r="AK124" s="19">
        <f ca="1">OFFSET('Sales, Production, &amp; Other Assu'!AK$54,'Internmediate sheet'!$A29/3,0)*Capacity</f>
        <v>0</v>
      </c>
      <c r="AL124" s="19">
        <f ca="1">OFFSET('Sales, Production, &amp; Other Assu'!AL$54,'Internmediate sheet'!$A29/3,0)*Capacity</f>
        <v>0</v>
      </c>
      <c r="AM124" s="19">
        <f ca="1">OFFSET('Sales, Production, &amp; Other Assu'!AM$54,'Internmediate sheet'!$A29/3,0)*Capacity</f>
        <v>0</v>
      </c>
      <c r="AN124" s="19">
        <f ca="1">OFFSET('Sales, Production, &amp; Other Assu'!AN$54,'Internmediate sheet'!$A29/3,0)*Capacity</f>
        <v>0</v>
      </c>
      <c r="AO124" s="19">
        <f ca="1">OFFSET('Sales, Production, &amp; Other Assu'!AO$54,'Internmediate sheet'!$A29/3,0)*Capacity</f>
        <v>0</v>
      </c>
      <c r="AP124" s="434">
        <f ca="1">SUM(AD124:AO124)</f>
        <v>0</v>
      </c>
      <c r="AQ124" s="19">
        <f ca="1">OFFSET('Sales, Production, &amp; Other Assu'!AQ$54,'Internmediate sheet'!$A29/3,0)*Capacity</f>
        <v>0</v>
      </c>
      <c r="AR124" s="19">
        <f ca="1">OFFSET('Sales, Production, &amp; Other Assu'!AR$54,'Internmediate sheet'!$A29/3,0)*Capacity</f>
        <v>0</v>
      </c>
      <c r="AS124" s="19">
        <f ca="1">OFFSET('Sales, Production, &amp; Other Assu'!AS$54,'Internmediate sheet'!$A29/3,0)*Capacity</f>
        <v>0</v>
      </c>
      <c r="AT124" s="19">
        <f ca="1">OFFSET('Sales, Production, &amp; Other Assu'!AT$54,'Internmediate sheet'!$A29/3,0)*Capacity</f>
        <v>0</v>
      </c>
      <c r="AU124" s="19">
        <f ca="1">OFFSET('Sales, Production, &amp; Other Assu'!AU$54,'Internmediate sheet'!$A29/3,0)*Capacity</f>
        <v>0</v>
      </c>
      <c r="AV124" s="19">
        <f ca="1">OFFSET('Sales, Production, &amp; Other Assu'!AV$54,'Internmediate sheet'!$A29/3,0)*Capacity</f>
        <v>0</v>
      </c>
      <c r="AW124" s="19">
        <f ca="1">OFFSET('Sales, Production, &amp; Other Assu'!AW$54,'Internmediate sheet'!$A29/3,0)*Capacity</f>
        <v>0</v>
      </c>
      <c r="AX124" s="19">
        <f ca="1">OFFSET('Sales, Production, &amp; Other Assu'!AX$54,'Internmediate sheet'!$A29/3,0)*Capacity</f>
        <v>0</v>
      </c>
      <c r="AY124" s="19">
        <f ca="1">OFFSET('Sales, Production, &amp; Other Assu'!AY$54,'Internmediate sheet'!$A29/3,0)*Capacity</f>
        <v>0</v>
      </c>
      <c r="AZ124" s="19">
        <f ca="1">OFFSET('Sales, Production, &amp; Other Assu'!AZ$54,'Internmediate sheet'!$A29/3,0)*Capacity</f>
        <v>0</v>
      </c>
      <c r="BA124" s="19">
        <f ca="1">OFFSET('Sales, Production, &amp; Other Assu'!BA$54,'Internmediate sheet'!$A29/3,0)*Capacity</f>
        <v>0</v>
      </c>
      <c r="BB124" s="19">
        <f ca="1">OFFSET('Sales, Production, &amp; Other Assu'!BB$54,'Internmediate sheet'!$A29/3,0)*Capacity</f>
        <v>0</v>
      </c>
      <c r="BC124" s="434">
        <f ca="1">SUM(AQ124:BB124)</f>
        <v>0</v>
      </c>
      <c r="BD124" s="19">
        <f ca="1">OFFSET('Sales, Production, &amp; Other Assu'!BD$54,'Internmediate sheet'!$A29/3,0)*Capacity</f>
        <v>0</v>
      </c>
      <c r="BE124" s="19">
        <f ca="1">OFFSET('Sales, Production, &amp; Other Assu'!BE$54,'Internmediate sheet'!$A29/3,0)*Capacity</f>
        <v>0</v>
      </c>
      <c r="BF124" s="19">
        <f ca="1">OFFSET('Sales, Production, &amp; Other Assu'!BF$54,'Internmediate sheet'!$A29/3,0)*Capacity</f>
        <v>0</v>
      </c>
      <c r="BG124" s="19">
        <f ca="1">OFFSET('Sales, Production, &amp; Other Assu'!BG$54,'Internmediate sheet'!$A29/3,0)*Capacity</f>
        <v>0</v>
      </c>
      <c r="BH124" s="19">
        <f ca="1">OFFSET('Sales, Production, &amp; Other Assu'!BH$54,'Internmediate sheet'!$A29/3,0)*Capacity</f>
        <v>0</v>
      </c>
      <c r="BI124" s="19">
        <f ca="1">OFFSET('Sales, Production, &amp; Other Assu'!BI$54,'Internmediate sheet'!$A29/3,0)*Capacity</f>
        <v>0</v>
      </c>
      <c r="BJ124" s="19">
        <f ca="1">OFFSET('Sales, Production, &amp; Other Assu'!BJ$54,'Internmediate sheet'!$A29/3,0)*Capacity</f>
        <v>0</v>
      </c>
      <c r="BK124" s="19">
        <f ca="1">OFFSET('Sales, Production, &amp; Other Assu'!BK$54,'Internmediate sheet'!$A29/3,0)*Capacity</f>
        <v>0</v>
      </c>
      <c r="BL124" s="19">
        <f ca="1">OFFSET('Sales, Production, &amp; Other Assu'!BL$54,'Internmediate sheet'!$A29/3,0)*Capacity</f>
        <v>0</v>
      </c>
      <c r="BM124" s="19">
        <f ca="1">OFFSET('Sales, Production, &amp; Other Assu'!BM$54,'Internmediate sheet'!$A29/3,0)*Capacity</f>
        <v>0</v>
      </c>
      <c r="BN124" s="19">
        <f ca="1">OFFSET('Sales, Production, &amp; Other Assu'!BN$54,'Internmediate sheet'!$A29/3,0)*Capacity</f>
        <v>0</v>
      </c>
      <c r="BO124" s="19">
        <f ca="1">OFFSET('Sales, Production, &amp; Other Assu'!BO$54,'Internmediate sheet'!$A29/3,0)*Capacity</f>
        <v>0</v>
      </c>
      <c r="BP124" s="434">
        <f ca="1">SUM(BD124:BO124)</f>
        <v>0</v>
      </c>
      <c r="BQ124" s="19">
        <f ca="1">OFFSET('Sales, Production, &amp; Other Assu'!BQ$54,'Internmediate sheet'!$A29/3,0)*Capacity</f>
        <v>0</v>
      </c>
      <c r="BR124" s="19">
        <f ca="1">OFFSET('Sales, Production, &amp; Other Assu'!BR$54,'Internmediate sheet'!$A29/3,0)*Capacity</f>
        <v>0</v>
      </c>
      <c r="BS124" s="19">
        <f ca="1">OFFSET('Sales, Production, &amp; Other Assu'!BS$54,'Internmediate sheet'!$A29/3,0)*Capacity</f>
        <v>0</v>
      </c>
      <c r="BT124" s="19">
        <f ca="1">OFFSET('Sales, Production, &amp; Other Assu'!BT$54,'Internmediate sheet'!$A29/3,0)*Capacity</f>
        <v>0</v>
      </c>
      <c r="BU124" s="19">
        <f ca="1">OFFSET('Sales, Production, &amp; Other Assu'!BU$54,'Internmediate sheet'!$A29/3,0)*Capacity</f>
        <v>0</v>
      </c>
      <c r="BV124" s="19">
        <f ca="1">OFFSET('Sales, Production, &amp; Other Assu'!BV$54,'Internmediate sheet'!$A29/3,0)*Capacity</f>
        <v>0</v>
      </c>
      <c r="BW124" s="19">
        <f ca="1">OFFSET('Sales, Production, &amp; Other Assu'!BW$54,'Internmediate sheet'!$A29/3,0)*Capacity</f>
        <v>0</v>
      </c>
      <c r="BX124" s="19">
        <f ca="1">OFFSET('Sales, Production, &amp; Other Assu'!BX$54,'Internmediate sheet'!$A29/3,0)*Capacity</f>
        <v>0</v>
      </c>
      <c r="BY124" s="19">
        <f ca="1">OFFSET('Sales, Production, &amp; Other Assu'!BY$54,'Internmediate sheet'!$A29/3,0)*Capacity</f>
        <v>0</v>
      </c>
      <c r="BZ124" s="19">
        <f ca="1">OFFSET('Sales, Production, &amp; Other Assu'!BZ$54,'Internmediate sheet'!$A29/3,0)*Capacity</f>
        <v>0</v>
      </c>
      <c r="CA124" s="19">
        <f ca="1">OFFSET('Sales, Production, &amp; Other Assu'!CA$54,'Internmediate sheet'!$A29/3,0)*Capacity</f>
        <v>0</v>
      </c>
      <c r="CB124" s="19">
        <f ca="1">OFFSET('Sales, Production, &amp; Other Assu'!CB$54,'Internmediate sheet'!$A29/3,0)*Capacity</f>
        <v>0</v>
      </c>
      <c r="CC124" s="434">
        <f ca="1">SUM(BQ124:CB124)</f>
        <v>0</v>
      </c>
      <c r="CD124" s="19">
        <f ca="1">OFFSET('Sales, Production, &amp; Other Assu'!CD$54,'Internmediate sheet'!$A29/3,0)*Capacity</f>
        <v>0</v>
      </c>
      <c r="CE124" s="19">
        <f ca="1">OFFSET('Sales, Production, &amp; Other Assu'!CE$54,'Internmediate sheet'!$A29/3,0)*Capacity</f>
        <v>0</v>
      </c>
      <c r="CF124" s="19">
        <f ca="1">OFFSET('Sales, Production, &amp; Other Assu'!CF$54,'Internmediate sheet'!$A29/3,0)*Capacity</f>
        <v>0</v>
      </c>
      <c r="CG124" s="19">
        <f ca="1">OFFSET('Sales, Production, &amp; Other Assu'!CG$54,'Internmediate sheet'!$A29/3,0)*Capacity</f>
        <v>0</v>
      </c>
      <c r="CH124" s="19">
        <f ca="1">OFFSET('Sales, Production, &amp; Other Assu'!CH$54,'Internmediate sheet'!$A29/3,0)*Capacity</f>
        <v>0</v>
      </c>
      <c r="CI124" s="19">
        <f ca="1">OFFSET('Sales, Production, &amp; Other Assu'!CI$54,'Internmediate sheet'!$A29/3,0)*Capacity</f>
        <v>0</v>
      </c>
      <c r="CJ124" s="19">
        <f ca="1">OFFSET('Sales, Production, &amp; Other Assu'!CJ$54,'Internmediate sheet'!$A29/3,0)*Capacity</f>
        <v>0</v>
      </c>
      <c r="CK124" s="19">
        <f ca="1">OFFSET('Sales, Production, &amp; Other Assu'!CK$54,'Internmediate sheet'!$A29/3,0)*Capacity</f>
        <v>0</v>
      </c>
      <c r="CL124" s="19">
        <f ca="1">OFFSET('Sales, Production, &amp; Other Assu'!CL$54,'Internmediate sheet'!$A29/3,0)*Capacity</f>
        <v>0</v>
      </c>
      <c r="CM124" s="19">
        <f ca="1">OFFSET('Sales, Production, &amp; Other Assu'!CM$54,'Internmediate sheet'!$A29/3,0)*Capacity</f>
        <v>0</v>
      </c>
      <c r="CN124" s="19">
        <f ca="1">OFFSET('Sales, Production, &amp; Other Assu'!CN$54,'Internmediate sheet'!$A29/3,0)*Capacity</f>
        <v>0</v>
      </c>
      <c r="CO124" s="19">
        <f ca="1">OFFSET('Sales, Production, &amp; Other Assu'!CO$54,'Internmediate sheet'!$A29/3,0)*Capacity</f>
        <v>0</v>
      </c>
      <c r="CP124" s="434">
        <f ca="1">SUM(CD124:CO124)</f>
        <v>0</v>
      </c>
    </row>
    <row r="125" spans="1:94" ht="20.100000000000001" hidden="1" customHeight="1">
      <c r="A125" s="793"/>
      <c r="B125" s="9" t="s">
        <v>614</v>
      </c>
      <c r="C125" s="10">
        <f ca="1">OFFSET('BEP. &amp; Summary Results'!$C$6,'Internmediate sheet'!A26/3,0)</f>
        <v>0</v>
      </c>
      <c r="D125" s="9">
        <f t="shared" ref="D125" ca="1" si="3243">C125</f>
        <v>0</v>
      </c>
      <c r="E125" s="9">
        <f t="shared" ref="E125" ca="1" si="3244">D125</f>
        <v>0</v>
      </c>
      <c r="F125" s="9">
        <f t="shared" ref="F125" ca="1" si="3245">E125</f>
        <v>0</v>
      </c>
      <c r="G125" s="9">
        <f t="shared" ref="G125" ca="1" si="3246">F125</f>
        <v>0</v>
      </c>
      <c r="H125" s="9">
        <f t="shared" ref="H125" ca="1" si="3247">G125</f>
        <v>0</v>
      </c>
      <c r="I125" s="9">
        <f t="shared" ref="I125" ca="1" si="3248">H125</f>
        <v>0</v>
      </c>
      <c r="J125" s="9">
        <f t="shared" ref="J125" ca="1" si="3249">I125</f>
        <v>0</v>
      </c>
      <c r="K125" s="9">
        <f t="shared" ref="K125" ca="1" si="3250">J125</f>
        <v>0</v>
      </c>
      <c r="L125" s="9">
        <f t="shared" ref="L125" ca="1" si="3251">K125</f>
        <v>0</v>
      </c>
      <c r="M125" s="9">
        <f t="shared" ref="M125" ca="1" si="3252">L125</f>
        <v>0</v>
      </c>
      <c r="N125" s="9">
        <f t="shared" ref="N125" ca="1" si="3253">M125</f>
        <v>0</v>
      </c>
      <c r="O125" s="9">
        <f t="shared" ref="O125" ca="1" si="3254">N125</f>
        <v>0</v>
      </c>
      <c r="P125" s="435">
        <f t="shared" ref="P125" ca="1" si="3255">O125</f>
        <v>0</v>
      </c>
      <c r="Q125" s="9">
        <f t="shared" ref="Q125" ca="1" si="3256">P125</f>
        <v>0</v>
      </c>
      <c r="R125" s="9">
        <f t="shared" ref="R125" ca="1" si="3257">Q125</f>
        <v>0</v>
      </c>
      <c r="S125" s="9">
        <f t="shared" ref="S125" ca="1" si="3258">R125</f>
        <v>0</v>
      </c>
      <c r="T125" s="9">
        <f t="shared" ref="T125" ca="1" si="3259">S125</f>
        <v>0</v>
      </c>
      <c r="U125" s="9">
        <f t="shared" ref="U125" ca="1" si="3260">T125</f>
        <v>0</v>
      </c>
      <c r="V125" s="9">
        <f t="shared" ref="V125" ca="1" si="3261">U125</f>
        <v>0</v>
      </c>
      <c r="W125" s="9">
        <f t="shared" ref="W125" ca="1" si="3262">V125</f>
        <v>0</v>
      </c>
      <c r="X125" s="9">
        <f t="shared" ref="X125" ca="1" si="3263">W125</f>
        <v>0</v>
      </c>
      <c r="Y125" s="9">
        <f t="shared" ref="Y125" ca="1" si="3264">X125</f>
        <v>0</v>
      </c>
      <c r="Z125" s="9">
        <f t="shared" ref="Z125" ca="1" si="3265">Y125</f>
        <v>0</v>
      </c>
      <c r="AA125" s="9">
        <f t="shared" ref="AA125" ca="1" si="3266">Z125</f>
        <v>0</v>
      </c>
      <c r="AB125" s="9">
        <f t="shared" ref="AB125" ca="1" si="3267">AA125</f>
        <v>0</v>
      </c>
      <c r="AC125" s="435">
        <f t="shared" ref="AC125" ca="1" si="3268">AB125</f>
        <v>0</v>
      </c>
      <c r="AD125" s="9">
        <f t="shared" ref="AD125" ca="1" si="3269">AC125</f>
        <v>0</v>
      </c>
      <c r="AE125" s="9">
        <f t="shared" ref="AE125" ca="1" si="3270">AD125</f>
        <v>0</v>
      </c>
      <c r="AF125" s="9">
        <f t="shared" ref="AF125" ca="1" si="3271">AE125</f>
        <v>0</v>
      </c>
      <c r="AG125" s="9">
        <f t="shared" ref="AG125" ca="1" si="3272">AF125</f>
        <v>0</v>
      </c>
      <c r="AH125" s="9">
        <f t="shared" ref="AH125" ca="1" si="3273">AG125</f>
        <v>0</v>
      </c>
      <c r="AI125" s="9">
        <f t="shared" ref="AI125" ca="1" si="3274">AH125</f>
        <v>0</v>
      </c>
      <c r="AJ125" s="9">
        <f t="shared" ref="AJ125" ca="1" si="3275">AI125</f>
        <v>0</v>
      </c>
      <c r="AK125" s="9">
        <f t="shared" ref="AK125" ca="1" si="3276">AJ125</f>
        <v>0</v>
      </c>
      <c r="AL125" s="9">
        <f t="shared" ref="AL125" ca="1" si="3277">AK125</f>
        <v>0</v>
      </c>
      <c r="AM125" s="9">
        <f t="shared" ref="AM125" ca="1" si="3278">AL125</f>
        <v>0</v>
      </c>
      <c r="AN125" s="9">
        <f t="shared" ref="AN125" ca="1" si="3279">AM125</f>
        <v>0</v>
      </c>
      <c r="AO125" s="9">
        <f t="shared" ref="AO125" ca="1" si="3280">AN125</f>
        <v>0</v>
      </c>
      <c r="AP125" s="435">
        <f t="shared" ref="AP125" ca="1" si="3281">AO125</f>
        <v>0</v>
      </c>
      <c r="AQ125" s="9">
        <f ca="1">AP125</f>
        <v>0</v>
      </c>
      <c r="AR125" s="9">
        <f t="shared" ref="AR125" ca="1" si="3282">AQ125</f>
        <v>0</v>
      </c>
      <c r="AS125" s="9">
        <f t="shared" ref="AS125" ca="1" si="3283">AR125</f>
        <v>0</v>
      </c>
      <c r="AT125" s="9">
        <f t="shared" ref="AT125" ca="1" si="3284">AS125</f>
        <v>0</v>
      </c>
      <c r="AU125" s="9">
        <f t="shared" ref="AU125" ca="1" si="3285">AT125</f>
        <v>0</v>
      </c>
      <c r="AV125" s="9">
        <f t="shared" ref="AV125" ca="1" si="3286">AU125</f>
        <v>0</v>
      </c>
      <c r="AW125" s="9">
        <f t="shared" ref="AW125" ca="1" si="3287">AV125</f>
        <v>0</v>
      </c>
      <c r="AX125" s="9">
        <f t="shared" ref="AX125" ca="1" si="3288">AW125</f>
        <v>0</v>
      </c>
      <c r="AY125" s="9">
        <f t="shared" ref="AY125" ca="1" si="3289">AX125</f>
        <v>0</v>
      </c>
      <c r="AZ125" s="9">
        <f t="shared" ref="AZ125" ca="1" si="3290">AY125</f>
        <v>0</v>
      </c>
      <c r="BA125" s="9">
        <f t="shared" ref="BA125" ca="1" si="3291">AZ125</f>
        <v>0</v>
      </c>
      <c r="BB125" s="9">
        <f t="shared" ref="BB125" ca="1" si="3292">BA125</f>
        <v>0</v>
      </c>
      <c r="BC125" s="435">
        <f t="shared" ref="BC125" ca="1" si="3293">BB125</f>
        <v>0</v>
      </c>
      <c r="BD125" s="9">
        <f t="shared" ref="BD125" ca="1" si="3294">BC125</f>
        <v>0</v>
      </c>
      <c r="BE125" s="9">
        <f t="shared" ref="BE125" ca="1" si="3295">BD125</f>
        <v>0</v>
      </c>
      <c r="BF125" s="9">
        <f t="shared" ref="BF125" ca="1" si="3296">BE125</f>
        <v>0</v>
      </c>
      <c r="BG125" s="9">
        <f t="shared" ref="BG125" ca="1" si="3297">BF125</f>
        <v>0</v>
      </c>
      <c r="BH125" s="9">
        <f t="shared" ref="BH125" ca="1" si="3298">BG125</f>
        <v>0</v>
      </c>
      <c r="BI125" s="9">
        <f t="shared" ref="BI125" ca="1" si="3299">BH125</f>
        <v>0</v>
      </c>
      <c r="BJ125" s="9">
        <f t="shared" ref="BJ125" ca="1" si="3300">BI125</f>
        <v>0</v>
      </c>
      <c r="BK125" s="9">
        <f t="shared" ref="BK125" ca="1" si="3301">BJ125</f>
        <v>0</v>
      </c>
      <c r="BL125" s="9">
        <f t="shared" ref="BL125" ca="1" si="3302">BK125</f>
        <v>0</v>
      </c>
      <c r="BM125" s="9">
        <f t="shared" ref="BM125" ca="1" si="3303">BL125</f>
        <v>0</v>
      </c>
      <c r="BN125" s="9">
        <f t="shared" ref="BN125" ca="1" si="3304">BM125</f>
        <v>0</v>
      </c>
      <c r="BO125" s="9">
        <f t="shared" ref="BO125" ca="1" si="3305">BN125</f>
        <v>0</v>
      </c>
      <c r="BP125" s="435">
        <f t="shared" ref="BP125" ca="1" si="3306">BO125</f>
        <v>0</v>
      </c>
      <c r="BQ125" s="9">
        <f t="shared" ref="BQ125" ca="1" si="3307">BP125</f>
        <v>0</v>
      </c>
      <c r="BR125" s="9">
        <f t="shared" ref="BR125" ca="1" si="3308">BQ125</f>
        <v>0</v>
      </c>
      <c r="BS125" s="9">
        <f t="shared" ref="BS125" ca="1" si="3309">BR125</f>
        <v>0</v>
      </c>
      <c r="BT125" s="9">
        <f t="shared" ref="BT125" ca="1" si="3310">BS125</f>
        <v>0</v>
      </c>
      <c r="BU125" s="9">
        <f t="shared" ref="BU125" ca="1" si="3311">BT125</f>
        <v>0</v>
      </c>
      <c r="BV125" s="9">
        <f t="shared" ref="BV125" ca="1" si="3312">BU125</f>
        <v>0</v>
      </c>
      <c r="BW125" s="9">
        <f t="shared" ref="BW125" ca="1" si="3313">BV125</f>
        <v>0</v>
      </c>
      <c r="BX125" s="9">
        <f t="shared" ref="BX125" ca="1" si="3314">BW125</f>
        <v>0</v>
      </c>
      <c r="BY125" s="9">
        <f t="shared" ref="BY125" ca="1" si="3315">BX125</f>
        <v>0</v>
      </c>
      <c r="BZ125" s="9">
        <f t="shared" ref="BZ125" ca="1" si="3316">BY125</f>
        <v>0</v>
      </c>
      <c r="CA125" s="9">
        <f t="shared" ref="CA125" ca="1" si="3317">BZ125</f>
        <v>0</v>
      </c>
      <c r="CB125" s="9">
        <f t="shared" ref="CB125" ca="1" si="3318">CA125</f>
        <v>0</v>
      </c>
      <c r="CC125" s="435">
        <f t="shared" ref="CC125" ca="1" si="3319">CB125</f>
        <v>0</v>
      </c>
      <c r="CD125" s="9">
        <f t="shared" ref="CD125" ca="1" si="3320">CC125</f>
        <v>0</v>
      </c>
      <c r="CE125" s="9">
        <f t="shared" ref="CE125" ca="1" si="3321">CD125</f>
        <v>0</v>
      </c>
      <c r="CF125" s="9">
        <f t="shared" ref="CF125" ca="1" si="3322">CE125</f>
        <v>0</v>
      </c>
      <c r="CG125" s="9">
        <f t="shared" ref="CG125" ca="1" si="3323">CF125</f>
        <v>0</v>
      </c>
      <c r="CH125" s="9">
        <f t="shared" ref="CH125" ca="1" si="3324">CG125</f>
        <v>0</v>
      </c>
      <c r="CI125" s="9">
        <f t="shared" ref="CI125" ca="1" si="3325">CH125</f>
        <v>0</v>
      </c>
      <c r="CJ125" s="9">
        <f t="shared" ref="CJ125" ca="1" si="3326">CI125</f>
        <v>0</v>
      </c>
      <c r="CK125" s="9">
        <f t="shared" ref="CK125" ca="1" si="3327">CJ125</f>
        <v>0</v>
      </c>
      <c r="CL125" s="9">
        <f t="shared" ref="CL125" ca="1" si="3328">CK125</f>
        <v>0</v>
      </c>
      <c r="CM125" s="9">
        <f t="shared" ref="CM125" ca="1" si="3329">CL125</f>
        <v>0</v>
      </c>
      <c r="CN125" s="9">
        <f t="shared" ref="CN125" ca="1" si="3330">CM125</f>
        <v>0</v>
      </c>
      <c r="CO125" s="9">
        <f t="shared" ref="CO125" ca="1" si="3331">CN125</f>
        <v>0</v>
      </c>
      <c r="CP125" s="435">
        <f t="shared" ref="CP125" ca="1" si="3332">CO125</f>
        <v>0</v>
      </c>
    </row>
    <row r="126" spans="1:94" ht="20.100000000000001" hidden="1" customHeight="1">
      <c r="A126" s="794"/>
      <c r="B126" s="255" t="s">
        <v>615</v>
      </c>
      <c r="C126" s="256">
        <f t="shared" ref="C126:O126" ca="1" si="3333">C124*C125</f>
        <v>0</v>
      </c>
      <c r="D126" s="255">
        <f t="shared" ca="1" si="3333"/>
        <v>0</v>
      </c>
      <c r="E126" s="255">
        <f t="shared" ca="1" si="3333"/>
        <v>0</v>
      </c>
      <c r="F126" s="255">
        <f t="shared" ca="1" si="3333"/>
        <v>0</v>
      </c>
      <c r="G126" s="255">
        <f t="shared" ca="1" si="3333"/>
        <v>0</v>
      </c>
      <c r="H126" s="255">
        <f t="shared" ca="1" si="3333"/>
        <v>0</v>
      </c>
      <c r="I126" s="255">
        <f t="shared" ca="1" si="3333"/>
        <v>0</v>
      </c>
      <c r="J126" s="255">
        <f t="shared" ca="1" si="3333"/>
        <v>0</v>
      </c>
      <c r="K126" s="255">
        <f t="shared" ca="1" si="3333"/>
        <v>0</v>
      </c>
      <c r="L126" s="255">
        <f t="shared" ca="1" si="3333"/>
        <v>0</v>
      </c>
      <c r="M126" s="255">
        <f t="shared" ca="1" si="3333"/>
        <v>0</v>
      </c>
      <c r="N126" s="255">
        <f t="shared" ca="1" si="3333"/>
        <v>0</v>
      </c>
      <c r="O126" s="255">
        <f t="shared" ca="1" si="3333"/>
        <v>0</v>
      </c>
      <c r="P126" s="434">
        <f ca="1">SUM(D126:O126)</f>
        <v>0</v>
      </c>
      <c r="Q126" s="255">
        <f t="shared" ref="Q126:AB126" ca="1" si="3334">Q124*Q125</f>
        <v>0</v>
      </c>
      <c r="R126" s="255">
        <f t="shared" ca="1" si="3334"/>
        <v>0</v>
      </c>
      <c r="S126" s="255">
        <f t="shared" ca="1" si="3334"/>
        <v>0</v>
      </c>
      <c r="T126" s="255">
        <f t="shared" ca="1" si="3334"/>
        <v>0</v>
      </c>
      <c r="U126" s="255">
        <f t="shared" ca="1" si="3334"/>
        <v>0</v>
      </c>
      <c r="V126" s="255">
        <f t="shared" ca="1" si="3334"/>
        <v>0</v>
      </c>
      <c r="W126" s="255">
        <f t="shared" ca="1" si="3334"/>
        <v>0</v>
      </c>
      <c r="X126" s="255">
        <f t="shared" ca="1" si="3334"/>
        <v>0</v>
      </c>
      <c r="Y126" s="255">
        <f t="shared" ca="1" si="3334"/>
        <v>0</v>
      </c>
      <c r="Z126" s="255">
        <f t="shared" ca="1" si="3334"/>
        <v>0</v>
      </c>
      <c r="AA126" s="255">
        <f t="shared" ca="1" si="3334"/>
        <v>0</v>
      </c>
      <c r="AB126" s="255">
        <f t="shared" ca="1" si="3334"/>
        <v>0</v>
      </c>
      <c r="AC126" s="434">
        <f ca="1">SUM(Q126:AB126)</f>
        <v>0</v>
      </c>
      <c r="AD126" s="255">
        <f t="shared" ref="AD126:AO126" ca="1" si="3335">AD124*AD125</f>
        <v>0</v>
      </c>
      <c r="AE126" s="255">
        <f t="shared" ca="1" si="3335"/>
        <v>0</v>
      </c>
      <c r="AF126" s="255">
        <f t="shared" ca="1" si="3335"/>
        <v>0</v>
      </c>
      <c r="AG126" s="255">
        <f t="shared" ca="1" si="3335"/>
        <v>0</v>
      </c>
      <c r="AH126" s="255">
        <f t="shared" ca="1" si="3335"/>
        <v>0</v>
      </c>
      <c r="AI126" s="255">
        <f t="shared" ca="1" si="3335"/>
        <v>0</v>
      </c>
      <c r="AJ126" s="255">
        <f t="shared" ca="1" si="3335"/>
        <v>0</v>
      </c>
      <c r="AK126" s="255">
        <f t="shared" ca="1" si="3335"/>
        <v>0</v>
      </c>
      <c r="AL126" s="255">
        <f t="shared" ca="1" si="3335"/>
        <v>0</v>
      </c>
      <c r="AM126" s="255">
        <f t="shared" ca="1" si="3335"/>
        <v>0</v>
      </c>
      <c r="AN126" s="255">
        <f t="shared" ca="1" si="3335"/>
        <v>0</v>
      </c>
      <c r="AO126" s="255">
        <f t="shared" ca="1" si="3335"/>
        <v>0</v>
      </c>
      <c r="AP126" s="434">
        <f ca="1">SUM(AD126:AO126)</f>
        <v>0</v>
      </c>
      <c r="AQ126" s="255">
        <f t="shared" ref="AQ126:BB126" ca="1" si="3336">AQ124*AQ125</f>
        <v>0</v>
      </c>
      <c r="AR126" s="255">
        <f t="shared" ca="1" si="3336"/>
        <v>0</v>
      </c>
      <c r="AS126" s="255">
        <f t="shared" ca="1" si="3336"/>
        <v>0</v>
      </c>
      <c r="AT126" s="255">
        <f t="shared" ca="1" si="3336"/>
        <v>0</v>
      </c>
      <c r="AU126" s="255">
        <f t="shared" ca="1" si="3336"/>
        <v>0</v>
      </c>
      <c r="AV126" s="255">
        <f t="shared" ca="1" si="3336"/>
        <v>0</v>
      </c>
      <c r="AW126" s="255">
        <f t="shared" ca="1" si="3336"/>
        <v>0</v>
      </c>
      <c r="AX126" s="255">
        <f t="shared" ca="1" si="3336"/>
        <v>0</v>
      </c>
      <c r="AY126" s="255">
        <f t="shared" ca="1" si="3336"/>
        <v>0</v>
      </c>
      <c r="AZ126" s="255">
        <f t="shared" ca="1" si="3336"/>
        <v>0</v>
      </c>
      <c r="BA126" s="255">
        <f t="shared" ca="1" si="3336"/>
        <v>0</v>
      </c>
      <c r="BB126" s="255">
        <f t="shared" ca="1" si="3336"/>
        <v>0</v>
      </c>
      <c r="BC126" s="434">
        <f ca="1">SUM(AQ126:BB126)</f>
        <v>0</v>
      </c>
      <c r="BD126" s="255">
        <f t="shared" ref="BD126:BO126" ca="1" si="3337">BD124*BD125</f>
        <v>0</v>
      </c>
      <c r="BE126" s="255">
        <f t="shared" ca="1" si="3337"/>
        <v>0</v>
      </c>
      <c r="BF126" s="255">
        <f t="shared" ca="1" si="3337"/>
        <v>0</v>
      </c>
      <c r="BG126" s="255">
        <f t="shared" ca="1" si="3337"/>
        <v>0</v>
      </c>
      <c r="BH126" s="255">
        <f t="shared" ca="1" si="3337"/>
        <v>0</v>
      </c>
      <c r="BI126" s="255">
        <f t="shared" ca="1" si="3337"/>
        <v>0</v>
      </c>
      <c r="BJ126" s="255">
        <f t="shared" ca="1" si="3337"/>
        <v>0</v>
      </c>
      <c r="BK126" s="255">
        <f t="shared" ca="1" si="3337"/>
        <v>0</v>
      </c>
      <c r="BL126" s="255">
        <f t="shared" ca="1" si="3337"/>
        <v>0</v>
      </c>
      <c r="BM126" s="255">
        <f t="shared" ca="1" si="3337"/>
        <v>0</v>
      </c>
      <c r="BN126" s="255">
        <f t="shared" ca="1" si="3337"/>
        <v>0</v>
      </c>
      <c r="BO126" s="255">
        <f t="shared" ca="1" si="3337"/>
        <v>0</v>
      </c>
      <c r="BP126" s="434">
        <f ca="1">SUM(BD126:BO126)</f>
        <v>0</v>
      </c>
      <c r="BQ126" s="255">
        <f t="shared" ref="BQ126:CB126" ca="1" si="3338">BQ124*BQ125</f>
        <v>0</v>
      </c>
      <c r="BR126" s="255">
        <f t="shared" ca="1" si="3338"/>
        <v>0</v>
      </c>
      <c r="BS126" s="255">
        <f t="shared" ca="1" si="3338"/>
        <v>0</v>
      </c>
      <c r="BT126" s="255">
        <f t="shared" ca="1" si="3338"/>
        <v>0</v>
      </c>
      <c r="BU126" s="255">
        <f t="shared" ca="1" si="3338"/>
        <v>0</v>
      </c>
      <c r="BV126" s="255">
        <f t="shared" ca="1" si="3338"/>
        <v>0</v>
      </c>
      <c r="BW126" s="255">
        <f t="shared" ca="1" si="3338"/>
        <v>0</v>
      </c>
      <c r="BX126" s="255">
        <f t="shared" ca="1" si="3338"/>
        <v>0</v>
      </c>
      <c r="BY126" s="255">
        <f t="shared" ca="1" si="3338"/>
        <v>0</v>
      </c>
      <c r="BZ126" s="255">
        <f t="shared" ca="1" si="3338"/>
        <v>0</v>
      </c>
      <c r="CA126" s="255">
        <f t="shared" ca="1" si="3338"/>
        <v>0</v>
      </c>
      <c r="CB126" s="255">
        <f t="shared" ca="1" si="3338"/>
        <v>0</v>
      </c>
      <c r="CC126" s="434">
        <f ca="1">SUM(BQ126:CB126)</f>
        <v>0</v>
      </c>
      <c r="CD126" s="255">
        <f t="shared" ref="CD126:CO126" ca="1" si="3339">CD124*CD125</f>
        <v>0</v>
      </c>
      <c r="CE126" s="255">
        <f t="shared" ca="1" si="3339"/>
        <v>0</v>
      </c>
      <c r="CF126" s="255">
        <f t="shared" ca="1" si="3339"/>
        <v>0</v>
      </c>
      <c r="CG126" s="255">
        <f t="shared" ca="1" si="3339"/>
        <v>0</v>
      </c>
      <c r="CH126" s="255">
        <f t="shared" ca="1" si="3339"/>
        <v>0</v>
      </c>
      <c r="CI126" s="255">
        <f t="shared" ca="1" si="3339"/>
        <v>0</v>
      </c>
      <c r="CJ126" s="255">
        <f t="shared" ca="1" si="3339"/>
        <v>0</v>
      </c>
      <c r="CK126" s="255">
        <f t="shared" ca="1" si="3339"/>
        <v>0</v>
      </c>
      <c r="CL126" s="255">
        <f t="shared" ca="1" si="3339"/>
        <v>0</v>
      </c>
      <c r="CM126" s="255">
        <f t="shared" ca="1" si="3339"/>
        <v>0</v>
      </c>
      <c r="CN126" s="255">
        <f t="shared" ca="1" si="3339"/>
        <v>0</v>
      </c>
      <c r="CO126" s="255">
        <f t="shared" ca="1" si="3339"/>
        <v>0</v>
      </c>
      <c r="CP126" s="434">
        <f ca="1">SUM(CD126:CO126)</f>
        <v>0</v>
      </c>
    </row>
    <row r="127" spans="1:94" ht="20.100000000000001" hidden="1" customHeight="1">
      <c r="A127" s="792">
        <f ca="1">OFFSET('Summary. Assumptions. Inputs'!$A$45,'Internmediate sheet'!A32/3,0)</f>
        <v>0</v>
      </c>
      <c r="B127" s="19" t="s">
        <v>613</v>
      </c>
      <c r="C127" s="20">
        <f ca="1">OFFSET('Sales, Production, &amp; Other Assu'!C$54,'Internmediate sheet'!$A32/3,0)*Capacity</f>
        <v>0</v>
      </c>
      <c r="D127" s="19">
        <f ca="1">OFFSET('Sales, Production, &amp; Other Assu'!D$54,'Internmediate sheet'!$A32/3,0)*Capacity</f>
        <v>0</v>
      </c>
      <c r="E127" s="19">
        <f ca="1">OFFSET('Sales, Production, &amp; Other Assu'!E$54,'Internmediate sheet'!$A32/3,0)*Capacity</f>
        <v>0</v>
      </c>
      <c r="F127" s="19">
        <f ca="1">OFFSET('Sales, Production, &amp; Other Assu'!F$54,'Internmediate sheet'!$A32/3,0)*Capacity</f>
        <v>0</v>
      </c>
      <c r="G127" s="19">
        <f ca="1">OFFSET('Sales, Production, &amp; Other Assu'!G$54,'Internmediate sheet'!$A32/3,0)*Capacity</f>
        <v>0</v>
      </c>
      <c r="H127" s="19">
        <f ca="1">OFFSET('Sales, Production, &amp; Other Assu'!H$54,'Internmediate sheet'!$A32/3,0)*Capacity</f>
        <v>0</v>
      </c>
      <c r="I127" s="19">
        <f ca="1">OFFSET('Sales, Production, &amp; Other Assu'!I$54,'Internmediate sheet'!$A32/3,0)*Capacity</f>
        <v>0</v>
      </c>
      <c r="J127" s="19">
        <f ca="1">OFFSET('Sales, Production, &amp; Other Assu'!J$54,'Internmediate sheet'!$A32/3,0)*Capacity</f>
        <v>0</v>
      </c>
      <c r="K127" s="19">
        <f ca="1">OFFSET('Sales, Production, &amp; Other Assu'!K$54,'Internmediate sheet'!$A32/3,0)*Capacity</f>
        <v>0</v>
      </c>
      <c r="L127" s="19">
        <f ca="1">OFFSET('Sales, Production, &amp; Other Assu'!L$54,'Internmediate sheet'!$A32/3,0)*Capacity</f>
        <v>0</v>
      </c>
      <c r="M127" s="19">
        <f ca="1">OFFSET('Sales, Production, &amp; Other Assu'!M$54,'Internmediate sheet'!$A32/3,0)*Capacity</f>
        <v>0</v>
      </c>
      <c r="N127" s="19">
        <f ca="1">OFFSET('Sales, Production, &amp; Other Assu'!N$54,'Internmediate sheet'!$A32/3,0)*Capacity</f>
        <v>0</v>
      </c>
      <c r="O127" s="19">
        <f ca="1">OFFSET('Sales, Production, &amp; Other Assu'!O$54,'Internmediate sheet'!$A32/3,0)*Capacity</f>
        <v>0</v>
      </c>
      <c r="P127" s="434">
        <f ca="1">SUM(D127:O127)</f>
        <v>0</v>
      </c>
      <c r="Q127" s="19">
        <f ca="1">OFFSET('Sales, Production, &amp; Other Assu'!Q$54,'Internmediate sheet'!$A32/3,0)*Capacity</f>
        <v>0</v>
      </c>
      <c r="R127" s="19">
        <f ca="1">OFFSET('Sales, Production, &amp; Other Assu'!R$54,'Internmediate sheet'!$A32/3,0)*Capacity</f>
        <v>0</v>
      </c>
      <c r="S127" s="19">
        <f ca="1">OFFSET('Sales, Production, &amp; Other Assu'!S$54,'Internmediate sheet'!$A32/3,0)*Capacity</f>
        <v>0</v>
      </c>
      <c r="T127" s="19">
        <f ca="1">OFFSET('Sales, Production, &amp; Other Assu'!T$54,'Internmediate sheet'!$A32/3,0)*Capacity</f>
        <v>0</v>
      </c>
      <c r="U127" s="19">
        <f ca="1">OFFSET('Sales, Production, &amp; Other Assu'!U$54,'Internmediate sheet'!$A32/3,0)*Capacity</f>
        <v>0</v>
      </c>
      <c r="V127" s="19">
        <f ca="1">OFFSET('Sales, Production, &amp; Other Assu'!V$54,'Internmediate sheet'!$A32/3,0)*Capacity</f>
        <v>0</v>
      </c>
      <c r="W127" s="19">
        <f ca="1">OFFSET('Sales, Production, &amp; Other Assu'!W$54,'Internmediate sheet'!$A32/3,0)*Capacity</f>
        <v>0</v>
      </c>
      <c r="X127" s="19">
        <f ca="1">OFFSET('Sales, Production, &amp; Other Assu'!X$54,'Internmediate sheet'!$A32/3,0)*Capacity</f>
        <v>0</v>
      </c>
      <c r="Y127" s="19">
        <f ca="1">OFFSET('Sales, Production, &amp; Other Assu'!Y$54,'Internmediate sheet'!$A32/3,0)*Capacity</f>
        <v>0</v>
      </c>
      <c r="Z127" s="19">
        <f ca="1">OFFSET('Sales, Production, &amp; Other Assu'!Z$54,'Internmediate sheet'!$A32/3,0)*Capacity</f>
        <v>0</v>
      </c>
      <c r="AA127" s="19">
        <f ca="1">OFFSET('Sales, Production, &amp; Other Assu'!AA$54,'Internmediate sheet'!$A32/3,0)*Capacity</f>
        <v>0</v>
      </c>
      <c r="AB127" s="19">
        <f ca="1">OFFSET('Sales, Production, &amp; Other Assu'!AB$54,'Internmediate sheet'!$A32/3,0)*Capacity</f>
        <v>0</v>
      </c>
      <c r="AC127" s="434">
        <f ca="1">SUM(Q127:AB127)</f>
        <v>0</v>
      </c>
      <c r="AD127" s="19">
        <f ca="1">OFFSET('Sales, Production, &amp; Other Assu'!AD$54,'Internmediate sheet'!$A32/3,0)*Capacity</f>
        <v>0</v>
      </c>
      <c r="AE127" s="19">
        <f ca="1">OFFSET('Sales, Production, &amp; Other Assu'!AE$54,'Internmediate sheet'!$A32/3,0)*Capacity</f>
        <v>0</v>
      </c>
      <c r="AF127" s="19">
        <f ca="1">OFFSET('Sales, Production, &amp; Other Assu'!AF$54,'Internmediate sheet'!$A32/3,0)*Capacity</f>
        <v>0</v>
      </c>
      <c r="AG127" s="19">
        <f ca="1">OFFSET('Sales, Production, &amp; Other Assu'!AG$54,'Internmediate sheet'!$A32/3,0)*Capacity</f>
        <v>0</v>
      </c>
      <c r="AH127" s="19">
        <f ca="1">OFFSET('Sales, Production, &amp; Other Assu'!AH$54,'Internmediate sheet'!$A32/3,0)*Capacity</f>
        <v>0</v>
      </c>
      <c r="AI127" s="19">
        <f ca="1">OFFSET('Sales, Production, &amp; Other Assu'!AI$54,'Internmediate sheet'!$A32/3,0)*Capacity</f>
        <v>0</v>
      </c>
      <c r="AJ127" s="19">
        <f ca="1">OFFSET('Sales, Production, &amp; Other Assu'!AJ$54,'Internmediate sheet'!$A32/3,0)*Capacity</f>
        <v>0</v>
      </c>
      <c r="AK127" s="19">
        <f ca="1">OFFSET('Sales, Production, &amp; Other Assu'!AK$54,'Internmediate sheet'!$A32/3,0)*Capacity</f>
        <v>0</v>
      </c>
      <c r="AL127" s="19">
        <f ca="1">OFFSET('Sales, Production, &amp; Other Assu'!AL$54,'Internmediate sheet'!$A32/3,0)*Capacity</f>
        <v>0</v>
      </c>
      <c r="AM127" s="19">
        <f ca="1">OFFSET('Sales, Production, &amp; Other Assu'!AM$54,'Internmediate sheet'!$A32/3,0)*Capacity</f>
        <v>0</v>
      </c>
      <c r="AN127" s="19">
        <f ca="1">OFFSET('Sales, Production, &amp; Other Assu'!AN$54,'Internmediate sheet'!$A32/3,0)*Capacity</f>
        <v>0</v>
      </c>
      <c r="AO127" s="19">
        <f ca="1">OFFSET('Sales, Production, &amp; Other Assu'!AO$54,'Internmediate sheet'!$A32/3,0)*Capacity</f>
        <v>0</v>
      </c>
      <c r="AP127" s="434">
        <f ca="1">SUM(AD127:AO127)</f>
        <v>0</v>
      </c>
      <c r="AQ127" s="19">
        <f ca="1">OFFSET('Sales, Production, &amp; Other Assu'!AQ$54,'Internmediate sheet'!$A32/3,0)*Capacity</f>
        <v>0</v>
      </c>
      <c r="AR127" s="19">
        <f ca="1">OFFSET('Sales, Production, &amp; Other Assu'!AR$54,'Internmediate sheet'!$A32/3,0)*Capacity</f>
        <v>0</v>
      </c>
      <c r="AS127" s="19">
        <f ca="1">OFFSET('Sales, Production, &amp; Other Assu'!AS$54,'Internmediate sheet'!$A32/3,0)*Capacity</f>
        <v>0</v>
      </c>
      <c r="AT127" s="19">
        <f ca="1">OFFSET('Sales, Production, &amp; Other Assu'!AT$54,'Internmediate sheet'!$A32/3,0)*Capacity</f>
        <v>0</v>
      </c>
      <c r="AU127" s="19">
        <f ca="1">OFFSET('Sales, Production, &amp; Other Assu'!AU$54,'Internmediate sheet'!$A32/3,0)*Capacity</f>
        <v>0</v>
      </c>
      <c r="AV127" s="19">
        <f ca="1">OFFSET('Sales, Production, &amp; Other Assu'!AV$54,'Internmediate sheet'!$A32/3,0)*Capacity</f>
        <v>0</v>
      </c>
      <c r="AW127" s="19">
        <f ca="1">OFFSET('Sales, Production, &amp; Other Assu'!AW$54,'Internmediate sheet'!$A32/3,0)*Capacity</f>
        <v>0</v>
      </c>
      <c r="AX127" s="19">
        <f ca="1">OFFSET('Sales, Production, &amp; Other Assu'!AX$54,'Internmediate sheet'!$A32/3,0)*Capacity</f>
        <v>0</v>
      </c>
      <c r="AY127" s="19">
        <f ca="1">OFFSET('Sales, Production, &amp; Other Assu'!AY$54,'Internmediate sheet'!$A32/3,0)*Capacity</f>
        <v>0</v>
      </c>
      <c r="AZ127" s="19">
        <f ca="1">OFFSET('Sales, Production, &amp; Other Assu'!AZ$54,'Internmediate sheet'!$A32/3,0)*Capacity</f>
        <v>0</v>
      </c>
      <c r="BA127" s="19">
        <f ca="1">OFFSET('Sales, Production, &amp; Other Assu'!BA$54,'Internmediate sheet'!$A32/3,0)*Capacity</f>
        <v>0</v>
      </c>
      <c r="BB127" s="19">
        <f ca="1">OFFSET('Sales, Production, &amp; Other Assu'!BB$54,'Internmediate sheet'!$A32/3,0)*Capacity</f>
        <v>0</v>
      </c>
      <c r="BC127" s="434">
        <f ca="1">SUM(AQ127:BB127)</f>
        <v>0</v>
      </c>
      <c r="BD127" s="19">
        <f ca="1">OFFSET('Sales, Production, &amp; Other Assu'!BD$54,'Internmediate sheet'!$A32/3,0)*Capacity</f>
        <v>0</v>
      </c>
      <c r="BE127" s="19">
        <f ca="1">OFFSET('Sales, Production, &amp; Other Assu'!BE$54,'Internmediate sheet'!$A32/3,0)*Capacity</f>
        <v>0</v>
      </c>
      <c r="BF127" s="19">
        <f ca="1">OFFSET('Sales, Production, &amp; Other Assu'!BF$54,'Internmediate sheet'!$A32/3,0)*Capacity</f>
        <v>0</v>
      </c>
      <c r="BG127" s="19">
        <f ca="1">OFFSET('Sales, Production, &amp; Other Assu'!BG$54,'Internmediate sheet'!$A32/3,0)*Capacity</f>
        <v>0</v>
      </c>
      <c r="BH127" s="19">
        <f ca="1">OFFSET('Sales, Production, &amp; Other Assu'!BH$54,'Internmediate sheet'!$A32/3,0)*Capacity</f>
        <v>0</v>
      </c>
      <c r="BI127" s="19">
        <f ca="1">OFFSET('Sales, Production, &amp; Other Assu'!BI$54,'Internmediate sheet'!$A32/3,0)*Capacity</f>
        <v>0</v>
      </c>
      <c r="BJ127" s="19">
        <f ca="1">OFFSET('Sales, Production, &amp; Other Assu'!BJ$54,'Internmediate sheet'!$A32/3,0)*Capacity</f>
        <v>0</v>
      </c>
      <c r="BK127" s="19">
        <f ca="1">OFFSET('Sales, Production, &amp; Other Assu'!BK$54,'Internmediate sheet'!$A32/3,0)*Capacity</f>
        <v>0</v>
      </c>
      <c r="BL127" s="19">
        <f ca="1">OFFSET('Sales, Production, &amp; Other Assu'!BL$54,'Internmediate sheet'!$A32/3,0)*Capacity</f>
        <v>0</v>
      </c>
      <c r="BM127" s="19">
        <f ca="1">OFFSET('Sales, Production, &amp; Other Assu'!BM$54,'Internmediate sheet'!$A32/3,0)*Capacity</f>
        <v>0</v>
      </c>
      <c r="BN127" s="19">
        <f ca="1">OFFSET('Sales, Production, &amp; Other Assu'!BN$54,'Internmediate sheet'!$A32/3,0)*Capacity</f>
        <v>0</v>
      </c>
      <c r="BO127" s="19">
        <f ca="1">OFFSET('Sales, Production, &amp; Other Assu'!BO$54,'Internmediate sheet'!$A32/3,0)*Capacity</f>
        <v>0</v>
      </c>
      <c r="BP127" s="434">
        <f ca="1">SUM(BD127:BO127)</f>
        <v>0</v>
      </c>
      <c r="BQ127" s="19">
        <f ca="1">OFFSET('Sales, Production, &amp; Other Assu'!BQ$54,'Internmediate sheet'!$A32/3,0)*Capacity</f>
        <v>0</v>
      </c>
      <c r="BR127" s="19">
        <f ca="1">OFFSET('Sales, Production, &amp; Other Assu'!BR$54,'Internmediate sheet'!$A32/3,0)*Capacity</f>
        <v>0</v>
      </c>
      <c r="BS127" s="19">
        <f ca="1">OFFSET('Sales, Production, &amp; Other Assu'!BS$54,'Internmediate sheet'!$A32/3,0)*Capacity</f>
        <v>0</v>
      </c>
      <c r="BT127" s="19">
        <f ca="1">OFFSET('Sales, Production, &amp; Other Assu'!BT$54,'Internmediate sheet'!$A32/3,0)*Capacity</f>
        <v>0</v>
      </c>
      <c r="BU127" s="19">
        <f ca="1">OFFSET('Sales, Production, &amp; Other Assu'!BU$54,'Internmediate sheet'!$A32/3,0)*Capacity</f>
        <v>0</v>
      </c>
      <c r="BV127" s="19">
        <f ca="1">OFFSET('Sales, Production, &amp; Other Assu'!BV$54,'Internmediate sheet'!$A32/3,0)*Capacity</f>
        <v>0</v>
      </c>
      <c r="BW127" s="19">
        <f ca="1">OFFSET('Sales, Production, &amp; Other Assu'!BW$54,'Internmediate sheet'!$A32/3,0)*Capacity</f>
        <v>0</v>
      </c>
      <c r="BX127" s="19">
        <f ca="1">OFFSET('Sales, Production, &amp; Other Assu'!BX$54,'Internmediate sheet'!$A32/3,0)*Capacity</f>
        <v>0</v>
      </c>
      <c r="BY127" s="19">
        <f ca="1">OFFSET('Sales, Production, &amp; Other Assu'!BY$54,'Internmediate sheet'!$A32/3,0)*Capacity</f>
        <v>0</v>
      </c>
      <c r="BZ127" s="19">
        <f ca="1">OFFSET('Sales, Production, &amp; Other Assu'!BZ$54,'Internmediate sheet'!$A32/3,0)*Capacity</f>
        <v>0</v>
      </c>
      <c r="CA127" s="19">
        <f ca="1">OFFSET('Sales, Production, &amp; Other Assu'!CA$54,'Internmediate sheet'!$A32/3,0)*Capacity</f>
        <v>0</v>
      </c>
      <c r="CB127" s="19">
        <f ca="1">OFFSET('Sales, Production, &amp; Other Assu'!CB$54,'Internmediate sheet'!$A32/3,0)*Capacity</f>
        <v>0</v>
      </c>
      <c r="CC127" s="434">
        <f ca="1">SUM(BQ127:CB127)</f>
        <v>0</v>
      </c>
      <c r="CD127" s="19">
        <f ca="1">OFFSET('Sales, Production, &amp; Other Assu'!CD$54,'Internmediate sheet'!$A32/3,0)*Capacity</f>
        <v>0</v>
      </c>
      <c r="CE127" s="19">
        <f ca="1">OFFSET('Sales, Production, &amp; Other Assu'!CE$54,'Internmediate sheet'!$A32/3,0)*Capacity</f>
        <v>0</v>
      </c>
      <c r="CF127" s="19">
        <f ca="1">OFFSET('Sales, Production, &amp; Other Assu'!CF$54,'Internmediate sheet'!$A32/3,0)*Capacity</f>
        <v>0</v>
      </c>
      <c r="CG127" s="19">
        <f ca="1">OFFSET('Sales, Production, &amp; Other Assu'!CG$54,'Internmediate sheet'!$A32/3,0)*Capacity</f>
        <v>0</v>
      </c>
      <c r="CH127" s="19">
        <f ca="1">OFFSET('Sales, Production, &amp; Other Assu'!CH$54,'Internmediate sheet'!$A32/3,0)*Capacity</f>
        <v>0</v>
      </c>
      <c r="CI127" s="19">
        <f ca="1">OFFSET('Sales, Production, &amp; Other Assu'!CI$54,'Internmediate sheet'!$A32/3,0)*Capacity</f>
        <v>0</v>
      </c>
      <c r="CJ127" s="19">
        <f ca="1">OFFSET('Sales, Production, &amp; Other Assu'!CJ$54,'Internmediate sheet'!$A32/3,0)*Capacity</f>
        <v>0</v>
      </c>
      <c r="CK127" s="19">
        <f ca="1">OFFSET('Sales, Production, &amp; Other Assu'!CK$54,'Internmediate sheet'!$A32/3,0)*Capacity</f>
        <v>0</v>
      </c>
      <c r="CL127" s="19">
        <f ca="1">OFFSET('Sales, Production, &amp; Other Assu'!CL$54,'Internmediate sheet'!$A32/3,0)*Capacity</f>
        <v>0</v>
      </c>
      <c r="CM127" s="19">
        <f ca="1">OFFSET('Sales, Production, &amp; Other Assu'!CM$54,'Internmediate sheet'!$A32/3,0)*Capacity</f>
        <v>0</v>
      </c>
      <c r="CN127" s="19">
        <f ca="1">OFFSET('Sales, Production, &amp; Other Assu'!CN$54,'Internmediate sheet'!$A32/3,0)*Capacity</f>
        <v>0</v>
      </c>
      <c r="CO127" s="19">
        <f ca="1">OFFSET('Sales, Production, &amp; Other Assu'!CO$54,'Internmediate sheet'!$A32/3,0)*Capacity</f>
        <v>0</v>
      </c>
      <c r="CP127" s="434">
        <f ca="1">SUM(CD127:CO127)</f>
        <v>0</v>
      </c>
    </row>
    <row r="128" spans="1:94" ht="20.100000000000001" hidden="1" customHeight="1">
      <c r="A128" s="793"/>
      <c r="B128" s="9" t="s">
        <v>614</v>
      </c>
      <c r="C128" s="10">
        <f ca="1">OFFSET('BEP. &amp; Summary Results'!$C$6,'Internmediate sheet'!A29/3,0)</f>
        <v>0</v>
      </c>
      <c r="D128" s="9">
        <f t="shared" ref="D128" ca="1" si="3340">C128</f>
        <v>0</v>
      </c>
      <c r="E128" s="9">
        <f t="shared" ref="E128" ca="1" si="3341">D128</f>
        <v>0</v>
      </c>
      <c r="F128" s="9">
        <f t="shared" ref="F128" ca="1" si="3342">E128</f>
        <v>0</v>
      </c>
      <c r="G128" s="9">
        <f t="shared" ref="G128" ca="1" si="3343">F128</f>
        <v>0</v>
      </c>
      <c r="H128" s="9">
        <f t="shared" ref="H128" ca="1" si="3344">G128</f>
        <v>0</v>
      </c>
      <c r="I128" s="9">
        <f t="shared" ref="I128" ca="1" si="3345">H128</f>
        <v>0</v>
      </c>
      <c r="J128" s="9">
        <f t="shared" ref="J128" ca="1" si="3346">I128</f>
        <v>0</v>
      </c>
      <c r="K128" s="9">
        <f t="shared" ref="K128" ca="1" si="3347">J128</f>
        <v>0</v>
      </c>
      <c r="L128" s="9">
        <f t="shared" ref="L128" ca="1" si="3348">K128</f>
        <v>0</v>
      </c>
      <c r="M128" s="9">
        <f t="shared" ref="M128" ca="1" si="3349">L128</f>
        <v>0</v>
      </c>
      <c r="N128" s="9">
        <f t="shared" ref="N128" ca="1" si="3350">M128</f>
        <v>0</v>
      </c>
      <c r="O128" s="9">
        <f t="shared" ref="O128" ca="1" si="3351">N128</f>
        <v>0</v>
      </c>
      <c r="P128" s="435">
        <f t="shared" ref="P128" ca="1" si="3352">O128</f>
        <v>0</v>
      </c>
      <c r="Q128" s="9">
        <f t="shared" ref="Q128" ca="1" si="3353">P128</f>
        <v>0</v>
      </c>
      <c r="R128" s="9">
        <f t="shared" ref="R128" ca="1" si="3354">Q128</f>
        <v>0</v>
      </c>
      <c r="S128" s="9">
        <f t="shared" ref="S128" ca="1" si="3355">R128</f>
        <v>0</v>
      </c>
      <c r="T128" s="9">
        <f t="shared" ref="T128" ca="1" si="3356">S128</f>
        <v>0</v>
      </c>
      <c r="U128" s="9">
        <f t="shared" ref="U128" ca="1" si="3357">T128</f>
        <v>0</v>
      </c>
      <c r="V128" s="9">
        <f t="shared" ref="V128" ca="1" si="3358">U128</f>
        <v>0</v>
      </c>
      <c r="W128" s="9">
        <f t="shared" ref="W128" ca="1" si="3359">V128</f>
        <v>0</v>
      </c>
      <c r="X128" s="9">
        <f t="shared" ref="X128" ca="1" si="3360">W128</f>
        <v>0</v>
      </c>
      <c r="Y128" s="9">
        <f t="shared" ref="Y128" ca="1" si="3361">X128</f>
        <v>0</v>
      </c>
      <c r="Z128" s="9">
        <f t="shared" ref="Z128" ca="1" si="3362">Y128</f>
        <v>0</v>
      </c>
      <c r="AA128" s="9">
        <f t="shared" ref="AA128" ca="1" si="3363">Z128</f>
        <v>0</v>
      </c>
      <c r="AB128" s="9">
        <f t="shared" ref="AB128" ca="1" si="3364">AA128</f>
        <v>0</v>
      </c>
      <c r="AC128" s="435">
        <f t="shared" ref="AC128" ca="1" si="3365">AB128</f>
        <v>0</v>
      </c>
      <c r="AD128" s="9">
        <f t="shared" ref="AD128" ca="1" si="3366">AC128</f>
        <v>0</v>
      </c>
      <c r="AE128" s="9">
        <f t="shared" ref="AE128" ca="1" si="3367">AD128</f>
        <v>0</v>
      </c>
      <c r="AF128" s="9">
        <f t="shared" ref="AF128" ca="1" si="3368">AE128</f>
        <v>0</v>
      </c>
      <c r="AG128" s="9">
        <f t="shared" ref="AG128" ca="1" si="3369">AF128</f>
        <v>0</v>
      </c>
      <c r="AH128" s="9">
        <f t="shared" ref="AH128" ca="1" si="3370">AG128</f>
        <v>0</v>
      </c>
      <c r="AI128" s="9">
        <f t="shared" ref="AI128" ca="1" si="3371">AH128</f>
        <v>0</v>
      </c>
      <c r="AJ128" s="9">
        <f t="shared" ref="AJ128" ca="1" si="3372">AI128</f>
        <v>0</v>
      </c>
      <c r="AK128" s="9">
        <f t="shared" ref="AK128" ca="1" si="3373">AJ128</f>
        <v>0</v>
      </c>
      <c r="AL128" s="9">
        <f t="shared" ref="AL128" ca="1" si="3374">AK128</f>
        <v>0</v>
      </c>
      <c r="AM128" s="9">
        <f t="shared" ref="AM128" ca="1" si="3375">AL128</f>
        <v>0</v>
      </c>
      <c r="AN128" s="9">
        <f t="shared" ref="AN128" ca="1" si="3376">AM128</f>
        <v>0</v>
      </c>
      <c r="AO128" s="9">
        <f t="shared" ref="AO128" ca="1" si="3377">AN128</f>
        <v>0</v>
      </c>
      <c r="AP128" s="435">
        <f t="shared" ref="AP128" ca="1" si="3378">AO128</f>
        <v>0</v>
      </c>
      <c r="AQ128" s="9">
        <f ca="1">AP128</f>
        <v>0</v>
      </c>
      <c r="AR128" s="9">
        <f t="shared" ref="AR128" ca="1" si="3379">AQ128</f>
        <v>0</v>
      </c>
      <c r="AS128" s="9">
        <f t="shared" ref="AS128" ca="1" si="3380">AR128</f>
        <v>0</v>
      </c>
      <c r="AT128" s="9">
        <f t="shared" ref="AT128" ca="1" si="3381">AS128</f>
        <v>0</v>
      </c>
      <c r="AU128" s="9">
        <f t="shared" ref="AU128" ca="1" si="3382">AT128</f>
        <v>0</v>
      </c>
      <c r="AV128" s="9">
        <f t="shared" ref="AV128" ca="1" si="3383">AU128</f>
        <v>0</v>
      </c>
      <c r="AW128" s="9">
        <f t="shared" ref="AW128" ca="1" si="3384">AV128</f>
        <v>0</v>
      </c>
      <c r="AX128" s="9">
        <f t="shared" ref="AX128" ca="1" si="3385">AW128</f>
        <v>0</v>
      </c>
      <c r="AY128" s="9">
        <f t="shared" ref="AY128" ca="1" si="3386">AX128</f>
        <v>0</v>
      </c>
      <c r="AZ128" s="9">
        <f t="shared" ref="AZ128" ca="1" si="3387">AY128</f>
        <v>0</v>
      </c>
      <c r="BA128" s="9">
        <f t="shared" ref="BA128" ca="1" si="3388">AZ128</f>
        <v>0</v>
      </c>
      <c r="BB128" s="9">
        <f t="shared" ref="BB128" ca="1" si="3389">BA128</f>
        <v>0</v>
      </c>
      <c r="BC128" s="435">
        <f t="shared" ref="BC128" ca="1" si="3390">BB128</f>
        <v>0</v>
      </c>
      <c r="BD128" s="9">
        <f t="shared" ref="BD128" ca="1" si="3391">BC128</f>
        <v>0</v>
      </c>
      <c r="BE128" s="9">
        <f t="shared" ref="BE128" ca="1" si="3392">BD128</f>
        <v>0</v>
      </c>
      <c r="BF128" s="9">
        <f t="shared" ref="BF128" ca="1" si="3393">BE128</f>
        <v>0</v>
      </c>
      <c r="BG128" s="9">
        <f t="shared" ref="BG128" ca="1" si="3394">BF128</f>
        <v>0</v>
      </c>
      <c r="BH128" s="9">
        <f t="shared" ref="BH128" ca="1" si="3395">BG128</f>
        <v>0</v>
      </c>
      <c r="BI128" s="9">
        <f t="shared" ref="BI128" ca="1" si="3396">BH128</f>
        <v>0</v>
      </c>
      <c r="BJ128" s="9">
        <f t="shared" ref="BJ128" ca="1" si="3397">BI128</f>
        <v>0</v>
      </c>
      <c r="BK128" s="9">
        <f t="shared" ref="BK128" ca="1" si="3398">BJ128</f>
        <v>0</v>
      </c>
      <c r="BL128" s="9">
        <f t="shared" ref="BL128" ca="1" si="3399">BK128</f>
        <v>0</v>
      </c>
      <c r="BM128" s="9">
        <f t="shared" ref="BM128" ca="1" si="3400">BL128</f>
        <v>0</v>
      </c>
      <c r="BN128" s="9">
        <f t="shared" ref="BN128" ca="1" si="3401">BM128</f>
        <v>0</v>
      </c>
      <c r="BO128" s="9">
        <f t="shared" ref="BO128" ca="1" si="3402">BN128</f>
        <v>0</v>
      </c>
      <c r="BP128" s="435">
        <f t="shared" ref="BP128" ca="1" si="3403">BO128</f>
        <v>0</v>
      </c>
      <c r="BQ128" s="9">
        <f t="shared" ref="BQ128" ca="1" si="3404">BP128</f>
        <v>0</v>
      </c>
      <c r="BR128" s="9">
        <f t="shared" ref="BR128" ca="1" si="3405">BQ128</f>
        <v>0</v>
      </c>
      <c r="BS128" s="9">
        <f t="shared" ref="BS128" ca="1" si="3406">BR128</f>
        <v>0</v>
      </c>
      <c r="BT128" s="9">
        <f t="shared" ref="BT128" ca="1" si="3407">BS128</f>
        <v>0</v>
      </c>
      <c r="BU128" s="9">
        <f t="shared" ref="BU128" ca="1" si="3408">BT128</f>
        <v>0</v>
      </c>
      <c r="BV128" s="9">
        <f t="shared" ref="BV128" ca="1" si="3409">BU128</f>
        <v>0</v>
      </c>
      <c r="BW128" s="9">
        <f t="shared" ref="BW128" ca="1" si="3410">BV128</f>
        <v>0</v>
      </c>
      <c r="BX128" s="9">
        <f t="shared" ref="BX128" ca="1" si="3411">BW128</f>
        <v>0</v>
      </c>
      <c r="BY128" s="9">
        <f t="shared" ref="BY128" ca="1" si="3412">BX128</f>
        <v>0</v>
      </c>
      <c r="BZ128" s="9">
        <f t="shared" ref="BZ128" ca="1" si="3413">BY128</f>
        <v>0</v>
      </c>
      <c r="CA128" s="9">
        <f t="shared" ref="CA128" ca="1" si="3414">BZ128</f>
        <v>0</v>
      </c>
      <c r="CB128" s="9">
        <f t="shared" ref="CB128" ca="1" si="3415">CA128</f>
        <v>0</v>
      </c>
      <c r="CC128" s="435">
        <f t="shared" ref="CC128" ca="1" si="3416">CB128</f>
        <v>0</v>
      </c>
      <c r="CD128" s="9">
        <f t="shared" ref="CD128" ca="1" si="3417">CC128</f>
        <v>0</v>
      </c>
      <c r="CE128" s="9">
        <f t="shared" ref="CE128" ca="1" si="3418">CD128</f>
        <v>0</v>
      </c>
      <c r="CF128" s="9">
        <f t="shared" ref="CF128" ca="1" si="3419">CE128</f>
        <v>0</v>
      </c>
      <c r="CG128" s="9">
        <f t="shared" ref="CG128" ca="1" si="3420">CF128</f>
        <v>0</v>
      </c>
      <c r="CH128" s="9">
        <f t="shared" ref="CH128" ca="1" si="3421">CG128</f>
        <v>0</v>
      </c>
      <c r="CI128" s="9">
        <f t="shared" ref="CI128" ca="1" si="3422">CH128</f>
        <v>0</v>
      </c>
      <c r="CJ128" s="9">
        <f t="shared" ref="CJ128" ca="1" si="3423">CI128</f>
        <v>0</v>
      </c>
      <c r="CK128" s="9">
        <f t="shared" ref="CK128" ca="1" si="3424">CJ128</f>
        <v>0</v>
      </c>
      <c r="CL128" s="9">
        <f t="shared" ref="CL128" ca="1" si="3425">CK128</f>
        <v>0</v>
      </c>
      <c r="CM128" s="9">
        <f t="shared" ref="CM128" ca="1" si="3426">CL128</f>
        <v>0</v>
      </c>
      <c r="CN128" s="9">
        <f t="shared" ref="CN128" ca="1" si="3427">CM128</f>
        <v>0</v>
      </c>
      <c r="CO128" s="9">
        <f t="shared" ref="CO128" ca="1" si="3428">CN128</f>
        <v>0</v>
      </c>
      <c r="CP128" s="435">
        <f t="shared" ref="CP128" ca="1" si="3429">CO128</f>
        <v>0</v>
      </c>
    </row>
    <row r="129" spans="1:94" ht="20.100000000000001" hidden="1" customHeight="1">
      <c r="A129" s="794"/>
      <c r="B129" s="255" t="s">
        <v>615</v>
      </c>
      <c r="C129" s="256">
        <f t="shared" ref="C129:O129" ca="1" si="3430">C127*C128</f>
        <v>0</v>
      </c>
      <c r="D129" s="255">
        <f t="shared" ca="1" si="3430"/>
        <v>0</v>
      </c>
      <c r="E129" s="255">
        <f t="shared" ca="1" si="3430"/>
        <v>0</v>
      </c>
      <c r="F129" s="255">
        <f t="shared" ca="1" si="3430"/>
        <v>0</v>
      </c>
      <c r="G129" s="255">
        <f t="shared" ca="1" si="3430"/>
        <v>0</v>
      </c>
      <c r="H129" s="255">
        <f t="shared" ca="1" si="3430"/>
        <v>0</v>
      </c>
      <c r="I129" s="255">
        <f t="shared" ca="1" si="3430"/>
        <v>0</v>
      </c>
      <c r="J129" s="255">
        <f t="shared" ca="1" si="3430"/>
        <v>0</v>
      </c>
      <c r="K129" s="255">
        <f t="shared" ca="1" si="3430"/>
        <v>0</v>
      </c>
      <c r="L129" s="255">
        <f t="shared" ca="1" si="3430"/>
        <v>0</v>
      </c>
      <c r="M129" s="255">
        <f t="shared" ca="1" si="3430"/>
        <v>0</v>
      </c>
      <c r="N129" s="255">
        <f t="shared" ca="1" si="3430"/>
        <v>0</v>
      </c>
      <c r="O129" s="255">
        <f t="shared" ca="1" si="3430"/>
        <v>0</v>
      </c>
      <c r="P129" s="434">
        <f ca="1">SUM(D129:O129)</f>
        <v>0</v>
      </c>
      <c r="Q129" s="255">
        <f t="shared" ref="Q129:AB129" ca="1" si="3431">Q127*Q128</f>
        <v>0</v>
      </c>
      <c r="R129" s="255">
        <f t="shared" ca="1" si="3431"/>
        <v>0</v>
      </c>
      <c r="S129" s="255">
        <f t="shared" ca="1" si="3431"/>
        <v>0</v>
      </c>
      <c r="T129" s="255">
        <f t="shared" ca="1" si="3431"/>
        <v>0</v>
      </c>
      <c r="U129" s="255">
        <f t="shared" ca="1" si="3431"/>
        <v>0</v>
      </c>
      <c r="V129" s="255">
        <f t="shared" ca="1" si="3431"/>
        <v>0</v>
      </c>
      <c r="W129" s="255">
        <f t="shared" ca="1" si="3431"/>
        <v>0</v>
      </c>
      <c r="X129" s="255">
        <f t="shared" ca="1" si="3431"/>
        <v>0</v>
      </c>
      <c r="Y129" s="255">
        <f t="shared" ca="1" si="3431"/>
        <v>0</v>
      </c>
      <c r="Z129" s="255">
        <f t="shared" ca="1" si="3431"/>
        <v>0</v>
      </c>
      <c r="AA129" s="255">
        <f t="shared" ca="1" si="3431"/>
        <v>0</v>
      </c>
      <c r="AB129" s="255">
        <f t="shared" ca="1" si="3431"/>
        <v>0</v>
      </c>
      <c r="AC129" s="434">
        <f ca="1">SUM(Q129:AB129)</f>
        <v>0</v>
      </c>
      <c r="AD129" s="255">
        <f t="shared" ref="AD129:AO129" ca="1" si="3432">AD127*AD128</f>
        <v>0</v>
      </c>
      <c r="AE129" s="255">
        <f t="shared" ca="1" si="3432"/>
        <v>0</v>
      </c>
      <c r="AF129" s="255">
        <f t="shared" ca="1" si="3432"/>
        <v>0</v>
      </c>
      <c r="AG129" s="255">
        <f t="shared" ca="1" si="3432"/>
        <v>0</v>
      </c>
      <c r="AH129" s="255">
        <f t="shared" ca="1" si="3432"/>
        <v>0</v>
      </c>
      <c r="AI129" s="255">
        <f t="shared" ca="1" si="3432"/>
        <v>0</v>
      </c>
      <c r="AJ129" s="255">
        <f t="shared" ca="1" si="3432"/>
        <v>0</v>
      </c>
      <c r="AK129" s="255">
        <f t="shared" ca="1" si="3432"/>
        <v>0</v>
      </c>
      <c r="AL129" s="255">
        <f t="shared" ca="1" si="3432"/>
        <v>0</v>
      </c>
      <c r="AM129" s="255">
        <f t="shared" ca="1" si="3432"/>
        <v>0</v>
      </c>
      <c r="AN129" s="255">
        <f t="shared" ca="1" si="3432"/>
        <v>0</v>
      </c>
      <c r="AO129" s="255">
        <f t="shared" ca="1" si="3432"/>
        <v>0</v>
      </c>
      <c r="AP129" s="434">
        <f ca="1">SUM(AD129:AO129)</f>
        <v>0</v>
      </c>
      <c r="AQ129" s="255">
        <f t="shared" ref="AQ129:BB129" ca="1" si="3433">AQ127*AQ128</f>
        <v>0</v>
      </c>
      <c r="AR129" s="255">
        <f t="shared" ca="1" si="3433"/>
        <v>0</v>
      </c>
      <c r="AS129" s="255">
        <f t="shared" ca="1" si="3433"/>
        <v>0</v>
      </c>
      <c r="AT129" s="255">
        <f t="shared" ca="1" si="3433"/>
        <v>0</v>
      </c>
      <c r="AU129" s="255">
        <f t="shared" ca="1" si="3433"/>
        <v>0</v>
      </c>
      <c r="AV129" s="255">
        <f t="shared" ca="1" si="3433"/>
        <v>0</v>
      </c>
      <c r="AW129" s="255">
        <f t="shared" ca="1" si="3433"/>
        <v>0</v>
      </c>
      <c r="AX129" s="255">
        <f t="shared" ca="1" si="3433"/>
        <v>0</v>
      </c>
      <c r="AY129" s="255">
        <f t="shared" ca="1" si="3433"/>
        <v>0</v>
      </c>
      <c r="AZ129" s="255">
        <f t="shared" ca="1" si="3433"/>
        <v>0</v>
      </c>
      <c r="BA129" s="255">
        <f t="shared" ca="1" si="3433"/>
        <v>0</v>
      </c>
      <c r="BB129" s="255">
        <f t="shared" ca="1" si="3433"/>
        <v>0</v>
      </c>
      <c r="BC129" s="434">
        <f ca="1">SUM(AQ129:BB129)</f>
        <v>0</v>
      </c>
      <c r="BD129" s="255">
        <f t="shared" ref="BD129:BO129" ca="1" si="3434">BD127*BD128</f>
        <v>0</v>
      </c>
      <c r="BE129" s="255">
        <f t="shared" ca="1" si="3434"/>
        <v>0</v>
      </c>
      <c r="BF129" s="255">
        <f t="shared" ca="1" si="3434"/>
        <v>0</v>
      </c>
      <c r="BG129" s="255">
        <f t="shared" ca="1" si="3434"/>
        <v>0</v>
      </c>
      <c r="BH129" s="255">
        <f t="shared" ca="1" si="3434"/>
        <v>0</v>
      </c>
      <c r="BI129" s="255">
        <f t="shared" ca="1" si="3434"/>
        <v>0</v>
      </c>
      <c r="BJ129" s="255">
        <f t="shared" ca="1" si="3434"/>
        <v>0</v>
      </c>
      <c r="BK129" s="255">
        <f t="shared" ca="1" si="3434"/>
        <v>0</v>
      </c>
      <c r="BL129" s="255">
        <f t="shared" ca="1" si="3434"/>
        <v>0</v>
      </c>
      <c r="BM129" s="255">
        <f t="shared" ca="1" si="3434"/>
        <v>0</v>
      </c>
      <c r="BN129" s="255">
        <f t="shared" ca="1" si="3434"/>
        <v>0</v>
      </c>
      <c r="BO129" s="255">
        <f t="shared" ca="1" si="3434"/>
        <v>0</v>
      </c>
      <c r="BP129" s="434">
        <f ca="1">SUM(BD129:BO129)</f>
        <v>0</v>
      </c>
      <c r="BQ129" s="255">
        <f t="shared" ref="BQ129:CB129" ca="1" si="3435">BQ127*BQ128</f>
        <v>0</v>
      </c>
      <c r="BR129" s="255">
        <f t="shared" ca="1" si="3435"/>
        <v>0</v>
      </c>
      <c r="BS129" s="255">
        <f t="shared" ca="1" si="3435"/>
        <v>0</v>
      </c>
      <c r="BT129" s="255">
        <f t="shared" ca="1" si="3435"/>
        <v>0</v>
      </c>
      <c r="BU129" s="255">
        <f t="shared" ca="1" si="3435"/>
        <v>0</v>
      </c>
      <c r="BV129" s="255">
        <f t="shared" ca="1" si="3435"/>
        <v>0</v>
      </c>
      <c r="BW129" s="255">
        <f t="shared" ca="1" si="3435"/>
        <v>0</v>
      </c>
      <c r="BX129" s="255">
        <f t="shared" ca="1" si="3435"/>
        <v>0</v>
      </c>
      <c r="BY129" s="255">
        <f t="shared" ca="1" si="3435"/>
        <v>0</v>
      </c>
      <c r="BZ129" s="255">
        <f t="shared" ca="1" si="3435"/>
        <v>0</v>
      </c>
      <c r="CA129" s="255">
        <f t="shared" ca="1" si="3435"/>
        <v>0</v>
      </c>
      <c r="CB129" s="255">
        <f t="shared" ca="1" si="3435"/>
        <v>0</v>
      </c>
      <c r="CC129" s="434">
        <f ca="1">SUM(BQ129:CB129)</f>
        <v>0</v>
      </c>
      <c r="CD129" s="255">
        <f t="shared" ref="CD129:CO129" ca="1" si="3436">CD127*CD128</f>
        <v>0</v>
      </c>
      <c r="CE129" s="255">
        <f t="shared" ca="1" si="3436"/>
        <v>0</v>
      </c>
      <c r="CF129" s="255">
        <f t="shared" ca="1" si="3436"/>
        <v>0</v>
      </c>
      <c r="CG129" s="255">
        <f t="shared" ca="1" si="3436"/>
        <v>0</v>
      </c>
      <c r="CH129" s="255">
        <f t="shared" ca="1" si="3436"/>
        <v>0</v>
      </c>
      <c r="CI129" s="255">
        <f t="shared" ca="1" si="3436"/>
        <v>0</v>
      </c>
      <c r="CJ129" s="255">
        <f t="shared" ca="1" si="3436"/>
        <v>0</v>
      </c>
      <c r="CK129" s="255">
        <f t="shared" ca="1" si="3436"/>
        <v>0</v>
      </c>
      <c r="CL129" s="255">
        <f t="shared" ca="1" si="3436"/>
        <v>0</v>
      </c>
      <c r="CM129" s="255">
        <f t="shared" ca="1" si="3436"/>
        <v>0</v>
      </c>
      <c r="CN129" s="255">
        <f t="shared" ca="1" si="3436"/>
        <v>0</v>
      </c>
      <c r="CO129" s="255">
        <f t="shared" ca="1" si="3436"/>
        <v>0</v>
      </c>
      <c r="CP129" s="434">
        <f ca="1">SUM(CD129:CO129)</f>
        <v>0</v>
      </c>
    </row>
    <row r="130" spans="1:94" ht="20.100000000000001" hidden="1" customHeight="1">
      <c r="A130" s="792">
        <f ca="1">OFFSET('Summary. Assumptions. Inputs'!$A$45,'Internmediate sheet'!A35/3,0)</f>
        <v>0</v>
      </c>
      <c r="B130" s="19" t="s">
        <v>613</v>
      </c>
      <c r="C130" s="20">
        <f ca="1">OFFSET('Sales, Production, &amp; Other Assu'!C$54,'Internmediate sheet'!$A35/3,0)*Capacity</f>
        <v>0</v>
      </c>
      <c r="D130" s="19">
        <f ca="1">OFFSET('Sales, Production, &amp; Other Assu'!D$54,'Internmediate sheet'!$A35/3,0)*Capacity</f>
        <v>0</v>
      </c>
      <c r="E130" s="19">
        <f ca="1">OFFSET('Sales, Production, &amp; Other Assu'!E$54,'Internmediate sheet'!$A35/3,0)*Capacity</f>
        <v>0</v>
      </c>
      <c r="F130" s="19">
        <f ca="1">OFFSET('Sales, Production, &amp; Other Assu'!F$54,'Internmediate sheet'!$A35/3,0)*Capacity</f>
        <v>0</v>
      </c>
      <c r="G130" s="19">
        <f ca="1">OFFSET('Sales, Production, &amp; Other Assu'!G$54,'Internmediate sheet'!$A35/3,0)*Capacity</f>
        <v>0</v>
      </c>
      <c r="H130" s="19">
        <f ca="1">OFFSET('Sales, Production, &amp; Other Assu'!H$54,'Internmediate sheet'!$A35/3,0)*Capacity</f>
        <v>0</v>
      </c>
      <c r="I130" s="19">
        <f ca="1">OFFSET('Sales, Production, &amp; Other Assu'!I$54,'Internmediate sheet'!$A35/3,0)*Capacity</f>
        <v>0</v>
      </c>
      <c r="J130" s="19">
        <f ca="1">OFFSET('Sales, Production, &amp; Other Assu'!J$54,'Internmediate sheet'!$A35/3,0)*Capacity</f>
        <v>0</v>
      </c>
      <c r="K130" s="19">
        <f ca="1">OFFSET('Sales, Production, &amp; Other Assu'!K$54,'Internmediate sheet'!$A35/3,0)*Capacity</f>
        <v>0</v>
      </c>
      <c r="L130" s="19">
        <f ca="1">OFFSET('Sales, Production, &amp; Other Assu'!L$54,'Internmediate sheet'!$A35/3,0)*Capacity</f>
        <v>0</v>
      </c>
      <c r="M130" s="19">
        <f ca="1">OFFSET('Sales, Production, &amp; Other Assu'!M$54,'Internmediate sheet'!$A35/3,0)*Capacity</f>
        <v>0</v>
      </c>
      <c r="N130" s="19">
        <f ca="1">OFFSET('Sales, Production, &amp; Other Assu'!N$54,'Internmediate sheet'!$A35/3,0)*Capacity</f>
        <v>0</v>
      </c>
      <c r="O130" s="19">
        <f ca="1">OFFSET('Sales, Production, &amp; Other Assu'!O$54,'Internmediate sheet'!$A35/3,0)*Capacity</f>
        <v>0</v>
      </c>
      <c r="P130" s="434">
        <f ca="1">SUM(D130:O130)</f>
        <v>0</v>
      </c>
      <c r="Q130" s="19">
        <f ca="1">OFFSET('Sales, Production, &amp; Other Assu'!Q$54,'Internmediate sheet'!$A35/3,0)*Capacity</f>
        <v>0</v>
      </c>
      <c r="R130" s="19">
        <f ca="1">OFFSET('Sales, Production, &amp; Other Assu'!R$54,'Internmediate sheet'!$A35/3,0)*Capacity</f>
        <v>0</v>
      </c>
      <c r="S130" s="19">
        <f ca="1">OFFSET('Sales, Production, &amp; Other Assu'!S$54,'Internmediate sheet'!$A35/3,0)*Capacity</f>
        <v>0</v>
      </c>
      <c r="T130" s="19">
        <f ca="1">OFFSET('Sales, Production, &amp; Other Assu'!T$54,'Internmediate sheet'!$A35/3,0)*Capacity</f>
        <v>0</v>
      </c>
      <c r="U130" s="19">
        <f ca="1">OFFSET('Sales, Production, &amp; Other Assu'!U$54,'Internmediate sheet'!$A35/3,0)*Capacity</f>
        <v>0</v>
      </c>
      <c r="V130" s="19">
        <f ca="1">OFFSET('Sales, Production, &amp; Other Assu'!V$54,'Internmediate sheet'!$A35/3,0)*Capacity</f>
        <v>0</v>
      </c>
      <c r="W130" s="19">
        <f ca="1">OFFSET('Sales, Production, &amp; Other Assu'!W$54,'Internmediate sheet'!$A35/3,0)*Capacity</f>
        <v>0</v>
      </c>
      <c r="X130" s="19">
        <f ca="1">OFFSET('Sales, Production, &amp; Other Assu'!X$54,'Internmediate sheet'!$A35/3,0)*Capacity</f>
        <v>0</v>
      </c>
      <c r="Y130" s="19">
        <f ca="1">OFFSET('Sales, Production, &amp; Other Assu'!Y$54,'Internmediate sheet'!$A35/3,0)*Capacity</f>
        <v>0</v>
      </c>
      <c r="Z130" s="19">
        <f ca="1">OFFSET('Sales, Production, &amp; Other Assu'!Z$54,'Internmediate sheet'!$A35/3,0)*Capacity</f>
        <v>0</v>
      </c>
      <c r="AA130" s="19">
        <f ca="1">OFFSET('Sales, Production, &amp; Other Assu'!AA$54,'Internmediate sheet'!$A35/3,0)*Capacity</f>
        <v>0</v>
      </c>
      <c r="AB130" s="19">
        <f ca="1">OFFSET('Sales, Production, &amp; Other Assu'!AB$54,'Internmediate sheet'!$A35/3,0)*Capacity</f>
        <v>0</v>
      </c>
      <c r="AC130" s="434">
        <f ca="1">SUM(Q130:AB130)</f>
        <v>0</v>
      </c>
      <c r="AD130" s="19">
        <f ca="1">OFFSET('Sales, Production, &amp; Other Assu'!AD$54,'Internmediate sheet'!$A35/3,0)*Capacity</f>
        <v>0</v>
      </c>
      <c r="AE130" s="19">
        <f ca="1">OFFSET('Sales, Production, &amp; Other Assu'!AE$54,'Internmediate sheet'!$A35/3,0)*Capacity</f>
        <v>0</v>
      </c>
      <c r="AF130" s="19">
        <f ca="1">OFFSET('Sales, Production, &amp; Other Assu'!AF$54,'Internmediate sheet'!$A35/3,0)*Capacity</f>
        <v>0</v>
      </c>
      <c r="AG130" s="19">
        <f ca="1">OFFSET('Sales, Production, &amp; Other Assu'!AG$54,'Internmediate sheet'!$A35/3,0)*Capacity</f>
        <v>0</v>
      </c>
      <c r="AH130" s="19">
        <f ca="1">OFFSET('Sales, Production, &amp; Other Assu'!AH$54,'Internmediate sheet'!$A35/3,0)*Capacity</f>
        <v>0</v>
      </c>
      <c r="AI130" s="19">
        <f ca="1">OFFSET('Sales, Production, &amp; Other Assu'!AI$54,'Internmediate sheet'!$A35/3,0)*Capacity</f>
        <v>0</v>
      </c>
      <c r="AJ130" s="19">
        <f ca="1">OFFSET('Sales, Production, &amp; Other Assu'!AJ$54,'Internmediate sheet'!$A35/3,0)*Capacity</f>
        <v>0</v>
      </c>
      <c r="AK130" s="19">
        <f ca="1">OFFSET('Sales, Production, &amp; Other Assu'!AK$54,'Internmediate sheet'!$A35/3,0)*Capacity</f>
        <v>0</v>
      </c>
      <c r="AL130" s="19">
        <f ca="1">OFFSET('Sales, Production, &amp; Other Assu'!AL$54,'Internmediate sheet'!$A35/3,0)*Capacity</f>
        <v>0</v>
      </c>
      <c r="AM130" s="19">
        <f ca="1">OFFSET('Sales, Production, &amp; Other Assu'!AM$54,'Internmediate sheet'!$A35/3,0)*Capacity</f>
        <v>0</v>
      </c>
      <c r="AN130" s="19">
        <f ca="1">OFFSET('Sales, Production, &amp; Other Assu'!AN$54,'Internmediate sheet'!$A35/3,0)*Capacity</f>
        <v>0</v>
      </c>
      <c r="AO130" s="19">
        <f ca="1">OFFSET('Sales, Production, &amp; Other Assu'!AO$54,'Internmediate sheet'!$A35/3,0)*Capacity</f>
        <v>0</v>
      </c>
      <c r="AP130" s="434">
        <f ca="1">SUM(AD130:AO130)</f>
        <v>0</v>
      </c>
      <c r="AQ130" s="19">
        <f ca="1">OFFSET('Sales, Production, &amp; Other Assu'!AQ$54,'Internmediate sheet'!$A35/3,0)*Capacity</f>
        <v>0</v>
      </c>
      <c r="AR130" s="19">
        <f ca="1">OFFSET('Sales, Production, &amp; Other Assu'!AR$54,'Internmediate sheet'!$A35/3,0)*Capacity</f>
        <v>0</v>
      </c>
      <c r="AS130" s="19">
        <f ca="1">OFFSET('Sales, Production, &amp; Other Assu'!AS$54,'Internmediate sheet'!$A35/3,0)*Capacity</f>
        <v>0</v>
      </c>
      <c r="AT130" s="19">
        <f ca="1">OFFSET('Sales, Production, &amp; Other Assu'!AT$54,'Internmediate sheet'!$A35/3,0)*Capacity</f>
        <v>0</v>
      </c>
      <c r="AU130" s="19">
        <f ca="1">OFFSET('Sales, Production, &amp; Other Assu'!AU$54,'Internmediate sheet'!$A35/3,0)*Capacity</f>
        <v>0</v>
      </c>
      <c r="AV130" s="19">
        <f ca="1">OFFSET('Sales, Production, &amp; Other Assu'!AV$54,'Internmediate sheet'!$A35/3,0)*Capacity</f>
        <v>0</v>
      </c>
      <c r="AW130" s="19">
        <f ca="1">OFFSET('Sales, Production, &amp; Other Assu'!AW$54,'Internmediate sheet'!$A35/3,0)*Capacity</f>
        <v>0</v>
      </c>
      <c r="AX130" s="19">
        <f ca="1">OFFSET('Sales, Production, &amp; Other Assu'!AX$54,'Internmediate sheet'!$A35/3,0)*Capacity</f>
        <v>0</v>
      </c>
      <c r="AY130" s="19">
        <f ca="1">OFFSET('Sales, Production, &amp; Other Assu'!AY$54,'Internmediate sheet'!$A35/3,0)*Capacity</f>
        <v>0</v>
      </c>
      <c r="AZ130" s="19">
        <f ca="1">OFFSET('Sales, Production, &amp; Other Assu'!AZ$54,'Internmediate sheet'!$A35/3,0)*Capacity</f>
        <v>0</v>
      </c>
      <c r="BA130" s="19">
        <f ca="1">OFFSET('Sales, Production, &amp; Other Assu'!BA$54,'Internmediate sheet'!$A35/3,0)*Capacity</f>
        <v>0</v>
      </c>
      <c r="BB130" s="19">
        <f ca="1">OFFSET('Sales, Production, &amp; Other Assu'!BB$54,'Internmediate sheet'!$A35/3,0)*Capacity</f>
        <v>0</v>
      </c>
      <c r="BC130" s="434">
        <f ca="1">SUM(AQ130:BB130)</f>
        <v>0</v>
      </c>
      <c r="BD130" s="19">
        <f ca="1">OFFSET('Sales, Production, &amp; Other Assu'!BD$54,'Internmediate sheet'!$A35/3,0)*Capacity</f>
        <v>0</v>
      </c>
      <c r="BE130" s="19">
        <f ca="1">OFFSET('Sales, Production, &amp; Other Assu'!BE$54,'Internmediate sheet'!$A35/3,0)*Capacity</f>
        <v>0</v>
      </c>
      <c r="BF130" s="19">
        <f ca="1">OFFSET('Sales, Production, &amp; Other Assu'!BF$54,'Internmediate sheet'!$A35/3,0)*Capacity</f>
        <v>0</v>
      </c>
      <c r="BG130" s="19">
        <f ca="1">OFFSET('Sales, Production, &amp; Other Assu'!BG$54,'Internmediate sheet'!$A35/3,0)*Capacity</f>
        <v>0</v>
      </c>
      <c r="BH130" s="19">
        <f ca="1">OFFSET('Sales, Production, &amp; Other Assu'!BH$54,'Internmediate sheet'!$A35/3,0)*Capacity</f>
        <v>0</v>
      </c>
      <c r="BI130" s="19">
        <f ca="1">OFFSET('Sales, Production, &amp; Other Assu'!BI$54,'Internmediate sheet'!$A35/3,0)*Capacity</f>
        <v>0</v>
      </c>
      <c r="BJ130" s="19">
        <f ca="1">OFFSET('Sales, Production, &amp; Other Assu'!BJ$54,'Internmediate sheet'!$A35/3,0)*Capacity</f>
        <v>0</v>
      </c>
      <c r="BK130" s="19">
        <f ca="1">OFFSET('Sales, Production, &amp; Other Assu'!BK$54,'Internmediate sheet'!$A35/3,0)*Capacity</f>
        <v>0</v>
      </c>
      <c r="BL130" s="19">
        <f ca="1">OFFSET('Sales, Production, &amp; Other Assu'!BL$54,'Internmediate sheet'!$A35/3,0)*Capacity</f>
        <v>0</v>
      </c>
      <c r="BM130" s="19">
        <f ca="1">OFFSET('Sales, Production, &amp; Other Assu'!BM$54,'Internmediate sheet'!$A35/3,0)*Capacity</f>
        <v>0</v>
      </c>
      <c r="BN130" s="19">
        <f ca="1">OFFSET('Sales, Production, &amp; Other Assu'!BN$54,'Internmediate sheet'!$A35/3,0)*Capacity</f>
        <v>0</v>
      </c>
      <c r="BO130" s="19">
        <f ca="1">OFFSET('Sales, Production, &amp; Other Assu'!BO$54,'Internmediate sheet'!$A35/3,0)*Capacity</f>
        <v>0</v>
      </c>
      <c r="BP130" s="434">
        <f ca="1">SUM(BD130:BO130)</f>
        <v>0</v>
      </c>
      <c r="BQ130" s="19">
        <f ca="1">OFFSET('Sales, Production, &amp; Other Assu'!BQ$54,'Internmediate sheet'!$A35/3,0)*Capacity</f>
        <v>0</v>
      </c>
      <c r="BR130" s="19">
        <f ca="1">OFFSET('Sales, Production, &amp; Other Assu'!BR$54,'Internmediate sheet'!$A35/3,0)*Capacity</f>
        <v>0</v>
      </c>
      <c r="BS130" s="19">
        <f ca="1">OFFSET('Sales, Production, &amp; Other Assu'!BS$54,'Internmediate sheet'!$A35/3,0)*Capacity</f>
        <v>0</v>
      </c>
      <c r="BT130" s="19">
        <f ca="1">OFFSET('Sales, Production, &amp; Other Assu'!BT$54,'Internmediate sheet'!$A35/3,0)*Capacity</f>
        <v>0</v>
      </c>
      <c r="BU130" s="19">
        <f ca="1">OFFSET('Sales, Production, &amp; Other Assu'!BU$54,'Internmediate sheet'!$A35/3,0)*Capacity</f>
        <v>0</v>
      </c>
      <c r="BV130" s="19">
        <f ca="1">OFFSET('Sales, Production, &amp; Other Assu'!BV$54,'Internmediate sheet'!$A35/3,0)*Capacity</f>
        <v>0</v>
      </c>
      <c r="BW130" s="19">
        <f ca="1">OFFSET('Sales, Production, &amp; Other Assu'!BW$54,'Internmediate sheet'!$A35/3,0)*Capacity</f>
        <v>0</v>
      </c>
      <c r="BX130" s="19">
        <f ca="1">OFFSET('Sales, Production, &amp; Other Assu'!BX$54,'Internmediate sheet'!$A35/3,0)*Capacity</f>
        <v>0</v>
      </c>
      <c r="BY130" s="19">
        <f ca="1">OFFSET('Sales, Production, &amp; Other Assu'!BY$54,'Internmediate sheet'!$A35/3,0)*Capacity</f>
        <v>0</v>
      </c>
      <c r="BZ130" s="19">
        <f ca="1">OFFSET('Sales, Production, &amp; Other Assu'!BZ$54,'Internmediate sheet'!$A35/3,0)*Capacity</f>
        <v>0</v>
      </c>
      <c r="CA130" s="19">
        <f ca="1">OFFSET('Sales, Production, &amp; Other Assu'!CA$54,'Internmediate sheet'!$A35/3,0)*Capacity</f>
        <v>0</v>
      </c>
      <c r="CB130" s="19">
        <f ca="1">OFFSET('Sales, Production, &amp; Other Assu'!CB$54,'Internmediate sheet'!$A35/3,0)*Capacity</f>
        <v>0</v>
      </c>
      <c r="CC130" s="434">
        <f ca="1">SUM(BQ130:CB130)</f>
        <v>0</v>
      </c>
      <c r="CD130" s="19">
        <f ca="1">OFFSET('Sales, Production, &amp; Other Assu'!CD$54,'Internmediate sheet'!$A35/3,0)*Capacity</f>
        <v>0</v>
      </c>
      <c r="CE130" s="19">
        <f ca="1">OFFSET('Sales, Production, &amp; Other Assu'!CE$54,'Internmediate sheet'!$A35/3,0)*Capacity</f>
        <v>0</v>
      </c>
      <c r="CF130" s="19">
        <f ca="1">OFFSET('Sales, Production, &amp; Other Assu'!CF$54,'Internmediate sheet'!$A35/3,0)*Capacity</f>
        <v>0</v>
      </c>
      <c r="CG130" s="19">
        <f ca="1">OFFSET('Sales, Production, &amp; Other Assu'!CG$54,'Internmediate sheet'!$A35/3,0)*Capacity</f>
        <v>0</v>
      </c>
      <c r="CH130" s="19">
        <f ca="1">OFFSET('Sales, Production, &amp; Other Assu'!CH$54,'Internmediate sheet'!$A35/3,0)*Capacity</f>
        <v>0</v>
      </c>
      <c r="CI130" s="19">
        <f ca="1">OFFSET('Sales, Production, &amp; Other Assu'!CI$54,'Internmediate sheet'!$A35/3,0)*Capacity</f>
        <v>0</v>
      </c>
      <c r="CJ130" s="19">
        <f ca="1">OFFSET('Sales, Production, &amp; Other Assu'!CJ$54,'Internmediate sheet'!$A35/3,0)*Capacity</f>
        <v>0</v>
      </c>
      <c r="CK130" s="19">
        <f ca="1">OFFSET('Sales, Production, &amp; Other Assu'!CK$54,'Internmediate sheet'!$A35/3,0)*Capacity</f>
        <v>0</v>
      </c>
      <c r="CL130" s="19">
        <f ca="1">OFFSET('Sales, Production, &amp; Other Assu'!CL$54,'Internmediate sheet'!$A35/3,0)*Capacity</f>
        <v>0</v>
      </c>
      <c r="CM130" s="19">
        <f ca="1">OFFSET('Sales, Production, &amp; Other Assu'!CM$54,'Internmediate sheet'!$A35/3,0)*Capacity</f>
        <v>0</v>
      </c>
      <c r="CN130" s="19">
        <f ca="1">OFFSET('Sales, Production, &amp; Other Assu'!CN$54,'Internmediate sheet'!$A35/3,0)*Capacity</f>
        <v>0</v>
      </c>
      <c r="CO130" s="19">
        <f ca="1">OFFSET('Sales, Production, &amp; Other Assu'!CO$54,'Internmediate sheet'!$A35/3,0)*Capacity</f>
        <v>0</v>
      </c>
      <c r="CP130" s="434">
        <f ca="1">SUM(CD130:CO130)</f>
        <v>0</v>
      </c>
    </row>
    <row r="131" spans="1:94" ht="20.100000000000001" hidden="1" customHeight="1">
      <c r="A131" s="793"/>
      <c r="B131" s="9" t="s">
        <v>614</v>
      </c>
      <c r="C131" s="10">
        <f ca="1">OFFSET('BEP. &amp; Summary Results'!$C$6,'Internmediate sheet'!A32/3,0)</f>
        <v>0</v>
      </c>
      <c r="D131" s="9">
        <f t="shared" ref="D131" ca="1" si="3437">C131</f>
        <v>0</v>
      </c>
      <c r="E131" s="9">
        <f t="shared" ref="E131" ca="1" si="3438">D131</f>
        <v>0</v>
      </c>
      <c r="F131" s="9">
        <f t="shared" ref="F131" ca="1" si="3439">E131</f>
        <v>0</v>
      </c>
      <c r="G131" s="9">
        <f t="shared" ref="G131" ca="1" si="3440">F131</f>
        <v>0</v>
      </c>
      <c r="H131" s="9">
        <f t="shared" ref="H131" ca="1" si="3441">G131</f>
        <v>0</v>
      </c>
      <c r="I131" s="9">
        <f t="shared" ref="I131" ca="1" si="3442">H131</f>
        <v>0</v>
      </c>
      <c r="J131" s="9">
        <f t="shared" ref="J131" ca="1" si="3443">I131</f>
        <v>0</v>
      </c>
      <c r="K131" s="9">
        <f t="shared" ref="K131" ca="1" si="3444">J131</f>
        <v>0</v>
      </c>
      <c r="L131" s="9">
        <f t="shared" ref="L131" ca="1" si="3445">K131</f>
        <v>0</v>
      </c>
      <c r="M131" s="9">
        <f t="shared" ref="M131" ca="1" si="3446">L131</f>
        <v>0</v>
      </c>
      <c r="N131" s="9">
        <f t="shared" ref="N131" ca="1" si="3447">M131</f>
        <v>0</v>
      </c>
      <c r="O131" s="9">
        <f t="shared" ref="O131" ca="1" si="3448">N131</f>
        <v>0</v>
      </c>
      <c r="P131" s="435">
        <f t="shared" ref="P131" ca="1" si="3449">O131</f>
        <v>0</v>
      </c>
      <c r="Q131" s="9">
        <f t="shared" ref="Q131" ca="1" si="3450">P131</f>
        <v>0</v>
      </c>
      <c r="R131" s="9">
        <f t="shared" ref="R131" ca="1" si="3451">Q131</f>
        <v>0</v>
      </c>
      <c r="S131" s="9">
        <f t="shared" ref="S131" ca="1" si="3452">R131</f>
        <v>0</v>
      </c>
      <c r="T131" s="9">
        <f t="shared" ref="T131" ca="1" si="3453">S131</f>
        <v>0</v>
      </c>
      <c r="U131" s="9">
        <f t="shared" ref="U131" ca="1" si="3454">T131</f>
        <v>0</v>
      </c>
      <c r="V131" s="9">
        <f t="shared" ref="V131" ca="1" si="3455">U131</f>
        <v>0</v>
      </c>
      <c r="W131" s="9">
        <f t="shared" ref="W131" ca="1" si="3456">V131</f>
        <v>0</v>
      </c>
      <c r="X131" s="9">
        <f t="shared" ref="X131" ca="1" si="3457">W131</f>
        <v>0</v>
      </c>
      <c r="Y131" s="9">
        <f t="shared" ref="Y131" ca="1" si="3458">X131</f>
        <v>0</v>
      </c>
      <c r="Z131" s="9">
        <f t="shared" ref="Z131" ca="1" si="3459">Y131</f>
        <v>0</v>
      </c>
      <c r="AA131" s="9">
        <f t="shared" ref="AA131" ca="1" si="3460">Z131</f>
        <v>0</v>
      </c>
      <c r="AB131" s="9">
        <f t="shared" ref="AB131" ca="1" si="3461">AA131</f>
        <v>0</v>
      </c>
      <c r="AC131" s="435">
        <f t="shared" ref="AC131" ca="1" si="3462">AB131</f>
        <v>0</v>
      </c>
      <c r="AD131" s="9">
        <f t="shared" ref="AD131" ca="1" si="3463">AC131</f>
        <v>0</v>
      </c>
      <c r="AE131" s="9">
        <f t="shared" ref="AE131" ca="1" si="3464">AD131</f>
        <v>0</v>
      </c>
      <c r="AF131" s="9">
        <f t="shared" ref="AF131" ca="1" si="3465">AE131</f>
        <v>0</v>
      </c>
      <c r="AG131" s="9">
        <f t="shared" ref="AG131" ca="1" si="3466">AF131</f>
        <v>0</v>
      </c>
      <c r="AH131" s="9">
        <f t="shared" ref="AH131" ca="1" si="3467">AG131</f>
        <v>0</v>
      </c>
      <c r="AI131" s="9">
        <f t="shared" ref="AI131" ca="1" si="3468">AH131</f>
        <v>0</v>
      </c>
      <c r="AJ131" s="9">
        <f t="shared" ref="AJ131" ca="1" si="3469">AI131</f>
        <v>0</v>
      </c>
      <c r="AK131" s="9">
        <f t="shared" ref="AK131" ca="1" si="3470">AJ131</f>
        <v>0</v>
      </c>
      <c r="AL131" s="9">
        <f t="shared" ref="AL131" ca="1" si="3471">AK131</f>
        <v>0</v>
      </c>
      <c r="AM131" s="9">
        <f t="shared" ref="AM131" ca="1" si="3472">AL131</f>
        <v>0</v>
      </c>
      <c r="AN131" s="9">
        <f t="shared" ref="AN131" ca="1" si="3473">AM131</f>
        <v>0</v>
      </c>
      <c r="AO131" s="9">
        <f t="shared" ref="AO131" ca="1" si="3474">AN131</f>
        <v>0</v>
      </c>
      <c r="AP131" s="435">
        <f t="shared" ref="AP131" ca="1" si="3475">AO131</f>
        <v>0</v>
      </c>
      <c r="AQ131" s="9">
        <f ca="1">AP131</f>
        <v>0</v>
      </c>
      <c r="AR131" s="9">
        <f t="shared" ref="AR131" ca="1" si="3476">AQ131</f>
        <v>0</v>
      </c>
      <c r="AS131" s="9">
        <f t="shared" ref="AS131" ca="1" si="3477">AR131</f>
        <v>0</v>
      </c>
      <c r="AT131" s="9">
        <f t="shared" ref="AT131" ca="1" si="3478">AS131</f>
        <v>0</v>
      </c>
      <c r="AU131" s="9">
        <f t="shared" ref="AU131" ca="1" si="3479">AT131</f>
        <v>0</v>
      </c>
      <c r="AV131" s="9">
        <f t="shared" ref="AV131" ca="1" si="3480">AU131</f>
        <v>0</v>
      </c>
      <c r="AW131" s="9">
        <f t="shared" ref="AW131" ca="1" si="3481">AV131</f>
        <v>0</v>
      </c>
      <c r="AX131" s="9">
        <f t="shared" ref="AX131" ca="1" si="3482">AW131</f>
        <v>0</v>
      </c>
      <c r="AY131" s="9">
        <f t="shared" ref="AY131" ca="1" si="3483">AX131</f>
        <v>0</v>
      </c>
      <c r="AZ131" s="9">
        <f t="shared" ref="AZ131" ca="1" si="3484">AY131</f>
        <v>0</v>
      </c>
      <c r="BA131" s="9">
        <f t="shared" ref="BA131" ca="1" si="3485">AZ131</f>
        <v>0</v>
      </c>
      <c r="BB131" s="9">
        <f t="shared" ref="BB131" ca="1" si="3486">BA131</f>
        <v>0</v>
      </c>
      <c r="BC131" s="435">
        <f t="shared" ref="BC131" ca="1" si="3487">BB131</f>
        <v>0</v>
      </c>
      <c r="BD131" s="9">
        <f t="shared" ref="BD131" ca="1" si="3488">BC131</f>
        <v>0</v>
      </c>
      <c r="BE131" s="9">
        <f t="shared" ref="BE131" ca="1" si="3489">BD131</f>
        <v>0</v>
      </c>
      <c r="BF131" s="9">
        <f t="shared" ref="BF131" ca="1" si="3490">BE131</f>
        <v>0</v>
      </c>
      <c r="BG131" s="9">
        <f t="shared" ref="BG131" ca="1" si="3491">BF131</f>
        <v>0</v>
      </c>
      <c r="BH131" s="9">
        <f t="shared" ref="BH131" ca="1" si="3492">BG131</f>
        <v>0</v>
      </c>
      <c r="BI131" s="9">
        <f t="shared" ref="BI131" ca="1" si="3493">BH131</f>
        <v>0</v>
      </c>
      <c r="BJ131" s="9">
        <f t="shared" ref="BJ131" ca="1" si="3494">BI131</f>
        <v>0</v>
      </c>
      <c r="BK131" s="9">
        <f t="shared" ref="BK131" ca="1" si="3495">BJ131</f>
        <v>0</v>
      </c>
      <c r="BL131" s="9">
        <f t="shared" ref="BL131" ca="1" si="3496">BK131</f>
        <v>0</v>
      </c>
      <c r="BM131" s="9">
        <f t="shared" ref="BM131" ca="1" si="3497">BL131</f>
        <v>0</v>
      </c>
      <c r="BN131" s="9">
        <f t="shared" ref="BN131" ca="1" si="3498">BM131</f>
        <v>0</v>
      </c>
      <c r="BO131" s="9">
        <f t="shared" ref="BO131" ca="1" si="3499">BN131</f>
        <v>0</v>
      </c>
      <c r="BP131" s="435">
        <f t="shared" ref="BP131" ca="1" si="3500">BO131</f>
        <v>0</v>
      </c>
      <c r="BQ131" s="9">
        <f t="shared" ref="BQ131" ca="1" si="3501">BP131</f>
        <v>0</v>
      </c>
      <c r="BR131" s="9">
        <f t="shared" ref="BR131" ca="1" si="3502">BQ131</f>
        <v>0</v>
      </c>
      <c r="BS131" s="9">
        <f t="shared" ref="BS131" ca="1" si="3503">BR131</f>
        <v>0</v>
      </c>
      <c r="BT131" s="9">
        <f t="shared" ref="BT131" ca="1" si="3504">BS131</f>
        <v>0</v>
      </c>
      <c r="BU131" s="9">
        <f t="shared" ref="BU131" ca="1" si="3505">BT131</f>
        <v>0</v>
      </c>
      <c r="BV131" s="9">
        <f t="shared" ref="BV131" ca="1" si="3506">BU131</f>
        <v>0</v>
      </c>
      <c r="BW131" s="9">
        <f t="shared" ref="BW131" ca="1" si="3507">BV131</f>
        <v>0</v>
      </c>
      <c r="BX131" s="9">
        <f t="shared" ref="BX131" ca="1" si="3508">BW131</f>
        <v>0</v>
      </c>
      <c r="BY131" s="9">
        <f t="shared" ref="BY131" ca="1" si="3509">BX131</f>
        <v>0</v>
      </c>
      <c r="BZ131" s="9">
        <f t="shared" ref="BZ131" ca="1" si="3510">BY131</f>
        <v>0</v>
      </c>
      <c r="CA131" s="9">
        <f t="shared" ref="CA131" ca="1" si="3511">BZ131</f>
        <v>0</v>
      </c>
      <c r="CB131" s="9">
        <f t="shared" ref="CB131" ca="1" si="3512">CA131</f>
        <v>0</v>
      </c>
      <c r="CC131" s="435">
        <f t="shared" ref="CC131" ca="1" si="3513">CB131</f>
        <v>0</v>
      </c>
      <c r="CD131" s="9">
        <f t="shared" ref="CD131" ca="1" si="3514">CC131</f>
        <v>0</v>
      </c>
      <c r="CE131" s="9">
        <f t="shared" ref="CE131" ca="1" si="3515">CD131</f>
        <v>0</v>
      </c>
      <c r="CF131" s="9">
        <f t="shared" ref="CF131" ca="1" si="3516">CE131</f>
        <v>0</v>
      </c>
      <c r="CG131" s="9">
        <f t="shared" ref="CG131" ca="1" si="3517">CF131</f>
        <v>0</v>
      </c>
      <c r="CH131" s="9">
        <f t="shared" ref="CH131" ca="1" si="3518">CG131</f>
        <v>0</v>
      </c>
      <c r="CI131" s="9">
        <f t="shared" ref="CI131" ca="1" si="3519">CH131</f>
        <v>0</v>
      </c>
      <c r="CJ131" s="9">
        <f t="shared" ref="CJ131" ca="1" si="3520">CI131</f>
        <v>0</v>
      </c>
      <c r="CK131" s="9">
        <f t="shared" ref="CK131" ca="1" si="3521">CJ131</f>
        <v>0</v>
      </c>
      <c r="CL131" s="9">
        <f t="shared" ref="CL131" ca="1" si="3522">CK131</f>
        <v>0</v>
      </c>
      <c r="CM131" s="9">
        <f t="shared" ref="CM131" ca="1" si="3523">CL131</f>
        <v>0</v>
      </c>
      <c r="CN131" s="9">
        <f t="shared" ref="CN131" ca="1" si="3524">CM131</f>
        <v>0</v>
      </c>
      <c r="CO131" s="9">
        <f t="shared" ref="CO131" ca="1" si="3525">CN131</f>
        <v>0</v>
      </c>
      <c r="CP131" s="435">
        <f t="shared" ref="CP131" ca="1" si="3526">CO131</f>
        <v>0</v>
      </c>
    </row>
    <row r="132" spans="1:94" ht="20.100000000000001" hidden="1" customHeight="1">
      <c r="A132" s="794"/>
      <c r="B132" s="255" t="s">
        <v>615</v>
      </c>
      <c r="C132" s="256">
        <f t="shared" ref="C132:O132" ca="1" si="3527">C130*C131</f>
        <v>0</v>
      </c>
      <c r="D132" s="255">
        <f t="shared" ca="1" si="3527"/>
        <v>0</v>
      </c>
      <c r="E132" s="255">
        <f t="shared" ca="1" si="3527"/>
        <v>0</v>
      </c>
      <c r="F132" s="255">
        <f t="shared" ca="1" si="3527"/>
        <v>0</v>
      </c>
      <c r="G132" s="255">
        <f t="shared" ca="1" si="3527"/>
        <v>0</v>
      </c>
      <c r="H132" s="255">
        <f t="shared" ca="1" si="3527"/>
        <v>0</v>
      </c>
      <c r="I132" s="255">
        <f t="shared" ca="1" si="3527"/>
        <v>0</v>
      </c>
      <c r="J132" s="255">
        <f t="shared" ca="1" si="3527"/>
        <v>0</v>
      </c>
      <c r="K132" s="255">
        <f t="shared" ca="1" si="3527"/>
        <v>0</v>
      </c>
      <c r="L132" s="255">
        <f t="shared" ca="1" si="3527"/>
        <v>0</v>
      </c>
      <c r="M132" s="255">
        <f t="shared" ca="1" si="3527"/>
        <v>0</v>
      </c>
      <c r="N132" s="255">
        <f t="shared" ca="1" si="3527"/>
        <v>0</v>
      </c>
      <c r="O132" s="255">
        <f t="shared" ca="1" si="3527"/>
        <v>0</v>
      </c>
      <c r="P132" s="434">
        <f ca="1">SUM(D132:O132)</f>
        <v>0</v>
      </c>
      <c r="Q132" s="255">
        <f t="shared" ref="Q132:AB132" ca="1" si="3528">Q130*Q131</f>
        <v>0</v>
      </c>
      <c r="R132" s="255">
        <f t="shared" ca="1" si="3528"/>
        <v>0</v>
      </c>
      <c r="S132" s="255">
        <f t="shared" ca="1" si="3528"/>
        <v>0</v>
      </c>
      <c r="T132" s="255">
        <f t="shared" ca="1" si="3528"/>
        <v>0</v>
      </c>
      <c r="U132" s="255">
        <f t="shared" ca="1" si="3528"/>
        <v>0</v>
      </c>
      <c r="V132" s="255">
        <f t="shared" ca="1" si="3528"/>
        <v>0</v>
      </c>
      <c r="W132" s="255">
        <f t="shared" ca="1" si="3528"/>
        <v>0</v>
      </c>
      <c r="X132" s="255">
        <f t="shared" ca="1" si="3528"/>
        <v>0</v>
      </c>
      <c r="Y132" s="255">
        <f t="shared" ca="1" si="3528"/>
        <v>0</v>
      </c>
      <c r="Z132" s="255">
        <f t="shared" ca="1" si="3528"/>
        <v>0</v>
      </c>
      <c r="AA132" s="255">
        <f t="shared" ca="1" si="3528"/>
        <v>0</v>
      </c>
      <c r="AB132" s="255">
        <f t="shared" ca="1" si="3528"/>
        <v>0</v>
      </c>
      <c r="AC132" s="434">
        <f ca="1">SUM(Q132:AB132)</f>
        <v>0</v>
      </c>
      <c r="AD132" s="255">
        <f t="shared" ref="AD132:AO132" ca="1" si="3529">AD130*AD131</f>
        <v>0</v>
      </c>
      <c r="AE132" s="255">
        <f t="shared" ca="1" si="3529"/>
        <v>0</v>
      </c>
      <c r="AF132" s="255">
        <f t="shared" ca="1" si="3529"/>
        <v>0</v>
      </c>
      <c r="AG132" s="255">
        <f t="shared" ca="1" si="3529"/>
        <v>0</v>
      </c>
      <c r="AH132" s="255">
        <f t="shared" ca="1" si="3529"/>
        <v>0</v>
      </c>
      <c r="AI132" s="255">
        <f t="shared" ca="1" si="3529"/>
        <v>0</v>
      </c>
      <c r="AJ132" s="255">
        <f t="shared" ca="1" si="3529"/>
        <v>0</v>
      </c>
      <c r="AK132" s="255">
        <f t="shared" ca="1" si="3529"/>
        <v>0</v>
      </c>
      <c r="AL132" s="255">
        <f t="shared" ca="1" si="3529"/>
        <v>0</v>
      </c>
      <c r="AM132" s="255">
        <f t="shared" ca="1" si="3529"/>
        <v>0</v>
      </c>
      <c r="AN132" s="255">
        <f t="shared" ca="1" si="3529"/>
        <v>0</v>
      </c>
      <c r="AO132" s="255">
        <f t="shared" ca="1" si="3529"/>
        <v>0</v>
      </c>
      <c r="AP132" s="434">
        <f ca="1">SUM(AD132:AO132)</f>
        <v>0</v>
      </c>
      <c r="AQ132" s="255">
        <f t="shared" ref="AQ132:BB132" ca="1" si="3530">AQ130*AQ131</f>
        <v>0</v>
      </c>
      <c r="AR132" s="255">
        <f t="shared" ca="1" si="3530"/>
        <v>0</v>
      </c>
      <c r="AS132" s="255">
        <f t="shared" ca="1" si="3530"/>
        <v>0</v>
      </c>
      <c r="AT132" s="255">
        <f t="shared" ca="1" si="3530"/>
        <v>0</v>
      </c>
      <c r="AU132" s="255">
        <f t="shared" ca="1" si="3530"/>
        <v>0</v>
      </c>
      <c r="AV132" s="255">
        <f t="shared" ca="1" si="3530"/>
        <v>0</v>
      </c>
      <c r="AW132" s="255">
        <f t="shared" ca="1" si="3530"/>
        <v>0</v>
      </c>
      <c r="AX132" s="255">
        <f t="shared" ca="1" si="3530"/>
        <v>0</v>
      </c>
      <c r="AY132" s="255">
        <f t="shared" ca="1" si="3530"/>
        <v>0</v>
      </c>
      <c r="AZ132" s="255">
        <f t="shared" ca="1" si="3530"/>
        <v>0</v>
      </c>
      <c r="BA132" s="255">
        <f t="shared" ca="1" si="3530"/>
        <v>0</v>
      </c>
      <c r="BB132" s="255">
        <f t="shared" ca="1" si="3530"/>
        <v>0</v>
      </c>
      <c r="BC132" s="434">
        <f ca="1">SUM(AQ132:BB132)</f>
        <v>0</v>
      </c>
      <c r="BD132" s="255">
        <f t="shared" ref="BD132:BO132" ca="1" si="3531">BD130*BD131</f>
        <v>0</v>
      </c>
      <c r="BE132" s="255">
        <f t="shared" ca="1" si="3531"/>
        <v>0</v>
      </c>
      <c r="BF132" s="255">
        <f t="shared" ca="1" si="3531"/>
        <v>0</v>
      </c>
      <c r="BG132" s="255">
        <f t="shared" ca="1" si="3531"/>
        <v>0</v>
      </c>
      <c r="BH132" s="255">
        <f t="shared" ca="1" si="3531"/>
        <v>0</v>
      </c>
      <c r="BI132" s="255">
        <f t="shared" ca="1" si="3531"/>
        <v>0</v>
      </c>
      <c r="BJ132" s="255">
        <f t="shared" ca="1" si="3531"/>
        <v>0</v>
      </c>
      <c r="BK132" s="255">
        <f t="shared" ca="1" si="3531"/>
        <v>0</v>
      </c>
      <c r="BL132" s="255">
        <f t="shared" ca="1" si="3531"/>
        <v>0</v>
      </c>
      <c r="BM132" s="255">
        <f t="shared" ca="1" si="3531"/>
        <v>0</v>
      </c>
      <c r="BN132" s="255">
        <f t="shared" ca="1" si="3531"/>
        <v>0</v>
      </c>
      <c r="BO132" s="255">
        <f t="shared" ca="1" si="3531"/>
        <v>0</v>
      </c>
      <c r="BP132" s="434">
        <f ca="1">SUM(BD132:BO132)</f>
        <v>0</v>
      </c>
      <c r="BQ132" s="255">
        <f t="shared" ref="BQ132:CB132" ca="1" si="3532">BQ130*BQ131</f>
        <v>0</v>
      </c>
      <c r="BR132" s="255">
        <f t="shared" ca="1" si="3532"/>
        <v>0</v>
      </c>
      <c r="BS132" s="255">
        <f t="shared" ca="1" si="3532"/>
        <v>0</v>
      </c>
      <c r="BT132" s="255">
        <f t="shared" ca="1" si="3532"/>
        <v>0</v>
      </c>
      <c r="BU132" s="255">
        <f t="shared" ca="1" si="3532"/>
        <v>0</v>
      </c>
      <c r="BV132" s="255">
        <f t="shared" ca="1" si="3532"/>
        <v>0</v>
      </c>
      <c r="BW132" s="255">
        <f t="shared" ca="1" si="3532"/>
        <v>0</v>
      </c>
      <c r="BX132" s="255">
        <f t="shared" ca="1" si="3532"/>
        <v>0</v>
      </c>
      <c r="BY132" s="255">
        <f t="shared" ca="1" si="3532"/>
        <v>0</v>
      </c>
      <c r="BZ132" s="255">
        <f t="shared" ca="1" si="3532"/>
        <v>0</v>
      </c>
      <c r="CA132" s="255">
        <f t="shared" ca="1" si="3532"/>
        <v>0</v>
      </c>
      <c r="CB132" s="255">
        <f t="shared" ca="1" si="3532"/>
        <v>0</v>
      </c>
      <c r="CC132" s="434">
        <f ca="1">SUM(BQ132:CB132)</f>
        <v>0</v>
      </c>
      <c r="CD132" s="255">
        <f t="shared" ref="CD132:CO132" ca="1" si="3533">CD130*CD131</f>
        <v>0</v>
      </c>
      <c r="CE132" s="255">
        <f t="shared" ca="1" si="3533"/>
        <v>0</v>
      </c>
      <c r="CF132" s="255">
        <f t="shared" ca="1" si="3533"/>
        <v>0</v>
      </c>
      <c r="CG132" s="255">
        <f t="shared" ca="1" si="3533"/>
        <v>0</v>
      </c>
      <c r="CH132" s="255">
        <f t="shared" ca="1" si="3533"/>
        <v>0</v>
      </c>
      <c r="CI132" s="255">
        <f t="shared" ca="1" si="3533"/>
        <v>0</v>
      </c>
      <c r="CJ132" s="255">
        <f t="shared" ca="1" si="3533"/>
        <v>0</v>
      </c>
      <c r="CK132" s="255">
        <f t="shared" ca="1" si="3533"/>
        <v>0</v>
      </c>
      <c r="CL132" s="255">
        <f t="shared" ca="1" si="3533"/>
        <v>0</v>
      </c>
      <c r="CM132" s="255">
        <f t="shared" ca="1" si="3533"/>
        <v>0</v>
      </c>
      <c r="CN132" s="255">
        <f t="shared" ca="1" si="3533"/>
        <v>0</v>
      </c>
      <c r="CO132" s="255">
        <f t="shared" ca="1" si="3533"/>
        <v>0</v>
      </c>
      <c r="CP132" s="434">
        <f ca="1">SUM(CD132:CO132)</f>
        <v>0</v>
      </c>
    </row>
    <row r="133" spans="1:94" ht="20.100000000000001" hidden="1" customHeight="1">
      <c r="A133" s="792">
        <f ca="1">OFFSET('Summary. Assumptions. Inputs'!$A$45,'Internmediate sheet'!A38/3,0)</f>
        <v>0</v>
      </c>
      <c r="B133" s="19" t="s">
        <v>613</v>
      </c>
      <c r="C133" s="20">
        <f ca="1">OFFSET('Sales, Production, &amp; Other Assu'!C$54,'Internmediate sheet'!$A38/3,0)*Capacity</f>
        <v>0</v>
      </c>
      <c r="D133" s="19">
        <f ca="1">OFFSET('Sales, Production, &amp; Other Assu'!D$54,'Internmediate sheet'!$A38/3,0)*Capacity</f>
        <v>0</v>
      </c>
      <c r="E133" s="19">
        <f ca="1">OFFSET('Sales, Production, &amp; Other Assu'!E$54,'Internmediate sheet'!$A38/3,0)*Capacity</f>
        <v>0</v>
      </c>
      <c r="F133" s="19">
        <f ca="1">OFFSET('Sales, Production, &amp; Other Assu'!F$54,'Internmediate sheet'!$A38/3,0)*Capacity</f>
        <v>0</v>
      </c>
      <c r="G133" s="19">
        <f ca="1">OFFSET('Sales, Production, &amp; Other Assu'!G$54,'Internmediate sheet'!$A38/3,0)*Capacity</f>
        <v>0</v>
      </c>
      <c r="H133" s="19">
        <f ca="1">OFFSET('Sales, Production, &amp; Other Assu'!H$54,'Internmediate sheet'!$A38/3,0)*Capacity</f>
        <v>0</v>
      </c>
      <c r="I133" s="19">
        <f ca="1">OFFSET('Sales, Production, &amp; Other Assu'!I$54,'Internmediate sheet'!$A38/3,0)*Capacity</f>
        <v>0</v>
      </c>
      <c r="J133" s="19">
        <f ca="1">OFFSET('Sales, Production, &amp; Other Assu'!J$54,'Internmediate sheet'!$A38/3,0)*Capacity</f>
        <v>0</v>
      </c>
      <c r="K133" s="19">
        <f ca="1">OFFSET('Sales, Production, &amp; Other Assu'!K$54,'Internmediate sheet'!$A38/3,0)*Capacity</f>
        <v>0</v>
      </c>
      <c r="L133" s="19">
        <f ca="1">OFFSET('Sales, Production, &amp; Other Assu'!L$54,'Internmediate sheet'!$A38/3,0)*Capacity</f>
        <v>0</v>
      </c>
      <c r="M133" s="19">
        <f ca="1">OFFSET('Sales, Production, &amp; Other Assu'!M$54,'Internmediate sheet'!$A38/3,0)*Capacity</f>
        <v>0</v>
      </c>
      <c r="N133" s="19">
        <f ca="1">OFFSET('Sales, Production, &amp; Other Assu'!N$54,'Internmediate sheet'!$A38/3,0)*Capacity</f>
        <v>0</v>
      </c>
      <c r="O133" s="19">
        <f ca="1">OFFSET('Sales, Production, &amp; Other Assu'!O$54,'Internmediate sheet'!$A38/3,0)*Capacity</f>
        <v>0</v>
      </c>
      <c r="P133" s="434">
        <f ca="1">SUM(D133:O133)</f>
        <v>0</v>
      </c>
      <c r="Q133" s="19">
        <f ca="1">OFFSET('Sales, Production, &amp; Other Assu'!Q$54,'Internmediate sheet'!$A38/3,0)*Capacity</f>
        <v>0</v>
      </c>
      <c r="R133" s="19">
        <f ca="1">OFFSET('Sales, Production, &amp; Other Assu'!R$54,'Internmediate sheet'!$A38/3,0)*Capacity</f>
        <v>0</v>
      </c>
      <c r="S133" s="19">
        <f ca="1">OFFSET('Sales, Production, &amp; Other Assu'!S$54,'Internmediate sheet'!$A38/3,0)*Capacity</f>
        <v>0</v>
      </c>
      <c r="T133" s="19">
        <f ca="1">OFFSET('Sales, Production, &amp; Other Assu'!T$54,'Internmediate sheet'!$A38/3,0)*Capacity</f>
        <v>0</v>
      </c>
      <c r="U133" s="19">
        <f ca="1">OFFSET('Sales, Production, &amp; Other Assu'!U$54,'Internmediate sheet'!$A38/3,0)*Capacity</f>
        <v>0</v>
      </c>
      <c r="V133" s="19">
        <f ca="1">OFFSET('Sales, Production, &amp; Other Assu'!V$54,'Internmediate sheet'!$A38/3,0)*Capacity</f>
        <v>0</v>
      </c>
      <c r="W133" s="19">
        <f ca="1">OFFSET('Sales, Production, &amp; Other Assu'!W$54,'Internmediate sheet'!$A38/3,0)*Capacity</f>
        <v>0</v>
      </c>
      <c r="X133" s="19">
        <f ca="1">OFFSET('Sales, Production, &amp; Other Assu'!X$54,'Internmediate sheet'!$A38/3,0)*Capacity</f>
        <v>0</v>
      </c>
      <c r="Y133" s="19">
        <f ca="1">OFFSET('Sales, Production, &amp; Other Assu'!Y$54,'Internmediate sheet'!$A38/3,0)*Capacity</f>
        <v>0</v>
      </c>
      <c r="Z133" s="19">
        <f ca="1">OFFSET('Sales, Production, &amp; Other Assu'!Z$54,'Internmediate sheet'!$A38/3,0)*Capacity</f>
        <v>0</v>
      </c>
      <c r="AA133" s="19">
        <f ca="1">OFFSET('Sales, Production, &amp; Other Assu'!AA$54,'Internmediate sheet'!$A38/3,0)*Capacity</f>
        <v>0</v>
      </c>
      <c r="AB133" s="19">
        <f ca="1">OFFSET('Sales, Production, &amp; Other Assu'!AB$54,'Internmediate sheet'!$A38/3,0)*Capacity</f>
        <v>0</v>
      </c>
      <c r="AC133" s="434">
        <f ca="1">SUM(Q133:AB133)</f>
        <v>0</v>
      </c>
      <c r="AD133" s="19">
        <f ca="1">OFFSET('Sales, Production, &amp; Other Assu'!AD$54,'Internmediate sheet'!$A38/3,0)*Capacity</f>
        <v>0</v>
      </c>
      <c r="AE133" s="19">
        <f ca="1">OFFSET('Sales, Production, &amp; Other Assu'!AE$54,'Internmediate sheet'!$A38/3,0)*Capacity</f>
        <v>0</v>
      </c>
      <c r="AF133" s="19">
        <f ca="1">OFFSET('Sales, Production, &amp; Other Assu'!AF$54,'Internmediate sheet'!$A38/3,0)*Capacity</f>
        <v>0</v>
      </c>
      <c r="AG133" s="19">
        <f ca="1">OFFSET('Sales, Production, &amp; Other Assu'!AG$54,'Internmediate sheet'!$A38/3,0)*Capacity</f>
        <v>0</v>
      </c>
      <c r="AH133" s="19">
        <f ca="1">OFFSET('Sales, Production, &amp; Other Assu'!AH$54,'Internmediate sheet'!$A38/3,0)*Capacity</f>
        <v>0</v>
      </c>
      <c r="AI133" s="19">
        <f ca="1">OFFSET('Sales, Production, &amp; Other Assu'!AI$54,'Internmediate sheet'!$A38/3,0)*Capacity</f>
        <v>0</v>
      </c>
      <c r="AJ133" s="19">
        <f ca="1">OFFSET('Sales, Production, &amp; Other Assu'!AJ$54,'Internmediate sheet'!$A38/3,0)*Capacity</f>
        <v>0</v>
      </c>
      <c r="AK133" s="19">
        <f ca="1">OFFSET('Sales, Production, &amp; Other Assu'!AK$54,'Internmediate sheet'!$A38/3,0)*Capacity</f>
        <v>0</v>
      </c>
      <c r="AL133" s="19">
        <f ca="1">OFFSET('Sales, Production, &amp; Other Assu'!AL$54,'Internmediate sheet'!$A38/3,0)*Capacity</f>
        <v>0</v>
      </c>
      <c r="AM133" s="19">
        <f ca="1">OFFSET('Sales, Production, &amp; Other Assu'!AM$54,'Internmediate sheet'!$A38/3,0)*Capacity</f>
        <v>0</v>
      </c>
      <c r="AN133" s="19">
        <f ca="1">OFFSET('Sales, Production, &amp; Other Assu'!AN$54,'Internmediate sheet'!$A38/3,0)*Capacity</f>
        <v>0</v>
      </c>
      <c r="AO133" s="19">
        <f ca="1">OFFSET('Sales, Production, &amp; Other Assu'!AO$54,'Internmediate sheet'!$A38/3,0)*Capacity</f>
        <v>0</v>
      </c>
      <c r="AP133" s="434">
        <f ca="1">SUM(AD133:AO133)</f>
        <v>0</v>
      </c>
      <c r="AQ133" s="19">
        <f ca="1">OFFSET('Sales, Production, &amp; Other Assu'!AQ$54,'Internmediate sheet'!$A38/3,0)*Capacity</f>
        <v>0</v>
      </c>
      <c r="AR133" s="19">
        <f ca="1">OFFSET('Sales, Production, &amp; Other Assu'!AR$54,'Internmediate sheet'!$A38/3,0)*Capacity</f>
        <v>0</v>
      </c>
      <c r="AS133" s="19">
        <f ca="1">OFFSET('Sales, Production, &amp; Other Assu'!AS$54,'Internmediate sheet'!$A38/3,0)*Capacity</f>
        <v>0</v>
      </c>
      <c r="AT133" s="19">
        <f ca="1">OFFSET('Sales, Production, &amp; Other Assu'!AT$54,'Internmediate sheet'!$A38/3,0)*Capacity</f>
        <v>0</v>
      </c>
      <c r="AU133" s="19">
        <f ca="1">OFFSET('Sales, Production, &amp; Other Assu'!AU$54,'Internmediate sheet'!$A38/3,0)*Capacity</f>
        <v>0</v>
      </c>
      <c r="AV133" s="19">
        <f ca="1">OFFSET('Sales, Production, &amp; Other Assu'!AV$54,'Internmediate sheet'!$A38/3,0)*Capacity</f>
        <v>0</v>
      </c>
      <c r="AW133" s="19">
        <f ca="1">OFFSET('Sales, Production, &amp; Other Assu'!AW$54,'Internmediate sheet'!$A38/3,0)*Capacity</f>
        <v>0</v>
      </c>
      <c r="AX133" s="19">
        <f ca="1">OFFSET('Sales, Production, &amp; Other Assu'!AX$54,'Internmediate sheet'!$A38/3,0)*Capacity</f>
        <v>0</v>
      </c>
      <c r="AY133" s="19">
        <f ca="1">OFFSET('Sales, Production, &amp; Other Assu'!AY$54,'Internmediate sheet'!$A38/3,0)*Capacity</f>
        <v>0</v>
      </c>
      <c r="AZ133" s="19">
        <f ca="1">OFFSET('Sales, Production, &amp; Other Assu'!AZ$54,'Internmediate sheet'!$A38/3,0)*Capacity</f>
        <v>0</v>
      </c>
      <c r="BA133" s="19">
        <f ca="1">OFFSET('Sales, Production, &amp; Other Assu'!BA$54,'Internmediate sheet'!$A38/3,0)*Capacity</f>
        <v>0</v>
      </c>
      <c r="BB133" s="19">
        <f ca="1">OFFSET('Sales, Production, &amp; Other Assu'!BB$54,'Internmediate sheet'!$A38/3,0)*Capacity</f>
        <v>0</v>
      </c>
      <c r="BC133" s="434">
        <f ca="1">SUM(AQ133:BB133)</f>
        <v>0</v>
      </c>
      <c r="BD133" s="19">
        <f ca="1">OFFSET('Sales, Production, &amp; Other Assu'!BD$54,'Internmediate sheet'!$A38/3,0)*Capacity</f>
        <v>0</v>
      </c>
      <c r="BE133" s="19">
        <f ca="1">OFFSET('Sales, Production, &amp; Other Assu'!BE$54,'Internmediate sheet'!$A38/3,0)*Capacity</f>
        <v>0</v>
      </c>
      <c r="BF133" s="19">
        <f ca="1">OFFSET('Sales, Production, &amp; Other Assu'!BF$54,'Internmediate sheet'!$A38/3,0)*Capacity</f>
        <v>0</v>
      </c>
      <c r="BG133" s="19">
        <f ca="1">OFFSET('Sales, Production, &amp; Other Assu'!BG$54,'Internmediate sheet'!$A38/3,0)*Capacity</f>
        <v>0</v>
      </c>
      <c r="BH133" s="19">
        <f ca="1">OFFSET('Sales, Production, &amp; Other Assu'!BH$54,'Internmediate sheet'!$A38/3,0)*Capacity</f>
        <v>0</v>
      </c>
      <c r="BI133" s="19">
        <f ca="1">OFFSET('Sales, Production, &amp; Other Assu'!BI$54,'Internmediate sheet'!$A38/3,0)*Capacity</f>
        <v>0</v>
      </c>
      <c r="BJ133" s="19">
        <f ca="1">OFFSET('Sales, Production, &amp; Other Assu'!BJ$54,'Internmediate sheet'!$A38/3,0)*Capacity</f>
        <v>0</v>
      </c>
      <c r="BK133" s="19">
        <f ca="1">OFFSET('Sales, Production, &amp; Other Assu'!BK$54,'Internmediate sheet'!$A38/3,0)*Capacity</f>
        <v>0</v>
      </c>
      <c r="BL133" s="19">
        <f ca="1">OFFSET('Sales, Production, &amp; Other Assu'!BL$54,'Internmediate sheet'!$A38/3,0)*Capacity</f>
        <v>0</v>
      </c>
      <c r="BM133" s="19">
        <f ca="1">OFFSET('Sales, Production, &amp; Other Assu'!BM$54,'Internmediate sheet'!$A38/3,0)*Capacity</f>
        <v>0</v>
      </c>
      <c r="BN133" s="19">
        <f ca="1">OFFSET('Sales, Production, &amp; Other Assu'!BN$54,'Internmediate sheet'!$A38/3,0)*Capacity</f>
        <v>0</v>
      </c>
      <c r="BO133" s="19">
        <f ca="1">OFFSET('Sales, Production, &amp; Other Assu'!BO$54,'Internmediate sheet'!$A38/3,0)*Capacity</f>
        <v>0</v>
      </c>
      <c r="BP133" s="434">
        <f ca="1">SUM(BD133:BO133)</f>
        <v>0</v>
      </c>
      <c r="BQ133" s="19">
        <f ca="1">OFFSET('Sales, Production, &amp; Other Assu'!BQ$54,'Internmediate sheet'!$A38/3,0)*Capacity</f>
        <v>0</v>
      </c>
      <c r="BR133" s="19">
        <f ca="1">OFFSET('Sales, Production, &amp; Other Assu'!BR$54,'Internmediate sheet'!$A38/3,0)*Capacity</f>
        <v>0</v>
      </c>
      <c r="BS133" s="19">
        <f ca="1">OFFSET('Sales, Production, &amp; Other Assu'!BS$54,'Internmediate sheet'!$A38/3,0)*Capacity</f>
        <v>0</v>
      </c>
      <c r="BT133" s="19">
        <f ca="1">OFFSET('Sales, Production, &amp; Other Assu'!BT$54,'Internmediate sheet'!$A38/3,0)*Capacity</f>
        <v>0</v>
      </c>
      <c r="BU133" s="19">
        <f ca="1">OFFSET('Sales, Production, &amp; Other Assu'!BU$54,'Internmediate sheet'!$A38/3,0)*Capacity</f>
        <v>0</v>
      </c>
      <c r="BV133" s="19">
        <f ca="1">OFFSET('Sales, Production, &amp; Other Assu'!BV$54,'Internmediate sheet'!$A38/3,0)*Capacity</f>
        <v>0</v>
      </c>
      <c r="BW133" s="19">
        <f ca="1">OFFSET('Sales, Production, &amp; Other Assu'!BW$54,'Internmediate sheet'!$A38/3,0)*Capacity</f>
        <v>0</v>
      </c>
      <c r="BX133" s="19">
        <f ca="1">OFFSET('Sales, Production, &amp; Other Assu'!BX$54,'Internmediate sheet'!$A38/3,0)*Capacity</f>
        <v>0</v>
      </c>
      <c r="BY133" s="19">
        <f ca="1">OFFSET('Sales, Production, &amp; Other Assu'!BY$54,'Internmediate sheet'!$A38/3,0)*Capacity</f>
        <v>0</v>
      </c>
      <c r="BZ133" s="19">
        <f ca="1">OFFSET('Sales, Production, &amp; Other Assu'!BZ$54,'Internmediate sheet'!$A38/3,0)*Capacity</f>
        <v>0</v>
      </c>
      <c r="CA133" s="19">
        <f ca="1">OFFSET('Sales, Production, &amp; Other Assu'!CA$54,'Internmediate sheet'!$A38/3,0)*Capacity</f>
        <v>0</v>
      </c>
      <c r="CB133" s="19">
        <f ca="1">OFFSET('Sales, Production, &amp; Other Assu'!CB$54,'Internmediate sheet'!$A38/3,0)*Capacity</f>
        <v>0</v>
      </c>
      <c r="CC133" s="434">
        <f ca="1">SUM(BQ133:CB133)</f>
        <v>0</v>
      </c>
      <c r="CD133" s="19">
        <f ca="1">OFFSET('Sales, Production, &amp; Other Assu'!CD$54,'Internmediate sheet'!$A38/3,0)*Capacity</f>
        <v>0</v>
      </c>
      <c r="CE133" s="19">
        <f ca="1">OFFSET('Sales, Production, &amp; Other Assu'!CE$54,'Internmediate sheet'!$A38/3,0)*Capacity</f>
        <v>0</v>
      </c>
      <c r="CF133" s="19">
        <f ca="1">OFFSET('Sales, Production, &amp; Other Assu'!CF$54,'Internmediate sheet'!$A38/3,0)*Capacity</f>
        <v>0</v>
      </c>
      <c r="CG133" s="19">
        <f ca="1">OFFSET('Sales, Production, &amp; Other Assu'!CG$54,'Internmediate sheet'!$A38/3,0)*Capacity</f>
        <v>0</v>
      </c>
      <c r="CH133" s="19">
        <f ca="1">OFFSET('Sales, Production, &amp; Other Assu'!CH$54,'Internmediate sheet'!$A38/3,0)*Capacity</f>
        <v>0</v>
      </c>
      <c r="CI133" s="19">
        <f ca="1">OFFSET('Sales, Production, &amp; Other Assu'!CI$54,'Internmediate sheet'!$A38/3,0)*Capacity</f>
        <v>0</v>
      </c>
      <c r="CJ133" s="19">
        <f ca="1">OFFSET('Sales, Production, &amp; Other Assu'!CJ$54,'Internmediate sheet'!$A38/3,0)*Capacity</f>
        <v>0</v>
      </c>
      <c r="CK133" s="19">
        <f ca="1">OFFSET('Sales, Production, &amp; Other Assu'!CK$54,'Internmediate sheet'!$A38/3,0)*Capacity</f>
        <v>0</v>
      </c>
      <c r="CL133" s="19">
        <f ca="1">OFFSET('Sales, Production, &amp; Other Assu'!CL$54,'Internmediate sheet'!$A38/3,0)*Capacity</f>
        <v>0</v>
      </c>
      <c r="CM133" s="19">
        <f ca="1">OFFSET('Sales, Production, &amp; Other Assu'!CM$54,'Internmediate sheet'!$A38/3,0)*Capacity</f>
        <v>0</v>
      </c>
      <c r="CN133" s="19">
        <f ca="1">OFFSET('Sales, Production, &amp; Other Assu'!CN$54,'Internmediate sheet'!$A38/3,0)*Capacity</f>
        <v>0</v>
      </c>
      <c r="CO133" s="19">
        <f ca="1">OFFSET('Sales, Production, &amp; Other Assu'!CO$54,'Internmediate sheet'!$A38/3,0)*Capacity</f>
        <v>0</v>
      </c>
      <c r="CP133" s="434">
        <f ca="1">SUM(CD133:CO133)</f>
        <v>0</v>
      </c>
    </row>
    <row r="134" spans="1:94" ht="20.100000000000001" hidden="1" customHeight="1">
      <c r="A134" s="793"/>
      <c r="B134" s="9" t="s">
        <v>614</v>
      </c>
      <c r="C134" s="10">
        <f ca="1">OFFSET('BEP. &amp; Summary Results'!$C$6,'Internmediate sheet'!A35/3,0)</f>
        <v>0</v>
      </c>
      <c r="D134" s="9">
        <f t="shared" ref="D134" ca="1" si="3534">C134</f>
        <v>0</v>
      </c>
      <c r="E134" s="9">
        <f t="shared" ref="E134" ca="1" si="3535">D134</f>
        <v>0</v>
      </c>
      <c r="F134" s="9">
        <f t="shared" ref="F134" ca="1" si="3536">E134</f>
        <v>0</v>
      </c>
      <c r="G134" s="9">
        <f t="shared" ref="G134" ca="1" si="3537">F134</f>
        <v>0</v>
      </c>
      <c r="H134" s="9">
        <f t="shared" ref="H134" ca="1" si="3538">G134</f>
        <v>0</v>
      </c>
      <c r="I134" s="9">
        <f t="shared" ref="I134" ca="1" si="3539">H134</f>
        <v>0</v>
      </c>
      <c r="J134" s="9">
        <f t="shared" ref="J134" ca="1" si="3540">I134</f>
        <v>0</v>
      </c>
      <c r="K134" s="9">
        <f t="shared" ref="K134" ca="1" si="3541">J134</f>
        <v>0</v>
      </c>
      <c r="L134" s="9">
        <f t="shared" ref="L134" ca="1" si="3542">K134</f>
        <v>0</v>
      </c>
      <c r="M134" s="9">
        <f t="shared" ref="M134" ca="1" si="3543">L134</f>
        <v>0</v>
      </c>
      <c r="N134" s="9">
        <f t="shared" ref="N134" ca="1" si="3544">M134</f>
        <v>0</v>
      </c>
      <c r="O134" s="9">
        <f t="shared" ref="O134" ca="1" si="3545">N134</f>
        <v>0</v>
      </c>
      <c r="P134" s="435">
        <f t="shared" ref="P134" ca="1" si="3546">O134</f>
        <v>0</v>
      </c>
      <c r="Q134" s="9">
        <f t="shared" ref="Q134" ca="1" si="3547">P134</f>
        <v>0</v>
      </c>
      <c r="R134" s="9">
        <f t="shared" ref="R134" ca="1" si="3548">Q134</f>
        <v>0</v>
      </c>
      <c r="S134" s="9">
        <f t="shared" ref="S134" ca="1" si="3549">R134</f>
        <v>0</v>
      </c>
      <c r="T134" s="9">
        <f t="shared" ref="T134" ca="1" si="3550">S134</f>
        <v>0</v>
      </c>
      <c r="U134" s="9">
        <f t="shared" ref="U134" ca="1" si="3551">T134</f>
        <v>0</v>
      </c>
      <c r="V134" s="9">
        <f t="shared" ref="V134" ca="1" si="3552">U134</f>
        <v>0</v>
      </c>
      <c r="W134" s="9">
        <f t="shared" ref="W134" ca="1" si="3553">V134</f>
        <v>0</v>
      </c>
      <c r="X134" s="9">
        <f t="shared" ref="X134" ca="1" si="3554">W134</f>
        <v>0</v>
      </c>
      <c r="Y134" s="9">
        <f t="shared" ref="Y134" ca="1" si="3555">X134</f>
        <v>0</v>
      </c>
      <c r="Z134" s="9">
        <f t="shared" ref="Z134" ca="1" si="3556">Y134</f>
        <v>0</v>
      </c>
      <c r="AA134" s="9">
        <f t="shared" ref="AA134" ca="1" si="3557">Z134</f>
        <v>0</v>
      </c>
      <c r="AB134" s="9">
        <f t="shared" ref="AB134" ca="1" si="3558">AA134</f>
        <v>0</v>
      </c>
      <c r="AC134" s="435">
        <f t="shared" ref="AC134" ca="1" si="3559">AB134</f>
        <v>0</v>
      </c>
      <c r="AD134" s="9">
        <f t="shared" ref="AD134" ca="1" si="3560">AC134</f>
        <v>0</v>
      </c>
      <c r="AE134" s="9">
        <f t="shared" ref="AE134" ca="1" si="3561">AD134</f>
        <v>0</v>
      </c>
      <c r="AF134" s="9">
        <f t="shared" ref="AF134" ca="1" si="3562">AE134</f>
        <v>0</v>
      </c>
      <c r="AG134" s="9">
        <f t="shared" ref="AG134" ca="1" si="3563">AF134</f>
        <v>0</v>
      </c>
      <c r="AH134" s="9">
        <f t="shared" ref="AH134" ca="1" si="3564">AG134</f>
        <v>0</v>
      </c>
      <c r="AI134" s="9">
        <f t="shared" ref="AI134" ca="1" si="3565">AH134</f>
        <v>0</v>
      </c>
      <c r="AJ134" s="9">
        <f t="shared" ref="AJ134" ca="1" si="3566">AI134</f>
        <v>0</v>
      </c>
      <c r="AK134" s="9">
        <f t="shared" ref="AK134" ca="1" si="3567">AJ134</f>
        <v>0</v>
      </c>
      <c r="AL134" s="9">
        <f t="shared" ref="AL134" ca="1" si="3568">AK134</f>
        <v>0</v>
      </c>
      <c r="AM134" s="9">
        <f t="shared" ref="AM134" ca="1" si="3569">AL134</f>
        <v>0</v>
      </c>
      <c r="AN134" s="9">
        <f t="shared" ref="AN134" ca="1" si="3570">AM134</f>
        <v>0</v>
      </c>
      <c r="AO134" s="9">
        <f t="shared" ref="AO134" ca="1" si="3571">AN134</f>
        <v>0</v>
      </c>
      <c r="AP134" s="435">
        <f t="shared" ref="AP134" ca="1" si="3572">AO134</f>
        <v>0</v>
      </c>
      <c r="AQ134" s="9">
        <f ca="1">AP134</f>
        <v>0</v>
      </c>
      <c r="AR134" s="9">
        <f t="shared" ref="AR134" ca="1" si="3573">AQ134</f>
        <v>0</v>
      </c>
      <c r="AS134" s="9">
        <f t="shared" ref="AS134" ca="1" si="3574">AR134</f>
        <v>0</v>
      </c>
      <c r="AT134" s="9">
        <f t="shared" ref="AT134" ca="1" si="3575">AS134</f>
        <v>0</v>
      </c>
      <c r="AU134" s="9">
        <f t="shared" ref="AU134" ca="1" si="3576">AT134</f>
        <v>0</v>
      </c>
      <c r="AV134" s="9">
        <f t="shared" ref="AV134" ca="1" si="3577">AU134</f>
        <v>0</v>
      </c>
      <c r="AW134" s="9">
        <f t="shared" ref="AW134" ca="1" si="3578">AV134</f>
        <v>0</v>
      </c>
      <c r="AX134" s="9">
        <f t="shared" ref="AX134" ca="1" si="3579">AW134</f>
        <v>0</v>
      </c>
      <c r="AY134" s="9">
        <f t="shared" ref="AY134" ca="1" si="3580">AX134</f>
        <v>0</v>
      </c>
      <c r="AZ134" s="9">
        <f t="shared" ref="AZ134" ca="1" si="3581">AY134</f>
        <v>0</v>
      </c>
      <c r="BA134" s="9">
        <f t="shared" ref="BA134" ca="1" si="3582">AZ134</f>
        <v>0</v>
      </c>
      <c r="BB134" s="9">
        <f t="shared" ref="BB134" ca="1" si="3583">BA134</f>
        <v>0</v>
      </c>
      <c r="BC134" s="435">
        <f t="shared" ref="BC134" ca="1" si="3584">BB134</f>
        <v>0</v>
      </c>
      <c r="BD134" s="9">
        <f t="shared" ref="BD134" ca="1" si="3585">BC134</f>
        <v>0</v>
      </c>
      <c r="BE134" s="9">
        <f t="shared" ref="BE134" ca="1" si="3586">BD134</f>
        <v>0</v>
      </c>
      <c r="BF134" s="9">
        <f t="shared" ref="BF134" ca="1" si="3587">BE134</f>
        <v>0</v>
      </c>
      <c r="BG134" s="9">
        <f t="shared" ref="BG134" ca="1" si="3588">BF134</f>
        <v>0</v>
      </c>
      <c r="BH134" s="9">
        <f t="shared" ref="BH134" ca="1" si="3589">BG134</f>
        <v>0</v>
      </c>
      <c r="BI134" s="9">
        <f t="shared" ref="BI134" ca="1" si="3590">BH134</f>
        <v>0</v>
      </c>
      <c r="BJ134" s="9">
        <f t="shared" ref="BJ134" ca="1" si="3591">BI134</f>
        <v>0</v>
      </c>
      <c r="BK134" s="9">
        <f t="shared" ref="BK134" ca="1" si="3592">BJ134</f>
        <v>0</v>
      </c>
      <c r="BL134" s="9">
        <f t="shared" ref="BL134" ca="1" si="3593">BK134</f>
        <v>0</v>
      </c>
      <c r="BM134" s="9">
        <f t="shared" ref="BM134" ca="1" si="3594">BL134</f>
        <v>0</v>
      </c>
      <c r="BN134" s="9">
        <f t="shared" ref="BN134" ca="1" si="3595">BM134</f>
        <v>0</v>
      </c>
      <c r="BO134" s="9">
        <f t="shared" ref="BO134" ca="1" si="3596">BN134</f>
        <v>0</v>
      </c>
      <c r="BP134" s="435">
        <f t="shared" ref="BP134" ca="1" si="3597">BO134</f>
        <v>0</v>
      </c>
      <c r="BQ134" s="9">
        <f t="shared" ref="BQ134" ca="1" si="3598">BP134</f>
        <v>0</v>
      </c>
      <c r="BR134" s="9">
        <f t="shared" ref="BR134" ca="1" si="3599">BQ134</f>
        <v>0</v>
      </c>
      <c r="BS134" s="9">
        <f t="shared" ref="BS134" ca="1" si="3600">BR134</f>
        <v>0</v>
      </c>
      <c r="BT134" s="9">
        <f t="shared" ref="BT134" ca="1" si="3601">BS134</f>
        <v>0</v>
      </c>
      <c r="BU134" s="9">
        <f t="shared" ref="BU134" ca="1" si="3602">BT134</f>
        <v>0</v>
      </c>
      <c r="BV134" s="9">
        <f t="shared" ref="BV134" ca="1" si="3603">BU134</f>
        <v>0</v>
      </c>
      <c r="BW134" s="9">
        <f t="shared" ref="BW134" ca="1" si="3604">BV134</f>
        <v>0</v>
      </c>
      <c r="BX134" s="9">
        <f t="shared" ref="BX134" ca="1" si="3605">BW134</f>
        <v>0</v>
      </c>
      <c r="BY134" s="9">
        <f t="shared" ref="BY134" ca="1" si="3606">BX134</f>
        <v>0</v>
      </c>
      <c r="BZ134" s="9">
        <f t="shared" ref="BZ134" ca="1" si="3607">BY134</f>
        <v>0</v>
      </c>
      <c r="CA134" s="9">
        <f t="shared" ref="CA134" ca="1" si="3608">BZ134</f>
        <v>0</v>
      </c>
      <c r="CB134" s="9">
        <f t="shared" ref="CB134" ca="1" si="3609">CA134</f>
        <v>0</v>
      </c>
      <c r="CC134" s="435">
        <f t="shared" ref="CC134" ca="1" si="3610">CB134</f>
        <v>0</v>
      </c>
      <c r="CD134" s="9">
        <f t="shared" ref="CD134" ca="1" si="3611">CC134</f>
        <v>0</v>
      </c>
      <c r="CE134" s="9">
        <f t="shared" ref="CE134" ca="1" si="3612">CD134</f>
        <v>0</v>
      </c>
      <c r="CF134" s="9">
        <f t="shared" ref="CF134" ca="1" si="3613">CE134</f>
        <v>0</v>
      </c>
      <c r="CG134" s="9">
        <f t="shared" ref="CG134" ca="1" si="3614">CF134</f>
        <v>0</v>
      </c>
      <c r="CH134" s="9">
        <f t="shared" ref="CH134" ca="1" si="3615">CG134</f>
        <v>0</v>
      </c>
      <c r="CI134" s="9">
        <f t="shared" ref="CI134" ca="1" si="3616">CH134</f>
        <v>0</v>
      </c>
      <c r="CJ134" s="9">
        <f t="shared" ref="CJ134" ca="1" si="3617">CI134</f>
        <v>0</v>
      </c>
      <c r="CK134" s="9">
        <f t="shared" ref="CK134" ca="1" si="3618">CJ134</f>
        <v>0</v>
      </c>
      <c r="CL134" s="9">
        <f t="shared" ref="CL134" ca="1" si="3619">CK134</f>
        <v>0</v>
      </c>
      <c r="CM134" s="9">
        <f t="shared" ref="CM134" ca="1" si="3620">CL134</f>
        <v>0</v>
      </c>
      <c r="CN134" s="9">
        <f t="shared" ref="CN134" ca="1" si="3621">CM134</f>
        <v>0</v>
      </c>
      <c r="CO134" s="9">
        <f t="shared" ref="CO134" ca="1" si="3622">CN134</f>
        <v>0</v>
      </c>
      <c r="CP134" s="435">
        <f t="shared" ref="CP134" ca="1" si="3623">CO134</f>
        <v>0</v>
      </c>
    </row>
    <row r="135" spans="1:94" ht="20.100000000000001" hidden="1" customHeight="1">
      <c r="A135" s="794"/>
      <c r="B135" s="255" t="s">
        <v>615</v>
      </c>
      <c r="C135" s="256">
        <f t="shared" ref="C135:O135" ca="1" si="3624">C133*C134</f>
        <v>0</v>
      </c>
      <c r="D135" s="255">
        <f t="shared" ca="1" si="3624"/>
        <v>0</v>
      </c>
      <c r="E135" s="255">
        <f t="shared" ca="1" si="3624"/>
        <v>0</v>
      </c>
      <c r="F135" s="255">
        <f t="shared" ca="1" si="3624"/>
        <v>0</v>
      </c>
      <c r="G135" s="255">
        <f t="shared" ca="1" si="3624"/>
        <v>0</v>
      </c>
      <c r="H135" s="255">
        <f t="shared" ca="1" si="3624"/>
        <v>0</v>
      </c>
      <c r="I135" s="255">
        <f t="shared" ca="1" si="3624"/>
        <v>0</v>
      </c>
      <c r="J135" s="255">
        <f t="shared" ca="1" si="3624"/>
        <v>0</v>
      </c>
      <c r="K135" s="255">
        <f t="shared" ca="1" si="3624"/>
        <v>0</v>
      </c>
      <c r="L135" s="255">
        <f t="shared" ca="1" si="3624"/>
        <v>0</v>
      </c>
      <c r="M135" s="255">
        <f t="shared" ca="1" si="3624"/>
        <v>0</v>
      </c>
      <c r="N135" s="255">
        <f t="shared" ca="1" si="3624"/>
        <v>0</v>
      </c>
      <c r="O135" s="255">
        <f t="shared" ca="1" si="3624"/>
        <v>0</v>
      </c>
      <c r="P135" s="434">
        <f ca="1">SUM(D135:O135)</f>
        <v>0</v>
      </c>
      <c r="Q135" s="255">
        <f t="shared" ref="Q135:AB135" ca="1" si="3625">Q133*Q134</f>
        <v>0</v>
      </c>
      <c r="R135" s="255">
        <f t="shared" ca="1" si="3625"/>
        <v>0</v>
      </c>
      <c r="S135" s="255">
        <f t="shared" ca="1" si="3625"/>
        <v>0</v>
      </c>
      <c r="T135" s="255">
        <f t="shared" ca="1" si="3625"/>
        <v>0</v>
      </c>
      <c r="U135" s="255">
        <f t="shared" ca="1" si="3625"/>
        <v>0</v>
      </c>
      <c r="V135" s="255">
        <f t="shared" ca="1" si="3625"/>
        <v>0</v>
      </c>
      <c r="W135" s="255">
        <f t="shared" ca="1" si="3625"/>
        <v>0</v>
      </c>
      <c r="X135" s="255">
        <f t="shared" ca="1" si="3625"/>
        <v>0</v>
      </c>
      <c r="Y135" s="255">
        <f t="shared" ca="1" si="3625"/>
        <v>0</v>
      </c>
      <c r="Z135" s="255">
        <f t="shared" ca="1" si="3625"/>
        <v>0</v>
      </c>
      <c r="AA135" s="255">
        <f t="shared" ca="1" si="3625"/>
        <v>0</v>
      </c>
      <c r="AB135" s="255">
        <f t="shared" ca="1" si="3625"/>
        <v>0</v>
      </c>
      <c r="AC135" s="434">
        <f ca="1">SUM(Q135:AB135)</f>
        <v>0</v>
      </c>
      <c r="AD135" s="255">
        <f t="shared" ref="AD135:AO135" ca="1" si="3626">AD133*AD134</f>
        <v>0</v>
      </c>
      <c r="AE135" s="255">
        <f t="shared" ca="1" si="3626"/>
        <v>0</v>
      </c>
      <c r="AF135" s="255">
        <f t="shared" ca="1" si="3626"/>
        <v>0</v>
      </c>
      <c r="AG135" s="255">
        <f t="shared" ca="1" si="3626"/>
        <v>0</v>
      </c>
      <c r="AH135" s="255">
        <f t="shared" ca="1" si="3626"/>
        <v>0</v>
      </c>
      <c r="AI135" s="255">
        <f t="shared" ca="1" si="3626"/>
        <v>0</v>
      </c>
      <c r="AJ135" s="255">
        <f t="shared" ca="1" si="3626"/>
        <v>0</v>
      </c>
      <c r="AK135" s="255">
        <f t="shared" ca="1" si="3626"/>
        <v>0</v>
      </c>
      <c r="AL135" s="255">
        <f t="shared" ca="1" si="3626"/>
        <v>0</v>
      </c>
      <c r="AM135" s="255">
        <f t="shared" ca="1" si="3626"/>
        <v>0</v>
      </c>
      <c r="AN135" s="255">
        <f t="shared" ca="1" si="3626"/>
        <v>0</v>
      </c>
      <c r="AO135" s="255">
        <f t="shared" ca="1" si="3626"/>
        <v>0</v>
      </c>
      <c r="AP135" s="434">
        <f ca="1">SUM(AD135:AO135)</f>
        <v>0</v>
      </c>
      <c r="AQ135" s="255">
        <f t="shared" ref="AQ135:BB135" ca="1" si="3627">AQ133*AQ134</f>
        <v>0</v>
      </c>
      <c r="AR135" s="255">
        <f t="shared" ca="1" si="3627"/>
        <v>0</v>
      </c>
      <c r="AS135" s="255">
        <f t="shared" ca="1" si="3627"/>
        <v>0</v>
      </c>
      <c r="AT135" s="255">
        <f t="shared" ca="1" si="3627"/>
        <v>0</v>
      </c>
      <c r="AU135" s="255">
        <f t="shared" ca="1" si="3627"/>
        <v>0</v>
      </c>
      <c r="AV135" s="255">
        <f t="shared" ca="1" si="3627"/>
        <v>0</v>
      </c>
      <c r="AW135" s="255">
        <f t="shared" ca="1" si="3627"/>
        <v>0</v>
      </c>
      <c r="AX135" s="255">
        <f t="shared" ca="1" si="3627"/>
        <v>0</v>
      </c>
      <c r="AY135" s="255">
        <f t="shared" ca="1" si="3627"/>
        <v>0</v>
      </c>
      <c r="AZ135" s="255">
        <f t="shared" ca="1" si="3627"/>
        <v>0</v>
      </c>
      <c r="BA135" s="255">
        <f t="shared" ca="1" si="3627"/>
        <v>0</v>
      </c>
      <c r="BB135" s="255">
        <f t="shared" ca="1" si="3627"/>
        <v>0</v>
      </c>
      <c r="BC135" s="434">
        <f ca="1">SUM(AQ135:BB135)</f>
        <v>0</v>
      </c>
      <c r="BD135" s="255">
        <f t="shared" ref="BD135:BO135" ca="1" si="3628">BD133*BD134</f>
        <v>0</v>
      </c>
      <c r="BE135" s="255">
        <f t="shared" ca="1" si="3628"/>
        <v>0</v>
      </c>
      <c r="BF135" s="255">
        <f t="shared" ca="1" si="3628"/>
        <v>0</v>
      </c>
      <c r="BG135" s="255">
        <f t="shared" ca="1" si="3628"/>
        <v>0</v>
      </c>
      <c r="BH135" s="255">
        <f t="shared" ca="1" si="3628"/>
        <v>0</v>
      </c>
      <c r="BI135" s="255">
        <f t="shared" ca="1" si="3628"/>
        <v>0</v>
      </c>
      <c r="BJ135" s="255">
        <f t="shared" ca="1" si="3628"/>
        <v>0</v>
      </c>
      <c r="BK135" s="255">
        <f t="shared" ca="1" si="3628"/>
        <v>0</v>
      </c>
      <c r="BL135" s="255">
        <f t="shared" ca="1" si="3628"/>
        <v>0</v>
      </c>
      <c r="BM135" s="255">
        <f t="shared" ca="1" si="3628"/>
        <v>0</v>
      </c>
      <c r="BN135" s="255">
        <f t="shared" ca="1" si="3628"/>
        <v>0</v>
      </c>
      <c r="BO135" s="255">
        <f t="shared" ca="1" si="3628"/>
        <v>0</v>
      </c>
      <c r="BP135" s="434">
        <f ca="1">SUM(BD135:BO135)</f>
        <v>0</v>
      </c>
      <c r="BQ135" s="255">
        <f t="shared" ref="BQ135:CB135" ca="1" si="3629">BQ133*BQ134</f>
        <v>0</v>
      </c>
      <c r="BR135" s="255">
        <f t="shared" ca="1" si="3629"/>
        <v>0</v>
      </c>
      <c r="BS135" s="255">
        <f t="shared" ca="1" si="3629"/>
        <v>0</v>
      </c>
      <c r="BT135" s="255">
        <f t="shared" ca="1" si="3629"/>
        <v>0</v>
      </c>
      <c r="BU135" s="255">
        <f t="shared" ca="1" si="3629"/>
        <v>0</v>
      </c>
      <c r="BV135" s="255">
        <f t="shared" ca="1" si="3629"/>
        <v>0</v>
      </c>
      <c r="BW135" s="255">
        <f t="shared" ca="1" si="3629"/>
        <v>0</v>
      </c>
      <c r="BX135" s="255">
        <f t="shared" ca="1" si="3629"/>
        <v>0</v>
      </c>
      <c r="BY135" s="255">
        <f t="shared" ca="1" si="3629"/>
        <v>0</v>
      </c>
      <c r="BZ135" s="255">
        <f t="shared" ca="1" si="3629"/>
        <v>0</v>
      </c>
      <c r="CA135" s="255">
        <f t="shared" ca="1" si="3629"/>
        <v>0</v>
      </c>
      <c r="CB135" s="255">
        <f t="shared" ca="1" si="3629"/>
        <v>0</v>
      </c>
      <c r="CC135" s="434">
        <f ca="1">SUM(BQ135:CB135)</f>
        <v>0</v>
      </c>
      <c r="CD135" s="255">
        <f t="shared" ref="CD135:CO135" ca="1" si="3630">CD133*CD134</f>
        <v>0</v>
      </c>
      <c r="CE135" s="255">
        <f t="shared" ca="1" si="3630"/>
        <v>0</v>
      </c>
      <c r="CF135" s="255">
        <f t="shared" ca="1" si="3630"/>
        <v>0</v>
      </c>
      <c r="CG135" s="255">
        <f t="shared" ca="1" si="3630"/>
        <v>0</v>
      </c>
      <c r="CH135" s="255">
        <f t="shared" ca="1" si="3630"/>
        <v>0</v>
      </c>
      <c r="CI135" s="255">
        <f t="shared" ca="1" si="3630"/>
        <v>0</v>
      </c>
      <c r="CJ135" s="255">
        <f t="shared" ca="1" si="3630"/>
        <v>0</v>
      </c>
      <c r="CK135" s="255">
        <f t="shared" ca="1" si="3630"/>
        <v>0</v>
      </c>
      <c r="CL135" s="255">
        <f t="shared" ca="1" si="3630"/>
        <v>0</v>
      </c>
      <c r="CM135" s="255">
        <f t="shared" ca="1" si="3630"/>
        <v>0</v>
      </c>
      <c r="CN135" s="255">
        <f t="shared" ca="1" si="3630"/>
        <v>0</v>
      </c>
      <c r="CO135" s="255">
        <f t="shared" ca="1" si="3630"/>
        <v>0</v>
      </c>
      <c r="CP135" s="434">
        <f ca="1">SUM(CD135:CO135)</f>
        <v>0</v>
      </c>
    </row>
    <row r="136" spans="1:94" ht="20.100000000000001" hidden="1" customHeight="1">
      <c r="A136" s="792">
        <f ca="1">OFFSET('Summary. Assumptions. Inputs'!$A$45,'Internmediate sheet'!A41/3,0)</f>
        <v>0</v>
      </c>
      <c r="B136" s="19" t="s">
        <v>613</v>
      </c>
      <c r="C136" s="20">
        <f ca="1">OFFSET('Sales, Production, &amp; Other Assu'!C$54,'Internmediate sheet'!$A41/3,0)*Capacity</f>
        <v>0</v>
      </c>
      <c r="D136" s="19">
        <f ca="1">OFFSET('Sales, Production, &amp; Other Assu'!D$54,'Internmediate sheet'!$A41/3,0)*Capacity</f>
        <v>0</v>
      </c>
      <c r="E136" s="19">
        <f ca="1">OFFSET('Sales, Production, &amp; Other Assu'!E$54,'Internmediate sheet'!$A41/3,0)*Capacity</f>
        <v>0</v>
      </c>
      <c r="F136" s="19">
        <f ca="1">OFFSET('Sales, Production, &amp; Other Assu'!F$54,'Internmediate sheet'!$A41/3,0)*Capacity</f>
        <v>0</v>
      </c>
      <c r="G136" s="19">
        <f ca="1">OFFSET('Sales, Production, &amp; Other Assu'!G$54,'Internmediate sheet'!$A41/3,0)*Capacity</f>
        <v>0</v>
      </c>
      <c r="H136" s="19">
        <f ca="1">OFFSET('Sales, Production, &amp; Other Assu'!H$54,'Internmediate sheet'!$A41/3,0)*Capacity</f>
        <v>0</v>
      </c>
      <c r="I136" s="19">
        <f ca="1">OFFSET('Sales, Production, &amp; Other Assu'!I$54,'Internmediate sheet'!$A41/3,0)*Capacity</f>
        <v>0</v>
      </c>
      <c r="J136" s="19">
        <f ca="1">OFFSET('Sales, Production, &amp; Other Assu'!J$54,'Internmediate sheet'!$A41/3,0)*Capacity</f>
        <v>0</v>
      </c>
      <c r="K136" s="19">
        <f ca="1">OFFSET('Sales, Production, &amp; Other Assu'!K$54,'Internmediate sheet'!$A41/3,0)*Capacity</f>
        <v>0</v>
      </c>
      <c r="L136" s="19">
        <f ca="1">OFFSET('Sales, Production, &amp; Other Assu'!L$54,'Internmediate sheet'!$A41/3,0)*Capacity</f>
        <v>0</v>
      </c>
      <c r="M136" s="19">
        <f ca="1">OFFSET('Sales, Production, &amp; Other Assu'!M$54,'Internmediate sheet'!$A41/3,0)*Capacity</f>
        <v>0</v>
      </c>
      <c r="N136" s="19">
        <f ca="1">OFFSET('Sales, Production, &amp; Other Assu'!N$54,'Internmediate sheet'!$A41/3,0)*Capacity</f>
        <v>0</v>
      </c>
      <c r="O136" s="19">
        <f ca="1">OFFSET('Sales, Production, &amp; Other Assu'!O$54,'Internmediate sheet'!$A41/3,0)*Capacity</f>
        <v>0</v>
      </c>
      <c r="P136" s="434">
        <f ca="1">SUM(D136:O136)</f>
        <v>0</v>
      </c>
      <c r="Q136" s="19">
        <f ca="1">OFFSET('Sales, Production, &amp; Other Assu'!Q$54,'Internmediate sheet'!$A41/3,0)*Capacity</f>
        <v>0</v>
      </c>
      <c r="R136" s="19">
        <f ca="1">OFFSET('Sales, Production, &amp; Other Assu'!R$54,'Internmediate sheet'!$A41/3,0)*Capacity</f>
        <v>0</v>
      </c>
      <c r="S136" s="19">
        <f ca="1">OFFSET('Sales, Production, &amp; Other Assu'!S$54,'Internmediate sheet'!$A41/3,0)*Capacity</f>
        <v>0</v>
      </c>
      <c r="T136" s="19">
        <f ca="1">OFFSET('Sales, Production, &amp; Other Assu'!T$54,'Internmediate sheet'!$A41/3,0)*Capacity</f>
        <v>0</v>
      </c>
      <c r="U136" s="19">
        <f ca="1">OFFSET('Sales, Production, &amp; Other Assu'!U$54,'Internmediate sheet'!$A41/3,0)*Capacity</f>
        <v>0</v>
      </c>
      <c r="V136" s="19">
        <f ca="1">OFFSET('Sales, Production, &amp; Other Assu'!V$54,'Internmediate sheet'!$A41/3,0)*Capacity</f>
        <v>0</v>
      </c>
      <c r="W136" s="19">
        <f ca="1">OFFSET('Sales, Production, &amp; Other Assu'!W$54,'Internmediate sheet'!$A41/3,0)*Capacity</f>
        <v>0</v>
      </c>
      <c r="X136" s="19">
        <f ca="1">OFFSET('Sales, Production, &amp; Other Assu'!X$54,'Internmediate sheet'!$A41/3,0)*Capacity</f>
        <v>0</v>
      </c>
      <c r="Y136" s="19">
        <f ca="1">OFFSET('Sales, Production, &amp; Other Assu'!Y$54,'Internmediate sheet'!$A41/3,0)*Capacity</f>
        <v>0</v>
      </c>
      <c r="Z136" s="19">
        <f ca="1">OFFSET('Sales, Production, &amp; Other Assu'!Z$54,'Internmediate sheet'!$A41/3,0)*Capacity</f>
        <v>0</v>
      </c>
      <c r="AA136" s="19">
        <f ca="1">OFFSET('Sales, Production, &amp; Other Assu'!AA$54,'Internmediate sheet'!$A41/3,0)*Capacity</f>
        <v>0</v>
      </c>
      <c r="AB136" s="19">
        <f ca="1">OFFSET('Sales, Production, &amp; Other Assu'!AB$54,'Internmediate sheet'!$A41/3,0)*Capacity</f>
        <v>0</v>
      </c>
      <c r="AC136" s="434">
        <f ca="1">SUM(Q136:AB136)</f>
        <v>0</v>
      </c>
      <c r="AD136" s="19">
        <f ca="1">OFFSET('Sales, Production, &amp; Other Assu'!AD$54,'Internmediate sheet'!$A41/3,0)*Capacity</f>
        <v>0</v>
      </c>
      <c r="AE136" s="19">
        <f ca="1">OFFSET('Sales, Production, &amp; Other Assu'!AE$54,'Internmediate sheet'!$A41/3,0)*Capacity</f>
        <v>0</v>
      </c>
      <c r="AF136" s="19">
        <f ca="1">OFFSET('Sales, Production, &amp; Other Assu'!AF$54,'Internmediate sheet'!$A41/3,0)*Capacity</f>
        <v>0</v>
      </c>
      <c r="AG136" s="19">
        <f ca="1">OFFSET('Sales, Production, &amp; Other Assu'!AG$54,'Internmediate sheet'!$A41/3,0)*Capacity</f>
        <v>0</v>
      </c>
      <c r="AH136" s="19">
        <f ca="1">OFFSET('Sales, Production, &amp; Other Assu'!AH$54,'Internmediate sheet'!$A41/3,0)*Capacity</f>
        <v>0</v>
      </c>
      <c r="AI136" s="19">
        <f ca="1">OFFSET('Sales, Production, &amp; Other Assu'!AI$54,'Internmediate sheet'!$A41/3,0)*Capacity</f>
        <v>0</v>
      </c>
      <c r="AJ136" s="19">
        <f ca="1">OFFSET('Sales, Production, &amp; Other Assu'!AJ$54,'Internmediate sheet'!$A41/3,0)*Capacity</f>
        <v>0</v>
      </c>
      <c r="AK136" s="19">
        <f ca="1">OFFSET('Sales, Production, &amp; Other Assu'!AK$54,'Internmediate sheet'!$A41/3,0)*Capacity</f>
        <v>0</v>
      </c>
      <c r="AL136" s="19">
        <f ca="1">OFFSET('Sales, Production, &amp; Other Assu'!AL$54,'Internmediate sheet'!$A41/3,0)*Capacity</f>
        <v>0</v>
      </c>
      <c r="AM136" s="19">
        <f ca="1">OFFSET('Sales, Production, &amp; Other Assu'!AM$54,'Internmediate sheet'!$A41/3,0)*Capacity</f>
        <v>0</v>
      </c>
      <c r="AN136" s="19">
        <f ca="1">OFFSET('Sales, Production, &amp; Other Assu'!AN$54,'Internmediate sheet'!$A41/3,0)*Capacity</f>
        <v>0</v>
      </c>
      <c r="AO136" s="19">
        <f ca="1">OFFSET('Sales, Production, &amp; Other Assu'!AO$54,'Internmediate sheet'!$A41/3,0)*Capacity</f>
        <v>0</v>
      </c>
      <c r="AP136" s="434">
        <f ca="1">SUM(AD136:AO136)</f>
        <v>0</v>
      </c>
      <c r="AQ136" s="19">
        <f ca="1">OFFSET('Sales, Production, &amp; Other Assu'!AQ$54,'Internmediate sheet'!$A41/3,0)*Capacity</f>
        <v>0</v>
      </c>
      <c r="AR136" s="19">
        <f ca="1">OFFSET('Sales, Production, &amp; Other Assu'!AR$54,'Internmediate sheet'!$A41/3,0)*Capacity</f>
        <v>0</v>
      </c>
      <c r="AS136" s="19">
        <f ca="1">OFFSET('Sales, Production, &amp; Other Assu'!AS$54,'Internmediate sheet'!$A41/3,0)*Capacity</f>
        <v>0</v>
      </c>
      <c r="AT136" s="19">
        <f ca="1">OFFSET('Sales, Production, &amp; Other Assu'!AT$54,'Internmediate sheet'!$A41/3,0)*Capacity</f>
        <v>0</v>
      </c>
      <c r="AU136" s="19">
        <f ca="1">OFFSET('Sales, Production, &amp; Other Assu'!AU$54,'Internmediate sheet'!$A41/3,0)*Capacity</f>
        <v>0</v>
      </c>
      <c r="AV136" s="19">
        <f ca="1">OFFSET('Sales, Production, &amp; Other Assu'!AV$54,'Internmediate sheet'!$A41/3,0)*Capacity</f>
        <v>0</v>
      </c>
      <c r="AW136" s="19">
        <f ca="1">OFFSET('Sales, Production, &amp; Other Assu'!AW$54,'Internmediate sheet'!$A41/3,0)*Capacity</f>
        <v>0</v>
      </c>
      <c r="AX136" s="19">
        <f ca="1">OFFSET('Sales, Production, &amp; Other Assu'!AX$54,'Internmediate sheet'!$A41/3,0)*Capacity</f>
        <v>0</v>
      </c>
      <c r="AY136" s="19">
        <f ca="1">OFFSET('Sales, Production, &amp; Other Assu'!AY$54,'Internmediate sheet'!$A41/3,0)*Capacity</f>
        <v>0</v>
      </c>
      <c r="AZ136" s="19">
        <f ca="1">OFFSET('Sales, Production, &amp; Other Assu'!AZ$54,'Internmediate sheet'!$A41/3,0)*Capacity</f>
        <v>0</v>
      </c>
      <c r="BA136" s="19">
        <f ca="1">OFFSET('Sales, Production, &amp; Other Assu'!BA$54,'Internmediate sheet'!$A41/3,0)*Capacity</f>
        <v>0</v>
      </c>
      <c r="BB136" s="19">
        <f ca="1">OFFSET('Sales, Production, &amp; Other Assu'!BB$54,'Internmediate sheet'!$A41/3,0)*Capacity</f>
        <v>0</v>
      </c>
      <c r="BC136" s="434">
        <f ca="1">SUM(AQ136:BB136)</f>
        <v>0</v>
      </c>
      <c r="BD136" s="19">
        <f ca="1">OFFSET('Sales, Production, &amp; Other Assu'!BD$54,'Internmediate sheet'!$A41/3,0)*Capacity</f>
        <v>0</v>
      </c>
      <c r="BE136" s="19">
        <f ca="1">OFFSET('Sales, Production, &amp; Other Assu'!BE$54,'Internmediate sheet'!$A41/3,0)*Capacity</f>
        <v>0</v>
      </c>
      <c r="BF136" s="19">
        <f ca="1">OFFSET('Sales, Production, &amp; Other Assu'!BF$54,'Internmediate sheet'!$A41/3,0)*Capacity</f>
        <v>0</v>
      </c>
      <c r="BG136" s="19">
        <f ca="1">OFFSET('Sales, Production, &amp; Other Assu'!BG$54,'Internmediate sheet'!$A41/3,0)*Capacity</f>
        <v>0</v>
      </c>
      <c r="BH136" s="19">
        <f ca="1">OFFSET('Sales, Production, &amp; Other Assu'!BH$54,'Internmediate sheet'!$A41/3,0)*Capacity</f>
        <v>0</v>
      </c>
      <c r="BI136" s="19">
        <f ca="1">OFFSET('Sales, Production, &amp; Other Assu'!BI$54,'Internmediate sheet'!$A41/3,0)*Capacity</f>
        <v>0</v>
      </c>
      <c r="BJ136" s="19">
        <f ca="1">OFFSET('Sales, Production, &amp; Other Assu'!BJ$54,'Internmediate sheet'!$A41/3,0)*Capacity</f>
        <v>0</v>
      </c>
      <c r="BK136" s="19">
        <f ca="1">OFFSET('Sales, Production, &amp; Other Assu'!BK$54,'Internmediate sheet'!$A41/3,0)*Capacity</f>
        <v>0</v>
      </c>
      <c r="BL136" s="19">
        <f ca="1">OFFSET('Sales, Production, &amp; Other Assu'!BL$54,'Internmediate sheet'!$A41/3,0)*Capacity</f>
        <v>0</v>
      </c>
      <c r="BM136" s="19">
        <f ca="1">OFFSET('Sales, Production, &amp; Other Assu'!BM$54,'Internmediate sheet'!$A41/3,0)*Capacity</f>
        <v>0</v>
      </c>
      <c r="BN136" s="19">
        <f ca="1">OFFSET('Sales, Production, &amp; Other Assu'!BN$54,'Internmediate sheet'!$A41/3,0)*Capacity</f>
        <v>0</v>
      </c>
      <c r="BO136" s="19">
        <f ca="1">OFFSET('Sales, Production, &amp; Other Assu'!BO$54,'Internmediate sheet'!$A41/3,0)*Capacity</f>
        <v>0</v>
      </c>
      <c r="BP136" s="434">
        <f ca="1">SUM(BD136:BO136)</f>
        <v>0</v>
      </c>
      <c r="BQ136" s="19">
        <f ca="1">OFFSET('Sales, Production, &amp; Other Assu'!BQ$54,'Internmediate sheet'!$A41/3,0)*Capacity</f>
        <v>0</v>
      </c>
      <c r="BR136" s="19">
        <f ca="1">OFFSET('Sales, Production, &amp; Other Assu'!BR$54,'Internmediate sheet'!$A41/3,0)*Capacity</f>
        <v>0</v>
      </c>
      <c r="BS136" s="19">
        <f ca="1">OFFSET('Sales, Production, &amp; Other Assu'!BS$54,'Internmediate sheet'!$A41/3,0)*Capacity</f>
        <v>0</v>
      </c>
      <c r="BT136" s="19">
        <f ca="1">OFFSET('Sales, Production, &amp; Other Assu'!BT$54,'Internmediate sheet'!$A41/3,0)*Capacity</f>
        <v>0</v>
      </c>
      <c r="BU136" s="19">
        <f ca="1">OFFSET('Sales, Production, &amp; Other Assu'!BU$54,'Internmediate sheet'!$A41/3,0)*Capacity</f>
        <v>0</v>
      </c>
      <c r="BV136" s="19">
        <f ca="1">OFFSET('Sales, Production, &amp; Other Assu'!BV$54,'Internmediate sheet'!$A41/3,0)*Capacity</f>
        <v>0</v>
      </c>
      <c r="BW136" s="19">
        <f ca="1">OFFSET('Sales, Production, &amp; Other Assu'!BW$54,'Internmediate sheet'!$A41/3,0)*Capacity</f>
        <v>0</v>
      </c>
      <c r="BX136" s="19">
        <f ca="1">OFFSET('Sales, Production, &amp; Other Assu'!BX$54,'Internmediate sheet'!$A41/3,0)*Capacity</f>
        <v>0</v>
      </c>
      <c r="BY136" s="19">
        <f ca="1">OFFSET('Sales, Production, &amp; Other Assu'!BY$54,'Internmediate sheet'!$A41/3,0)*Capacity</f>
        <v>0</v>
      </c>
      <c r="BZ136" s="19">
        <f ca="1">OFFSET('Sales, Production, &amp; Other Assu'!BZ$54,'Internmediate sheet'!$A41/3,0)*Capacity</f>
        <v>0</v>
      </c>
      <c r="CA136" s="19">
        <f ca="1">OFFSET('Sales, Production, &amp; Other Assu'!CA$54,'Internmediate sheet'!$A41/3,0)*Capacity</f>
        <v>0</v>
      </c>
      <c r="CB136" s="19">
        <f ca="1">OFFSET('Sales, Production, &amp; Other Assu'!CB$54,'Internmediate sheet'!$A41/3,0)*Capacity</f>
        <v>0</v>
      </c>
      <c r="CC136" s="434">
        <f ca="1">SUM(BQ136:CB136)</f>
        <v>0</v>
      </c>
      <c r="CD136" s="19">
        <f ca="1">OFFSET('Sales, Production, &amp; Other Assu'!CD$54,'Internmediate sheet'!$A41/3,0)*Capacity</f>
        <v>0</v>
      </c>
      <c r="CE136" s="19">
        <f ca="1">OFFSET('Sales, Production, &amp; Other Assu'!CE$54,'Internmediate sheet'!$A41/3,0)*Capacity</f>
        <v>0</v>
      </c>
      <c r="CF136" s="19">
        <f ca="1">OFFSET('Sales, Production, &amp; Other Assu'!CF$54,'Internmediate sheet'!$A41/3,0)*Capacity</f>
        <v>0</v>
      </c>
      <c r="CG136" s="19">
        <f ca="1">OFFSET('Sales, Production, &amp; Other Assu'!CG$54,'Internmediate sheet'!$A41/3,0)*Capacity</f>
        <v>0</v>
      </c>
      <c r="CH136" s="19">
        <f ca="1">OFFSET('Sales, Production, &amp; Other Assu'!CH$54,'Internmediate sheet'!$A41/3,0)*Capacity</f>
        <v>0</v>
      </c>
      <c r="CI136" s="19">
        <f ca="1">OFFSET('Sales, Production, &amp; Other Assu'!CI$54,'Internmediate sheet'!$A41/3,0)*Capacity</f>
        <v>0</v>
      </c>
      <c r="CJ136" s="19">
        <f ca="1">OFFSET('Sales, Production, &amp; Other Assu'!CJ$54,'Internmediate sheet'!$A41/3,0)*Capacity</f>
        <v>0</v>
      </c>
      <c r="CK136" s="19">
        <f ca="1">OFFSET('Sales, Production, &amp; Other Assu'!CK$54,'Internmediate sheet'!$A41/3,0)*Capacity</f>
        <v>0</v>
      </c>
      <c r="CL136" s="19">
        <f ca="1">OFFSET('Sales, Production, &amp; Other Assu'!CL$54,'Internmediate sheet'!$A41/3,0)*Capacity</f>
        <v>0</v>
      </c>
      <c r="CM136" s="19">
        <f ca="1">OFFSET('Sales, Production, &amp; Other Assu'!CM$54,'Internmediate sheet'!$A41/3,0)*Capacity</f>
        <v>0</v>
      </c>
      <c r="CN136" s="19">
        <f ca="1">OFFSET('Sales, Production, &amp; Other Assu'!CN$54,'Internmediate sheet'!$A41/3,0)*Capacity</f>
        <v>0</v>
      </c>
      <c r="CO136" s="19">
        <f ca="1">OFFSET('Sales, Production, &amp; Other Assu'!CO$54,'Internmediate sheet'!$A41/3,0)*Capacity</f>
        <v>0</v>
      </c>
      <c r="CP136" s="434">
        <f ca="1">SUM(CD136:CO136)</f>
        <v>0</v>
      </c>
    </row>
    <row r="137" spans="1:94" ht="20.100000000000001" hidden="1" customHeight="1">
      <c r="A137" s="793"/>
      <c r="B137" s="9" t="s">
        <v>614</v>
      </c>
      <c r="C137" s="10">
        <f ca="1">OFFSET('BEP. &amp; Summary Results'!$C$6,'Internmediate sheet'!A38/3,0)</f>
        <v>0</v>
      </c>
      <c r="D137" s="9">
        <f t="shared" ref="D137" ca="1" si="3631">C137</f>
        <v>0</v>
      </c>
      <c r="E137" s="9">
        <f t="shared" ref="E137" ca="1" si="3632">D137</f>
        <v>0</v>
      </c>
      <c r="F137" s="9">
        <f t="shared" ref="F137" ca="1" si="3633">E137</f>
        <v>0</v>
      </c>
      <c r="G137" s="9">
        <f t="shared" ref="G137" ca="1" si="3634">F137</f>
        <v>0</v>
      </c>
      <c r="H137" s="9">
        <f t="shared" ref="H137" ca="1" si="3635">G137</f>
        <v>0</v>
      </c>
      <c r="I137" s="9">
        <f t="shared" ref="I137" ca="1" si="3636">H137</f>
        <v>0</v>
      </c>
      <c r="J137" s="9">
        <f t="shared" ref="J137" ca="1" si="3637">I137</f>
        <v>0</v>
      </c>
      <c r="K137" s="9">
        <f t="shared" ref="K137" ca="1" si="3638">J137</f>
        <v>0</v>
      </c>
      <c r="L137" s="9">
        <f t="shared" ref="L137" ca="1" si="3639">K137</f>
        <v>0</v>
      </c>
      <c r="M137" s="9">
        <f t="shared" ref="M137" ca="1" si="3640">L137</f>
        <v>0</v>
      </c>
      <c r="N137" s="9">
        <f t="shared" ref="N137" ca="1" si="3641">M137</f>
        <v>0</v>
      </c>
      <c r="O137" s="9">
        <f t="shared" ref="O137" ca="1" si="3642">N137</f>
        <v>0</v>
      </c>
      <c r="P137" s="435">
        <f t="shared" ref="P137" ca="1" si="3643">O137</f>
        <v>0</v>
      </c>
      <c r="Q137" s="9">
        <f t="shared" ref="Q137" ca="1" si="3644">P137</f>
        <v>0</v>
      </c>
      <c r="R137" s="9">
        <f t="shared" ref="R137" ca="1" si="3645">Q137</f>
        <v>0</v>
      </c>
      <c r="S137" s="9">
        <f t="shared" ref="S137" ca="1" si="3646">R137</f>
        <v>0</v>
      </c>
      <c r="T137" s="9">
        <f t="shared" ref="T137" ca="1" si="3647">S137</f>
        <v>0</v>
      </c>
      <c r="U137" s="9">
        <f t="shared" ref="U137" ca="1" si="3648">T137</f>
        <v>0</v>
      </c>
      <c r="V137" s="9">
        <f t="shared" ref="V137" ca="1" si="3649">U137</f>
        <v>0</v>
      </c>
      <c r="W137" s="9">
        <f t="shared" ref="W137" ca="1" si="3650">V137</f>
        <v>0</v>
      </c>
      <c r="X137" s="9">
        <f t="shared" ref="X137" ca="1" si="3651">W137</f>
        <v>0</v>
      </c>
      <c r="Y137" s="9">
        <f t="shared" ref="Y137" ca="1" si="3652">X137</f>
        <v>0</v>
      </c>
      <c r="Z137" s="9">
        <f t="shared" ref="Z137" ca="1" si="3653">Y137</f>
        <v>0</v>
      </c>
      <c r="AA137" s="9">
        <f t="shared" ref="AA137" ca="1" si="3654">Z137</f>
        <v>0</v>
      </c>
      <c r="AB137" s="9">
        <f t="shared" ref="AB137" ca="1" si="3655">AA137</f>
        <v>0</v>
      </c>
      <c r="AC137" s="435">
        <f t="shared" ref="AC137" ca="1" si="3656">AB137</f>
        <v>0</v>
      </c>
      <c r="AD137" s="9">
        <f t="shared" ref="AD137" ca="1" si="3657">AC137</f>
        <v>0</v>
      </c>
      <c r="AE137" s="9">
        <f t="shared" ref="AE137" ca="1" si="3658">AD137</f>
        <v>0</v>
      </c>
      <c r="AF137" s="9">
        <f t="shared" ref="AF137" ca="1" si="3659">AE137</f>
        <v>0</v>
      </c>
      <c r="AG137" s="9">
        <f t="shared" ref="AG137" ca="1" si="3660">AF137</f>
        <v>0</v>
      </c>
      <c r="AH137" s="9">
        <f t="shared" ref="AH137" ca="1" si="3661">AG137</f>
        <v>0</v>
      </c>
      <c r="AI137" s="9">
        <f t="shared" ref="AI137" ca="1" si="3662">AH137</f>
        <v>0</v>
      </c>
      <c r="AJ137" s="9">
        <f t="shared" ref="AJ137" ca="1" si="3663">AI137</f>
        <v>0</v>
      </c>
      <c r="AK137" s="9">
        <f t="shared" ref="AK137" ca="1" si="3664">AJ137</f>
        <v>0</v>
      </c>
      <c r="AL137" s="9">
        <f t="shared" ref="AL137" ca="1" si="3665">AK137</f>
        <v>0</v>
      </c>
      <c r="AM137" s="9">
        <f t="shared" ref="AM137" ca="1" si="3666">AL137</f>
        <v>0</v>
      </c>
      <c r="AN137" s="9">
        <f t="shared" ref="AN137" ca="1" si="3667">AM137</f>
        <v>0</v>
      </c>
      <c r="AO137" s="9">
        <f t="shared" ref="AO137" ca="1" si="3668">AN137</f>
        <v>0</v>
      </c>
      <c r="AP137" s="435">
        <f t="shared" ref="AP137" ca="1" si="3669">AO137</f>
        <v>0</v>
      </c>
      <c r="AQ137" s="9">
        <f ca="1">AP137</f>
        <v>0</v>
      </c>
      <c r="AR137" s="9">
        <f t="shared" ref="AR137" ca="1" si="3670">AQ137</f>
        <v>0</v>
      </c>
      <c r="AS137" s="9">
        <f t="shared" ref="AS137" ca="1" si="3671">AR137</f>
        <v>0</v>
      </c>
      <c r="AT137" s="9">
        <f t="shared" ref="AT137" ca="1" si="3672">AS137</f>
        <v>0</v>
      </c>
      <c r="AU137" s="9">
        <f t="shared" ref="AU137" ca="1" si="3673">AT137</f>
        <v>0</v>
      </c>
      <c r="AV137" s="9">
        <f t="shared" ref="AV137" ca="1" si="3674">AU137</f>
        <v>0</v>
      </c>
      <c r="AW137" s="9">
        <f t="shared" ref="AW137" ca="1" si="3675">AV137</f>
        <v>0</v>
      </c>
      <c r="AX137" s="9">
        <f t="shared" ref="AX137" ca="1" si="3676">AW137</f>
        <v>0</v>
      </c>
      <c r="AY137" s="9">
        <f t="shared" ref="AY137" ca="1" si="3677">AX137</f>
        <v>0</v>
      </c>
      <c r="AZ137" s="9">
        <f t="shared" ref="AZ137" ca="1" si="3678">AY137</f>
        <v>0</v>
      </c>
      <c r="BA137" s="9">
        <f t="shared" ref="BA137" ca="1" si="3679">AZ137</f>
        <v>0</v>
      </c>
      <c r="BB137" s="9">
        <f t="shared" ref="BB137" ca="1" si="3680">BA137</f>
        <v>0</v>
      </c>
      <c r="BC137" s="435">
        <f t="shared" ref="BC137" ca="1" si="3681">BB137</f>
        <v>0</v>
      </c>
      <c r="BD137" s="9">
        <f t="shared" ref="BD137" ca="1" si="3682">BC137</f>
        <v>0</v>
      </c>
      <c r="BE137" s="9">
        <f t="shared" ref="BE137" ca="1" si="3683">BD137</f>
        <v>0</v>
      </c>
      <c r="BF137" s="9">
        <f t="shared" ref="BF137" ca="1" si="3684">BE137</f>
        <v>0</v>
      </c>
      <c r="BG137" s="9">
        <f t="shared" ref="BG137" ca="1" si="3685">BF137</f>
        <v>0</v>
      </c>
      <c r="BH137" s="9">
        <f t="shared" ref="BH137" ca="1" si="3686">BG137</f>
        <v>0</v>
      </c>
      <c r="BI137" s="9">
        <f t="shared" ref="BI137" ca="1" si="3687">BH137</f>
        <v>0</v>
      </c>
      <c r="BJ137" s="9">
        <f t="shared" ref="BJ137" ca="1" si="3688">BI137</f>
        <v>0</v>
      </c>
      <c r="BK137" s="9">
        <f t="shared" ref="BK137" ca="1" si="3689">BJ137</f>
        <v>0</v>
      </c>
      <c r="BL137" s="9">
        <f t="shared" ref="BL137" ca="1" si="3690">BK137</f>
        <v>0</v>
      </c>
      <c r="BM137" s="9">
        <f t="shared" ref="BM137" ca="1" si="3691">BL137</f>
        <v>0</v>
      </c>
      <c r="BN137" s="9">
        <f t="shared" ref="BN137" ca="1" si="3692">BM137</f>
        <v>0</v>
      </c>
      <c r="BO137" s="9">
        <f t="shared" ref="BO137" ca="1" si="3693">BN137</f>
        <v>0</v>
      </c>
      <c r="BP137" s="435">
        <f t="shared" ref="BP137" ca="1" si="3694">BO137</f>
        <v>0</v>
      </c>
      <c r="BQ137" s="9">
        <f t="shared" ref="BQ137" ca="1" si="3695">BP137</f>
        <v>0</v>
      </c>
      <c r="BR137" s="9">
        <f t="shared" ref="BR137" ca="1" si="3696">BQ137</f>
        <v>0</v>
      </c>
      <c r="BS137" s="9">
        <f t="shared" ref="BS137" ca="1" si="3697">BR137</f>
        <v>0</v>
      </c>
      <c r="BT137" s="9">
        <f t="shared" ref="BT137" ca="1" si="3698">BS137</f>
        <v>0</v>
      </c>
      <c r="BU137" s="9">
        <f t="shared" ref="BU137" ca="1" si="3699">BT137</f>
        <v>0</v>
      </c>
      <c r="BV137" s="9">
        <f t="shared" ref="BV137" ca="1" si="3700">BU137</f>
        <v>0</v>
      </c>
      <c r="BW137" s="9">
        <f t="shared" ref="BW137" ca="1" si="3701">BV137</f>
        <v>0</v>
      </c>
      <c r="BX137" s="9">
        <f t="shared" ref="BX137" ca="1" si="3702">BW137</f>
        <v>0</v>
      </c>
      <c r="BY137" s="9">
        <f t="shared" ref="BY137" ca="1" si="3703">BX137</f>
        <v>0</v>
      </c>
      <c r="BZ137" s="9">
        <f t="shared" ref="BZ137" ca="1" si="3704">BY137</f>
        <v>0</v>
      </c>
      <c r="CA137" s="9">
        <f t="shared" ref="CA137" ca="1" si="3705">BZ137</f>
        <v>0</v>
      </c>
      <c r="CB137" s="9">
        <f t="shared" ref="CB137" ca="1" si="3706">CA137</f>
        <v>0</v>
      </c>
      <c r="CC137" s="435">
        <f t="shared" ref="CC137" ca="1" si="3707">CB137</f>
        <v>0</v>
      </c>
      <c r="CD137" s="9">
        <f t="shared" ref="CD137" ca="1" si="3708">CC137</f>
        <v>0</v>
      </c>
      <c r="CE137" s="9">
        <f t="shared" ref="CE137" ca="1" si="3709">CD137</f>
        <v>0</v>
      </c>
      <c r="CF137" s="9">
        <f t="shared" ref="CF137" ca="1" si="3710">CE137</f>
        <v>0</v>
      </c>
      <c r="CG137" s="9">
        <f t="shared" ref="CG137" ca="1" si="3711">CF137</f>
        <v>0</v>
      </c>
      <c r="CH137" s="9">
        <f t="shared" ref="CH137" ca="1" si="3712">CG137</f>
        <v>0</v>
      </c>
      <c r="CI137" s="9">
        <f t="shared" ref="CI137" ca="1" si="3713">CH137</f>
        <v>0</v>
      </c>
      <c r="CJ137" s="9">
        <f t="shared" ref="CJ137" ca="1" si="3714">CI137</f>
        <v>0</v>
      </c>
      <c r="CK137" s="9">
        <f t="shared" ref="CK137" ca="1" si="3715">CJ137</f>
        <v>0</v>
      </c>
      <c r="CL137" s="9">
        <f t="shared" ref="CL137" ca="1" si="3716">CK137</f>
        <v>0</v>
      </c>
      <c r="CM137" s="9">
        <f t="shared" ref="CM137" ca="1" si="3717">CL137</f>
        <v>0</v>
      </c>
      <c r="CN137" s="9">
        <f t="shared" ref="CN137" ca="1" si="3718">CM137</f>
        <v>0</v>
      </c>
      <c r="CO137" s="9">
        <f t="shared" ref="CO137" ca="1" si="3719">CN137</f>
        <v>0</v>
      </c>
      <c r="CP137" s="435">
        <f t="shared" ref="CP137" ca="1" si="3720">CO137</f>
        <v>0</v>
      </c>
    </row>
    <row r="138" spans="1:94" ht="20.100000000000001" hidden="1" customHeight="1">
      <c r="A138" s="794"/>
      <c r="B138" s="255" t="s">
        <v>615</v>
      </c>
      <c r="C138" s="256">
        <f t="shared" ref="C138:O138" ca="1" si="3721">C136*C137</f>
        <v>0</v>
      </c>
      <c r="D138" s="255">
        <f t="shared" ca="1" si="3721"/>
        <v>0</v>
      </c>
      <c r="E138" s="255">
        <f t="shared" ca="1" si="3721"/>
        <v>0</v>
      </c>
      <c r="F138" s="255">
        <f t="shared" ca="1" si="3721"/>
        <v>0</v>
      </c>
      <c r="G138" s="255">
        <f t="shared" ca="1" si="3721"/>
        <v>0</v>
      </c>
      <c r="H138" s="255">
        <f t="shared" ca="1" si="3721"/>
        <v>0</v>
      </c>
      <c r="I138" s="255">
        <f t="shared" ca="1" si="3721"/>
        <v>0</v>
      </c>
      <c r="J138" s="255">
        <f t="shared" ca="1" si="3721"/>
        <v>0</v>
      </c>
      <c r="K138" s="255">
        <f t="shared" ca="1" si="3721"/>
        <v>0</v>
      </c>
      <c r="L138" s="255">
        <f t="shared" ca="1" si="3721"/>
        <v>0</v>
      </c>
      <c r="M138" s="255">
        <f t="shared" ca="1" si="3721"/>
        <v>0</v>
      </c>
      <c r="N138" s="255">
        <f t="shared" ca="1" si="3721"/>
        <v>0</v>
      </c>
      <c r="O138" s="255">
        <f t="shared" ca="1" si="3721"/>
        <v>0</v>
      </c>
      <c r="P138" s="434">
        <f ca="1">SUM(D138:O138)</f>
        <v>0</v>
      </c>
      <c r="Q138" s="255">
        <f t="shared" ref="Q138:AB138" ca="1" si="3722">Q136*Q137</f>
        <v>0</v>
      </c>
      <c r="R138" s="255">
        <f t="shared" ca="1" si="3722"/>
        <v>0</v>
      </c>
      <c r="S138" s="255">
        <f t="shared" ca="1" si="3722"/>
        <v>0</v>
      </c>
      <c r="T138" s="255">
        <f t="shared" ca="1" si="3722"/>
        <v>0</v>
      </c>
      <c r="U138" s="255">
        <f t="shared" ca="1" si="3722"/>
        <v>0</v>
      </c>
      <c r="V138" s="255">
        <f t="shared" ca="1" si="3722"/>
        <v>0</v>
      </c>
      <c r="W138" s="255">
        <f t="shared" ca="1" si="3722"/>
        <v>0</v>
      </c>
      <c r="X138" s="255">
        <f t="shared" ca="1" si="3722"/>
        <v>0</v>
      </c>
      <c r="Y138" s="255">
        <f t="shared" ca="1" si="3722"/>
        <v>0</v>
      </c>
      <c r="Z138" s="255">
        <f t="shared" ca="1" si="3722"/>
        <v>0</v>
      </c>
      <c r="AA138" s="255">
        <f t="shared" ca="1" si="3722"/>
        <v>0</v>
      </c>
      <c r="AB138" s="255">
        <f t="shared" ca="1" si="3722"/>
        <v>0</v>
      </c>
      <c r="AC138" s="434">
        <f ca="1">SUM(Q138:AB138)</f>
        <v>0</v>
      </c>
      <c r="AD138" s="255">
        <f t="shared" ref="AD138:AO138" ca="1" si="3723">AD136*AD137</f>
        <v>0</v>
      </c>
      <c r="AE138" s="255">
        <f t="shared" ca="1" si="3723"/>
        <v>0</v>
      </c>
      <c r="AF138" s="255">
        <f t="shared" ca="1" si="3723"/>
        <v>0</v>
      </c>
      <c r="AG138" s="255">
        <f t="shared" ca="1" si="3723"/>
        <v>0</v>
      </c>
      <c r="AH138" s="255">
        <f t="shared" ca="1" si="3723"/>
        <v>0</v>
      </c>
      <c r="AI138" s="255">
        <f t="shared" ca="1" si="3723"/>
        <v>0</v>
      </c>
      <c r="AJ138" s="255">
        <f t="shared" ca="1" si="3723"/>
        <v>0</v>
      </c>
      <c r="AK138" s="255">
        <f t="shared" ca="1" si="3723"/>
        <v>0</v>
      </c>
      <c r="AL138" s="255">
        <f t="shared" ca="1" si="3723"/>
        <v>0</v>
      </c>
      <c r="AM138" s="255">
        <f t="shared" ca="1" si="3723"/>
        <v>0</v>
      </c>
      <c r="AN138" s="255">
        <f t="shared" ca="1" si="3723"/>
        <v>0</v>
      </c>
      <c r="AO138" s="255">
        <f t="shared" ca="1" si="3723"/>
        <v>0</v>
      </c>
      <c r="AP138" s="434">
        <f ca="1">SUM(AD138:AO138)</f>
        <v>0</v>
      </c>
      <c r="AQ138" s="255">
        <f t="shared" ref="AQ138:BB138" ca="1" si="3724">AQ136*AQ137</f>
        <v>0</v>
      </c>
      <c r="AR138" s="255">
        <f t="shared" ca="1" si="3724"/>
        <v>0</v>
      </c>
      <c r="AS138" s="255">
        <f t="shared" ca="1" si="3724"/>
        <v>0</v>
      </c>
      <c r="AT138" s="255">
        <f t="shared" ca="1" si="3724"/>
        <v>0</v>
      </c>
      <c r="AU138" s="255">
        <f t="shared" ca="1" si="3724"/>
        <v>0</v>
      </c>
      <c r="AV138" s="255">
        <f t="shared" ca="1" si="3724"/>
        <v>0</v>
      </c>
      <c r="AW138" s="255">
        <f t="shared" ca="1" si="3724"/>
        <v>0</v>
      </c>
      <c r="AX138" s="255">
        <f t="shared" ca="1" si="3724"/>
        <v>0</v>
      </c>
      <c r="AY138" s="255">
        <f t="shared" ca="1" si="3724"/>
        <v>0</v>
      </c>
      <c r="AZ138" s="255">
        <f t="shared" ca="1" si="3724"/>
        <v>0</v>
      </c>
      <c r="BA138" s="255">
        <f t="shared" ca="1" si="3724"/>
        <v>0</v>
      </c>
      <c r="BB138" s="255">
        <f t="shared" ca="1" si="3724"/>
        <v>0</v>
      </c>
      <c r="BC138" s="434">
        <f ca="1">SUM(AQ138:BB138)</f>
        <v>0</v>
      </c>
      <c r="BD138" s="255">
        <f t="shared" ref="BD138:BO138" ca="1" si="3725">BD136*BD137</f>
        <v>0</v>
      </c>
      <c r="BE138" s="255">
        <f t="shared" ca="1" si="3725"/>
        <v>0</v>
      </c>
      <c r="BF138" s="255">
        <f t="shared" ca="1" si="3725"/>
        <v>0</v>
      </c>
      <c r="BG138" s="255">
        <f t="shared" ca="1" si="3725"/>
        <v>0</v>
      </c>
      <c r="BH138" s="255">
        <f t="shared" ca="1" si="3725"/>
        <v>0</v>
      </c>
      <c r="BI138" s="255">
        <f t="shared" ca="1" si="3725"/>
        <v>0</v>
      </c>
      <c r="BJ138" s="255">
        <f t="shared" ca="1" si="3725"/>
        <v>0</v>
      </c>
      <c r="BK138" s="255">
        <f t="shared" ca="1" si="3725"/>
        <v>0</v>
      </c>
      <c r="BL138" s="255">
        <f t="shared" ca="1" si="3725"/>
        <v>0</v>
      </c>
      <c r="BM138" s="255">
        <f t="shared" ca="1" si="3725"/>
        <v>0</v>
      </c>
      <c r="BN138" s="255">
        <f t="shared" ca="1" si="3725"/>
        <v>0</v>
      </c>
      <c r="BO138" s="255">
        <f t="shared" ca="1" si="3725"/>
        <v>0</v>
      </c>
      <c r="BP138" s="434">
        <f ca="1">SUM(BD138:BO138)</f>
        <v>0</v>
      </c>
      <c r="BQ138" s="255">
        <f t="shared" ref="BQ138:CB138" ca="1" si="3726">BQ136*BQ137</f>
        <v>0</v>
      </c>
      <c r="BR138" s="255">
        <f t="shared" ca="1" si="3726"/>
        <v>0</v>
      </c>
      <c r="BS138" s="255">
        <f t="shared" ca="1" si="3726"/>
        <v>0</v>
      </c>
      <c r="BT138" s="255">
        <f t="shared" ca="1" si="3726"/>
        <v>0</v>
      </c>
      <c r="BU138" s="255">
        <f t="shared" ca="1" si="3726"/>
        <v>0</v>
      </c>
      <c r="BV138" s="255">
        <f t="shared" ca="1" si="3726"/>
        <v>0</v>
      </c>
      <c r="BW138" s="255">
        <f t="shared" ca="1" si="3726"/>
        <v>0</v>
      </c>
      <c r="BX138" s="255">
        <f t="shared" ca="1" si="3726"/>
        <v>0</v>
      </c>
      <c r="BY138" s="255">
        <f t="shared" ca="1" si="3726"/>
        <v>0</v>
      </c>
      <c r="BZ138" s="255">
        <f t="shared" ca="1" si="3726"/>
        <v>0</v>
      </c>
      <c r="CA138" s="255">
        <f t="shared" ca="1" si="3726"/>
        <v>0</v>
      </c>
      <c r="CB138" s="255">
        <f t="shared" ca="1" si="3726"/>
        <v>0</v>
      </c>
      <c r="CC138" s="434">
        <f ca="1">SUM(BQ138:CB138)</f>
        <v>0</v>
      </c>
      <c r="CD138" s="255">
        <f t="shared" ref="CD138:CO138" ca="1" si="3727">CD136*CD137</f>
        <v>0</v>
      </c>
      <c r="CE138" s="255">
        <f t="shared" ca="1" si="3727"/>
        <v>0</v>
      </c>
      <c r="CF138" s="255">
        <f t="shared" ca="1" si="3727"/>
        <v>0</v>
      </c>
      <c r="CG138" s="255">
        <f t="shared" ca="1" si="3727"/>
        <v>0</v>
      </c>
      <c r="CH138" s="255">
        <f t="shared" ca="1" si="3727"/>
        <v>0</v>
      </c>
      <c r="CI138" s="255">
        <f t="shared" ca="1" si="3727"/>
        <v>0</v>
      </c>
      <c r="CJ138" s="255">
        <f t="shared" ca="1" si="3727"/>
        <v>0</v>
      </c>
      <c r="CK138" s="255">
        <f t="shared" ca="1" si="3727"/>
        <v>0</v>
      </c>
      <c r="CL138" s="255">
        <f t="shared" ca="1" si="3727"/>
        <v>0</v>
      </c>
      <c r="CM138" s="255">
        <f t="shared" ca="1" si="3727"/>
        <v>0</v>
      </c>
      <c r="CN138" s="255">
        <f t="shared" ca="1" si="3727"/>
        <v>0</v>
      </c>
      <c r="CO138" s="255">
        <f t="shared" ca="1" si="3727"/>
        <v>0</v>
      </c>
      <c r="CP138" s="434">
        <f ca="1">SUM(CD138:CO138)</f>
        <v>0</v>
      </c>
    </row>
    <row r="139" spans="1:94" ht="20.100000000000001" hidden="1" customHeight="1">
      <c r="A139" s="792">
        <f ca="1">OFFSET('Summary. Assumptions. Inputs'!$A$45,'Internmediate sheet'!A44/3,0)</f>
        <v>0</v>
      </c>
      <c r="B139" s="19" t="s">
        <v>613</v>
      </c>
      <c r="C139" s="20">
        <f ca="1">OFFSET('Sales, Production, &amp; Other Assu'!C$54,'Internmediate sheet'!$A44/3,0)*Capacity</f>
        <v>0</v>
      </c>
      <c r="D139" s="19">
        <f ca="1">OFFSET('Sales, Production, &amp; Other Assu'!D$54,'Internmediate sheet'!$A44/3,0)*Capacity</f>
        <v>0</v>
      </c>
      <c r="E139" s="19">
        <f ca="1">OFFSET('Sales, Production, &amp; Other Assu'!E$54,'Internmediate sheet'!$A44/3,0)*Capacity</f>
        <v>0</v>
      </c>
      <c r="F139" s="19">
        <f ca="1">OFFSET('Sales, Production, &amp; Other Assu'!F$54,'Internmediate sheet'!$A44/3,0)*Capacity</f>
        <v>0</v>
      </c>
      <c r="G139" s="19">
        <f ca="1">OFFSET('Sales, Production, &amp; Other Assu'!G$54,'Internmediate sheet'!$A44/3,0)*Capacity</f>
        <v>0</v>
      </c>
      <c r="H139" s="19">
        <f ca="1">OFFSET('Sales, Production, &amp; Other Assu'!H$54,'Internmediate sheet'!$A44/3,0)*Capacity</f>
        <v>0</v>
      </c>
      <c r="I139" s="19">
        <f ca="1">OFFSET('Sales, Production, &amp; Other Assu'!I$54,'Internmediate sheet'!$A44/3,0)*Capacity</f>
        <v>0</v>
      </c>
      <c r="J139" s="19">
        <f ca="1">OFFSET('Sales, Production, &amp; Other Assu'!J$54,'Internmediate sheet'!$A44/3,0)*Capacity</f>
        <v>0</v>
      </c>
      <c r="K139" s="19">
        <f ca="1">OFFSET('Sales, Production, &amp; Other Assu'!K$54,'Internmediate sheet'!$A44/3,0)*Capacity</f>
        <v>0</v>
      </c>
      <c r="L139" s="19">
        <f ca="1">OFFSET('Sales, Production, &amp; Other Assu'!L$54,'Internmediate sheet'!$A44/3,0)*Capacity</f>
        <v>0</v>
      </c>
      <c r="M139" s="19">
        <f ca="1">OFFSET('Sales, Production, &amp; Other Assu'!M$54,'Internmediate sheet'!$A44/3,0)*Capacity</f>
        <v>0</v>
      </c>
      <c r="N139" s="19">
        <f ca="1">OFFSET('Sales, Production, &amp; Other Assu'!N$54,'Internmediate sheet'!$A44/3,0)*Capacity</f>
        <v>0</v>
      </c>
      <c r="O139" s="19">
        <f ca="1">OFFSET('Sales, Production, &amp; Other Assu'!O$54,'Internmediate sheet'!$A44/3,0)*Capacity</f>
        <v>0</v>
      </c>
      <c r="P139" s="434">
        <f ca="1">SUM(D139:O139)</f>
        <v>0</v>
      </c>
      <c r="Q139" s="19">
        <f ca="1">OFFSET('Sales, Production, &amp; Other Assu'!Q$54,'Internmediate sheet'!$A44/3,0)*Capacity</f>
        <v>0</v>
      </c>
      <c r="R139" s="19">
        <f ca="1">OFFSET('Sales, Production, &amp; Other Assu'!R$54,'Internmediate sheet'!$A44/3,0)*Capacity</f>
        <v>0</v>
      </c>
      <c r="S139" s="19">
        <f ca="1">OFFSET('Sales, Production, &amp; Other Assu'!S$54,'Internmediate sheet'!$A44/3,0)*Capacity</f>
        <v>0</v>
      </c>
      <c r="T139" s="19">
        <f ca="1">OFFSET('Sales, Production, &amp; Other Assu'!T$54,'Internmediate sheet'!$A44/3,0)*Capacity</f>
        <v>0</v>
      </c>
      <c r="U139" s="19">
        <f ca="1">OFFSET('Sales, Production, &amp; Other Assu'!U$54,'Internmediate sheet'!$A44/3,0)*Capacity</f>
        <v>0</v>
      </c>
      <c r="V139" s="19">
        <f ca="1">OFFSET('Sales, Production, &amp; Other Assu'!V$54,'Internmediate sheet'!$A44/3,0)*Capacity</f>
        <v>0</v>
      </c>
      <c r="W139" s="19">
        <f ca="1">OFFSET('Sales, Production, &amp; Other Assu'!W$54,'Internmediate sheet'!$A44/3,0)*Capacity</f>
        <v>0</v>
      </c>
      <c r="X139" s="19">
        <f ca="1">OFFSET('Sales, Production, &amp; Other Assu'!X$54,'Internmediate sheet'!$A44/3,0)*Capacity</f>
        <v>0</v>
      </c>
      <c r="Y139" s="19">
        <f ca="1">OFFSET('Sales, Production, &amp; Other Assu'!Y$54,'Internmediate sheet'!$A44/3,0)*Capacity</f>
        <v>0</v>
      </c>
      <c r="Z139" s="19">
        <f ca="1">OFFSET('Sales, Production, &amp; Other Assu'!Z$54,'Internmediate sheet'!$A44/3,0)*Capacity</f>
        <v>0</v>
      </c>
      <c r="AA139" s="19">
        <f ca="1">OFFSET('Sales, Production, &amp; Other Assu'!AA$54,'Internmediate sheet'!$A44/3,0)*Capacity</f>
        <v>0</v>
      </c>
      <c r="AB139" s="19">
        <f ca="1">OFFSET('Sales, Production, &amp; Other Assu'!AB$54,'Internmediate sheet'!$A44/3,0)*Capacity</f>
        <v>0</v>
      </c>
      <c r="AC139" s="434">
        <f ca="1">SUM(Q139:AB139)</f>
        <v>0</v>
      </c>
      <c r="AD139" s="19">
        <f ca="1">OFFSET('Sales, Production, &amp; Other Assu'!AD$54,'Internmediate sheet'!$A44/3,0)*Capacity</f>
        <v>0</v>
      </c>
      <c r="AE139" s="19">
        <f ca="1">OFFSET('Sales, Production, &amp; Other Assu'!AE$54,'Internmediate sheet'!$A44/3,0)*Capacity</f>
        <v>0</v>
      </c>
      <c r="AF139" s="19">
        <f ca="1">OFFSET('Sales, Production, &amp; Other Assu'!AF$54,'Internmediate sheet'!$A44/3,0)*Capacity</f>
        <v>0</v>
      </c>
      <c r="AG139" s="19">
        <f ca="1">OFFSET('Sales, Production, &amp; Other Assu'!AG$54,'Internmediate sheet'!$A44/3,0)*Capacity</f>
        <v>0</v>
      </c>
      <c r="AH139" s="19">
        <f ca="1">OFFSET('Sales, Production, &amp; Other Assu'!AH$54,'Internmediate sheet'!$A44/3,0)*Capacity</f>
        <v>0</v>
      </c>
      <c r="AI139" s="19">
        <f ca="1">OFFSET('Sales, Production, &amp; Other Assu'!AI$54,'Internmediate sheet'!$A44/3,0)*Capacity</f>
        <v>0</v>
      </c>
      <c r="AJ139" s="19">
        <f ca="1">OFFSET('Sales, Production, &amp; Other Assu'!AJ$54,'Internmediate sheet'!$A44/3,0)*Capacity</f>
        <v>0</v>
      </c>
      <c r="AK139" s="19">
        <f ca="1">OFFSET('Sales, Production, &amp; Other Assu'!AK$54,'Internmediate sheet'!$A44/3,0)*Capacity</f>
        <v>0</v>
      </c>
      <c r="AL139" s="19">
        <f ca="1">OFFSET('Sales, Production, &amp; Other Assu'!AL$54,'Internmediate sheet'!$A44/3,0)*Capacity</f>
        <v>0</v>
      </c>
      <c r="AM139" s="19">
        <f ca="1">OFFSET('Sales, Production, &amp; Other Assu'!AM$54,'Internmediate sheet'!$A44/3,0)*Capacity</f>
        <v>0</v>
      </c>
      <c r="AN139" s="19">
        <f ca="1">OFFSET('Sales, Production, &amp; Other Assu'!AN$54,'Internmediate sheet'!$A44/3,0)*Capacity</f>
        <v>0</v>
      </c>
      <c r="AO139" s="19">
        <f ca="1">OFFSET('Sales, Production, &amp; Other Assu'!AO$54,'Internmediate sheet'!$A44/3,0)*Capacity</f>
        <v>0</v>
      </c>
      <c r="AP139" s="434">
        <f ca="1">SUM(AD139:AO139)</f>
        <v>0</v>
      </c>
      <c r="AQ139" s="19">
        <f ca="1">OFFSET('Sales, Production, &amp; Other Assu'!AQ$54,'Internmediate sheet'!$A44/3,0)*Capacity</f>
        <v>0</v>
      </c>
      <c r="AR139" s="19">
        <f ca="1">OFFSET('Sales, Production, &amp; Other Assu'!AR$54,'Internmediate sheet'!$A44/3,0)*Capacity</f>
        <v>0</v>
      </c>
      <c r="AS139" s="19">
        <f ca="1">OFFSET('Sales, Production, &amp; Other Assu'!AS$54,'Internmediate sheet'!$A44/3,0)*Capacity</f>
        <v>0</v>
      </c>
      <c r="AT139" s="19">
        <f ca="1">OFFSET('Sales, Production, &amp; Other Assu'!AT$54,'Internmediate sheet'!$A44/3,0)*Capacity</f>
        <v>0</v>
      </c>
      <c r="AU139" s="19">
        <f ca="1">OFFSET('Sales, Production, &amp; Other Assu'!AU$54,'Internmediate sheet'!$A44/3,0)*Capacity</f>
        <v>0</v>
      </c>
      <c r="AV139" s="19">
        <f ca="1">OFFSET('Sales, Production, &amp; Other Assu'!AV$54,'Internmediate sheet'!$A44/3,0)*Capacity</f>
        <v>0</v>
      </c>
      <c r="AW139" s="19">
        <f ca="1">OFFSET('Sales, Production, &amp; Other Assu'!AW$54,'Internmediate sheet'!$A44/3,0)*Capacity</f>
        <v>0</v>
      </c>
      <c r="AX139" s="19">
        <f ca="1">OFFSET('Sales, Production, &amp; Other Assu'!AX$54,'Internmediate sheet'!$A44/3,0)*Capacity</f>
        <v>0</v>
      </c>
      <c r="AY139" s="19">
        <f ca="1">OFFSET('Sales, Production, &amp; Other Assu'!AY$54,'Internmediate sheet'!$A44/3,0)*Capacity</f>
        <v>0</v>
      </c>
      <c r="AZ139" s="19">
        <f ca="1">OFFSET('Sales, Production, &amp; Other Assu'!AZ$54,'Internmediate sheet'!$A44/3,0)*Capacity</f>
        <v>0</v>
      </c>
      <c r="BA139" s="19">
        <f ca="1">OFFSET('Sales, Production, &amp; Other Assu'!BA$54,'Internmediate sheet'!$A44/3,0)*Capacity</f>
        <v>0</v>
      </c>
      <c r="BB139" s="19">
        <f ca="1">OFFSET('Sales, Production, &amp; Other Assu'!BB$54,'Internmediate sheet'!$A44/3,0)*Capacity</f>
        <v>0</v>
      </c>
      <c r="BC139" s="434">
        <f ca="1">SUM(AQ139:BB139)</f>
        <v>0</v>
      </c>
      <c r="BD139" s="19">
        <f ca="1">OFFSET('Sales, Production, &amp; Other Assu'!BD$54,'Internmediate sheet'!$A44/3,0)*Capacity</f>
        <v>0</v>
      </c>
      <c r="BE139" s="19">
        <f ca="1">OFFSET('Sales, Production, &amp; Other Assu'!BE$54,'Internmediate sheet'!$A44/3,0)*Capacity</f>
        <v>0</v>
      </c>
      <c r="BF139" s="19">
        <f ca="1">OFFSET('Sales, Production, &amp; Other Assu'!BF$54,'Internmediate sheet'!$A44/3,0)*Capacity</f>
        <v>0</v>
      </c>
      <c r="BG139" s="19">
        <f ca="1">OFFSET('Sales, Production, &amp; Other Assu'!BG$54,'Internmediate sheet'!$A44/3,0)*Capacity</f>
        <v>0</v>
      </c>
      <c r="BH139" s="19">
        <f ca="1">OFFSET('Sales, Production, &amp; Other Assu'!BH$54,'Internmediate sheet'!$A44/3,0)*Capacity</f>
        <v>0</v>
      </c>
      <c r="BI139" s="19">
        <f ca="1">OFFSET('Sales, Production, &amp; Other Assu'!BI$54,'Internmediate sheet'!$A44/3,0)*Capacity</f>
        <v>0</v>
      </c>
      <c r="BJ139" s="19">
        <f ca="1">OFFSET('Sales, Production, &amp; Other Assu'!BJ$54,'Internmediate sheet'!$A44/3,0)*Capacity</f>
        <v>0</v>
      </c>
      <c r="BK139" s="19">
        <f ca="1">OFFSET('Sales, Production, &amp; Other Assu'!BK$54,'Internmediate sheet'!$A44/3,0)*Capacity</f>
        <v>0</v>
      </c>
      <c r="BL139" s="19">
        <f ca="1">OFFSET('Sales, Production, &amp; Other Assu'!BL$54,'Internmediate sheet'!$A44/3,0)*Capacity</f>
        <v>0</v>
      </c>
      <c r="BM139" s="19">
        <f ca="1">OFFSET('Sales, Production, &amp; Other Assu'!BM$54,'Internmediate sheet'!$A44/3,0)*Capacity</f>
        <v>0</v>
      </c>
      <c r="BN139" s="19">
        <f ca="1">OFFSET('Sales, Production, &amp; Other Assu'!BN$54,'Internmediate sheet'!$A44/3,0)*Capacity</f>
        <v>0</v>
      </c>
      <c r="BO139" s="19">
        <f ca="1">OFFSET('Sales, Production, &amp; Other Assu'!BO$54,'Internmediate sheet'!$A44/3,0)*Capacity</f>
        <v>0</v>
      </c>
      <c r="BP139" s="434">
        <f ca="1">SUM(BD139:BO139)</f>
        <v>0</v>
      </c>
      <c r="BQ139" s="19">
        <f ca="1">OFFSET('Sales, Production, &amp; Other Assu'!BQ$54,'Internmediate sheet'!$A44/3,0)*Capacity</f>
        <v>0</v>
      </c>
      <c r="BR139" s="19">
        <f ca="1">OFFSET('Sales, Production, &amp; Other Assu'!BR$54,'Internmediate sheet'!$A44/3,0)*Capacity</f>
        <v>0</v>
      </c>
      <c r="BS139" s="19">
        <f ca="1">OFFSET('Sales, Production, &amp; Other Assu'!BS$54,'Internmediate sheet'!$A44/3,0)*Capacity</f>
        <v>0</v>
      </c>
      <c r="BT139" s="19">
        <f ca="1">OFFSET('Sales, Production, &amp; Other Assu'!BT$54,'Internmediate sheet'!$A44/3,0)*Capacity</f>
        <v>0</v>
      </c>
      <c r="BU139" s="19">
        <f ca="1">OFFSET('Sales, Production, &amp; Other Assu'!BU$54,'Internmediate sheet'!$A44/3,0)*Capacity</f>
        <v>0</v>
      </c>
      <c r="BV139" s="19">
        <f ca="1">OFFSET('Sales, Production, &amp; Other Assu'!BV$54,'Internmediate sheet'!$A44/3,0)*Capacity</f>
        <v>0</v>
      </c>
      <c r="BW139" s="19">
        <f ca="1">OFFSET('Sales, Production, &amp; Other Assu'!BW$54,'Internmediate sheet'!$A44/3,0)*Capacity</f>
        <v>0</v>
      </c>
      <c r="BX139" s="19">
        <f ca="1">OFFSET('Sales, Production, &amp; Other Assu'!BX$54,'Internmediate sheet'!$A44/3,0)*Capacity</f>
        <v>0</v>
      </c>
      <c r="BY139" s="19">
        <f ca="1">OFFSET('Sales, Production, &amp; Other Assu'!BY$54,'Internmediate sheet'!$A44/3,0)*Capacity</f>
        <v>0</v>
      </c>
      <c r="BZ139" s="19">
        <f ca="1">OFFSET('Sales, Production, &amp; Other Assu'!BZ$54,'Internmediate sheet'!$A44/3,0)*Capacity</f>
        <v>0</v>
      </c>
      <c r="CA139" s="19">
        <f ca="1">OFFSET('Sales, Production, &amp; Other Assu'!CA$54,'Internmediate sheet'!$A44/3,0)*Capacity</f>
        <v>0</v>
      </c>
      <c r="CB139" s="19">
        <f ca="1">OFFSET('Sales, Production, &amp; Other Assu'!CB$54,'Internmediate sheet'!$A44/3,0)*Capacity</f>
        <v>0</v>
      </c>
      <c r="CC139" s="434">
        <f ca="1">SUM(BQ139:CB139)</f>
        <v>0</v>
      </c>
      <c r="CD139" s="19">
        <f ca="1">OFFSET('Sales, Production, &amp; Other Assu'!CD$54,'Internmediate sheet'!$A44/3,0)*Capacity</f>
        <v>0</v>
      </c>
      <c r="CE139" s="19">
        <f ca="1">OFFSET('Sales, Production, &amp; Other Assu'!CE$54,'Internmediate sheet'!$A44/3,0)*Capacity</f>
        <v>0</v>
      </c>
      <c r="CF139" s="19">
        <f ca="1">OFFSET('Sales, Production, &amp; Other Assu'!CF$54,'Internmediate sheet'!$A44/3,0)*Capacity</f>
        <v>0</v>
      </c>
      <c r="CG139" s="19">
        <f ca="1">OFFSET('Sales, Production, &amp; Other Assu'!CG$54,'Internmediate sheet'!$A44/3,0)*Capacity</f>
        <v>0</v>
      </c>
      <c r="CH139" s="19">
        <f ca="1">OFFSET('Sales, Production, &amp; Other Assu'!CH$54,'Internmediate sheet'!$A44/3,0)*Capacity</f>
        <v>0</v>
      </c>
      <c r="CI139" s="19">
        <f ca="1">OFFSET('Sales, Production, &amp; Other Assu'!CI$54,'Internmediate sheet'!$A44/3,0)*Capacity</f>
        <v>0</v>
      </c>
      <c r="CJ139" s="19">
        <f ca="1">OFFSET('Sales, Production, &amp; Other Assu'!CJ$54,'Internmediate sheet'!$A44/3,0)*Capacity</f>
        <v>0</v>
      </c>
      <c r="CK139" s="19">
        <f ca="1">OFFSET('Sales, Production, &amp; Other Assu'!CK$54,'Internmediate sheet'!$A44/3,0)*Capacity</f>
        <v>0</v>
      </c>
      <c r="CL139" s="19">
        <f ca="1">OFFSET('Sales, Production, &amp; Other Assu'!CL$54,'Internmediate sheet'!$A44/3,0)*Capacity</f>
        <v>0</v>
      </c>
      <c r="CM139" s="19">
        <f ca="1">OFFSET('Sales, Production, &amp; Other Assu'!CM$54,'Internmediate sheet'!$A44/3,0)*Capacity</f>
        <v>0</v>
      </c>
      <c r="CN139" s="19">
        <f ca="1">OFFSET('Sales, Production, &amp; Other Assu'!CN$54,'Internmediate sheet'!$A44/3,0)*Capacity</f>
        <v>0</v>
      </c>
      <c r="CO139" s="19">
        <f ca="1">OFFSET('Sales, Production, &amp; Other Assu'!CO$54,'Internmediate sheet'!$A44/3,0)*Capacity</f>
        <v>0</v>
      </c>
      <c r="CP139" s="434">
        <f ca="1">SUM(CD139:CO139)</f>
        <v>0</v>
      </c>
    </row>
    <row r="140" spans="1:94" ht="20.100000000000001" hidden="1" customHeight="1">
      <c r="A140" s="793"/>
      <c r="B140" s="9" t="s">
        <v>614</v>
      </c>
      <c r="C140" s="10">
        <f ca="1">OFFSET('BEP. &amp; Summary Results'!$C$6,'Internmediate sheet'!A41/3,0)</f>
        <v>0</v>
      </c>
      <c r="D140" s="9">
        <f t="shared" ref="D140" ca="1" si="3728">C140</f>
        <v>0</v>
      </c>
      <c r="E140" s="9">
        <f t="shared" ref="E140" ca="1" si="3729">D140</f>
        <v>0</v>
      </c>
      <c r="F140" s="9">
        <f t="shared" ref="F140" ca="1" si="3730">E140</f>
        <v>0</v>
      </c>
      <c r="G140" s="9">
        <f t="shared" ref="G140" ca="1" si="3731">F140</f>
        <v>0</v>
      </c>
      <c r="H140" s="9">
        <f t="shared" ref="H140" ca="1" si="3732">G140</f>
        <v>0</v>
      </c>
      <c r="I140" s="9">
        <f t="shared" ref="I140" ca="1" si="3733">H140</f>
        <v>0</v>
      </c>
      <c r="J140" s="9">
        <f t="shared" ref="J140" ca="1" si="3734">I140</f>
        <v>0</v>
      </c>
      <c r="K140" s="9">
        <f t="shared" ref="K140" ca="1" si="3735">J140</f>
        <v>0</v>
      </c>
      <c r="L140" s="9">
        <f t="shared" ref="L140" ca="1" si="3736">K140</f>
        <v>0</v>
      </c>
      <c r="M140" s="9">
        <f t="shared" ref="M140" ca="1" si="3737">L140</f>
        <v>0</v>
      </c>
      <c r="N140" s="9">
        <f t="shared" ref="N140" ca="1" si="3738">M140</f>
        <v>0</v>
      </c>
      <c r="O140" s="9">
        <f t="shared" ref="O140" ca="1" si="3739">N140</f>
        <v>0</v>
      </c>
      <c r="P140" s="435">
        <f t="shared" ref="P140" ca="1" si="3740">O140</f>
        <v>0</v>
      </c>
      <c r="Q140" s="9">
        <f t="shared" ref="Q140" ca="1" si="3741">P140</f>
        <v>0</v>
      </c>
      <c r="R140" s="9">
        <f t="shared" ref="R140" ca="1" si="3742">Q140</f>
        <v>0</v>
      </c>
      <c r="S140" s="9">
        <f t="shared" ref="S140" ca="1" si="3743">R140</f>
        <v>0</v>
      </c>
      <c r="T140" s="9">
        <f t="shared" ref="T140" ca="1" si="3744">S140</f>
        <v>0</v>
      </c>
      <c r="U140" s="9">
        <f t="shared" ref="U140" ca="1" si="3745">T140</f>
        <v>0</v>
      </c>
      <c r="V140" s="9">
        <f t="shared" ref="V140" ca="1" si="3746">U140</f>
        <v>0</v>
      </c>
      <c r="W140" s="9">
        <f t="shared" ref="W140" ca="1" si="3747">V140</f>
        <v>0</v>
      </c>
      <c r="X140" s="9">
        <f t="shared" ref="X140" ca="1" si="3748">W140</f>
        <v>0</v>
      </c>
      <c r="Y140" s="9">
        <f t="shared" ref="Y140" ca="1" si="3749">X140</f>
        <v>0</v>
      </c>
      <c r="Z140" s="9">
        <f t="shared" ref="Z140" ca="1" si="3750">Y140</f>
        <v>0</v>
      </c>
      <c r="AA140" s="9">
        <f t="shared" ref="AA140" ca="1" si="3751">Z140</f>
        <v>0</v>
      </c>
      <c r="AB140" s="9">
        <f t="shared" ref="AB140" ca="1" si="3752">AA140</f>
        <v>0</v>
      </c>
      <c r="AC140" s="435">
        <f t="shared" ref="AC140" ca="1" si="3753">AB140</f>
        <v>0</v>
      </c>
      <c r="AD140" s="9">
        <f t="shared" ref="AD140" ca="1" si="3754">AC140</f>
        <v>0</v>
      </c>
      <c r="AE140" s="9">
        <f t="shared" ref="AE140" ca="1" si="3755">AD140</f>
        <v>0</v>
      </c>
      <c r="AF140" s="9">
        <f t="shared" ref="AF140" ca="1" si="3756">AE140</f>
        <v>0</v>
      </c>
      <c r="AG140" s="9">
        <f t="shared" ref="AG140" ca="1" si="3757">AF140</f>
        <v>0</v>
      </c>
      <c r="AH140" s="9">
        <f t="shared" ref="AH140" ca="1" si="3758">AG140</f>
        <v>0</v>
      </c>
      <c r="AI140" s="9">
        <f t="shared" ref="AI140" ca="1" si="3759">AH140</f>
        <v>0</v>
      </c>
      <c r="AJ140" s="9">
        <f t="shared" ref="AJ140" ca="1" si="3760">AI140</f>
        <v>0</v>
      </c>
      <c r="AK140" s="9">
        <f t="shared" ref="AK140" ca="1" si="3761">AJ140</f>
        <v>0</v>
      </c>
      <c r="AL140" s="9">
        <f t="shared" ref="AL140" ca="1" si="3762">AK140</f>
        <v>0</v>
      </c>
      <c r="AM140" s="9">
        <f t="shared" ref="AM140" ca="1" si="3763">AL140</f>
        <v>0</v>
      </c>
      <c r="AN140" s="9">
        <f t="shared" ref="AN140" ca="1" si="3764">AM140</f>
        <v>0</v>
      </c>
      <c r="AO140" s="9">
        <f t="shared" ref="AO140" ca="1" si="3765">AN140</f>
        <v>0</v>
      </c>
      <c r="AP140" s="435">
        <f t="shared" ref="AP140" ca="1" si="3766">AO140</f>
        <v>0</v>
      </c>
      <c r="AQ140" s="9">
        <f ca="1">AP140</f>
        <v>0</v>
      </c>
      <c r="AR140" s="9">
        <f t="shared" ref="AR140" ca="1" si="3767">AQ140</f>
        <v>0</v>
      </c>
      <c r="AS140" s="9">
        <f t="shared" ref="AS140" ca="1" si="3768">AR140</f>
        <v>0</v>
      </c>
      <c r="AT140" s="9">
        <f t="shared" ref="AT140" ca="1" si="3769">AS140</f>
        <v>0</v>
      </c>
      <c r="AU140" s="9">
        <f t="shared" ref="AU140" ca="1" si="3770">AT140</f>
        <v>0</v>
      </c>
      <c r="AV140" s="9">
        <f t="shared" ref="AV140" ca="1" si="3771">AU140</f>
        <v>0</v>
      </c>
      <c r="AW140" s="9">
        <f t="shared" ref="AW140" ca="1" si="3772">AV140</f>
        <v>0</v>
      </c>
      <c r="AX140" s="9">
        <f t="shared" ref="AX140" ca="1" si="3773">AW140</f>
        <v>0</v>
      </c>
      <c r="AY140" s="9">
        <f t="shared" ref="AY140" ca="1" si="3774">AX140</f>
        <v>0</v>
      </c>
      <c r="AZ140" s="9">
        <f t="shared" ref="AZ140" ca="1" si="3775">AY140</f>
        <v>0</v>
      </c>
      <c r="BA140" s="9">
        <f t="shared" ref="BA140" ca="1" si="3776">AZ140</f>
        <v>0</v>
      </c>
      <c r="BB140" s="9">
        <f t="shared" ref="BB140" ca="1" si="3777">BA140</f>
        <v>0</v>
      </c>
      <c r="BC140" s="435">
        <f t="shared" ref="BC140" ca="1" si="3778">BB140</f>
        <v>0</v>
      </c>
      <c r="BD140" s="9">
        <f t="shared" ref="BD140" ca="1" si="3779">BC140</f>
        <v>0</v>
      </c>
      <c r="BE140" s="9">
        <f t="shared" ref="BE140" ca="1" si="3780">BD140</f>
        <v>0</v>
      </c>
      <c r="BF140" s="9">
        <f t="shared" ref="BF140" ca="1" si="3781">BE140</f>
        <v>0</v>
      </c>
      <c r="BG140" s="9">
        <f t="shared" ref="BG140" ca="1" si="3782">BF140</f>
        <v>0</v>
      </c>
      <c r="BH140" s="9">
        <f t="shared" ref="BH140" ca="1" si="3783">BG140</f>
        <v>0</v>
      </c>
      <c r="BI140" s="9">
        <f t="shared" ref="BI140" ca="1" si="3784">BH140</f>
        <v>0</v>
      </c>
      <c r="BJ140" s="9">
        <f t="shared" ref="BJ140" ca="1" si="3785">BI140</f>
        <v>0</v>
      </c>
      <c r="BK140" s="9">
        <f t="shared" ref="BK140" ca="1" si="3786">BJ140</f>
        <v>0</v>
      </c>
      <c r="BL140" s="9">
        <f t="shared" ref="BL140" ca="1" si="3787">BK140</f>
        <v>0</v>
      </c>
      <c r="BM140" s="9">
        <f t="shared" ref="BM140" ca="1" si="3788">BL140</f>
        <v>0</v>
      </c>
      <c r="BN140" s="9">
        <f t="shared" ref="BN140" ca="1" si="3789">BM140</f>
        <v>0</v>
      </c>
      <c r="BO140" s="9">
        <f t="shared" ref="BO140" ca="1" si="3790">BN140</f>
        <v>0</v>
      </c>
      <c r="BP140" s="435">
        <f t="shared" ref="BP140" ca="1" si="3791">BO140</f>
        <v>0</v>
      </c>
      <c r="BQ140" s="9">
        <f t="shared" ref="BQ140" ca="1" si="3792">BP140</f>
        <v>0</v>
      </c>
      <c r="BR140" s="9">
        <f t="shared" ref="BR140" ca="1" si="3793">BQ140</f>
        <v>0</v>
      </c>
      <c r="BS140" s="9">
        <f t="shared" ref="BS140" ca="1" si="3794">BR140</f>
        <v>0</v>
      </c>
      <c r="BT140" s="9">
        <f t="shared" ref="BT140" ca="1" si="3795">BS140</f>
        <v>0</v>
      </c>
      <c r="BU140" s="9">
        <f t="shared" ref="BU140" ca="1" si="3796">BT140</f>
        <v>0</v>
      </c>
      <c r="BV140" s="9">
        <f t="shared" ref="BV140" ca="1" si="3797">BU140</f>
        <v>0</v>
      </c>
      <c r="BW140" s="9">
        <f t="shared" ref="BW140" ca="1" si="3798">BV140</f>
        <v>0</v>
      </c>
      <c r="BX140" s="9">
        <f t="shared" ref="BX140" ca="1" si="3799">BW140</f>
        <v>0</v>
      </c>
      <c r="BY140" s="9">
        <f t="shared" ref="BY140" ca="1" si="3800">BX140</f>
        <v>0</v>
      </c>
      <c r="BZ140" s="9">
        <f t="shared" ref="BZ140" ca="1" si="3801">BY140</f>
        <v>0</v>
      </c>
      <c r="CA140" s="9">
        <f t="shared" ref="CA140" ca="1" si="3802">BZ140</f>
        <v>0</v>
      </c>
      <c r="CB140" s="9">
        <f t="shared" ref="CB140" ca="1" si="3803">CA140</f>
        <v>0</v>
      </c>
      <c r="CC140" s="435">
        <f t="shared" ref="CC140" ca="1" si="3804">CB140</f>
        <v>0</v>
      </c>
      <c r="CD140" s="9">
        <f t="shared" ref="CD140" ca="1" si="3805">CC140</f>
        <v>0</v>
      </c>
      <c r="CE140" s="9">
        <f t="shared" ref="CE140" ca="1" si="3806">CD140</f>
        <v>0</v>
      </c>
      <c r="CF140" s="9">
        <f t="shared" ref="CF140" ca="1" si="3807">CE140</f>
        <v>0</v>
      </c>
      <c r="CG140" s="9">
        <f t="shared" ref="CG140" ca="1" si="3808">CF140</f>
        <v>0</v>
      </c>
      <c r="CH140" s="9">
        <f t="shared" ref="CH140" ca="1" si="3809">CG140</f>
        <v>0</v>
      </c>
      <c r="CI140" s="9">
        <f t="shared" ref="CI140" ca="1" si="3810">CH140</f>
        <v>0</v>
      </c>
      <c r="CJ140" s="9">
        <f t="shared" ref="CJ140" ca="1" si="3811">CI140</f>
        <v>0</v>
      </c>
      <c r="CK140" s="9">
        <f t="shared" ref="CK140" ca="1" si="3812">CJ140</f>
        <v>0</v>
      </c>
      <c r="CL140" s="9">
        <f t="shared" ref="CL140" ca="1" si="3813">CK140</f>
        <v>0</v>
      </c>
      <c r="CM140" s="9">
        <f t="shared" ref="CM140" ca="1" si="3814">CL140</f>
        <v>0</v>
      </c>
      <c r="CN140" s="9">
        <f t="shared" ref="CN140" ca="1" si="3815">CM140</f>
        <v>0</v>
      </c>
      <c r="CO140" s="9">
        <f t="shared" ref="CO140" ca="1" si="3816">CN140</f>
        <v>0</v>
      </c>
      <c r="CP140" s="435">
        <f t="shared" ref="CP140" ca="1" si="3817">CO140</f>
        <v>0</v>
      </c>
    </row>
    <row r="141" spans="1:94" ht="20.100000000000001" hidden="1" customHeight="1">
      <c r="A141" s="794"/>
      <c r="B141" s="255" t="s">
        <v>615</v>
      </c>
      <c r="C141" s="256">
        <f t="shared" ref="C141:O141" ca="1" si="3818">C139*C140</f>
        <v>0</v>
      </c>
      <c r="D141" s="255">
        <f t="shared" ca="1" si="3818"/>
        <v>0</v>
      </c>
      <c r="E141" s="255">
        <f t="shared" ca="1" si="3818"/>
        <v>0</v>
      </c>
      <c r="F141" s="255">
        <f t="shared" ca="1" si="3818"/>
        <v>0</v>
      </c>
      <c r="G141" s="255">
        <f t="shared" ca="1" si="3818"/>
        <v>0</v>
      </c>
      <c r="H141" s="255">
        <f t="shared" ca="1" si="3818"/>
        <v>0</v>
      </c>
      <c r="I141" s="255">
        <f t="shared" ca="1" si="3818"/>
        <v>0</v>
      </c>
      <c r="J141" s="255">
        <f t="shared" ca="1" si="3818"/>
        <v>0</v>
      </c>
      <c r="K141" s="255">
        <f t="shared" ca="1" si="3818"/>
        <v>0</v>
      </c>
      <c r="L141" s="255">
        <f t="shared" ca="1" si="3818"/>
        <v>0</v>
      </c>
      <c r="M141" s="255">
        <f t="shared" ca="1" si="3818"/>
        <v>0</v>
      </c>
      <c r="N141" s="255">
        <f t="shared" ca="1" si="3818"/>
        <v>0</v>
      </c>
      <c r="O141" s="255">
        <f t="shared" ca="1" si="3818"/>
        <v>0</v>
      </c>
      <c r="P141" s="434">
        <f ca="1">SUM(D141:O141)</f>
        <v>0</v>
      </c>
      <c r="Q141" s="255">
        <f t="shared" ref="Q141:AB141" ca="1" si="3819">Q139*Q140</f>
        <v>0</v>
      </c>
      <c r="R141" s="255">
        <f t="shared" ca="1" si="3819"/>
        <v>0</v>
      </c>
      <c r="S141" s="255">
        <f t="shared" ca="1" si="3819"/>
        <v>0</v>
      </c>
      <c r="T141" s="255">
        <f t="shared" ca="1" si="3819"/>
        <v>0</v>
      </c>
      <c r="U141" s="255">
        <f t="shared" ca="1" si="3819"/>
        <v>0</v>
      </c>
      <c r="V141" s="255">
        <f t="shared" ca="1" si="3819"/>
        <v>0</v>
      </c>
      <c r="W141" s="255">
        <f t="shared" ca="1" si="3819"/>
        <v>0</v>
      </c>
      <c r="X141" s="255">
        <f t="shared" ca="1" si="3819"/>
        <v>0</v>
      </c>
      <c r="Y141" s="255">
        <f t="shared" ca="1" si="3819"/>
        <v>0</v>
      </c>
      <c r="Z141" s="255">
        <f t="shared" ca="1" si="3819"/>
        <v>0</v>
      </c>
      <c r="AA141" s="255">
        <f t="shared" ca="1" si="3819"/>
        <v>0</v>
      </c>
      <c r="AB141" s="255">
        <f t="shared" ca="1" si="3819"/>
        <v>0</v>
      </c>
      <c r="AC141" s="434">
        <f ca="1">SUM(Q141:AB141)</f>
        <v>0</v>
      </c>
      <c r="AD141" s="255">
        <f t="shared" ref="AD141:AO141" ca="1" si="3820">AD139*AD140</f>
        <v>0</v>
      </c>
      <c r="AE141" s="255">
        <f t="shared" ca="1" si="3820"/>
        <v>0</v>
      </c>
      <c r="AF141" s="255">
        <f t="shared" ca="1" si="3820"/>
        <v>0</v>
      </c>
      <c r="AG141" s="255">
        <f t="shared" ca="1" si="3820"/>
        <v>0</v>
      </c>
      <c r="AH141" s="255">
        <f t="shared" ca="1" si="3820"/>
        <v>0</v>
      </c>
      <c r="AI141" s="255">
        <f t="shared" ca="1" si="3820"/>
        <v>0</v>
      </c>
      <c r="AJ141" s="255">
        <f t="shared" ca="1" si="3820"/>
        <v>0</v>
      </c>
      <c r="AK141" s="255">
        <f t="shared" ca="1" si="3820"/>
        <v>0</v>
      </c>
      <c r="AL141" s="255">
        <f t="shared" ca="1" si="3820"/>
        <v>0</v>
      </c>
      <c r="AM141" s="255">
        <f t="shared" ca="1" si="3820"/>
        <v>0</v>
      </c>
      <c r="AN141" s="255">
        <f t="shared" ca="1" si="3820"/>
        <v>0</v>
      </c>
      <c r="AO141" s="255">
        <f t="shared" ca="1" si="3820"/>
        <v>0</v>
      </c>
      <c r="AP141" s="434">
        <f ca="1">SUM(AD141:AO141)</f>
        <v>0</v>
      </c>
      <c r="AQ141" s="255">
        <f t="shared" ref="AQ141:BB141" ca="1" si="3821">AQ139*AQ140</f>
        <v>0</v>
      </c>
      <c r="AR141" s="255">
        <f t="shared" ca="1" si="3821"/>
        <v>0</v>
      </c>
      <c r="AS141" s="255">
        <f t="shared" ca="1" si="3821"/>
        <v>0</v>
      </c>
      <c r="AT141" s="255">
        <f t="shared" ca="1" si="3821"/>
        <v>0</v>
      </c>
      <c r="AU141" s="255">
        <f t="shared" ca="1" si="3821"/>
        <v>0</v>
      </c>
      <c r="AV141" s="255">
        <f t="shared" ca="1" si="3821"/>
        <v>0</v>
      </c>
      <c r="AW141" s="255">
        <f t="shared" ca="1" si="3821"/>
        <v>0</v>
      </c>
      <c r="AX141" s="255">
        <f t="shared" ca="1" si="3821"/>
        <v>0</v>
      </c>
      <c r="AY141" s="255">
        <f t="shared" ca="1" si="3821"/>
        <v>0</v>
      </c>
      <c r="AZ141" s="255">
        <f t="shared" ca="1" si="3821"/>
        <v>0</v>
      </c>
      <c r="BA141" s="255">
        <f t="shared" ca="1" si="3821"/>
        <v>0</v>
      </c>
      <c r="BB141" s="255">
        <f t="shared" ca="1" si="3821"/>
        <v>0</v>
      </c>
      <c r="BC141" s="434">
        <f ca="1">SUM(AQ141:BB141)</f>
        <v>0</v>
      </c>
      <c r="BD141" s="255">
        <f t="shared" ref="BD141:BO141" ca="1" si="3822">BD139*BD140</f>
        <v>0</v>
      </c>
      <c r="BE141" s="255">
        <f t="shared" ca="1" si="3822"/>
        <v>0</v>
      </c>
      <c r="BF141" s="255">
        <f t="shared" ca="1" si="3822"/>
        <v>0</v>
      </c>
      <c r="BG141" s="255">
        <f t="shared" ca="1" si="3822"/>
        <v>0</v>
      </c>
      <c r="BH141" s="255">
        <f t="shared" ca="1" si="3822"/>
        <v>0</v>
      </c>
      <c r="BI141" s="255">
        <f t="shared" ca="1" si="3822"/>
        <v>0</v>
      </c>
      <c r="BJ141" s="255">
        <f t="shared" ca="1" si="3822"/>
        <v>0</v>
      </c>
      <c r="BK141" s="255">
        <f t="shared" ca="1" si="3822"/>
        <v>0</v>
      </c>
      <c r="BL141" s="255">
        <f t="shared" ca="1" si="3822"/>
        <v>0</v>
      </c>
      <c r="BM141" s="255">
        <f t="shared" ca="1" si="3822"/>
        <v>0</v>
      </c>
      <c r="BN141" s="255">
        <f t="shared" ca="1" si="3822"/>
        <v>0</v>
      </c>
      <c r="BO141" s="255">
        <f t="shared" ca="1" si="3822"/>
        <v>0</v>
      </c>
      <c r="BP141" s="434">
        <f ca="1">SUM(BD141:BO141)</f>
        <v>0</v>
      </c>
      <c r="BQ141" s="255">
        <f t="shared" ref="BQ141:CB141" ca="1" si="3823">BQ139*BQ140</f>
        <v>0</v>
      </c>
      <c r="BR141" s="255">
        <f t="shared" ca="1" si="3823"/>
        <v>0</v>
      </c>
      <c r="BS141" s="255">
        <f t="shared" ca="1" si="3823"/>
        <v>0</v>
      </c>
      <c r="BT141" s="255">
        <f t="shared" ca="1" si="3823"/>
        <v>0</v>
      </c>
      <c r="BU141" s="255">
        <f t="shared" ca="1" si="3823"/>
        <v>0</v>
      </c>
      <c r="BV141" s="255">
        <f t="shared" ca="1" si="3823"/>
        <v>0</v>
      </c>
      <c r="BW141" s="255">
        <f t="shared" ca="1" si="3823"/>
        <v>0</v>
      </c>
      <c r="BX141" s="255">
        <f t="shared" ca="1" si="3823"/>
        <v>0</v>
      </c>
      <c r="BY141" s="255">
        <f t="shared" ca="1" si="3823"/>
        <v>0</v>
      </c>
      <c r="BZ141" s="255">
        <f t="shared" ca="1" si="3823"/>
        <v>0</v>
      </c>
      <c r="CA141" s="255">
        <f t="shared" ca="1" si="3823"/>
        <v>0</v>
      </c>
      <c r="CB141" s="255">
        <f t="shared" ca="1" si="3823"/>
        <v>0</v>
      </c>
      <c r="CC141" s="434">
        <f ca="1">SUM(BQ141:CB141)</f>
        <v>0</v>
      </c>
      <c r="CD141" s="255">
        <f t="shared" ref="CD141:CO141" ca="1" si="3824">CD139*CD140</f>
        <v>0</v>
      </c>
      <c r="CE141" s="255">
        <f t="shared" ca="1" si="3824"/>
        <v>0</v>
      </c>
      <c r="CF141" s="255">
        <f t="shared" ca="1" si="3824"/>
        <v>0</v>
      </c>
      <c r="CG141" s="255">
        <f t="shared" ca="1" si="3824"/>
        <v>0</v>
      </c>
      <c r="CH141" s="255">
        <f t="shared" ca="1" si="3824"/>
        <v>0</v>
      </c>
      <c r="CI141" s="255">
        <f t="shared" ca="1" si="3824"/>
        <v>0</v>
      </c>
      <c r="CJ141" s="255">
        <f t="shared" ca="1" si="3824"/>
        <v>0</v>
      </c>
      <c r="CK141" s="255">
        <f t="shared" ca="1" si="3824"/>
        <v>0</v>
      </c>
      <c r="CL141" s="255">
        <f t="shared" ca="1" si="3824"/>
        <v>0</v>
      </c>
      <c r="CM141" s="255">
        <f t="shared" ca="1" si="3824"/>
        <v>0</v>
      </c>
      <c r="CN141" s="255">
        <f t="shared" ca="1" si="3824"/>
        <v>0</v>
      </c>
      <c r="CO141" s="255">
        <f t="shared" ca="1" si="3824"/>
        <v>0</v>
      </c>
      <c r="CP141" s="434">
        <f ca="1">SUM(CD141:CO141)</f>
        <v>0</v>
      </c>
    </row>
    <row r="142" spans="1:94" ht="20.100000000000001" hidden="1" customHeight="1">
      <c r="A142" s="792">
        <f ca="1">OFFSET('Summary. Assumptions. Inputs'!$A$45,'Internmediate sheet'!A47/3,0)</f>
        <v>0</v>
      </c>
      <c r="B142" s="19" t="s">
        <v>613</v>
      </c>
      <c r="C142" s="20">
        <f ca="1">OFFSET('Sales, Production, &amp; Other Assu'!C$54,'Internmediate sheet'!$A47/3,0)*Capacity</f>
        <v>0</v>
      </c>
      <c r="D142" s="19">
        <f ca="1">OFFSET('Sales, Production, &amp; Other Assu'!D$54,'Internmediate sheet'!$A47/3,0)*Capacity</f>
        <v>0</v>
      </c>
      <c r="E142" s="19">
        <f ca="1">OFFSET('Sales, Production, &amp; Other Assu'!E$54,'Internmediate sheet'!$A47/3,0)*Capacity</f>
        <v>0</v>
      </c>
      <c r="F142" s="19">
        <f ca="1">OFFSET('Sales, Production, &amp; Other Assu'!F$54,'Internmediate sheet'!$A47/3,0)*Capacity</f>
        <v>0</v>
      </c>
      <c r="G142" s="19">
        <f ca="1">OFFSET('Sales, Production, &amp; Other Assu'!G$54,'Internmediate sheet'!$A47/3,0)*Capacity</f>
        <v>0</v>
      </c>
      <c r="H142" s="19">
        <f ca="1">OFFSET('Sales, Production, &amp; Other Assu'!H$54,'Internmediate sheet'!$A47/3,0)*Capacity</f>
        <v>0</v>
      </c>
      <c r="I142" s="19">
        <f ca="1">OFFSET('Sales, Production, &amp; Other Assu'!I$54,'Internmediate sheet'!$A47/3,0)*Capacity</f>
        <v>0</v>
      </c>
      <c r="J142" s="19">
        <f ca="1">OFFSET('Sales, Production, &amp; Other Assu'!J$54,'Internmediate sheet'!$A47/3,0)*Capacity</f>
        <v>0</v>
      </c>
      <c r="K142" s="19">
        <f ca="1">OFFSET('Sales, Production, &amp; Other Assu'!K$54,'Internmediate sheet'!$A47/3,0)*Capacity</f>
        <v>0</v>
      </c>
      <c r="L142" s="19">
        <f ca="1">OFFSET('Sales, Production, &amp; Other Assu'!L$54,'Internmediate sheet'!$A47/3,0)*Capacity</f>
        <v>0</v>
      </c>
      <c r="M142" s="19">
        <f ca="1">OFFSET('Sales, Production, &amp; Other Assu'!M$54,'Internmediate sheet'!$A47/3,0)*Capacity</f>
        <v>0</v>
      </c>
      <c r="N142" s="19">
        <f ca="1">OFFSET('Sales, Production, &amp; Other Assu'!N$54,'Internmediate sheet'!$A47/3,0)*Capacity</f>
        <v>0</v>
      </c>
      <c r="O142" s="19">
        <f ca="1">OFFSET('Sales, Production, &amp; Other Assu'!O$54,'Internmediate sheet'!$A47/3,0)*Capacity</f>
        <v>0</v>
      </c>
      <c r="P142" s="434">
        <f ca="1">SUM(D142:O142)</f>
        <v>0</v>
      </c>
      <c r="Q142" s="19">
        <f ca="1">OFFSET('Sales, Production, &amp; Other Assu'!Q$54,'Internmediate sheet'!$A47/3,0)*Capacity</f>
        <v>0</v>
      </c>
      <c r="R142" s="19">
        <f ca="1">OFFSET('Sales, Production, &amp; Other Assu'!R$54,'Internmediate sheet'!$A47/3,0)*Capacity</f>
        <v>0</v>
      </c>
      <c r="S142" s="19">
        <f ca="1">OFFSET('Sales, Production, &amp; Other Assu'!S$54,'Internmediate sheet'!$A47/3,0)*Capacity</f>
        <v>0</v>
      </c>
      <c r="T142" s="19">
        <f ca="1">OFFSET('Sales, Production, &amp; Other Assu'!T$54,'Internmediate sheet'!$A47/3,0)*Capacity</f>
        <v>0</v>
      </c>
      <c r="U142" s="19">
        <f ca="1">OFFSET('Sales, Production, &amp; Other Assu'!U$54,'Internmediate sheet'!$A47/3,0)*Capacity</f>
        <v>0</v>
      </c>
      <c r="V142" s="19">
        <f ca="1">OFFSET('Sales, Production, &amp; Other Assu'!V$54,'Internmediate sheet'!$A47/3,0)*Capacity</f>
        <v>0</v>
      </c>
      <c r="W142" s="19">
        <f ca="1">OFFSET('Sales, Production, &amp; Other Assu'!W$54,'Internmediate sheet'!$A47/3,0)*Capacity</f>
        <v>0</v>
      </c>
      <c r="X142" s="19">
        <f ca="1">OFFSET('Sales, Production, &amp; Other Assu'!X$54,'Internmediate sheet'!$A47/3,0)*Capacity</f>
        <v>0</v>
      </c>
      <c r="Y142" s="19">
        <f ca="1">OFFSET('Sales, Production, &amp; Other Assu'!Y$54,'Internmediate sheet'!$A47/3,0)*Capacity</f>
        <v>0</v>
      </c>
      <c r="Z142" s="19">
        <f ca="1">OFFSET('Sales, Production, &amp; Other Assu'!Z$54,'Internmediate sheet'!$A47/3,0)*Capacity</f>
        <v>0</v>
      </c>
      <c r="AA142" s="19">
        <f ca="1">OFFSET('Sales, Production, &amp; Other Assu'!AA$54,'Internmediate sheet'!$A47/3,0)*Capacity</f>
        <v>0</v>
      </c>
      <c r="AB142" s="19">
        <f ca="1">OFFSET('Sales, Production, &amp; Other Assu'!AB$54,'Internmediate sheet'!$A47/3,0)*Capacity</f>
        <v>0</v>
      </c>
      <c r="AC142" s="434">
        <f ca="1">SUM(Q142:AB142)</f>
        <v>0</v>
      </c>
      <c r="AD142" s="19">
        <f ca="1">OFFSET('Sales, Production, &amp; Other Assu'!AD$54,'Internmediate sheet'!$A47/3,0)*Capacity</f>
        <v>0</v>
      </c>
      <c r="AE142" s="19">
        <f ca="1">OFFSET('Sales, Production, &amp; Other Assu'!AE$54,'Internmediate sheet'!$A47/3,0)*Capacity</f>
        <v>0</v>
      </c>
      <c r="AF142" s="19">
        <f ca="1">OFFSET('Sales, Production, &amp; Other Assu'!AF$54,'Internmediate sheet'!$A47/3,0)*Capacity</f>
        <v>0</v>
      </c>
      <c r="AG142" s="19">
        <f ca="1">OFFSET('Sales, Production, &amp; Other Assu'!AG$54,'Internmediate sheet'!$A47/3,0)*Capacity</f>
        <v>0</v>
      </c>
      <c r="AH142" s="19">
        <f ca="1">OFFSET('Sales, Production, &amp; Other Assu'!AH$54,'Internmediate sheet'!$A47/3,0)*Capacity</f>
        <v>0</v>
      </c>
      <c r="AI142" s="19">
        <f ca="1">OFFSET('Sales, Production, &amp; Other Assu'!AI$54,'Internmediate sheet'!$A47/3,0)*Capacity</f>
        <v>0</v>
      </c>
      <c r="AJ142" s="19">
        <f ca="1">OFFSET('Sales, Production, &amp; Other Assu'!AJ$54,'Internmediate sheet'!$A47/3,0)*Capacity</f>
        <v>0</v>
      </c>
      <c r="AK142" s="19">
        <f ca="1">OFFSET('Sales, Production, &amp; Other Assu'!AK$54,'Internmediate sheet'!$A47/3,0)*Capacity</f>
        <v>0</v>
      </c>
      <c r="AL142" s="19">
        <f ca="1">OFFSET('Sales, Production, &amp; Other Assu'!AL$54,'Internmediate sheet'!$A47/3,0)*Capacity</f>
        <v>0</v>
      </c>
      <c r="AM142" s="19">
        <f ca="1">OFFSET('Sales, Production, &amp; Other Assu'!AM$54,'Internmediate sheet'!$A47/3,0)*Capacity</f>
        <v>0</v>
      </c>
      <c r="AN142" s="19">
        <f ca="1">OFFSET('Sales, Production, &amp; Other Assu'!AN$54,'Internmediate sheet'!$A47/3,0)*Capacity</f>
        <v>0</v>
      </c>
      <c r="AO142" s="19">
        <f ca="1">OFFSET('Sales, Production, &amp; Other Assu'!AO$54,'Internmediate sheet'!$A47/3,0)*Capacity</f>
        <v>0</v>
      </c>
      <c r="AP142" s="434">
        <f ca="1">SUM(AD142:AO142)</f>
        <v>0</v>
      </c>
      <c r="AQ142" s="19">
        <f ca="1">OFFSET('Sales, Production, &amp; Other Assu'!AQ$54,'Internmediate sheet'!$A47/3,0)*Capacity</f>
        <v>0</v>
      </c>
      <c r="AR142" s="19">
        <f ca="1">OFFSET('Sales, Production, &amp; Other Assu'!AR$54,'Internmediate sheet'!$A47/3,0)*Capacity</f>
        <v>0</v>
      </c>
      <c r="AS142" s="19">
        <f ca="1">OFFSET('Sales, Production, &amp; Other Assu'!AS$54,'Internmediate sheet'!$A47/3,0)*Capacity</f>
        <v>0</v>
      </c>
      <c r="AT142" s="19">
        <f ca="1">OFFSET('Sales, Production, &amp; Other Assu'!AT$54,'Internmediate sheet'!$A47/3,0)*Capacity</f>
        <v>0</v>
      </c>
      <c r="AU142" s="19">
        <f ca="1">OFFSET('Sales, Production, &amp; Other Assu'!AU$54,'Internmediate sheet'!$A47/3,0)*Capacity</f>
        <v>0</v>
      </c>
      <c r="AV142" s="19">
        <f ca="1">OFFSET('Sales, Production, &amp; Other Assu'!AV$54,'Internmediate sheet'!$A47/3,0)*Capacity</f>
        <v>0</v>
      </c>
      <c r="AW142" s="19">
        <f ca="1">OFFSET('Sales, Production, &amp; Other Assu'!AW$54,'Internmediate sheet'!$A47/3,0)*Capacity</f>
        <v>0</v>
      </c>
      <c r="AX142" s="19">
        <f ca="1">OFFSET('Sales, Production, &amp; Other Assu'!AX$54,'Internmediate sheet'!$A47/3,0)*Capacity</f>
        <v>0</v>
      </c>
      <c r="AY142" s="19">
        <f ca="1">OFFSET('Sales, Production, &amp; Other Assu'!AY$54,'Internmediate sheet'!$A47/3,0)*Capacity</f>
        <v>0</v>
      </c>
      <c r="AZ142" s="19">
        <f ca="1">OFFSET('Sales, Production, &amp; Other Assu'!AZ$54,'Internmediate sheet'!$A47/3,0)*Capacity</f>
        <v>0</v>
      </c>
      <c r="BA142" s="19">
        <f ca="1">OFFSET('Sales, Production, &amp; Other Assu'!BA$54,'Internmediate sheet'!$A47/3,0)*Capacity</f>
        <v>0</v>
      </c>
      <c r="BB142" s="19">
        <f ca="1">OFFSET('Sales, Production, &amp; Other Assu'!BB$54,'Internmediate sheet'!$A47/3,0)*Capacity</f>
        <v>0</v>
      </c>
      <c r="BC142" s="434">
        <f ca="1">SUM(AQ142:BB142)</f>
        <v>0</v>
      </c>
      <c r="BD142" s="19">
        <f ca="1">OFFSET('Sales, Production, &amp; Other Assu'!BD$54,'Internmediate sheet'!$A47/3,0)*Capacity</f>
        <v>0</v>
      </c>
      <c r="BE142" s="19">
        <f ca="1">OFFSET('Sales, Production, &amp; Other Assu'!BE$54,'Internmediate sheet'!$A47/3,0)*Capacity</f>
        <v>0</v>
      </c>
      <c r="BF142" s="19">
        <f ca="1">OFFSET('Sales, Production, &amp; Other Assu'!BF$54,'Internmediate sheet'!$A47/3,0)*Capacity</f>
        <v>0</v>
      </c>
      <c r="BG142" s="19">
        <f ca="1">OFFSET('Sales, Production, &amp; Other Assu'!BG$54,'Internmediate sheet'!$A47/3,0)*Capacity</f>
        <v>0</v>
      </c>
      <c r="BH142" s="19">
        <f ca="1">OFFSET('Sales, Production, &amp; Other Assu'!BH$54,'Internmediate sheet'!$A47/3,0)*Capacity</f>
        <v>0</v>
      </c>
      <c r="BI142" s="19">
        <f ca="1">OFFSET('Sales, Production, &amp; Other Assu'!BI$54,'Internmediate sheet'!$A47/3,0)*Capacity</f>
        <v>0</v>
      </c>
      <c r="BJ142" s="19">
        <f ca="1">OFFSET('Sales, Production, &amp; Other Assu'!BJ$54,'Internmediate sheet'!$A47/3,0)*Capacity</f>
        <v>0</v>
      </c>
      <c r="BK142" s="19">
        <f ca="1">OFFSET('Sales, Production, &amp; Other Assu'!BK$54,'Internmediate sheet'!$A47/3,0)*Capacity</f>
        <v>0</v>
      </c>
      <c r="BL142" s="19">
        <f ca="1">OFFSET('Sales, Production, &amp; Other Assu'!BL$54,'Internmediate sheet'!$A47/3,0)*Capacity</f>
        <v>0</v>
      </c>
      <c r="BM142" s="19">
        <f ca="1">OFFSET('Sales, Production, &amp; Other Assu'!BM$54,'Internmediate sheet'!$A47/3,0)*Capacity</f>
        <v>0</v>
      </c>
      <c r="BN142" s="19">
        <f ca="1">OFFSET('Sales, Production, &amp; Other Assu'!BN$54,'Internmediate sheet'!$A47/3,0)*Capacity</f>
        <v>0</v>
      </c>
      <c r="BO142" s="19">
        <f ca="1">OFFSET('Sales, Production, &amp; Other Assu'!BO$54,'Internmediate sheet'!$A47/3,0)*Capacity</f>
        <v>0</v>
      </c>
      <c r="BP142" s="434">
        <f ca="1">SUM(BD142:BO142)</f>
        <v>0</v>
      </c>
      <c r="BQ142" s="19">
        <f ca="1">OFFSET('Sales, Production, &amp; Other Assu'!BQ$54,'Internmediate sheet'!$A47/3,0)*Capacity</f>
        <v>0</v>
      </c>
      <c r="BR142" s="19">
        <f ca="1">OFFSET('Sales, Production, &amp; Other Assu'!BR$54,'Internmediate sheet'!$A47/3,0)*Capacity</f>
        <v>0</v>
      </c>
      <c r="BS142" s="19">
        <f ca="1">OFFSET('Sales, Production, &amp; Other Assu'!BS$54,'Internmediate sheet'!$A47/3,0)*Capacity</f>
        <v>0</v>
      </c>
      <c r="BT142" s="19">
        <f ca="1">OFFSET('Sales, Production, &amp; Other Assu'!BT$54,'Internmediate sheet'!$A47/3,0)*Capacity</f>
        <v>0</v>
      </c>
      <c r="BU142" s="19">
        <f ca="1">OFFSET('Sales, Production, &amp; Other Assu'!BU$54,'Internmediate sheet'!$A47/3,0)*Capacity</f>
        <v>0</v>
      </c>
      <c r="BV142" s="19">
        <f ca="1">OFFSET('Sales, Production, &amp; Other Assu'!BV$54,'Internmediate sheet'!$A47/3,0)*Capacity</f>
        <v>0</v>
      </c>
      <c r="BW142" s="19">
        <f ca="1">OFFSET('Sales, Production, &amp; Other Assu'!BW$54,'Internmediate sheet'!$A47/3,0)*Capacity</f>
        <v>0</v>
      </c>
      <c r="BX142" s="19">
        <f ca="1">OFFSET('Sales, Production, &amp; Other Assu'!BX$54,'Internmediate sheet'!$A47/3,0)*Capacity</f>
        <v>0</v>
      </c>
      <c r="BY142" s="19">
        <f ca="1">OFFSET('Sales, Production, &amp; Other Assu'!BY$54,'Internmediate sheet'!$A47/3,0)*Capacity</f>
        <v>0</v>
      </c>
      <c r="BZ142" s="19">
        <f ca="1">OFFSET('Sales, Production, &amp; Other Assu'!BZ$54,'Internmediate sheet'!$A47/3,0)*Capacity</f>
        <v>0</v>
      </c>
      <c r="CA142" s="19">
        <f ca="1">OFFSET('Sales, Production, &amp; Other Assu'!CA$54,'Internmediate sheet'!$A47/3,0)*Capacity</f>
        <v>0</v>
      </c>
      <c r="CB142" s="19">
        <f ca="1">OFFSET('Sales, Production, &amp; Other Assu'!CB$54,'Internmediate sheet'!$A47/3,0)*Capacity</f>
        <v>0</v>
      </c>
      <c r="CC142" s="434">
        <f ca="1">SUM(BQ142:CB142)</f>
        <v>0</v>
      </c>
      <c r="CD142" s="19">
        <f ca="1">OFFSET('Sales, Production, &amp; Other Assu'!CD$54,'Internmediate sheet'!$A47/3,0)*Capacity</f>
        <v>0</v>
      </c>
      <c r="CE142" s="19">
        <f ca="1">OFFSET('Sales, Production, &amp; Other Assu'!CE$54,'Internmediate sheet'!$A47/3,0)*Capacity</f>
        <v>0</v>
      </c>
      <c r="CF142" s="19">
        <f ca="1">OFFSET('Sales, Production, &amp; Other Assu'!CF$54,'Internmediate sheet'!$A47/3,0)*Capacity</f>
        <v>0</v>
      </c>
      <c r="CG142" s="19">
        <f ca="1">OFFSET('Sales, Production, &amp; Other Assu'!CG$54,'Internmediate sheet'!$A47/3,0)*Capacity</f>
        <v>0</v>
      </c>
      <c r="CH142" s="19">
        <f ca="1">OFFSET('Sales, Production, &amp; Other Assu'!CH$54,'Internmediate sheet'!$A47/3,0)*Capacity</f>
        <v>0</v>
      </c>
      <c r="CI142" s="19">
        <f ca="1">OFFSET('Sales, Production, &amp; Other Assu'!CI$54,'Internmediate sheet'!$A47/3,0)*Capacity</f>
        <v>0</v>
      </c>
      <c r="CJ142" s="19">
        <f ca="1">OFFSET('Sales, Production, &amp; Other Assu'!CJ$54,'Internmediate sheet'!$A47/3,0)*Capacity</f>
        <v>0</v>
      </c>
      <c r="CK142" s="19">
        <f ca="1">OFFSET('Sales, Production, &amp; Other Assu'!CK$54,'Internmediate sheet'!$A47/3,0)*Capacity</f>
        <v>0</v>
      </c>
      <c r="CL142" s="19">
        <f ca="1">OFFSET('Sales, Production, &amp; Other Assu'!CL$54,'Internmediate sheet'!$A47/3,0)*Capacity</f>
        <v>0</v>
      </c>
      <c r="CM142" s="19">
        <f ca="1">OFFSET('Sales, Production, &amp; Other Assu'!CM$54,'Internmediate sheet'!$A47/3,0)*Capacity</f>
        <v>0</v>
      </c>
      <c r="CN142" s="19">
        <f ca="1">OFFSET('Sales, Production, &amp; Other Assu'!CN$54,'Internmediate sheet'!$A47/3,0)*Capacity</f>
        <v>0</v>
      </c>
      <c r="CO142" s="19">
        <f ca="1">OFFSET('Sales, Production, &amp; Other Assu'!CO$54,'Internmediate sheet'!$A47/3,0)*Capacity</f>
        <v>0</v>
      </c>
      <c r="CP142" s="434">
        <f ca="1">SUM(CD142:CO142)</f>
        <v>0</v>
      </c>
    </row>
    <row r="143" spans="1:94" ht="20.100000000000001" hidden="1" customHeight="1">
      <c r="A143" s="793"/>
      <c r="B143" s="9" t="s">
        <v>614</v>
      </c>
      <c r="C143" s="10">
        <f ca="1">OFFSET('BEP. &amp; Summary Results'!$C$6,'Internmediate sheet'!A44/3,0)</f>
        <v>0</v>
      </c>
      <c r="D143" s="9">
        <f t="shared" ref="D143" ca="1" si="3825">C143</f>
        <v>0</v>
      </c>
      <c r="E143" s="9">
        <f t="shared" ref="E143" ca="1" si="3826">D143</f>
        <v>0</v>
      </c>
      <c r="F143" s="9">
        <f t="shared" ref="F143" ca="1" si="3827">E143</f>
        <v>0</v>
      </c>
      <c r="G143" s="9">
        <f t="shared" ref="G143" ca="1" si="3828">F143</f>
        <v>0</v>
      </c>
      <c r="H143" s="9">
        <f t="shared" ref="H143" ca="1" si="3829">G143</f>
        <v>0</v>
      </c>
      <c r="I143" s="9">
        <f t="shared" ref="I143" ca="1" si="3830">H143</f>
        <v>0</v>
      </c>
      <c r="J143" s="9">
        <f t="shared" ref="J143" ca="1" si="3831">I143</f>
        <v>0</v>
      </c>
      <c r="K143" s="9">
        <f t="shared" ref="K143" ca="1" si="3832">J143</f>
        <v>0</v>
      </c>
      <c r="L143" s="9">
        <f t="shared" ref="L143" ca="1" si="3833">K143</f>
        <v>0</v>
      </c>
      <c r="M143" s="9">
        <f t="shared" ref="M143" ca="1" si="3834">L143</f>
        <v>0</v>
      </c>
      <c r="N143" s="9">
        <f t="shared" ref="N143" ca="1" si="3835">M143</f>
        <v>0</v>
      </c>
      <c r="O143" s="9">
        <f t="shared" ref="O143" ca="1" si="3836">N143</f>
        <v>0</v>
      </c>
      <c r="P143" s="435">
        <f t="shared" ref="P143" ca="1" si="3837">O143</f>
        <v>0</v>
      </c>
      <c r="Q143" s="9">
        <f t="shared" ref="Q143" ca="1" si="3838">P143</f>
        <v>0</v>
      </c>
      <c r="R143" s="9">
        <f t="shared" ref="R143" ca="1" si="3839">Q143</f>
        <v>0</v>
      </c>
      <c r="S143" s="9">
        <f t="shared" ref="S143" ca="1" si="3840">R143</f>
        <v>0</v>
      </c>
      <c r="T143" s="9">
        <f t="shared" ref="T143" ca="1" si="3841">S143</f>
        <v>0</v>
      </c>
      <c r="U143" s="9">
        <f t="shared" ref="U143" ca="1" si="3842">T143</f>
        <v>0</v>
      </c>
      <c r="V143" s="9">
        <f t="shared" ref="V143" ca="1" si="3843">U143</f>
        <v>0</v>
      </c>
      <c r="W143" s="9">
        <f t="shared" ref="W143" ca="1" si="3844">V143</f>
        <v>0</v>
      </c>
      <c r="X143" s="9">
        <f t="shared" ref="X143" ca="1" si="3845">W143</f>
        <v>0</v>
      </c>
      <c r="Y143" s="9">
        <f t="shared" ref="Y143" ca="1" si="3846">X143</f>
        <v>0</v>
      </c>
      <c r="Z143" s="9">
        <f t="shared" ref="Z143" ca="1" si="3847">Y143</f>
        <v>0</v>
      </c>
      <c r="AA143" s="9">
        <f t="shared" ref="AA143" ca="1" si="3848">Z143</f>
        <v>0</v>
      </c>
      <c r="AB143" s="9">
        <f t="shared" ref="AB143" ca="1" si="3849">AA143</f>
        <v>0</v>
      </c>
      <c r="AC143" s="435">
        <f t="shared" ref="AC143" ca="1" si="3850">AB143</f>
        <v>0</v>
      </c>
      <c r="AD143" s="9">
        <f t="shared" ref="AD143" ca="1" si="3851">AC143</f>
        <v>0</v>
      </c>
      <c r="AE143" s="9">
        <f t="shared" ref="AE143" ca="1" si="3852">AD143</f>
        <v>0</v>
      </c>
      <c r="AF143" s="9">
        <f t="shared" ref="AF143" ca="1" si="3853">AE143</f>
        <v>0</v>
      </c>
      <c r="AG143" s="9">
        <f t="shared" ref="AG143" ca="1" si="3854">AF143</f>
        <v>0</v>
      </c>
      <c r="AH143" s="9">
        <f t="shared" ref="AH143" ca="1" si="3855">AG143</f>
        <v>0</v>
      </c>
      <c r="AI143" s="9">
        <f t="shared" ref="AI143" ca="1" si="3856">AH143</f>
        <v>0</v>
      </c>
      <c r="AJ143" s="9">
        <f t="shared" ref="AJ143" ca="1" si="3857">AI143</f>
        <v>0</v>
      </c>
      <c r="AK143" s="9">
        <f t="shared" ref="AK143" ca="1" si="3858">AJ143</f>
        <v>0</v>
      </c>
      <c r="AL143" s="9">
        <f t="shared" ref="AL143" ca="1" si="3859">AK143</f>
        <v>0</v>
      </c>
      <c r="AM143" s="9">
        <f t="shared" ref="AM143" ca="1" si="3860">AL143</f>
        <v>0</v>
      </c>
      <c r="AN143" s="9">
        <f t="shared" ref="AN143" ca="1" si="3861">AM143</f>
        <v>0</v>
      </c>
      <c r="AO143" s="9">
        <f t="shared" ref="AO143" ca="1" si="3862">AN143</f>
        <v>0</v>
      </c>
      <c r="AP143" s="435">
        <f t="shared" ref="AP143" ca="1" si="3863">AO143</f>
        <v>0</v>
      </c>
      <c r="AQ143" s="9">
        <f ca="1">AP143</f>
        <v>0</v>
      </c>
      <c r="AR143" s="9">
        <f t="shared" ref="AR143" ca="1" si="3864">AQ143</f>
        <v>0</v>
      </c>
      <c r="AS143" s="9">
        <f t="shared" ref="AS143" ca="1" si="3865">AR143</f>
        <v>0</v>
      </c>
      <c r="AT143" s="9">
        <f t="shared" ref="AT143" ca="1" si="3866">AS143</f>
        <v>0</v>
      </c>
      <c r="AU143" s="9">
        <f t="shared" ref="AU143" ca="1" si="3867">AT143</f>
        <v>0</v>
      </c>
      <c r="AV143" s="9">
        <f t="shared" ref="AV143" ca="1" si="3868">AU143</f>
        <v>0</v>
      </c>
      <c r="AW143" s="9">
        <f t="shared" ref="AW143" ca="1" si="3869">AV143</f>
        <v>0</v>
      </c>
      <c r="AX143" s="9">
        <f t="shared" ref="AX143" ca="1" si="3870">AW143</f>
        <v>0</v>
      </c>
      <c r="AY143" s="9">
        <f t="shared" ref="AY143" ca="1" si="3871">AX143</f>
        <v>0</v>
      </c>
      <c r="AZ143" s="9">
        <f t="shared" ref="AZ143" ca="1" si="3872">AY143</f>
        <v>0</v>
      </c>
      <c r="BA143" s="9">
        <f t="shared" ref="BA143" ca="1" si="3873">AZ143</f>
        <v>0</v>
      </c>
      <c r="BB143" s="9">
        <f t="shared" ref="BB143" ca="1" si="3874">BA143</f>
        <v>0</v>
      </c>
      <c r="BC143" s="435">
        <f t="shared" ref="BC143" ca="1" si="3875">BB143</f>
        <v>0</v>
      </c>
      <c r="BD143" s="9">
        <f t="shared" ref="BD143" ca="1" si="3876">BC143</f>
        <v>0</v>
      </c>
      <c r="BE143" s="9">
        <f t="shared" ref="BE143" ca="1" si="3877">BD143</f>
        <v>0</v>
      </c>
      <c r="BF143" s="9">
        <f t="shared" ref="BF143" ca="1" si="3878">BE143</f>
        <v>0</v>
      </c>
      <c r="BG143" s="9">
        <f t="shared" ref="BG143" ca="1" si="3879">BF143</f>
        <v>0</v>
      </c>
      <c r="BH143" s="9">
        <f t="shared" ref="BH143" ca="1" si="3880">BG143</f>
        <v>0</v>
      </c>
      <c r="BI143" s="9">
        <f t="shared" ref="BI143" ca="1" si="3881">BH143</f>
        <v>0</v>
      </c>
      <c r="BJ143" s="9">
        <f t="shared" ref="BJ143" ca="1" si="3882">BI143</f>
        <v>0</v>
      </c>
      <c r="BK143" s="9">
        <f t="shared" ref="BK143" ca="1" si="3883">BJ143</f>
        <v>0</v>
      </c>
      <c r="BL143" s="9">
        <f t="shared" ref="BL143" ca="1" si="3884">BK143</f>
        <v>0</v>
      </c>
      <c r="BM143" s="9">
        <f t="shared" ref="BM143" ca="1" si="3885">BL143</f>
        <v>0</v>
      </c>
      <c r="BN143" s="9">
        <f t="shared" ref="BN143" ca="1" si="3886">BM143</f>
        <v>0</v>
      </c>
      <c r="BO143" s="9">
        <f t="shared" ref="BO143" ca="1" si="3887">BN143</f>
        <v>0</v>
      </c>
      <c r="BP143" s="435">
        <f t="shared" ref="BP143" ca="1" si="3888">BO143</f>
        <v>0</v>
      </c>
      <c r="BQ143" s="9">
        <f t="shared" ref="BQ143" ca="1" si="3889">BP143</f>
        <v>0</v>
      </c>
      <c r="BR143" s="9">
        <f t="shared" ref="BR143" ca="1" si="3890">BQ143</f>
        <v>0</v>
      </c>
      <c r="BS143" s="9">
        <f t="shared" ref="BS143" ca="1" si="3891">BR143</f>
        <v>0</v>
      </c>
      <c r="BT143" s="9">
        <f t="shared" ref="BT143" ca="1" si="3892">BS143</f>
        <v>0</v>
      </c>
      <c r="BU143" s="9">
        <f t="shared" ref="BU143" ca="1" si="3893">BT143</f>
        <v>0</v>
      </c>
      <c r="BV143" s="9">
        <f t="shared" ref="BV143" ca="1" si="3894">BU143</f>
        <v>0</v>
      </c>
      <c r="BW143" s="9">
        <f t="shared" ref="BW143" ca="1" si="3895">BV143</f>
        <v>0</v>
      </c>
      <c r="BX143" s="9">
        <f t="shared" ref="BX143" ca="1" si="3896">BW143</f>
        <v>0</v>
      </c>
      <c r="BY143" s="9">
        <f t="shared" ref="BY143" ca="1" si="3897">BX143</f>
        <v>0</v>
      </c>
      <c r="BZ143" s="9">
        <f t="shared" ref="BZ143" ca="1" si="3898">BY143</f>
        <v>0</v>
      </c>
      <c r="CA143" s="9">
        <f t="shared" ref="CA143" ca="1" si="3899">BZ143</f>
        <v>0</v>
      </c>
      <c r="CB143" s="9">
        <f t="shared" ref="CB143" ca="1" si="3900">CA143</f>
        <v>0</v>
      </c>
      <c r="CC143" s="435">
        <f t="shared" ref="CC143" ca="1" si="3901">CB143</f>
        <v>0</v>
      </c>
      <c r="CD143" s="9">
        <f t="shared" ref="CD143" ca="1" si="3902">CC143</f>
        <v>0</v>
      </c>
      <c r="CE143" s="9">
        <f t="shared" ref="CE143" ca="1" si="3903">CD143</f>
        <v>0</v>
      </c>
      <c r="CF143" s="9">
        <f t="shared" ref="CF143" ca="1" si="3904">CE143</f>
        <v>0</v>
      </c>
      <c r="CG143" s="9">
        <f t="shared" ref="CG143" ca="1" si="3905">CF143</f>
        <v>0</v>
      </c>
      <c r="CH143" s="9">
        <f t="shared" ref="CH143" ca="1" si="3906">CG143</f>
        <v>0</v>
      </c>
      <c r="CI143" s="9">
        <f t="shared" ref="CI143" ca="1" si="3907">CH143</f>
        <v>0</v>
      </c>
      <c r="CJ143" s="9">
        <f t="shared" ref="CJ143" ca="1" si="3908">CI143</f>
        <v>0</v>
      </c>
      <c r="CK143" s="9">
        <f t="shared" ref="CK143" ca="1" si="3909">CJ143</f>
        <v>0</v>
      </c>
      <c r="CL143" s="9">
        <f t="shared" ref="CL143" ca="1" si="3910">CK143</f>
        <v>0</v>
      </c>
      <c r="CM143" s="9">
        <f t="shared" ref="CM143" ca="1" si="3911">CL143</f>
        <v>0</v>
      </c>
      <c r="CN143" s="9">
        <f t="shared" ref="CN143" ca="1" si="3912">CM143</f>
        <v>0</v>
      </c>
      <c r="CO143" s="9">
        <f t="shared" ref="CO143" ca="1" si="3913">CN143</f>
        <v>0</v>
      </c>
      <c r="CP143" s="435">
        <f t="shared" ref="CP143" ca="1" si="3914">CO143</f>
        <v>0</v>
      </c>
    </row>
    <row r="144" spans="1:94" ht="20.100000000000001" hidden="1" customHeight="1">
      <c r="A144" s="794"/>
      <c r="B144" s="255" t="s">
        <v>615</v>
      </c>
      <c r="C144" s="256">
        <f t="shared" ref="C144:O144" ca="1" si="3915">C142*C143</f>
        <v>0</v>
      </c>
      <c r="D144" s="255">
        <f t="shared" ca="1" si="3915"/>
        <v>0</v>
      </c>
      <c r="E144" s="255">
        <f t="shared" ca="1" si="3915"/>
        <v>0</v>
      </c>
      <c r="F144" s="255">
        <f t="shared" ca="1" si="3915"/>
        <v>0</v>
      </c>
      <c r="G144" s="255">
        <f t="shared" ca="1" si="3915"/>
        <v>0</v>
      </c>
      <c r="H144" s="255">
        <f t="shared" ca="1" si="3915"/>
        <v>0</v>
      </c>
      <c r="I144" s="255">
        <f t="shared" ca="1" si="3915"/>
        <v>0</v>
      </c>
      <c r="J144" s="255">
        <f t="shared" ca="1" si="3915"/>
        <v>0</v>
      </c>
      <c r="K144" s="255">
        <f t="shared" ca="1" si="3915"/>
        <v>0</v>
      </c>
      <c r="L144" s="255">
        <f t="shared" ca="1" si="3915"/>
        <v>0</v>
      </c>
      <c r="M144" s="255">
        <f t="shared" ca="1" si="3915"/>
        <v>0</v>
      </c>
      <c r="N144" s="255">
        <f t="shared" ca="1" si="3915"/>
        <v>0</v>
      </c>
      <c r="O144" s="255">
        <f t="shared" ca="1" si="3915"/>
        <v>0</v>
      </c>
      <c r="P144" s="434">
        <f ca="1">SUM(D144:O144)</f>
        <v>0</v>
      </c>
      <c r="Q144" s="255">
        <f t="shared" ref="Q144:AB144" ca="1" si="3916">Q142*Q143</f>
        <v>0</v>
      </c>
      <c r="R144" s="255">
        <f t="shared" ca="1" si="3916"/>
        <v>0</v>
      </c>
      <c r="S144" s="255">
        <f t="shared" ca="1" si="3916"/>
        <v>0</v>
      </c>
      <c r="T144" s="255">
        <f t="shared" ca="1" si="3916"/>
        <v>0</v>
      </c>
      <c r="U144" s="255">
        <f t="shared" ca="1" si="3916"/>
        <v>0</v>
      </c>
      <c r="V144" s="255">
        <f t="shared" ca="1" si="3916"/>
        <v>0</v>
      </c>
      <c r="W144" s="255">
        <f t="shared" ca="1" si="3916"/>
        <v>0</v>
      </c>
      <c r="X144" s="255">
        <f t="shared" ca="1" si="3916"/>
        <v>0</v>
      </c>
      <c r="Y144" s="255">
        <f t="shared" ca="1" si="3916"/>
        <v>0</v>
      </c>
      <c r="Z144" s="255">
        <f t="shared" ca="1" si="3916"/>
        <v>0</v>
      </c>
      <c r="AA144" s="255">
        <f t="shared" ca="1" si="3916"/>
        <v>0</v>
      </c>
      <c r="AB144" s="255">
        <f t="shared" ca="1" si="3916"/>
        <v>0</v>
      </c>
      <c r="AC144" s="434">
        <f ca="1">SUM(Q144:AB144)</f>
        <v>0</v>
      </c>
      <c r="AD144" s="255">
        <f t="shared" ref="AD144:AO144" ca="1" si="3917">AD142*AD143</f>
        <v>0</v>
      </c>
      <c r="AE144" s="255">
        <f t="shared" ca="1" si="3917"/>
        <v>0</v>
      </c>
      <c r="AF144" s="255">
        <f t="shared" ca="1" si="3917"/>
        <v>0</v>
      </c>
      <c r="AG144" s="255">
        <f t="shared" ca="1" si="3917"/>
        <v>0</v>
      </c>
      <c r="AH144" s="255">
        <f t="shared" ca="1" si="3917"/>
        <v>0</v>
      </c>
      <c r="AI144" s="255">
        <f t="shared" ca="1" si="3917"/>
        <v>0</v>
      </c>
      <c r="AJ144" s="255">
        <f t="shared" ca="1" si="3917"/>
        <v>0</v>
      </c>
      <c r="AK144" s="255">
        <f t="shared" ca="1" si="3917"/>
        <v>0</v>
      </c>
      <c r="AL144" s="255">
        <f t="shared" ca="1" si="3917"/>
        <v>0</v>
      </c>
      <c r="AM144" s="255">
        <f t="shared" ca="1" si="3917"/>
        <v>0</v>
      </c>
      <c r="AN144" s="255">
        <f t="shared" ca="1" si="3917"/>
        <v>0</v>
      </c>
      <c r="AO144" s="255">
        <f t="shared" ca="1" si="3917"/>
        <v>0</v>
      </c>
      <c r="AP144" s="434">
        <f ca="1">SUM(AD144:AO144)</f>
        <v>0</v>
      </c>
      <c r="AQ144" s="255">
        <f t="shared" ref="AQ144:BB144" ca="1" si="3918">AQ142*AQ143</f>
        <v>0</v>
      </c>
      <c r="AR144" s="255">
        <f t="shared" ca="1" si="3918"/>
        <v>0</v>
      </c>
      <c r="AS144" s="255">
        <f t="shared" ca="1" si="3918"/>
        <v>0</v>
      </c>
      <c r="AT144" s="255">
        <f t="shared" ca="1" si="3918"/>
        <v>0</v>
      </c>
      <c r="AU144" s="255">
        <f t="shared" ca="1" si="3918"/>
        <v>0</v>
      </c>
      <c r="AV144" s="255">
        <f t="shared" ca="1" si="3918"/>
        <v>0</v>
      </c>
      <c r="AW144" s="255">
        <f t="shared" ca="1" si="3918"/>
        <v>0</v>
      </c>
      <c r="AX144" s="255">
        <f t="shared" ca="1" si="3918"/>
        <v>0</v>
      </c>
      <c r="AY144" s="255">
        <f t="shared" ca="1" si="3918"/>
        <v>0</v>
      </c>
      <c r="AZ144" s="255">
        <f t="shared" ca="1" si="3918"/>
        <v>0</v>
      </c>
      <c r="BA144" s="255">
        <f t="shared" ca="1" si="3918"/>
        <v>0</v>
      </c>
      <c r="BB144" s="255">
        <f t="shared" ca="1" si="3918"/>
        <v>0</v>
      </c>
      <c r="BC144" s="434">
        <f ca="1">SUM(AQ144:BB144)</f>
        <v>0</v>
      </c>
      <c r="BD144" s="255">
        <f t="shared" ref="BD144:BO144" ca="1" si="3919">BD142*BD143</f>
        <v>0</v>
      </c>
      <c r="BE144" s="255">
        <f t="shared" ca="1" si="3919"/>
        <v>0</v>
      </c>
      <c r="BF144" s="255">
        <f t="shared" ca="1" si="3919"/>
        <v>0</v>
      </c>
      <c r="BG144" s="255">
        <f t="shared" ca="1" si="3919"/>
        <v>0</v>
      </c>
      <c r="BH144" s="255">
        <f t="shared" ca="1" si="3919"/>
        <v>0</v>
      </c>
      <c r="BI144" s="255">
        <f t="shared" ca="1" si="3919"/>
        <v>0</v>
      </c>
      <c r="BJ144" s="255">
        <f t="shared" ca="1" si="3919"/>
        <v>0</v>
      </c>
      <c r="BK144" s="255">
        <f t="shared" ca="1" si="3919"/>
        <v>0</v>
      </c>
      <c r="BL144" s="255">
        <f t="shared" ca="1" si="3919"/>
        <v>0</v>
      </c>
      <c r="BM144" s="255">
        <f t="shared" ca="1" si="3919"/>
        <v>0</v>
      </c>
      <c r="BN144" s="255">
        <f t="shared" ca="1" si="3919"/>
        <v>0</v>
      </c>
      <c r="BO144" s="255">
        <f t="shared" ca="1" si="3919"/>
        <v>0</v>
      </c>
      <c r="BP144" s="434">
        <f ca="1">SUM(BD144:BO144)</f>
        <v>0</v>
      </c>
      <c r="BQ144" s="255">
        <f t="shared" ref="BQ144:CB144" ca="1" si="3920">BQ142*BQ143</f>
        <v>0</v>
      </c>
      <c r="BR144" s="255">
        <f t="shared" ca="1" si="3920"/>
        <v>0</v>
      </c>
      <c r="BS144" s="255">
        <f t="shared" ca="1" si="3920"/>
        <v>0</v>
      </c>
      <c r="BT144" s="255">
        <f t="shared" ca="1" si="3920"/>
        <v>0</v>
      </c>
      <c r="BU144" s="255">
        <f t="shared" ca="1" si="3920"/>
        <v>0</v>
      </c>
      <c r="BV144" s="255">
        <f t="shared" ca="1" si="3920"/>
        <v>0</v>
      </c>
      <c r="BW144" s="255">
        <f t="shared" ca="1" si="3920"/>
        <v>0</v>
      </c>
      <c r="BX144" s="255">
        <f t="shared" ca="1" si="3920"/>
        <v>0</v>
      </c>
      <c r="BY144" s="255">
        <f t="shared" ca="1" si="3920"/>
        <v>0</v>
      </c>
      <c r="BZ144" s="255">
        <f t="shared" ca="1" si="3920"/>
        <v>0</v>
      </c>
      <c r="CA144" s="255">
        <f t="shared" ca="1" si="3920"/>
        <v>0</v>
      </c>
      <c r="CB144" s="255">
        <f t="shared" ca="1" si="3920"/>
        <v>0</v>
      </c>
      <c r="CC144" s="434">
        <f ca="1">SUM(BQ144:CB144)</f>
        <v>0</v>
      </c>
      <c r="CD144" s="255">
        <f t="shared" ref="CD144:CO144" ca="1" si="3921">CD142*CD143</f>
        <v>0</v>
      </c>
      <c r="CE144" s="255">
        <f t="shared" ca="1" si="3921"/>
        <v>0</v>
      </c>
      <c r="CF144" s="255">
        <f t="shared" ca="1" si="3921"/>
        <v>0</v>
      </c>
      <c r="CG144" s="255">
        <f t="shared" ca="1" si="3921"/>
        <v>0</v>
      </c>
      <c r="CH144" s="255">
        <f t="shared" ca="1" si="3921"/>
        <v>0</v>
      </c>
      <c r="CI144" s="255">
        <f t="shared" ca="1" si="3921"/>
        <v>0</v>
      </c>
      <c r="CJ144" s="255">
        <f t="shared" ca="1" si="3921"/>
        <v>0</v>
      </c>
      <c r="CK144" s="255">
        <f t="shared" ca="1" si="3921"/>
        <v>0</v>
      </c>
      <c r="CL144" s="255">
        <f t="shared" ca="1" si="3921"/>
        <v>0</v>
      </c>
      <c r="CM144" s="255">
        <f t="shared" ca="1" si="3921"/>
        <v>0</v>
      </c>
      <c r="CN144" s="255">
        <f t="shared" ca="1" si="3921"/>
        <v>0</v>
      </c>
      <c r="CO144" s="255">
        <f t="shared" ca="1" si="3921"/>
        <v>0</v>
      </c>
      <c r="CP144" s="434">
        <f ca="1">SUM(CD144:CO144)</f>
        <v>0</v>
      </c>
    </row>
    <row r="145" spans="1:94" ht="20.100000000000001" hidden="1" customHeight="1">
      <c r="A145" s="792">
        <f ca="1">OFFSET('Summary. Assumptions. Inputs'!$A$45,'Internmediate sheet'!A50/3,0)</f>
        <v>0</v>
      </c>
      <c r="B145" s="19" t="s">
        <v>613</v>
      </c>
      <c r="C145" s="20">
        <f ca="1">OFFSET('Sales, Production, &amp; Other Assu'!C$54,'Internmediate sheet'!$A50/3,0)*Capacity</f>
        <v>0</v>
      </c>
      <c r="D145" s="19">
        <f ca="1">OFFSET('Sales, Production, &amp; Other Assu'!D$54,'Internmediate sheet'!$A50/3,0)*Capacity</f>
        <v>0</v>
      </c>
      <c r="E145" s="19">
        <f ca="1">OFFSET('Sales, Production, &amp; Other Assu'!E$54,'Internmediate sheet'!$A50/3,0)*Capacity</f>
        <v>0</v>
      </c>
      <c r="F145" s="19">
        <f ca="1">OFFSET('Sales, Production, &amp; Other Assu'!F$54,'Internmediate sheet'!$A50/3,0)*Capacity</f>
        <v>0</v>
      </c>
      <c r="G145" s="19">
        <f ca="1">OFFSET('Sales, Production, &amp; Other Assu'!G$54,'Internmediate sheet'!$A50/3,0)*Capacity</f>
        <v>0</v>
      </c>
      <c r="H145" s="19">
        <f ca="1">OFFSET('Sales, Production, &amp; Other Assu'!H$54,'Internmediate sheet'!$A50/3,0)*Capacity</f>
        <v>0</v>
      </c>
      <c r="I145" s="19">
        <f ca="1">OFFSET('Sales, Production, &amp; Other Assu'!I$54,'Internmediate sheet'!$A50/3,0)*Capacity</f>
        <v>0</v>
      </c>
      <c r="J145" s="19">
        <f ca="1">OFFSET('Sales, Production, &amp; Other Assu'!J$54,'Internmediate sheet'!$A50/3,0)*Capacity</f>
        <v>0</v>
      </c>
      <c r="K145" s="19">
        <f ca="1">OFFSET('Sales, Production, &amp; Other Assu'!K$54,'Internmediate sheet'!$A50/3,0)*Capacity</f>
        <v>0</v>
      </c>
      <c r="L145" s="19">
        <f ca="1">OFFSET('Sales, Production, &amp; Other Assu'!L$54,'Internmediate sheet'!$A50/3,0)*Capacity</f>
        <v>0</v>
      </c>
      <c r="M145" s="19">
        <f ca="1">OFFSET('Sales, Production, &amp; Other Assu'!M$54,'Internmediate sheet'!$A50/3,0)*Capacity</f>
        <v>0</v>
      </c>
      <c r="N145" s="19">
        <f ca="1">OFFSET('Sales, Production, &amp; Other Assu'!N$54,'Internmediate sheet'!$A50/3,0)*Capacity</f>
        <v>0</v>
      </c>
      <c r="O145" s="19">
        <f ca="1">OFFSET('Sales, Production, &amp; Other Assu'!O$54,'Internmediate sheet'!$A50/3,0)*Capacity</f>
        <v>0</v>
      </c>
      <c r="P145" s="434">
        <f ca="1">SUM(D145:O145)</f>
        <v>0</v>
      </c>
      <c r="Q145" s="19">
        <f ca="1">OFFSET('Sales, Production, &amp; Other Assu'!Q$54,'Internmediate sheet'!$A50/3,0)*Capacity</f>
        <v>0</v>
      </c>
      <c r="R145" s="19">
        <f ca="1">OFFSET('Sales, Production, &amp; Other Assu'!R$54,'Internmediate sheet'!$A50/3,0)*Capacity</f>
        <v>0</v>
      </c>
      <c r="S145" s="19">
        <f ca="1">OFFSET('Sales, Production, &amp; Other Assu'!S$54,'Internmediate sheet'!$A50/3,0)*Capacity</f>
        <v>0</v>
      </c>
      <c r="T145" s="19">
        <f ca="1">OFFSET('Sales, Production, &amp; Other Assu'!T$54,'Internmediate sheet'!$A50/3,0)*Capacity</f>
        <v>0</v>
      </c>
      <c r="U145" s="19">
        <f ca="1">OFFSET('Sales, Production, &amp; Other Assu'!U$54,'Internmediate sheet'!$A50/3,0)*Capacity</f>
        <v>0</v>
      </c>
      <c r="V145" s="19">
        <f ca="1">OFFSET('Sales, Production, &amp; Other Assu'!V$54,'Internmediate sheet'!$A50/3,0)*Capacity</f>
        <v>0</v>
      </c>
      <c r="W145" s="19">
        <f ca="1">OFFSET('Sales, Production, &amp; Other Assu'!W$54,'Internmediate sheet'!$A50/3,0)*Capacity</f>
        <v>0</v>
      </c>
      <c r="X145" s="19">
        <f ca="1">OFFSET('Sales, Production, &amp; Other Assu'!X$54,'Internmediate sheet'!$A50/3,0)*Capacity</f>
        <v>0</v>
      </c>
      <c r="Y145" s="19">
        <f ca="1">OFFSET('Sales, Production, &amp; Other Assu'!Y$54,'Internmediate sheet'!$A50/3,0)*Capacity</f>
        <v>0</v>
      </c>
      <c r="Z145" s="19">
        <f ca="1">OFFSET('Sales, Production, &amp; Other Assu'!Z$54,'Internmediate sheet'!$A50/3,0)*Capacity</f>
        <v>0</v>
      </c>
      <c r="AA145" s="19">
        <f ca="1">OFFSET('Sales, Production, &amp; Other Assu'!AA$54,'Internmediate sheet'!$A50/3,0)*Capacity</f>
        <v>0</v>
      </c>
      <c r="AB145" s="19">
        <f ca="1">OFFSET('Sales, Production, &amp; Other Assu'!AB$54,'Internmediate sheet'!$A50/3,0)*Capacity</f>
        <v>0</v>
      </c>
      <c r="AC145" s="434">
        <f ca="1">SUM(Q145:AB145)</f>
        <v>0</v>
      </c>
      <c r="AD145" s="19">
        <f ca="1">OFFSET('Sales, Production, &amp; Other Assu'!AD$54,'Internmediate sheet'!$A50/3,0)*Capacity</f>
        <v>0</v>
      </c>
      <c r="AE145" s="19">
        <f ca="1">OFFSET('Sales, Production, &amp; Other Assu'!AE$54,'Internmediate sheet'!$A50/3,0)*Capacity</f>
        <v>0</v>
      </c>
      <c r="AF145" s="19">
        <f ca="1">OFFSET('Sales, Production, &amp; Other Assu'!AF$54,'Internmediate sheet'!$A50/3,0)*Capacity</f>
        <v>0</v>
      </c>
      <c r="AG145" s="19">
        <f ca="1">OFFSET('Sales, Production, &amp; Other Assu'!AG$54,'Internmediate sheet'!$A50/3,0)*Capacity</f>
        <v>0</v>
      </c>
      <c r="AH145" s="19">
        <f ca="1">OFFSET('Sales, Production, &amp; Other Assu'!AH$54,'Internmediate sheet'!$A50/3,0)*Capacity</f>
        <v>0</v>
      </c>
      <c r="AI145" s="19">
        <f ca="1">OFFSET('Sales, Production, &amp; Other Assu'!AI$54,'Internmediate sheet'!$A50/3,0)*Capacity</f>
        <v>0</v>
      </c>
      <c r="AJ145" s="19">
        <f ca="1">OFFSET('Sales, Production, &amp; Other Assu'!AJ$54,'Internmediate sheet'!$A50/3,0)*Capacity</f>
        <v>0</v>
      </c>
      <c r="AK145" s="19">
        <f ca="1">OFFSET('Sales, Production, &amp; Other Assu'!AK$54,'Internmediate sheet'!$A50/3,0)*Capacity</f>
        <v>0</v>
      </c>
      <c r="AL145" s="19">
        <f ca="1">OFFSET('Sales, Production, &amp; Other Assu'!AL$54,'Internmediate sheet'!$A50/3,0)*Capacity</f>
        <v>0</v>
      </c>
      <c r="AM145" s="19">
        <f ca="1">OFFSET('Sales, Production, &amp; Other Assu'!AM$54,'Internmediate sheet'!$A50/3,0)*Capacity</f>
        <v>0</v>
      </c>
      <c r="AN145" s="19">
        <f ca="1">OFFSET('Sales, Production, &amp; Other Assu'!AN$54,'Internmediate sheet'!$A50/3,0)*Capacity</f>
        <v>0</v>
      </c>
      <c r="AO145" s="19">
        <f ca="1">OFFSET('Sales, Production, &amp; Other Assu'!AO$54,'Internmediate sheet'!$A50/3,0)*Capacity</f>
        <v>0</v>
      </c>
      <c r="AP145" s="434">
        <f ca="1">SUM(AD145:AO145)</f>
        <v>0</v>
      </c>
      <c r="AQ145" s="19">
        <f ca="1">OFFSET('Sales, Production, &amp; Other Assu'!AQ$54,'Internmediate sheet'!$A50/3,0)*Capacity</f>
        <v>0</v>
      </c>
      <c r="AR145" s="19">
        <f ca="1">OFFSET('Sales, Production, &amp; Other Assu'!AR$54,'Internmediate sheet'!$A50/3,0)*Capacity</f>
        <v>0</v>
      </c>
      <c r="AS145" s="19">
        <f ca="1">OFFSET('Sales, Production, &amp; Other Assu'!AS$54,'Internmediate sheet'!$A50/3,0)*Capacity</f>
        <v>0</v>
      </c>
      <c r="AT145" s="19">
        <f ca="1">OFFSET('Sales, Production, &amp; Other Assu'!AT$54,'Internmediate sheet'!$A50/3,0)*Capacity</f>
        <v>0</v>
      </c>
      <c r="AU145" s="19">
        <f ca="1">OFFSET('Sales, Production, &amp; Other Assu'!AU$54,'Internmediate sheet'!$A50/3,0)*Capacity</f>
        <v>0</v>
      </c>
      <c r="AV145" s="19">
        <f ca="1">OFFSET('Sales, Production, &amp; Other Assu'!AV$54,'Internmediate sheet'!$A50/3,0)*Capacity</f>
        <v>0</v>
      </c>
      <c r="AW145" s="19">
        <f ca="1">OFFSET('Sales, Production, &amp; Other Assu'!AW$54,'Internmediate sheet'!$A50/3,0)*Capacity</f>
        <v>0</v>
      </c>
      <c r="AX145" s="19">
        <f ca="1">OFFSET('Sales, Production, &amp; Other Assu'!AX$54,'Internmediate sheet'!$A50/3,0)*Capacity</f>
        <v>0</v>
      </c>
      <c r="AY145" s="19">
        <f ca="1">OFFSET('Sales, Production, &amp; Other Assu'!AY$54,'Internmediate sheet'!$A50/3,0)*Capacity</f>
        <v>0</v>
      </c>
      <c r="AZ145" s="19">
        <f ca="1">OFFSET('Sales, Production, &amp; Other Assu'!AZ$54,'Internmediate sheet'!$A50/3,0)*Capacity</f>
        <v>0</v>
      </c>
      <c r="BA145" s="19">
        <f ca="1">OFFSET('Sales, Production, &amp; Other Assu'!BA$54,'Internmediate sheet'!$A50/3,0)*Capacity</f>
        <v>0</v>
      </c>
      <c r="BB145" s="19">
        <f ca="1">OFFSET('Sales, Production, &amp; Other Assu'!BB$54,'Internmediate sheet'!$A50/3,0)*Capacity</f>
        <v>0</v>
      </c>
      <c r="BC145" s="434">
        <f ca="1">SUM(AQ145:BB145)</f>
        <v>0</v>
      </c>
      <c r="BD145" s="19">
        <f ca="1">OFFSET('Sales, Production, &amp; Other Assu'!BD$54,'Internmediate sheet'!$A50/3,0)*Capacity</f>
        <v>0</v>
      </c>
      <c r="BE145" s="19">
        <f ca="1">OFFSET('Sales, Production, &amp; Other Assu'!BE$54,'Internmediate sheet'!$A50/3,0)*Capacity</f>
        <v>0</v>
      </c>
      <c r="BF145" s="19">
        <f ca="1">OFFSET('Sales, Production, &amp; Other Assu'!BF$54,'Internmediate sheet'!$A50/3,0)*Capacity</f>
        <v>0</v>
      </c>
      <c r="BG145" s="19">
        <f ca="1">OFFSET('Sales, Production, &amp; Other Assu'!BG$54,'Internmediate sheet'!$A50/3,0)*Capacity</f>
        <v>0</v>
      </c>
      <c r="BH145" s="19">
        <f ca="1">OFFSET('Sales, Production, &amp; Other Assu'!BH$54,'Internmediate sheet'!$A50/3,0)*Capacity</f>
        <v>0</v>
      </c>
      <c r="BI145" s="19">
        <f ca="1">OFFSET('Sales, Production, &amp; Other Assu'!BI$54,'Internmediate sheet'!$A50/3,0)*Capacity</f>
        <v>0</v>
      </c>
      <c r="BJ145" s="19">
        <f ca="1">OFFSET('Sales, Production, &amp; Other Assu'!BJ$54,'Internmediate sheet'!$A50/3,0)*Capacity</f>
        <v>0</v>
      </c>
      <c r="BK145" s="19">
        <f ca="1">OFFSET('Sales, Production, &amp; Other Assu'!BK$54,'Internmediate sheet'!$A50/3,0)*Capacity</f>
        <v>0</v>
      </c>
      <c r="BL145" s="19">
        <f ca="1">OFFSET('Sales, Production, &amp; Other Assu'!BL$54,'Internmediate sheet'!$A50/3,0)*Capacity</f>
        <v>0</v>
      </c>
      <c r="BM145" s="19">
        <f ca="1">OFFSET('Sales, Production, &amp; Other Assu'!BM$54,'Internmediate sheet'!$A50/3,0)*Capacity</f>
        <v>0</v>
      </c>
      <c r="BN145" s="19">
        <f ca="1">OFFSET('Sales, Production, &amp; Other Assu'!BN$54,'Internmediate sheet'!$A50/3,0)*Capacity</f>
        <v>0</v>
      </c>
      <c r="BO145" s="19">
        <f ca="1">OFFSET('Sales, Production, &amp; Other Assu'!BO$54,'Internmediate sheet'!$A50/3,0)*Capacity</f>
        <v>0</v>
      </c>
      <c r="BP145" s="434">
        <f ca="1">SUM(BD145:BO145)</f>
        <v>0</v>
      </c>
      <c r="BQ145" s="19">
        <f ca="1">OFFSET('Sales, Production, &amp; Other Assu'!BQ$54,'Internmediate sheet'!$A50/3,0)*Capacity</f>
        <v>0</v>
      </c>
      <c r="BR145" s="19">
        <f ca="1">OFFSET('Sales, Production, &amp; Other Assu'!BR$54,'Internmediate sheet'!$A50/3,0)*Capacity</f>
        <v>0</v>
      </c>
      <c r="BS145" s="19">
        <f ca="1">OFFSET('Sales, Production, &amp; Other Assu'!BS$54,'Internmediate sheet'!$A50/3,0)*Capacity</f>
        <v>0</v>
      </c>
      <c r="BT145" s="19">
        <f ca="1">OFFSET('Sales, Production, &amp; Other Assu'!BT$54,'Internmediate sheet'!$A50/3,0)*Capacity</f>
        <v>0</v>
      </c>
      <c r="BU145" s="19">
        <f ca="1">OFFSET('Sales, Production, &amp; Other Assu'!BU$54,'Internmediate sheet'!$A50/3,0)*Capacity</f>
        <v>0</v>
      </c>
      <c r="BV145" s="19">
        <f ca="1">OFFSET('Sales, Production, &amp; Other Assu'!BV$54,'Internmediate sheet'!$A50/3,0)*Capacity</f>
        <v>0</v>
      </c>
      <c r="BW145" s="19">
        <f ca="1">OFFSET('Sales, Production, &amp; Other Assu'!BW$54,'Internmediate sheet'!$A50/3,0)*Capacity</f>
        <v>0</v>
      </c>
      <c r="BX145" s="19">
        <f ca="1">OFFSET('Sales, Production, &amp; Other Assu'!BX$54,'Internmediate sheet'!$A50/3,0)*Capacity</f>
        <v>0</v>
      </c>
      <c r="BY145" s="19">
        <f ca="1">OFFSET('Sales, Production, &amp; Other Assu'!BY$54,'Internmediate sheet'!$A50/3,0)*Capacity</f>
        <v>0</v>
      </c>
      <c r="BZ145" s="19">
        <f ca="1">OFFSET('Sales, Production, &amp; Other Assu'!BZ$54,'Internmediate sheet'!$A50/3,0)*Capacity</f>
        <v>0</v>
      </c>
      <c r="CA145" s="19">
        <f ca="1">OFFSET('Sales, Production, &amp; Other Assu'!CA$54,'Internmediate sheet'!$A50/3,0)*Capacity</f>
        <v>0</v>
      </c>
      <c r="CB145" s="19">
        <f ca="1">OFFSET('Sales, Production, &amp; Other Assu'!CB$54,'Internmediate sheet'!$A50/3,0)*Capacity</f>
        <v>0</v>
      </c>
      <c r="CC145" s="434">
        <f ca="1">SUM(BQ145:CB145)</f>
        <v>0</v>
      </c>
      <c r="CD145" s="19">
        <f ca="1">OFFSET('Sales, Production, &amp; Other Assu'!CD$54,'Internmediate sheet'!$A50/3,0)*Capacity</f>
        <v>0</v>
      </c>
      <c r="CE145" s="19">
        <f ca="1">OFFSET('Sales, Production, &amp; Other Assu'!CE$54,'Internmediate sheet'!$A50/3,0)*Capacity</f>
        <v>0</v>
      </c>
      <c r="CF145" s="19">
        <f ca="1">OFFSET('Sales, Production, &amp; Other Assu'!CF$54,'Internmediate sheet'!$A50/3,0)*Capacity</f>
        <v>0</v>
      </c>
      <c r="CG145" s="19">
        <f ca="1">OFFSET('Sales, Production, &amp; Other Assu'!CG$54,'Internmediate sheet'!$A50/3,0)*Capacity</f>
        <v>0</v>
      </c>
      <c r="CH145" s="19">
        <f ca="1">OFFSET('Sales, Production, &amp; Other Assu'!CH$54,'Internmediate sheet'!$A50/3,0)*Capacity</f>
        <v>0</v>
      </c>
      <c r="CI145" s="19">
        <f ca="1">OFFSET('Sales, Production, &amp; Other Assu'!CI$54,'Internmediate sheet'!$A50/3,0)*Capacity</f>
        <v>0</v>
      </c>
      <c r="CJ145" s="19">
        <f ca="1">OFFSET('Sales, Production, &amp; Other Assu'!CJ$54,'Internmediate sheet'!$A50/3,0)*Capacity</f>
        <v>0</v>
      </c>
      <c r="CK145" s="19">
        <f ca="1">OFFSET('Sales, Production, &amp; Other Assu'!CK$54,'Internmediate sheet'!$A50/3,0)*Capacity</f>
        <v>0</v>
      </c>
      <c r="CL145" s="19">
        <f ca="1">OFFSET('Sales, Production, &amp; Other Assu'!CL$54,'Internmediate sheet'!$A50/3,0)*Capacity</f>
        <v>0</v>
      </c>
      <c r="CM145" s="19">
        <f ca="1">OFFSET('Sales, Production, &amp; Other Assu'!CM$54,'Internmediate sheet'!$A50/3,0)*Capacity</f>
        <v>0</v>
      </c>
      <c r="CN145" s="19">
        <f ca="1">OFFSET('Sales, Production, &amp; Other Assu'!CN$54,'Internmediate sheet'!$A50/3,0)*Capacity</f>
        <v>0</v>
      </c>
      <c r="CO145" s="19">
        <f ca="1">OFFSET('Sales, Production, &amp; Other Assu'!CO$54,'Internmediate sheet'!$A50/3,0)*Capacity</f>
        <v>0</v>
      </c>
      <c r="CP145" s="434">
        <f ca="1">SUM(CD145:CO145)</f>
        <v>0</v>
      </c>
    </row>
    <row r="146" spans="1:94" ht="20.100000000000001" hidden="1" customHeight="1">
      <c r="A146" s="793"/>
      <c r="B146" s="9" t="s">
        <v>614</v>
      </c>
      <c r="C146" s="10">
        <f ca="1">OFFSET('BEP. &amp; Summary Results'!$C$6,'Internmediate sheet'!A47/3,0)</f>
        <v>0</v>
      </c>
      <c r="D146" s="9">
        <f t="shared" ref="D146" ca="1" si="3922">C146</f>
        <v>0</v>
      </c>
      <c r="E146" s="9">
        <f t="shared" ref="E146" ca="1" si="3923">D146</f>
        <v>0</v>
      </c>
      <c r="F146" s="9">
        <f t="shared" ref="F146" ca="1" si="3924">E146</f>
        <v>0</v>
      </c>
      <c r="G146" s="9">
        <f t="shared" ref="G146" ca="1" si="3925">F146</f>
        <v>0</v>
      </c>
      <c r="H146" s="9">
        <f t="shared" ref="H146" ca="1" si="3926">G146</f>
        <v>0</v>
      </c>
      <c r="I146" s="9">
        <f t="shared" ref="I146" ca="1" si="3927">H146</f>
        <v>0</v>
      </c>
      <c r="J146" s="9">
        <f t="shared" ref="J146" ca="1" si="3928">I146</f>
        <v>0</v>
      </c>
      <c r="K146" s="9">
        <f t="shared" ref="K146" ca="1" si="3929">J146</f>
        <v>0</v>
      </c>
      <c r="L146" s="9">
        <f t="shared" ref="L146" ca="1" si="3930">K146</f>
        <v>0</v>
      </c>
      <c r="M146" s="9">
        <f t="shared" ref="M146" ca="1" si="3931">L146</f>
        <v>0</v>
      </c>
      <c r="N146" s="9">
        <f t="shared" ref="N146" ca="1" si="3932">M146</f>
        <v>0</v>
      </c>
      <c r="O146" s="9">
        <f t="shared" ref="O146" ca="1" si="3933">N146</f>
        <v>0</v>
      </c>
      <c r="P146" s="435">
        <f t="shared" ref="P146" ca="1" si="3934">O146</f>
        <v>0</v>
      </c>
      <c r="Q146" s="9">
        <f t="shared" ref="Q146" ca="1" si="3935">P146</f>
        <v>0</v>
      </c>
      <c r="R146" s="9">
        <f t="shared" ref="R146" ca="1" si="3936">Q146</f>
        <v>0</v>
      </c>
      <c r="S146" s="9">
        <f t="shared" ref="S146" ca="1" si="3937">R146</f>
        <v>0</v>
      </c>
      <c r="T146" s="9">
        <f t="shared" ref="T146" ca="1" si="3938">S146</f>
        <v>0</v>
      </c>
      <c r="U146" s="9">
        <f t="shared" ref="U146" ca="1" si="3939">T146</f>
        <v>0</v>
      </c>
      <c r="V146" s="9">
        <f t="shared" ref="V146" ca="1" si="3940">U146</f>
        <v>0</v>
      </c>
      <c r="W146" s="9">
        <f t="shared" ref="W146" ca="1" si="3941">V146</f>
        <v>0</v>
      </c>
      <c r="X146" s="9">
        <f t="shared" ref="X146" ca="1" si="3942">W146</f>
        <v>0</v>
      </c>
      <c r="Y146" s="9">
        <f t="shared" ref="Y146" ca="1" si="3943">X146</f>
        <v>0</v>
      </c>
      <c r="Z146" s="9">
        <f t="shared" ref="Z146" ca="1" si="3944">Y146</f>
        <v>0</v>
      </c>
      <c r="AA146" s="9">
        <f t="shared" ref="AA146" ca="1" si="3945">Z146</f>
        <v>0</v>
      </c>
      <c r="AB146" s="9">
        <f t="shared" ref="AB146" ca="1" si="3946">AA146</f>
        <v>0</v>
      </c>
      <c r="AC146" s="435">
        <f t="shared" ref="AC146" ca="1" si="3947">AB146</f>
        <v>0</v>
      </c>
      <c r="AD146" s="9">
        <f t="shared" ref="AD146" ca="1" si="3948">AC146</f>
        <v>0</v>
      </c>
      <c r="AE146" s="9">
        <f t="shared" ref="AE146" ca="1" si="3949">AD146</f>
        <v>0</v>
      </c>
      <c r="AF146" s="9">
        <f t="shared" ref="AF146" ca="1" si="3950">AE146</f>
        <v>0</v>
      </c>
      <c r="AG146" s="9">
        <f t="shared" ref="AG146" ca="1" si="3951">AF146</f>
        <v>0</v>
      </c>
      <c r="AH146" s="9">
        <f t="shared" ref="AH146" ca="1" si="3952">AG146</f>
        <v>0</v>
      </c>
      <c r="AI146" s="9">
        <f t="shared" ref="AI146" ca="1" si="3953">AH146</f>
        <v>0</v>
      </c>
      <c r="AJ146" s="9">
        <f t="shared" ref="AJ146" ca="1" si="3954">AI146</f>
        <v>0</v>
      </c>
      <c r="AK146" s="9">
        <f t="shared" ref="AK146" ca="1" si="3955">AJ146</f>
        <v>0</v>
      </c>
      <c r="AL146" s="9">
        <f t="shared" ref="AL146" ca="1" si="3956">AK146</f>
        <v>0</v>
      </c>
      <c r="AM146" s="9">
        <f t="shared" ref="AM146" ca="1" si="3957">AL146</f>
        <v>0</v>
      </c>
      <c r="AN146" s="9">
        <f t="shared" ref="AN146" ca="1" si="3958">AM146</f>
        <v>0</v>
      </c>
      <c r="AO146" s="9">
        <f t="shared" ref="AO146" ca="1" si="3959">AN146</f>
        <v>0</v>
      </c>
      <c r="AP146" s="435">
        <f t="shared" ref="AP146" ca="1" si="3960">AO146</f>
        <v>0</v>
      </c>
      <c r="AQ146" s="9">
        <f ca="1">AP146</f>
        <v>0</v>
      </c>
      <c r="AR146" s="9">
        <f t="shared" ref="AR146" ca="1" si="3961">AQ146</f>
        <v>0</v>
      </c>
      <c r="AS146" s="9">
        <f t="shared" ref="AS146" ca="1" si="3962">AR146</f>
        <v>0</v>
      </c>
      <c r="AT146" s="9">
        <f t="shared" ref="AT146" ca="1" si="3963">AS146</f>
        <v>0</v>
      </c>
      <c r="AU146" s="9">
        <f t="shared" ref="AU146" ca="1" si="3964">AT146</f>
        <v>0</v>
      </c>
      <c r="AV146" s="9">
        <f t="shared" ref="AV146" ca="1" si="3965">AU146</f>
        <v>0</v>
      </c>
      <c r="AW146" s="9">
        <f t="shared" ref="AW146" ca="1" si="3966">AV146</f>
        <v>0</v>
      </c>
      <c r="AX146" s="9">
        <f t="shared" ref="AX146" ca="1" si="3967">AW146</f>
        <v>0</v>
      </c>
      <c r="AY146" s="9">
        <f t="shared" ref="AY146" ca="1" si="3968">AX146</f>
        <v>0</v>
      </c>
      <c r="AZ146" s="9">
        <f t="shared" ref="AZ146" ca="1" si="3969">AY146</f>
        <v>0</v>
      </c>
      <c r="BA146" s="9">
        <f t="shared" ref="BA146" ca="1" si="3970">AZ146</f>
        <v>0</v>
      </c>
      <c r="BB146" s="9">
        <f t="shared" ref="BB146" ca="1" si="3971">BA146</f>
        <v>0</v>
      </c>
      <c r="BC146" s="435">
        <f t="shared" ref="BC146" ca="1" si="3972">BB146</f>
        <v>0</v>
      </c>
      <c r="BD146" s="9">
        <f t="shared" ref="BD146" ca="1" si="3973">BC146</f>
        <v>0</v>
      </c>
      <c r="BE146" s="9">
        <f t="shared" ref="BE146" ca="1" si="3974">BD146</f>
        <v>0</v>
      </c>
      <c r="BF146" s="9">
        <f t="shared" ref="BF146" ca="1" si="3975">BE146</f>
        <v>0</v>
      </c>
      <c r="BG146" s="9">
        <f t="shared" ref="BG146" ca="1" si="3976">BF146</f>
        <v>0</v>
      </c>
      <c r="BH146" s="9">
        <f t="shared" ref="BH146" ca="1" si="3977">BG146</f>
        <v>0</v>
      </c>
      <c r="BI146" s="9">
        <f t="shared" ref="BI146" ca="1" si="3978">BH146</f>
        <v>0</v>
      </c>
      <c r="BJ146" s="9">
        <f t="shared" ref="BJ146" ca="1" si="3979">BI146</f>
        <v>0</v>
      </c>
      <c r="BK146" s="9">
        <f t="shared" ref="BK146" ca="1" si="3980">BJ146</f>
        <v>0</v>
      </c>
      <c r="BL146" s="9">
        <f t="shared" ref="BL146" ca="1" si="3981">BK146</f>
        <v>0</v>
      </c>
      <c r="BM146" s="9">
        <f t="shared" ref="BM146" ca="1" si="3982">BL146</f>
        <v>0</v>
      </c>
      <c r="BN146" s="9">
        <f t="shared" ref="BN146" ca="1" si="3983">BM146</f>
        <v>0</v>
      </c>
      <c r="BO146" s="9">
        <f t="shared" ref="BO146" ca="1" si="3984">BN146</f>
        <v>0</v>
      </c>
      <c r="BP146" s="435">
        <f t="shared" ref="BP146" ca="1" si="3985">BO146</f>
        <v>0</v>
      </c>
      <c r="BQ146" s="9">
        <f t="shared" ref="BQ146" ca="1" si="3986">BP146</f>
        <v>0</v>
      </c>
      <c r="BR146" s="9">
        <f t="shared" ref="BR146" ca="1" si="3987">BQ146</f>
        <v>0</v>
      </c>
      <c r="BS146" s="9">
        <f t="shared" ref="BS146" ca="1" si="3988">BR146</f>
        <v>0</v>
      </c>
      <c r="BT146" s="9">
        <f t="shared" ref="BT146" ca="1" si="3989">BS146</f>
        <v>0</v>
      </c>
      <c r="BU146" s="9">
        <f t="shared" ref="BU146" ca="1" si="3990">BT146</f>
        <v>0</v>
      </c>
      <c r="BV146" s="9">
        <f t="shared" ref="BV146" ca="1" si="3991">BU146</f>
        <v>0</v>
      </c>
      <c r="BW146" s="9">
        <f t="shared" ref="BW146" ca="1" si="3992">BV146</f>
        <v>0</v>
      </c>
      <c r="BX146" s="9">
        <f t="shared" ref="BX146" ca="1" si="3993">BW146</f>
        <v>0</v>
      </c>
      <c r="BY146" s="9">
        <f t="shared" ref="BY146" ca="1" si="3994">BX146</f>
        <v>0</v>
      </c>
      <c r="BZ146" s="9">
        <f t="shared" ref="BZ146" ca="1" si="3995">BY146</f>
        <v>0</v>
      </c>
      <c r="CA146" s="9">
        <f t="shared" ref="CA146" ca="1" si="3996">BZ146</f>
        <v>0</v>
      </c>
      <c r="CB146" s="9">
        <f t="shared" ref="CB146" ca="1" si="3997">CA146</f>
        <v>0</v>
      </c>
      <c r="CC146" s="435">
        <f t="shared" ref="CC146" ca="1" si="3998">CB146</f>
        <v>0</v>
      </c>
      <c r="CD146" s="9">
        <f t="shared" ref="CD146" ca="1" si="3999">CC146</f>
        <v>0</v>
      </c>
      <c r="CE146" s="9">
        <f t="shared" ref="CE146" ca="1" si="4000">CD146</f>
        <v>0</v>
      </c>
      <c r="CF146" s="9">
        <f t="shared" ref="CF146" ca="1" si="4001">CE146</f>
        <v>0</v>
      </c>
      <c r="CG146" s="9">
        <f t="shared" ref="CG146" ca="1" si="4002">CF146</f>
        <v>0</v>
      </c>
      <c r="CH146" s="9">
        <f t="shared" ref="CH146" ca="1" si="4003">CG146</f>
        <v>0</v>
      </c>
      <c r="CI146" s="9">
        <f t="shared" ref="CI146" ca="1" si="4004">CH146</f>
        <v>0</v>
      </c>
      <c r="CJ146" s="9">
        <f t="shared" ref="CJ146" ca="1" si="4005">CI146</f>
        <v>0</v>
      </c>
      <c r="CK146" s="9">
        <f t="shared" ref="CK146" ca="1" si="4006">CJ146</f>
        <v>0</v>
      </c>
      <c r="CL146" s="9">
        <f t="shared" ref="CL146" ca="1" si="4007">CK146</f>
        <v>0</v>
      </c>
      <c r="CM146" s="9">
        <f t="shared" ref="CM146" ca="1" si="4008">CL146</f>
        <v>0</v>
      </c>
      <c r="CN146" s="9">
        <f t="shared" ref="CN146" ca="1" si="4009">CM146</f>
        <v>0</v>
      </c>
      <c r="CO146" s="9">
        <f t="shared" ref="CO146" ca="1" si="4010">CN146</f>
        <v>0</v>
      </c>
      <c r="CP146" s="435">
        <f t="shared" ref="CP146" ca="1" si="4011">CO146</f>
        <v>0</v>
      </c>
    </row>
    <row r="147" spans="1:94" ht="20.100000000000001" hidden="1" customHeight="1">
      <c r="A147" s="794"/>
      <c r="B147" s="255" t="s">
        <v>615</v>
      </c>
      <c r="C147" s="256">
        <f t="shared" ref="C147:O147" ca="1" si="4012">C145*C146</f>
        <v>0</v>
      </c>
      <c r="D147" s="255">
        <f t="shared" ca="1" si="4012"/>
        <v>0</v>
      </c>
      <c r="E147" s="255">
        <f t="shared" ca="1" si="4012"/>
        <v>0</v>
      </c>
      <c r="F147" s="255">
        <f t="shared" ca="1" si="4012"/>
        <v>0</v>
      </c>
      <c r="G147" s="255">
        <f t="shared" ca="1" si="4012"/>
        <v>0</v>
      </c>
      <c r="H147" s="255">
        <f t="shared" ca="1" si="4012"/>
        <v>0</v>
      </c>
      <c r="I147" s="255">
        <f t="shared" ca="1" si="4012"/>
        <v>0</v>
      </c>
      <c r="J147" s="255">
        <f t="shared" ca="1" si="4012"/>
        <v>0</v>
      </c>
      <c r="K147" s="255">
        <f t="shared" ca="1" si="4012"/>
        <v>0</v>
      </c>
      <c r="L147" s="255">
        <f t="shared" ca="1" si="4012"/>
        <v>0</v>
      </c>
      <c r="M147" s="255">
        <f t="shared" ca="1" si="4012"/>
        <v>0</v>
      </c>
      <c r="N147" s="255">
        <f t="shared" ca="1" si="4012"/>
        <v>0</v>
      </c>
      <c r="O147" s="255">
        <f t="shared" ca="1" si="4012"/>
        <v>0</v>
      </c>
      <c r="P147" s="434">
        <f ca="1">SUM(D147:O147)</f>
        <v>0</v>
      </c>
      <c r="Q147" s="255">
        <f t="shared" ref="Q147:AB147" ca="1" si="4013">Q145*Q146</f>
        <v>0</v>
      </c>
      <c r="R147" s="255">
        <f t="shared" ca="1" si="4013"/>
        <v>0</v>
      </c>
      <c r="S147" s="255">
        <f t="shared" ca="1" si="4013"/>
        <v>0</v>
      </c>
      <c r="T147" s="255">
        <f t="shared" ca="1" si="4013"/>
        <v>0</v>
      </c>
      <c r="U147" s="255">
        <f t="shared" ca="1" si="4013"/>
        <v>0</v>
      </c>
      <c r="V147" s="255">
        <f t="shared" ca="1" si="4013"/>
        <v>0</v>
      </c>
      <c r="W147" s="255">
        <f t="shared" ca="1" si="4013"/>
        <v>0</v>
      </c>
      <c r="X147" s="255">
        <f t="shared" ca="1" si="4013"/>
        <v>0</v>
      </c>
      <c r="Y147" s="255">
        <f t="shared" ca="1" si="4013"/>
        <v>0</v>
      </c>
      <c r="Z147" s="255">
        <f t="shared" ca="1" si="4013"/>
        <v>0</v>
      </c>
      <c r="AA147" s="255">
        <f t="shared" ca="1" si="4013"/>
        <v>0</v>
      </c>
      <c r="AB147" s="255">
        <f t="shared" ca="1" si="4013"/>
        <v>0</v>
      </c>
      <c r="AC147" s="434">
        <f ca="1">SUM(Q147:AB147)</f>
        <v>0</v>
      </c>
      <c r="AD147" s="255">
        <f t="shared" ref="AD147:AO147" ca="1" si="4014">AD145*AD146</f>
        <v>0</v>
      </c>
      <c r="AE147" s="255">
        <f t="shared" ca="1" si="4014"/>
        <v>0</v>
      </c>
      <c r="AF147" s="255">
        <f t="shared" ca="1" si="4014"/>
        <v>0</v>
      </c>
      <c r="AG147" s="255">
        <f t="shared" ca="1" si="4014"/>
        <v>0</v>
      </c>
      <c r="AH147" s="255">
        <f t="shared" ca="1" si="4014"/>
        <v>0</v>
      </c>
      <c r="AI147" s="255">
        <f t="shared" ca="1" si="4014"/>
        <v>0</v>
      </c>
      <c r="AJ147" s="255">
        <f t="shared" ca="1" si="4014"/>
        <v>0</v>
      </c>
      <c r="AK147" s="255">
        <f t="shared" ca="1" si="4014"/>
        <v>0</v>
      </c>
      <c r="AL147" s="255">
        <f t="shared" ca="1" si="4014"/>
        <v>0</v>
      </c>
      <c r="AM147" s="255">
        <f t="shared" ca="1" si="4014"/>
        <v>0</v>
      </c>
      <c r="AN147" s="255">
        <f t="shared" ca="1" si="4014"/>
        <v>0</v>
      </c>
      <c r="AO147" s="255">
        <f t="shared" ca="1" si="4014"/>
        <v>0</v>
      </c>
      <c r="AP147" s="434">
        <f ca="1">SUM(AD147:AO147)</f>
        <v>0</v>
      </c>
      <c r="AQ147" s="255">
        <f t="shared" ref="AQ147:BB147" ca="1" si="4015">AQ145*AQ146</f>
        <v>0</v>
      </c>
      <c r="AR147" s="255">
        <f t="shared" ca="1" si="4015"/>
        <v>0</v>
      </c>
      <c r="AS147" s="255">
        <f t="shared" ca="1" si="4015"/>
        <v>0</v>
      </c>
      <c r="AT147" s="255">
        <f t="shared" ca="1" si="4015"/>
        <v>0</v>
      </c>
      <c r="AU147" s="255">
        <f t="shared" ca="1" si="4015"/>
        <v>0</v>
      </c>
      <c r="AV147" s="255">
        <f t="shared" ca="1" si="4015"/>
        <v>0</v>
      </c>
      <c r="AW147" s="255">
        <f t="shared" ca="1" si="4015"/>
        <v>0</v>
      </c>
      <c r="AX147" s="255">
        <f t="shared" ca="1" si="4015"/>
        <v>0</v>
      </c>
      <c r="AY147" s="255">
        <f t="shared" ca="1" si="4015"/>
        <v>0</v>
      </c>
      <c r="AZ147" s="255">
        <f t="shared" ca="1" si="4015"/>
        <v>0</v>
      </c>
      <c r="BA147" s="255">
        <f t="shared" ca="1" si="4015"/>
        <v>0</v>
      </c>
      <c r="BB147" s="255">
        <f t="shared" ca="1" si="4015"/>
        <v>0</v>
      </c>
      <c r="BC147" s="434">
        <f ca="1">SUM(AQ147:BB147)</f>
        <v>0</v>
      </c>
      <c r="BD147" s="255">
        <f t="shared" ref="BD147:BO147" ca="1" si="4016">BD145*BD146</f>
        <v>0</v>
      </c>
      <c r="BE147" s="255">
        <f t="shared" ca="1" si="4016"/>
        <v>0</v>
      </c>
      <c r="BF147" s="255">
        <f t="shared" ca="1" si="4016"/>
        <v>0</v>
      </c>
      <c r="BG147" s="255">
        <f t="shared" ca="1" si="4016"/>
        <v>0</v>
      </c>
      <c r="BH147" s="255">
        <f t="shared" ca="1" si="4016"/>
        <v>0</v>
      </c>
      <c r="BI147" s="255">
        <f t="shared" ca="1" si="4016"/>
        <v>0</v>
      </c>
      <c r="BJ147" s="255">
        <f t="shared" ca="1" si="4016"/>
        <v>0</v>
      </c>
      <c r="BK147" s="255">
        <f t="shared" ca="1" si="4016"/>
        <v>0</v>
      </c>
      <c r="BL147" s="255">
        <f t="shared" ca="1" si="4016"/>
        <v>0</v>
      </c>
      <c r="BM147" s="255">
        <f t="shared" ca="1" si="4016"/>
        <v>0</v>
      </c>
      <c r="BN147" s="255">
        <f t="shared" ca="1" si="4016"/>
        <v>0</v>
      </c>
      <c r="BO147" s="255">
        <f t="shared" ca="1" si="4016"/>
        <v>0</v>
      </c>
      <c r="BP147" s="434">
        <f ca="1">SUM(BD147:BO147)</f>
        <v>0</v>
      </c>
      <c r="BQ147" s="255">
        <f t="shared" ref="BQ147:CB147" ca="1" si="4017">BQ145*BQ146</f>
        <v>0</v>
      </c>
      <c r="BR147" s="255">
        <f t="shared" ca="1" si="4017"/>
        <v>0</v>
      </c>
      <c r="BS147" s="255">
        <f t="shared" ca="1" si="4017"/>
        <v>0</v>
      </c>
      <c r="BT147" s="255">
        <f t="shared" ca="1" si="4017"/>
        <v>0</v>
      </c>
      <c r="BU147" s="255">
        <f t="shared" ca="1" si="4017"/>
        <v>0</v>
      </c>
      <c r="BV147" s="255">
        <f t="shared" ca="1" si="4017"/>
        <v>0</v>
      </c>
      <c r="BW147" s="255">
        <f t="shared" ca="1" si="4017"/>
        <v>0</v>
      </c>
      <c r="BX147" s="255">
        <f t="shared" ca="1" si="4017"/>
        <v>0</v>
      </c>
      <c r="BY147" s="255">
        <f t="shared" ca="1" si="4017"/>
        <v>0</v>
      </c>
      <c r="BZ147" s="255">
        <f t="shared" ca="1" si="4017"/>
        <v>0</v>
      </c>
      <c r="CA147" s="255">
        <f t="shared" ca="1" si="4017"/>
        <v>0</v>
      </c>
      <c r="CB147" s="255">
        <f t="shared" ca="1" si="4017"/>
        <v>0</v>
      </c>
      <c r="CC147" s="434">
        <f ca="1">SUM(BQ147:CB147)</f>
        <v>0</v>
      </c>
      <c r="CD147" s="255">
        <f t="shared" ref="CD147:CO147" ca="1" si="4018">CD145*CD146</f>
        <v>0</v>
      </c>
      <c r="CE147" s="255">
        <f t="shared" ca="1" si="4018"/>
        <v>0</v>
      </c>
      <c r="CF147" s="255">
        <f t="shared" ca="1" si="4018"/>
        <v>0</v>
      </c>
      <c r="CG147" s="255">
        <f t="shared" ca="1" si="4018"/>
        <v>0</v>
      </c>
      <c r="CH147" s="255">
        <f t="shared" ca="1" si="4018"/>
        <v>0</v>
      </c>
      <c r="CI147" s="255">
        <f t="shared" ca="1" si="4018"/>
        <v>0</v>
      </c>
      <c r="CJ147" s="255">
        <f t="shared" ca="1" si="4018"/>
        <v>0</v>
      </c>
      <c r="CK147" s="255">
        <f t="shared" ca="1" si="4018"/>
        <v>0</v>
      </c>
      <c r="CL147" s="255">
        <f t="shared" ca="1" si="4018"/>
        <v>0</v>
      </c>
      <c r="CM147" s="255">
        <f t="shared" ca="1" si="4018"/>
        <v>0</v>
      </c>
      <c r="CN147" s="255">
        <f t="shared" ca="1" si="4018"/>
        <v>0</v>
      </c>
      <c r="CO147" s="255">
        <f t="shared" ca="1" si="4018"/>
        <v>0</v>
      </c>
      <c r="CP147" s="434">
        <f ca="1">SUM(CD147:CO147)</f>
        <v>0</v>
      </c>
    </row>
    <row r="148" spans="1:94" ht="20.100000000000001" hidden="1" customHeight="1">
      <c r="A148" s="792">
        <f ca="1">OFFSET('Summary. Assumptions. Inputs'!$A$45,'Internmediate sheet'!A53/3,0)</f>
        <v>0</v>
      </c>
      <c r="B148" s="19" t="s">
        <v>613</v>
      </c>
      <c r="C148" s="20">
        <f ca="1">OFFSET('Sales, Production, &amp; Other Assu'!C$54,'Internmediate sheet'!$A53/3,0)*Capacity</f>
        <v>0</v>
      </c>
      <c r="D148" s="19">
        <f ca="1">OFFSET('Sales, Production, &amp; Other Assu'!D$54,'Internmediate sheet'!$A53/3,0)*Capacity</f>
        <v>0</v>
      </c>
      <c r="E148" s="19">
        <f ca="1">OFFSET('Sales, Production, &amp; Other Assu'!E$54,'Internmediate sheet'!$A53/3,0)*Capacity</f>
        <v>0</v>
      </c>
      <c r="F148" s="19">
        <f ca="1">OFFSET('Sales, Production, &amp; Other Assu'!F$54,'Internmediate sheet'!$A53/3,0)*Capacity</f>
        <v>0</v>
      </c>
      <c r="G148" s="19">
        <f ca="1">OFFSET('Sales, Production, &amp; Other Assu'!G$54,'Internmediate sheet'!$A53/3,0)*Capacity</f>
        <v>0</v>
      </c>
      <c r="H148" s="19">
        <f ca="1">OFFSET('Sales, Production, &amp; Other Assu'!H$54,'Internmediate sheet'!$A53/3,0)*Capacity</f>
        <v>0</v>
      </c>
      <c r="I148" s="19">
        <f ca="1">OFFSET('Sales, Production, &amp; Other Assu'!I$54,'Internmediate sheet'!$A53/3,0)*Capacity</f>
        <v>0</v>
      </c>
      <c r="J148" s="19">
        <f ca="1">OFFSET('Sales, Production, &amp; Other Assu'!J$54,'Internmediate sheet'!$A53/3,0)*Capacity</f>
        <v>0</v>
      </c>
      <c r="K148" s="19">
        <f ca="1">OFFSET('Sales, Production, &amp; Other Assu'!K$54,'Internmediate sheet'!$A53/3,0)*Capacity</f>
        <v>0</v>
      </c>
      <c r="L148" s="19">
        <f ca="1">OFFSET('Sales, Production, &amp; Other Assu'!L$54,'Internmediate sheet'!$A53/3,0)*Capacity</f>
        <v>0</v>
      </c>
      <c r="M148" s="19">
        <f ca="1">OFFSET('Sales, Production, &amp; Other Assu'!M$54,'Internmediate sheet'!$A53/3,0)*Capacity</f>
        <v>0</v>
      </c>
      <c r="N148" s="19">
        <f ca="1">OFFSET('Sales, Production, &amp; Other Assu'!N$54,'Internmediate sheet'!$A53/3,0)*Capacity</f>
        <v>0</v>
      </c>
      <c r="O148" s="19">
        <f ca="1">OFFSET('Sales, Production, &amp; Other Assu'!O$54,'Internmediate sheet'!$A53/3,0)*Capacity</f>
        <v>0</v>
      </c>
      <c r="P148" s="434">
        <f ca="1">SUM(D148:O148)</f>
        <v>0</v>
      </c>
      <c r="Q148" s="19">
        <f ca="1">OFFSET('Sales, Production, &amp; Other Assu'!Q$54,'Internmediate sheet'!$A53/3,0)*Capacity</f>
        <v>0</v>
      </c>
      <c r="R148" s="19">
        <f ca="1">OFFSET('Sales, Production, &amp; Other Assu'!R$54,'Internmediate sheet'!$A53/3,0)*Capacity</f>
        <v>0</v>
      </c>
      <c r="S148" s="19">
        <f ca="1">OFFSET('Sales, Production, &amp; Other Assu'!S$54,'Internmediate sheet'!$A53/3,0)*Capacity</f>
        <v>0</v>
      </c>
      <c r="T148" s="19">
        <f ca="1">OFFSET('Sales, Production, &amp; Other Assu'!T$54,'Internmediate sheet'!$A53/3,0)*Capacity</f>
        <v>0</v>
      </c>
      <c r="U148" s="19">
        <f ca="1">OFFSET('Sales, Production, &amp; Other Assu'!U$54,'Internmediate sheet'!$A53/3,0)*Capacity</f>
        <v>0</v>
      </c>
      <c r="V148" s="19">
        <f ca="1">OFFSET('Sales, Production, &amp; Other Assu'!V$54,'Internmediate sheet'!$A53/3,0)*Capacity</f>
        <v>0</v>
      </c>
      <c r="W148" s="19">
        <f ca="1">OFFSET('Sales, Production, &amp; Other Assu'!W$54,'Internmediate sheet'!$A53/3,0)*Capacity</f>
        <v>0</v>
      </c>
      <c r="X148" s="19">
        <f ca="1">OFFSET('Sales, Production, &amp; Other Assu'!X$54,'Internmediate sheet'!$A53/3,0)*Capacity</f>
        <v>0</v>
      </c>
      <c r="Y148" s="19">
        <f ca="1">OFFSET('Sales, Production, &amp; Other Assu'!Y$54,'Internmediate sheet'!$A53/3,0)*Capacity</f>
        <v>0</v>
      </c>
      <c r="Z148" s="19">
        <f ca="1">OFFSET('Sales, Production, &amp; Other Assu'!Z$54,'Internmediate sheet'!$A53/3,0)*Capacity</f>
        <v>0</v>
      </c>
      <c r="AA148" s="19">
        <f ca="1">OFFSET('Sales, Production, &amp; Other Assu'!AA$54,'Internmediate sheet'!$A53/3,0)*Capacity</f>
        <v>0</v>
      </c>
      <c r="AB148" s="19">
        <f ca="1">OFFSET('Sales, Production, &amp; Other Assu'!AB$54,'Internmediate sheet'!$A53/3,0)*Capacity</f>
        <v>0</v>
      </c>
      <c r="AC148" s="434">
        <f ca="1">SUM(Q148:AB148)</f>
        <v>0</v>
      </c>
      <c r="AD148" s="19">
        <f ca="1">OFFSET('Sales, Production, &amp; Other Assu'!AD$54,'Internmediate sheet'!$A53/3,0)*Capacity</f>
        <v>0</v>
      </c>
      <c r="AE148" s="19">
        <f ca="1">OFFSET('Sales, Production, &amp; Other Assu'!AE$54,'Internmediate sheet'!$A53/3,0)*Capacity</f>
        <v>0</v>
      </c>
      <c r="AF148" s="19">
        <f ca="1">OFFSET('Sales, Production, &amp; Other Assu'!AF$54,'Internmediate sheet'!$A53/3,0)*Capacity</f>
        <v>0</v>
      </c>
      <c r="AG148" s="19">
        <f ca="1">OFFSET('Sales, Production, &amp; Other Assu'!AG$54,'Internmediate sheet'!$A53/3,0)*Capacity</f>
        <v>0</v>
      </c>
      <c r="AH148" s="19">
        <f ca="1">OFFSET('Sales, Production, &amp; Other Assu'!AH$54,'Internmediate sheet'!$A53/3,0)*Capacity</f>
        <v>0</v>
      </c>
      <c r="AI148" s="19">
        <f ca="1">OFFSET('Sales, Production, &amp; Other Assu'!AI$54,'Internmediate sheet'!$A53/3,0)*Capacity</f>
        <v>0</v>
      </c>
      <c r="AJ148" s="19">
        <f ca="1">OFFSET('Sales, Production, &amp; Other Assu'!AJ$54,'Internmediate sheet'!$A53/3,0)*Capacity</f>
        <v>0</v>
      </c>
      <c r="AK148" s="19">
        <f ca="1">OFFSET('Sales, Production, &amp; Other Assu'!AK$54,'Internmediate sheet'!$A53/3,0)*Capacity</f>
        <v>0</v>
      </c>
      <c r="AL148" s="19">
        <f ca="1">OFFSET('Sales, Production, &amp; Other Assu'!AL$54,'Internmediate sheet'!$A53/3,0)*Capacity</f>
        <v>0</v>
      </c>
      <c r="AM148" s="19">
        <f ca="1">OFFSET('Sales, Production, &amp; Other Assu'!AM$54,'Internmediate sheet'!$A53/3,0)*Capacity</f>
        <v>0</v>
      </c>
      <c r="AN148" s="19">
        <f ca="1">OFFSET('Sales, Production, &amp; Other Assu'!AN$54,'Internmediate sheet'!$A53/3,0)*Capacity</f>
        <v>0</v>
      </c>
      <c r="AO148" s="19">
        <f ca="1">OFFSET('Sales, Production, &amp; Other Assu'!AO$54,'Internmediate sheet'!$A53/3,0)*Capacity</f>
        <v>0</v>
      </c>
      <c r="AP148" s="434">
        <f ca="1">SUM(AD148:AO148)</f>
        <v>0</v>
      </c>
      <c r="AQ148" s="19">
        <f ca="1">OFFSET('Sales, Production, &amp; Other Assu'!AQ$54,'Internmediate sheet'!$A53/3,0)*Capacity</f>
        <v>0</v>
      </c>
      <c r="AR148" s="19">
        <f ca="1">OFFSET('Sales, Production, &amp; Other Assu'!AR$54,'Internmediate sheet'!$A53/3,0)*Capacity</f>
        <v>0</v>
      </c>
      <c r="AS148" s="19">
        <f ca="1">OFFSET('Sales, Production, &amp; Other Assu'!AS$54,'Internmediate sheet'!$A53/3,0)*Capacity</f>
        <v>0</v>
      </c>
      <c r="AT148" s="19">
        <f ca="1">OFFSET('Sales, Production, &amp; Other Assu'!AT$54,'Internmediate sheet'!$A53/3,0)*Capacity</f>
        <v>0</v>
      </c>
      <c r="AU148" s="19">
        <f ca="1">OFFSET('Sales, Production, &amp; Other Assu'!AU$54,'Internmediate sheet'!$A53/3,0)*Capacity</f>
        <v>0</v>
      </c>
      <c r="AV148" s="19">
        <f ca="1">OFFSET('Sales, Production, &amp; Other Assu'!AV$54,'Internmediate sheet'!$A53/3,0)*Capacity</f>
        <v>0</v>
      </c>
      <c r="AW148" s="19">
        <f ca="1">OFFSET('Sales, Production, &amp; Other Assu'!AW$54,'Internmediate sheet'!$A53/3,0)*Capacity</f>
        <v>0</v>
      </c>
      <c r="AX148" s="19">
        <f ca="1">OFFSET('Sales, Production, &amp; Other Assu'!AX$54,'Internmediate sheet'!$A53/3,0)*Capacity</f>
        <v>0</v>
      </c>
      <c r="AY148" s="19">
        <f ca="1">OFFSET('Sales, Production, &amp; Other Assu'!AY$54,'Internmediate sheet'!$A53/3,0)*Capacity</f>
        <v>0</v>
      </c>
      <c r="AZ148" s="19">
        <f ca="1">OFFSET('Sales, Production, &amp; Other Assu'!AZ$54,'Internmediate sheet'!$A53/3,0)*Capacity</f>
        <v>0</v>
      </c>
      <c r="BA148" s="19">
        <f ca="1">OFFSET('Sales, Production, &amp; Other Assu'!BA$54,'Internmediate sheet'!$A53/3,0)*Capacity</f>
        <v>0</v>
      </c>
      <c r="BB148" s="19">
        <f ca="1">OFFSET('Sales, Production, &amp; Other Assu'!BB$54,'Internmediate sheet'!$A53/3,0)*Capacity</f>
        <v>0</v>
      </c>
      <c r="BC148" s="434">
        <f ca="1">SUM(AQ148:BB148)</f>
        <v>0</v>
      </c>
      <c r="BD148" s="19">
        <f ca="1">OFFSET('Sales, Production, &amp; Other Assu'!BD$54,'Internmediate sheet'!$A53/3,0)*Capacity</f>
        <v>0</v>
      </c>
      <c r="BE148" s="19">
        <f ca="1">OFFSET('Sales, Production, &amp; Other Assu'!BE$54,'Internmediate sheet'!$A53/3,0)*Capacity</f>
        <v>0</v>
      </c>
      <c r="BF148" s="19">
        <f ca="1">OFFSET('Sales, Production, &amp; Other Assu'!BF$54,'Internmediate sheet'!$A53/3,0)*Capacity</f>
        <v>0</v>
      </c>
      <c r="BG148" s="19">
        <f ca="1">OFFSET('Sales, Production, &amp; Other Assu'!BG$54,'Internmediate sheet'!$A53/3,0)*Capacity</f>
        <v>0</v>
      </c>
      <c r="BH148" s="19">
        <f ca="1">OFFSET('Sales, Production, &amp; Other Assu'!BH$54,'Internmediate sheet'!$A53/3,0)*Capacity</f>
        <v>0</v>
      </c>
      <c r="BI148" s="19">
        <f ca="1">OFFSET('Sales, Production, &amp; Other Assu'!BI$54,'Internmediate sheet'!$A53/3,0)*Capacity</f>
        <v>0</v>
      </c>
      <c r="BJ148" s="19">
        <f ca="1">OFFSET('Sales, Production, &amp; Other Assu'!BJ$54,'Internmediate sheet'!$A53/3,0)*Capacity</f>
        <v>0</v>
      </c>
      <c r="BK148" s="19">
        <f ca="1">OFFSET('Sales, Production, &amp; Other Assu'!BK$54,'Internmediate sheet'!$A53/3,0)*Capacity</f>
        <v>0</v>
      </c>
      <c r="BL148" s="19">
        <f ca="1">OFFSET('Sales, Production, &amp; Other Assu'!BL$54,'Internmediate sheet'!$A53/3,0)*Capacity</f>
        <v>0</v>
      </c>
      <c r="BM148" s="19">
        <f ca="1">OFFSET('Sales, Production, &amp; Other Assu'!BM$54,'Internmediate sheet'!$A53/3,0)*Capacity</f>
        <v>0</v>
      </c>
      <c r="BN148" s="19">
        <f ca="1">OFFSET('Sales, Production, &amp; Other Assu'!BN$54,'Internmediate sheet'!$A53/3,0)*Capacity</f>
        <v>0</v>
      </c>
      <c r="BO148" s="19">
        <f ca="1">OFFSET('Sales, Production, &amp; Other Assu'!BO$54,'Internmediate sheet'!$A53/3,0)*Capacity</f>
        <v>0</v>
      </c>
      <c r="BP148" s="434">
        <f ca="1">SUM(BD148:BO148)</f>
        <v>0</v>
      </c>
      <c r="BQ148" s="19">
        <f ca="1">OFFSET('Sales, Production, &amp; Other Assu'!BQ$54,'Internmediate sheet'!$A53/3,0)*Capacity</f>
        <v>0</v>
      </c>
      <c r="BR148" s="19">
        <f ca="1">OFFSET('Sales, Production, &amp; Other Assu'!BR$54,'Internmediate sheet'!$A53/3,0)*Capacity</f>
        <v>0</v>
      </c>
      <c r="BS148" s="19">
        <f ca="1">OFFSET('Sales, Production, &amp; Other Assu'!BS$54,'Internmediate sheet'!$A53/3,0)*Capacity</f>
        <v>0</v>
      </c>
      <c r="BT148" s="19">
        <f ca="1">OFFSET('Sales, Production, &amp; Other Assu'!BT$54,'Internmediate sheet'!$A53/3,0)*Capacity</f>
        <v>0</v>
      </c>
      <c r="BU148" s="19">
        <f ca="1">OFFSET('Sales, Production, &amp; Other Assu'!BU$54,'Internmediate sheet'!$A53/3,0)*Capacity</f>
        <v>0</v>
      </c>
      <c r="BV148" s="19">
        <f ca="1">OFFSET('Sales, Production, &amp; Other Assu'!BV$54,'Internmediate sheet'!$A53/3,0)*Capacity</f>
        <v>0</v>
      </c>
      <c r="BW148" s="19">
        <f ca="1">OFFSET('Sales, Production, &amp; Other Assu'!BW$54,'Internmediate sheet'!$A53/3,0)*Capacity</f>
        <v>0</v>
      </c>
      <c r="BX148" s="19">
        <f ca="1">OFFSET('Sales, Production, &amp; Other Assu'!BX$54,'Internmediate sheet'!$A53/3,0)*Capacity</f>
        <v>0</v>
      </c>
      <c r="BY148" s="19">
        <f ca="1">OFFSET('Sales, Production, &amp; Other Assu'!BY$54,'Internmediate sheet'!$A53/3,0)*Capacity</f>
        <v>0</v>
      </c>
      <c r="BZ148" s="19">
        <f ca="1">OFFSET('Sales, Production, &amp; Other Assu'!BZ$54,'Internmediate sheet'!$A53/3,0)*Capacity</f>
        <v>0</v>
      </c>
      <c r="CA148" s="19">
        <f ca="1">OFFSET('Sales, Production, &amp; Other Assu'!CA$54,'Internmediate sheet'!$A53/3,0)*Capacity</f>
        <v>0</v>
      </c>
      <c r="CB148" s="19">
        <f ca="1">OFFSET('Sales, Production, &amp; Other Assu'!CB$54,'Internmediate sheet'!$A53/3,0)*Capacity</f>
        <v>0</v>
      </c>
      <c r="CC148" s="434">
        <f ca="1">SUM(BQ148:CB148)</f>
        <v>0</v>
      </c>
      <c r="CD148" s="19">
        <f ca="1">OFFSET('Sales, Production, &amp; Other Assu'!CD$54,'Internmediate sheet'!$A53/3,0)*Capacity</f>
        <v>0</v>
      </c>
      <c r="CE148" s="19">
        <f ca="1">OFFSET('Sales, Production, &amp; Other Assu'!CE$54,'Internmediate sheet'!$A53/3,0)*Capacity</f>
        <v>0</v>
      </c>
      <c r="CF148" s="19">
        <f ca="1">OFFSET('Sales, Production, &amp; Other Assu'!CF$54,'Internmediate sheet'!$A53/3,0)*Capacity</f>
        <v>0</v>
      </c>
      <c r="CG148" s="19">
        <f ca="1">OFFSET('Sales, Production, &amp; Other Assu'!CG$54,'Internmediate sheet'!$A53/3,0)*Capacity</f>
        <v>0</v>
      </c>
      <c r="CH148" s="19">
        <f ca="1">OFFSET('Sales, Production, &amp; Other Assu'!CH$54,'Internmediate sheet'!$A53/3,0)*Capacity</f>
        <v>0</v>
      </c>
      <c r="CI148" s="19">
        <f ca="1">OFFSET('Sales, Production, &amp; Other Assu'!CI$54,'Internmediate sheet'!$A53/3,0)*Capacity</f>
        <v>0</v>
      </c>
      <c r="CJ148" s="19">
        <f ca="1">OFFSET('Sales, Production, &amp; Other Assu'!CJ$54,'Internmediate sheet'!$A53/3,0)*Capacity</f>
        <v>0</v>
      </c>
      <c r="CK148" s="19">
        <f ca="1">OFFSET('Sales, Production, &amp; Other Assu'!CK$54,'Internmediate sheet'!$A53/3,0)*Capacity</f>
        <v>0</v>
      </c>
      <c r="CL148" s="19">
        <f ca="1">OFFSET('Sales, Production, &amp; Other Assu'!CL$54,'Internmediate sheet'!$A53/3,0)*Capacity</f>
        <v>0</v>
      </c>
      <c r="CM148" s="19">
        <f ca="1">OFFSET('Sales, Production, &amp; Other Assu'!CM$54,'Internmediate sheet'!$A53/3,0)*Capacity</f>
        <v>0</v>
      </c>
      <c r="CN148" s="19">
        <f ca="1">OFFSET('Sales, Production, &amp; Other Assu'!CN$54,'Internmediate sheet'!$A53/3,0)*Capacity</f>
        <v>0</v>
      </c>
      <c r="CO148" s="19">
        <f ca="1">OFFSET('Sales, Production, &amp; Other Assu'!CO$54,'Internmediate sheet'!$A53/3,0)*Capacity</f>
        <v>0</v>
      </c>
      <c r="CP148" s="434">
        <f ca="1">SUM(CD148:CO148)</f>
        <v>0</v>
      </c>
    </row>
    <row r="149" spans="1:94" ht="20.100000000000001" hidden="1" customHeight="1">
      <c r="A149" s="793"/>
      <c r="B149" s="9" t="s">
        <v>614</v>
      </c>
      <c r="C149" s="10">
        <f ca="1">OFFSET('BEP. &amp; Summary Results'!$C$6,'Internmediate sheet'!A50/3,0)</f>
        <v>0</v>
      </c>
      <c r="D149" s="9">
        <f t="shared" ref="D149" ca="1" si="4019">C149</f>
        <v>0</v>
      </c>
      <c r="E149" s="9">
        <f t="shared" ref="E149" ca="1" si="4020">D149</f>
        <v>0</v>
      </c>
      <c r="F149" s="9">
        <f t="shared" ref="F149" ca="1" si="4021">E149</f>
        <v>0</v>
      </c>
      <c r="G149" s="9">
        <f t="shared" ref="G149" ca="1" si="4022">F149</f>
        <v>0</v>
      </c>
      <c r="H149" s="9">
        <f t="shared" ref="H149" ca="1" si="4023">G149</f>
        <v>0</v>
      </c>
      <c r="I149" s="9">
        <f t="shared" ref="I149" ca="1" si="4024">H149</f>
        <v>0</v>
      </c>
      <c r="J149" s="9">
        <f t="shared" ref="J149" ca="1" si="4025">I149</f>
        <v>0</v>
      </c>
      <c r="K149" s="9">
        <f t="shared" ref="K149" ca="1" si="4026">J149</f>
        <v>0</v>
      </c>
      <c r="L149" s="9">
        <f t="shared" ref="L149" ca="1" si="4027">K149</f>
        <v>0</v>
      </c>
      <c r="M149" s="9">
        <f t="shared" ref="M149" ca="1" si="4028">L149</f>
        <v>0</v>
      </c>
      <c r="N149" s="9">
        <f t="shared" ref="N149" ca="1" si="4029">M149</f>
        <v>0</v>
      </c>
      <c r="O149" s="9">
        <f t="shared" ref="O149" ca="1" si="4030">N149</f>
        <v>0</v>
      </c>
      <c r="P149" s="435">
        <f t="shared" ref="P149" ca="1" si="4031">O149</f>
        <v>0</v>
      </c>
      <c r="Q149" s="9">
        <f t="shared" ref="Q149" ca="1" si="4032">P149</f>
        <v>0</v>
      </c>
      <c r="R149" s="9">
        <f t="shared" ref="R149" ca="1" si="4033">Q149</f>
        <v>0</v>
      </c>
      <c r="S149" s="9">
        <f t="shared" ref="S149" ca="1" si="4034">R149</f>
        <v>0</v>
      </c>
      <c r="T149" s="9">
        <f t="shared" ref="T149" ca="1" si="4035">S149</f>
        <v>0</v>
      </c>
      <c r="U149" s="9">
        <f t="shared" ref="U149" ca="1" si="4036">T149</f>
        <v>0</v>
      </c>
      <c r="V149" s="9">
        <f t="shared" ref="V149" ca="1" si="4037">U149</f>
        <v>0</v>
      </c>
      <c r="W149" s="9">
        <f t="shared" ref="W149" ca="1" si="4038">V149</f>
        <v>0</v>
      </c>
      <c r="X149" s="9">
        <f t="shared" ref="X149" ca="1" si="4039">W149</f>
        <v>0</v>
      </c>
      <c r="Y149" s="9">
        <f t="shared" ref="Y149" ca="1" si="4040">X149</f>
        <v>0</v>
      </c>
      <c r="Z149" s="9">
        <f t="shared" ref="Z149" ca="1" si="4041">Y149</f>
        <v>0</v>
      </c>
      <c r="AA149" s="9">
        <f t="shared" ref="AA149" ca="1" si="4042">Z149</f>
        <v>0</v>
      </c>
      <c r="AB149" s="9">
        <f t="shared" ref="AB149" ca="1" si="4043">AA149</f>
        <v>0</v>
      </c>
      <c r="AC149" s="435">
        <f t="shared" ref="AC149" ca="1" si="4044">AB149</f>
        <v>0</v>
      </c>
      <c r="AD149" s="9">
        <f t="shared" ref="AD149" ca="1" si="4045">AC149</f>
        <v>0</v>
      </c>
      <c r="AE149" s="9">
        <f t="shared" ref="AE149" ca="1" si="4046">AD149</f>
        <v>0</v>
      </c>
      <c r="AF149" s="9">
        <f t="shared" ref="AF149" ca="1" si="4047">AE149</f>
        <v>0</v>
      </c>
      <c r="AG149" s="9">
        <f t="shared" ref="AG149" ca="1" si="4048">AF149</f>
        <v>0</v>
      </c>
      <c r="AH149" s="9">
        <f t="shared" ref="AH149" ca="1" si="4049">AG149</f>
        <v>0</v>
      </c>
      <c r="AI149" s="9">
        <f t="shared" ref="AI149" ca="1" si="4050">AH149</f>
        <v>0</v>
      </c>
      <c r="AJ149" s="9">
        <f t="shared" ref="AJ149" ca="1" si="4051">AI149</f>
        <v>0</v>
      </c>
      <c r="AK149" s="9">
        <f t="shared" ref="AK149" ca="1" si="4052">AJ149</f>
        <v>0</v>
      </c>
      <c r="AL149" s="9">
        <f t="shared" ref="AL149" ca="1" si="4053">AK149</f>
        <v>0</v>
      </c>
      <c r="AM149" s="9">
        <f t="shared" ref="AM149" ca="1" si="4054">AL149</f>
        <v>0</v>
      </c>
      <c r="AN149" s="9">
        <f t="shared" ref="AN149" ca="1" si="4055">AM149</f>
        <v>0</v>
      </c>
      <c r="AO149" s="9">
        <f t="shared" ref="AO149" ca="1" si="4056">AN149</f>
        <v>0</v>
      </c>
      <c r="AP149" s="435">
        <f t="shared" ref="AP149" ca="1" si="4057">AO149</f>
        <v>0</v>
      </c>
      <c r="AQ149" s="9">
        <f ca="1">AP149</f>
        <v>0</v>
      </c>
      <c r="AR149" s="9">
        <f t="shared" ref="AR149" ca="1" si="4058">AQ149</f>
        <v>0</v>
      </c>
      <c r="AS149" s="9">
        <f t="shared" ref="AS149" ca="1" si="4059">AR149</f>
        <v>0</v>
      </c>
      <c r="AT149" s="9">
        <f t="shared" ref="AT149" ca="1" si="4060">AS149</f>
        <v>0</v>
      </c>
      <c r="AU149" s="9">
        <f t="shared" ref="AU149" ca="1" si="4061">AT149</f>
        <v>0</v>
      </c>
      <c r="AV149" s="9">
        <f t="shared" ref="AV149" ca="1" si="4062">AU149</f>
        <v>0</v>
      </c>
      <c r="AW149" s="9">
        <f t="shared" ref="AW149" ca="1" si="4063">AV149</f>
        <v>0</v>
      </c>
      <c r="AX149" s="9">
        <f t="shared" ref="AX149" ca="1" si="4064">AW149</f>
        <v>0</v>
      </c>
      <c r="AY149" s="9">
        <f t="shared" ref="AY149" ca="1" si="4065">AX149</f>
        <v>0</v>
      </c>
      <c r="AZ149" s="9">
        <f t="shared" ref="AZ149" ca="1" si="4066">AY149</f>
        <v>0</v>
      </c>
      <c r="BA149" s="9">
        <f t="shared" ref="BA149" ca="1" si="4067">AZ149</f>
        <v>0</v>
      </c>
      <c r="BB149" s="9">
        <f t="shared" ref="BB149" ca="1" si="4068">BA149</f>
        <v>0</v>
      </c>
      <c r="BC149" s="435">
        <f t="shared" ref="BC149" ca="1" si="4069">BB149</f>
        <v>0</v>
      </c>
      <c r="BD149" s="9">
        <f t="shared" ref="BD149" ca="1" si="4070">BC149</f>
        <v>0</v>
      </c>
      <c r="BE149" s="9">
        <f t="shared" ref="BE149" ca="1" si="4071">BD149</f>
        <v>0</v>
      </c>
      <c r="BF149" s="9">
        <f t="shared" ref="BF149" ca="1" si="4072">BE149</f>
        <v>0</v>
      </c>
      <c r="BG149" s="9">
        <f t="shared" ref="BG149" ca="1" si="4073">BF149</f>
        <v>0</v>
      </c>
      <c r="BH149" s="9">
        <f t="shared" ref="BH149" ca="1" si="4074">BG149</f>
        <v>0</v>
      </c>
      <c r="BI149" s="9">
        <f t="shared" ref="BI149" ca="1" si="4075">BH149</f>
        <v>0</v>
      </c>
      <c r="BJ149" s="9">
        <f t="shared" ref="BJ149" ca="1" si="4076">BI149</f>
        <v>0</v>
      </c>
      <c r="BK149" s="9">
        <f t="shared" ref="BK149" ca="1" si="4077">BJ149</f>
        <v>0</v>
      </c>
      <c r="BL149" s="9">
        <f t="shared" ref="BL149" ca="1" si="4078">BK149</f>
        <v>0</v>
      </c>
      <c r="BM149" s="9">
        <f t="shared" ref="BM149" ca="1" si="4079">BL149</f>
        <v>0</v>
      </c>
      <c r="BN149" s="9">
        <f t="shared" ref="BN149" ca="1" si="4080">BM149</f>
        <v>0</v>
      </c>
      <c r="BO149" s="9">
        <f t="shared" ref="BO149" ca="1" si="4081">BN149</f>
        <v>0</v>
      </c>
      <c r="BP149" s="435">
        <f t="shared" ref="BP149" ca="1" si="4082">BO149</f>
        <v>0</v>
      </c>
      <c r="BQ149" s="9">
        <f t="shared" ref="BQ149" ca="1" si="4083">BP149</f>
        <v>0</v>
      </c>
      <c r="BR149" s="9">
        <f t="shared" ref="BR149" ca="1" si="4084">BQ149</f>
        <v>0</v>
      </c>
      <c r="BS149" s="9">
        <f t="shared" ref="BS149" ca="1" si="4085">BR149</f>
        <v>0</v>
      </c>
      <c r="BT149" s="9">
        <f t="shared" ref="BT149" ca="1" si="4086">BS149</f>
        <v>0</v>
      </c>
      <c r="BU149" s="9">
        <f t="shared" ref="BU149" ca="1" si="4087">BT149</f>
        <v>0</v>
      </c>
      <c r="BV149" s="9">
        <f t="shared" ref="BV149" ca="1" si="4088">BU149</f>
        <v>0</v>
      </c>
      <c r="BW149" s="9">
        <f t="shared" ref="BW149" ca="1" si="4089">BV149</f>
        <v>0</v>
      </c>
      <c r="BX149" s="9">
        <f t="shared" ref="BX149" ca="1" si="4090">BW149</f>
        <v>0</v>
      </c>
      <c r="BY149" s="9">
        <f t="shared" ref="BY149" ca="1" si="4091">BX149</f>
        <v>0</v>
      </c>
      <c r="BZ149" s="9">
        <f t="shared" ref="BZ149" ca="1" si="4092">BY149</f>
        <v>0</v>
      </c>
      <c r="CA149" s="9">
        <f t="shared" ref="CA149" ca="1" si="4093">BZ149</f>
        <v>0</v>
      </c>
      <c r="CB149" s="9">
        <f t="shared" ref="CB149" ca="1" si="4094">CA149</f>
        <v>0</v>
      </c>
      <c r="CC149" s="435">
        <f t="shared" ref="CC149" ca="1" si="4095">CB149</f>
        <v>0</v>
      </c>
      <c r="CD149" s="9">
        <f t="shared" ref="CD149" ca="1" si="4096">CC149</f>
        <v>0</v>
      </c>
      <c r="CE149" s="9">
        <f t="shared" ref="CE149" ca="1" si="4097">CD149</f>
        <v>0</v>
      </c>
      <c r="CF149" s="9">
        <f t="shared" ref="CF149" ca="1" si="4098">CE149</f>
        <v>0</v>
      </c>
      <c r="CG149" s="9">
        <f t="shared" ref="CG149" ca="1" si="4099">CF149</f>
        <v>0</v>
      </c>
      <c r="CH149" s="9">
        <f t="shared" ref="CH149" ca="1" si="4100">CG149</f>
        <v>0</v>
      </c>
      <c r="CI149" s="9">
        <f t="shared" ref="CI149" ca="1" si="4101">CH149</f>
        <v>0</v>
      </c>
      <c r="CJ149" s="9">
        <f t="shared" ref="CJ149" ca="1" si="4102">CI149</f>
        <v>0</v>
      </c>
      <c r="CK149" s="9">
        <f t="shared" ref="CK149" ca="1" si="4103">CJ149</f>
        <v>0</v>
      </c>
      <c r="CL149" s="9">
        <f t="shared" ref="CL149" ca="1" si="4104">CK149</f>
        <v>0</v>
      </c>
      <c r="CM149" s="9">
        <f t="shared" ref="CM149" ca="1" si="4105">CL149</f>
        <v>0</v>
      </c>
      <c r="CN149" s="9">
        <f t="shared" ref="CN149" ca="1" si="4106">CM149</f>
        <v>0</v>
      </c>
      <c r="CO149" s="9">
        <f t="shared" ref="CO149" ca="1" si="4107">CN149</f>
        <v>0</v>
      </c>
      <c r="CP149" s="435">
        <f t="shared" ref="CP149" ca="1" si="4108">CO149</f>
        <v>0</v>
      </c>
    </row>
    <row r="150" spans="1:94" ht="20.100000000000001" hidden="1" customHeight="1">
      <c r="A150" s="794"/>
      <c r="B150" s="255" t="s">
        <v>615</v>
      </c>
      <c r="C150" s="256">
        <f t="shared" ref="C150:O150" ca="1" si="4109">C148*C149</f>
        <v>0</v>
      </c>
      <c r="D150" s="255">
        <f t="shared" ca="1" si="4109"/>
        <v>0</v>
      </c>
      <c r="E150" s="255">
        <f t="shared" ca="1" si="4109"/>
        <v>0</v>
      </c>
      <c r="F150" s="255">
        <f t="shared" ca="1" si="4109"/>
        <v>0</v>
      </c>
      <c r="G150" s="255">
        <f t="shared" ca="1" si="4109"/>
        <v>0</v>
      </c>
      <c r="H150" s="255">
        <f t="shared" ca="1" si="4109"/>
        <v>0</v>
      </c>
      <c r="I150" s="255">
        <f t="shared" ca="1" si="4109"/>
        <v>0</v>
      </c>
      <c r="J150" s="255">
        <f t="shared" ca="1" si="4109"/>
        <v>0</v>
      </c>
      <c r="K150" s="255">
        <f t="shared" ca="1" si="4109"/>
        <v>0</v>
      </c>
      <c r="L150" s="255">
        <f t="shared" ca="1" si="4109"/>
        <v>0</v>
      </c>
      <c r="M150" s="255">
        <f t="shared" ca="1" si="4109"/>
        <v>0</v>
      </c>
      <c r="N150" s="255">
        <f t="shared" ca="1" si="4109"/>
        <v>0</v>
      </c>
      <c r="O150" s="255">
        <f t="shared" ca="1" si="4109"/>
        <v>0</v>
      </c>
      <c r="P150" s="434">
        <f ca="1">SUM(D150:O150)</f>
        <v>0</v>
      </c>
      <c r="Q150" s="255">
        <f t="shared" ref="Q150:AB150" ca="1" si="4110">Q148*Q149</f>
        <v>0</v>
      </c>
      <c r="R150" s="255">
        <f t="shared" ca="1" si="4110"/>
        <v>0</v>
      </c>
      <c r="S150" s="255">
        <f t="shared" ca="1" si="4110"/>
        <v>0</v>
      </c>
      <c r="T150" s="255">
        <f t="shared" ca="1" si="4110"/>
        <v>0</v>
      </c>
      <c r="U150" s="255">
        <f t="shared" ca="1" si="4110"/>
        <v>0</v>
      </c>
      <c r="V150" s="255">
        <f t="shared" ca="1" si="4110"/>
        <v>0</v>
      </c>
      <c r="W150" s="255">
        <f t="shared" ca="1" si="4110"/>
        <v>0</v>
      </c>
      <c r="X150" s="255">
        <f t="shared" ca="1" si="4110"/>
        <v>0</v>
      </c>
      <c r="Y150" s="255">
        <f t="shared" ca="1" si="4110"/>
        <v>0</v>
      </c>
      <c r="Z150" s="255">
        <f t="shared" ca="1" si="4110"/>
        <v>0</v>
      </c>
      <c r="AA150" s="255">
        <f t="shared" ca="1" si="4110"/>
        <v>0</v>
      </c>
      <c r="AB150" s="255">
        <f t="shared" ca="1" si="4110"/>
        <v>0</v>
      </c>
      <c r="AC150" s="434">
        <f ca="1">SUM(Q150:AB150)</f>
        <v>0</v>
      </c>
      <c r="AD150" s="255">
        <f t="shared" ref="AD150:AO150" ca="1" si="4111">AD148*AD149</f>
        <v>0</v>
      </c>
      <c r="AE150" s="255">
        <f t="shared" ca="1" si="4111"/>
        <v>0</v>
      </c>
      <c r="AF150" s="255">
        <f t="shared" ca="1" si="4111"/>
        <v>0</v>
      </c>
      <c r="AG150" s="255">
        <f t="shared" ca="1" si="4111"/>
        <v>0</v>
      </c>
      <c r="AH150" s="255">
        <f t="shared" ca="1" si="4111"/>
        <v>0</v>
      </c>
      <c r="AI150" s="255">
        <f t="shared" ca="1" si="4111"/>
        <v>0</v>
      </c>
      <c r="AJ150" s="255">
        <f t="shared" ca="1" si="4111"/>
        <v>0</v>
      </c>
      <c r="AK150" s="255">
        <f t="shared" ca="1" si="4111"/>
        <v>0</v>
      </c>
      <c r="AL150" s="255">
        <f t="shared" ca="1" si="4111"/>
        <v>0</v>
      </c>
      <c r="AM150" s="255">
        <f t="shared" ca="1" si="4111"/>
        <v>0</v>
      </c>
      <c r="AN150" s="255">
        <f t="shared" ca="1" si="4111"/>
        <v>0</v>
      </c>
      <c r="AO150" s="255">
        <f t="shared" ca="1" si="4111"/>
        <v>0</v>
      </c>
      <c r="AP150" s="434">
        <f ca="1">SUM(AD150:AO150)</f>
        <v>0</v>
      </c>
      <c r="AQ150" s="255">
        <f t="shared" ref="AQ150:BB150" ca="1" si="4112">AQ148*AQ149</f>
        <v>0</v>
      </c>
      <c r="AR150" s="255">
        <f t="shared" ca="1" si="4112"/>
        <v>0</v>
      </c>
      <c r="AS150" s="255">
        <f t="shared" ca="1" si="4112"/>
        <v>0</v>
      </c>
      <c r="AT150" s="255">
        <f t="shared" ca="1" si="4112"/>
        <v>0</v>
      </c>
      <c r="AU150" s="255">
        <f t="shared" ca="1" si="4112"/>
        <v>0</v>
      </c>
      <c r="AV150" s="255">
        <f t="shared" ca="1" si="4112"/>
        <v>0</v>
      </c>
      <c r="AW150" s="255">
        <f t="shared" ca="1" si="4112"/>
        <v>0</v>
      </c>
      <c r="AX150" s="255">
        <f t="shared" ca="1" si="4112"/>
        <v>0</v>
      </c>
      <c r="AY150" s="255">
        <f t="shared" ca="1" si="4112"/>
        <v>0</v>
      </c>
      <c r="AZ150" s="255">
        <f t="shared" ca="1" si="4112"/>
        <v>0</v>
      </c>
      <c r="BA150" s="255">
        <f t="shared" ca="1" si="4112"/>
        <v>0</v>
      </c>
      <c r="BB150" s="255">
        <f t="shared" ca="1" si="4112"/>
        <v>0</v>
      </c>
      <c r="BC150" s="434">
        <f ca="1">SUM(AQ150:BB150)</f>
        <v>0</v>
      </c>
      <c r="BD150" s="255">
        <f t="shared" ref="BD150:BO150" ca="1" si="4113">BD148*BD149</f>
        <v>0</v>
      </c>
      <c r="BE150" s="255">
        <f t="shared" ca="1" si="4113"/>
        <v>0</v>
      </c>
      <c r="BF150" s="255">
        <f t="shared" ca="1" si="4113"/>
        <v>0</v>
      </c>
      <c r="BG150" s="255">
        <f t="shared" ca="1" si="4113"/>
        <v>0</v>
      </c>
      <c r="BH150" s="255">
        <f t="shared" ca="1" si="4113"/>
        <v>0</v>
      </c>
      <c r="BI150" s="255">
        <f t="shared" ca="1" si="4113"/>
        <v>0</v>
      </c>
      <c r="BJ150" s="255">
        <f t="shared" ca="1" si="4113"/>
        <v>0</v>
      </c>
      <c r="BK150" s="255">
        <f t="shared" ca="1" si="4113"/>
        <v>0</v>
      </c>
      <c r="BL150" s="255">
        <f t="shared" ca="1" si="4113"/>
        <v>0</v>
      </c>
      <c r="BM150" s="255">
        <f t="shared" ca="1" si="4113"/>
        <v>0</v>
      </c>
      <c r="BN150" s="255">
        <f t="shared" ca="1" si="4113"/>
        <v>0</v>
      </c>
      <c r="BO150" s="255">
        <f t="shared" ca="1" si="4113"/>
        <v>0</v>
      </c>
      <c r="BP150" s="434">
        <f ca="1">SUM(BD150:BO150)</f>
        <v>0</v>
      </c>
      <c r="BQ150" s="255">
        <f t="shared" ref="BQ150:CB150" ca="1" si="4114">BQ148*BQ149</f>
        <v>0</v>
      </c>
      <c r="BR150" s="255">
        <f t="shared" ca="1" si="4114"/>
        <v>0</v>
      </c>
      <c r="BS150" s="255">
        <f t="shared" ca="1" si="4114"/>
        <v>0</v>
      </c>
      <c r="BT150" s="255">
        <f t="shared" ca="1" si="4114"/>
        <v>0</v>
      </c>
      <c r="BU150" s="255">
        <f t="shared" ca="1" si="4114"/>
        <v>0</v>
      </c>
      <c r="BV150" s="255">
        <f t="shared" ca="1" si="4114"/>
        <v>0</v>
      </c>
      <c r="BW150" s="255">
        <f t="shared" ca="1" si="4114"/>
        <v>0</v>
      </c>
      <c r="BX150" s="255">
        <f t="shared" ca="1" si="4114"/>
        <v>0</v>
      </c>
      <c r="BY150" s="255">
        <f t="shared" ca="1" si="4114"/>
        <v>0</v>
      </c>
      <c r="BZ150" s="255">
        <f t="shared" ca="1" si="4114"/>
        <v>0</v>
      </c>
      <c r="CA150" s="255">
        <f t="shared" ca="1" si="4114"/>
        <v>0</v>
      </c>
      <c r="CB150" s="255">
        <f t="shared" ca="1" si="4114"/>
        <v>0</v>
      </c>
      <c r="CC150" s="434">
        <f ca="1">SUM(BQ150:CB150)</f>
        <v>0</v>
      </c>
      <c r="CD150" s="255">
        <f t="shared" ref="CD150:CO150" ca="1" si="4115">CD148*CD149</f>
        <v>0</v>
      </c>
      <c r="CE150" s="255">
        <f t="shared" ca="1" si="4115"/>
        <v>0</v>
      </c>
      <c r="CF150" s="255">
        <f t="shared" ca="1" si="4115"/>
        <v>0</v>
      </c>
      <c r="CG150" s="255">
        <f t="shared" ca="1" si="4115"/>
        <v>0</v>
      </c>
      <c r="CH150" s="255">
        <f t="shared" ca="1" si="4115"/>
        <v>0</v>
      </c>
      <c r="CI150" s="255">
        <f t="shared" ca="1" si="4115"/>
        <v>0</v>
      </c>
      <c r="CJ150" s="255">
        <f t="shared" ca="1" si="4115"/>
        <v>0</v>
      </c>
      <c r="CK150" s="255">
        <f t="shared" ca="1" si="4115"/>
        <v>0</v>
      </c>
      <c r="CL150" s="255">
        <f t="shared" ca="1" si="4115"/>
        <v>0</v>
      </c>
      <c r="CM150" s="255">
        <f t="shared" ca="1" si="4115"/>
        <v>0</v>
      </c>
      <c r="CN150" s="255">
        <f t="shared" ca="1" si="4115"/>
        <v>0</v>
      </c>
      <c r="CO150" s="255">
        <f t="shared" ca="1" si="4115"/>
        <v>0</v>
      </c>
      <c r="CP150" s="434">
        <f ca="1">SUM(CD150:CO150)</f>
        <v>0</v>
      </c>
    </row>
    <row r="151" spans="1:94" ht="20.100000000000001" hidden="1" customHeight="1">
      <c r="A151" s="792">
        <f ca="1">OFFSET('Summary. Assumptions. Inputs'!$A$45,'Internmediate sheet'!A56/3,0)</f>
        <v>0</v>
      </c>
      <c r="B151" s="19" t="s">
        <v>613</v>
      </c>
      <c r="C151" s="20">
        <f ca="1">OFFSET('Sales, Production, &amp; Other Assu'!C$54,'Internmediate sheet'!$A56/3,0)*Capacity</f>
        <v>0</v>
      </c>
      <c r="D151" s="19">
        <f ca="1">OFFSET('Sales, Production, &amp; Other Assu'!D$54,'Internmediate sheet'!$A56/3,0)*Capacity</f>
        <v>0</v>
      </c>
      <c r="E151" s="19">
        <f ca="1">OFFSET('Sales, Production, &amp; Other Assu'!E$54,'Internmediate sheet'!$A56/3,0)*Capacity</f>
        <v>0</v>
      </c>
      <c r="F151" s="19">
        <f ca="1">OFFSET('Sales, Production, &amp; Other Assu'!F$54,'Internmediate sheet'!$A56/3,0)*Capacity</f>
        <v>0</v>
      </c>
      <c r="G151" s="19">
        <f ca="1">OFFSET('Sales, Production, &amp; Other Assu'!G$54,'Internmediate sheet'!$A56/3,0)*Capacity</f>
        <v>0</v>
      </c>
      <c r="H151" s="19">
        <f ca="1">OFFSET('Sales, Production, &amp; Other Assu'!H$54,'Internmediate sheet'!$A56/3,0)*Capacity</f>
        <v>0</v>
      </c>
      <c r="I151" s="19">
        <f ca="1">OFFSET('Sales, Production, &amp; Other Assu'!I$54,'Internmediate sheet'!$A56/3,0)*Capacity</f>
        <v>0</v>
      </c>
      <c r="J151" s="19">
        <f ca="1">OFFSET('Sales, Production, &amp; Other Assu'!J$54,'Internmediate sheet'!$A56/3,0)*Capacity</f>
        <v>0</v>
      </c>
      <c r="K151" s="19">
        <f ca="1">OFFSET('Sales, Production, &amp; Other Assu'!K$54,'Internmediate sheet'!$A56/3,0)*Capacity</f>
        <v>0</v>
      </c>
      <c r="L151" s="19">
        <f ca="1">OFFSET('Sales, Production, &amp; Other Assu'!L$54,'Internmediate sheet'!$A56/3,0)*Capacity</f>
        <v>0</v>
      </c>
      <c r="M151" s="19">
        <f ca="1">OFFSET('Sales, Production, &amp; Other Assu'!M$54,'Internmediate sheet'!$A56/3,0)*Capacity</f>
        <v>0</v>
      </c>
      <c r="N151" s="19">
        <f ca="1">OFFSET('Sales, Production, &amp; Other Assu'!N$54,'Internmediate sheet'!$A56/3,0)*Capacity</f>
        <v>0</v>
      </c>
      <c r="O151" s="19">
        <f ca="1">OFFSET('Sales, Production, &amp; Other Assu'!O$54,'Internmediate sheet'!$A56/3,0)*Capacity</f>
        <v>0</v>
      </c>
      <c r="P151" s="434">
        <f ca="1">SUM(D151:O151)</f>
        <v>0</v>
      </c>
      <c r="Q151" s="19">
        <f ca="1">OFFSET('Sales, Production, &amp; Other Assu'!Q$54,'Internmediate sheet'!$A56/3,0)*Capacity</f>
        <v>0</v>
      </c>
      <c r="R151" s="19">
        <f ca="1">OFFSET('Sales, Production, &amp; Other Assu'!R$54,'Internmediate sheet'!$A56/3,0)*Capacity</f>
        <v>0</v>
      </c>
      <c r="S151" s="19">
        <f ca="1">OFFSET('Sales, Production, &amp; Other Assu'!S$54,'Internmediate sheet'!$A56/3,0)*Capacity</f>
        <v>0</v>
      </c>
      <c r="T151" s="19">
        <f ca="1">OFFSET('Sales, Production, &amp; Other Assu'!T$54,'Internmediate sheet'!$A56/3,0)*Capacity</f>
        <v>0</v>
      </c>
      <c r="U151" s="19">
        <f ca="1">OFFSET('Sales, Production, &amp; Other Assu'!U$54,'Internmediate sheet'!$A56/3,0)*Capacity</f>
        <v>0</v>
      </c>
      <c r="V151" s="19">
        <f ca="1">OFFSET('Sales, Production, &amp; Other Assu'!V$54,'Internmediate sheet'!$A56/3,0)*Capacity</f>
        <v>0</v>
      </c>
      <c r="W151" s="19">
        <f ca="1">OFFSET('Sales, Production, &amp; Other Assu'!W$54,'Internmediate sheet'!$A56/3,0)*Capacity</f>
        <v>0</v>
      </c>
      <c r="X151" s="19">
        <f ca="1">OFFSET('Sales, Production, &amp; Other Assu'!X$54,'Internmediate sheet'!$A56/3,0)*Capacity</f>
        <v>0</v>
      </c>
      <c r="Y151" s="19">
        <f ca="1">OFFSET('Sales, Production, &amp; Other Assu'!Y$54,'Internmediate sheet'!$A56/3,0)*Capacity</f>
        <v>0</v>
      </c>
      <c r="Z151" s="19">
        <f ca="1">OFFSET('Sales, Production, &amp; Other Assu'!Z$54,'Internmediate sheet'!$A56/3,0)*Capacity</f>
        <v>0</v>
      </c>
      <c r="AA151" s="19">
        <f ca="1">OFFSET('Sales, Production, &amp; Other Assu'!AA$54,'Internmediate sheet'!$A56/3,0)*Capacity</f>
        <v>0</v>
      </c>
      <c r="AB151" s="19">
        <f ca="1">OFFSET('Sales, Production, &amp; Other Assu'!AB$54,'Internmediate sheet'!$A56/3,0)*Capacity</f>
        <v>0</v>
      </c>
      <c r="AC151" s="434">
        <f ca="1">SUM(Q151:AB151)</f>
        <v>0</v>
      </c>
      <c r="AD151" s="19">
        <f ca="1">OFFSET('Sales, Production, &amp; Other Assu'!AD$54,'Internmediate sheet'!$A56/3,0)*Capacity</f>
        <v>0</v>
      </c>
      <c r="AE151" s="19">
        <f ca="1">OFFSET('Sales, Production, &amp; Other Assu'!AE$54,'Internmediate sheet'!$A56/3,0)*Capacity</f>
        <v>0</v>
      </c>
      <c r="AF151" s="19">
        <f ca="1">OFFSET('Sales, Production, &amp; Other Assu'!AF$54,'Internmediate sheet'!$A56/3,0)*Capacity</f>
        <v>0</v>
      </c>
      <c r="AG151" s="19">
        <f ca="1">OFFSET('Sales, Production, &amp; Other Assu'!AG$54,'Internmediate sheet'!$A56/3,0)*Capacity</f>
        <v>0</v>
      </c>
      <c r="AH151" s="19">
        <f ca="1">OFFSET('Sales, Production, &amp; Other Assu'!AH$54,'Internmediate sheet'!$A56/3,0)*Capacity</f>
        <v>0</v>
      </c>
      <c r="AI151" s="19">
        <f ca="1">OFFSET('Sales, Production, &amp; Other Assu'!AI$54,'Internmediate sheet'!$A56/3,0)*Capacity</f>
        <v>0</v>
      </c>
      <c r="AJ151" s="19">
        <f ca="1">OFFSET('Sales, Production, &amp; Other Assu'!AJ$54,'Internmediate sheet'!$A56/3,0)*Capacity</f>
        <v>0</v>
      </c>
      <c r="AK151" s="19">
        <f ca="1">OFFSET('Sales, Production, &amp; Other Assu'!AK$54,'Internmediate sheet'!$A56/3,0)*Capacity</f>
        <v>0</v>
      </c>
      <c r="AL151" s="19">
        <f ca="1">OFFSET('Sales, Production, &amp; Other Assu'!AL$54,'Internmediate sheet'!$A56/3,0)*Capacity</f>
        <v>0</v>
      </c>
      <c r="AM151" s="19">
        <f ca="1">OFFSET('Sales, Production, &amp; Other Assu'!AM$54,'Internmediate sheet'!$A56/3,0)*Capacity</f>
        <v>0</v>
      </c>
      <c r="AN151" s="19">
        <f ca="1">OFFSET('Sales, Production, &amp; Other Assu'!AN$54,'Internmediate sheet'!$A56/3,0)*Capacity</f>
        <v>0</v>
      </c>
      <c r="AO151" s="19">
        <f ca="1">OFFSET('Sales, Production, &amp; Other Assu'!AO$54,'Internmediate sheet'!$A56/3,0)*Capacity</f>
        <v>0</v>
      </c>
      <c r="AP151" s="434">
        <f ca="1">SUM(AD151:AO151)</f>
        <v>0</v>
      </c>
      <c r="AQ151" s="19">
        <f ca="1">OFFSET('Sales, Production, &amp; Other Assu'!AQ$54,'Internmediate sheet'!$A56/3,0)*Capacity</f>
        <v>0</v>
      </c>
      <c r="AR151" s="19">
        <f ca="1">OFFSET('Sales, Production, &amp; Other Assu'!AR$54,'Internmediate sheet'!$A56/3,0)*Capacity</f>
        <v>0</v>
      </c>
      <c r="AS151" s="19">
        <f ca="1">OFFSET('Sales, Production, &amp; Other Assu'!AS$54,'Internmediate sheet'!$A56/3,0)*Capacity</f>
        <v>0</v>
      </c>
      <c r="AT151" s="19">
        <f ca="1">OFFSET('Sales, Production, &amp; Other Assu'!AT$54,'Internmediate sheet'!$A56/3,0)*Capacity</f>
        <v>0</v>
      </c>
      <c r="AU151" s="19">
        <f ca="1">OFFSET('Sales, Production, &amp; Other Assu'!AU$54,'Internmediate sheet'!$A56/3,0)*Capacity</f>
        <v>0</v>
      </c>
      <c r="AV151" s="19">
        <f ca="1">OFFSET('Sales, Production, &amp; Other Assu'!AV$54,'Internmediate sheet'!$A56/3,0)*Capacity</f>
        <v>0</v>
      </c>
      <c r="AW151" s="19">
        <f ca="1">OFFSET('Sales, Production, &amp; Other Assu'!AW$54,'Internmediate sheet'!$A56/3,0)*Capacity</f>
        <v>0</v>
      </c>
      <c r="AX151" s="19">
        <f ca="1">OFFSET('Sales, Production, &amp; Other Assu'!AX$54,'Internmediate sheet'!$A56/3,0)*Capacity</f>
        <v>0</v>
      </c>
      <c r="AY151" s="19">
        <f ca="1">OFFSET('Sales, Production, &amp; Other Assu'!AY$54,'Internmediate sheet'!$A56/3,0)*Capacity</f>
        <v>0</v>
      </c>
      <c r="AZ151" s="19">
        <f ca="1">OFFSET('Sales, Production, &amp; Other Assu'!AZ$54,'Internmediate sheet'!$A56/3,0)*Capacity</f>
        <v>0</v>
      </c>
      <c r="BA151" s="19">
        <f ca="1">OFFSET('Sales, Production, &amp; Other Assu'!BA$54,'Internmediate sheet'!$A56/3,0)*Capacity</f>
        <v>0</v>
      </c>
      <c r="BB151" s="19">
        <f ca="1">OFFSET('Sales, Production, &amp; Other Assu'!BB$54,'Internmediate sheet'!$A56/3,0)*Capacity</f>
        <v>0</v>
      </c>
      <c r="BC151" s="434">
        <f ca="1">SUM(AQ151:BB151)</f>
        <v>0</v>
      </c>
      <c r="BD151" s="19">
        <f ca="1">OFFSET('Sales, Production, &amp; Other Assu'!BD$54,'Internmediate sheet'!$A56/3,0)*Capacity</f>
        <v>0</v>
      </c>
      <c r="BE151" s="19">
        <f ca="1">OFFSET('Sales, Production, &amp; Other Assu'!BE$54,'Internmediate sheet'!$A56/3,0)*Capacity</f>
        <v>0</v>
      </c>
      <c r="BF151" s="19">
        <f ca="1">OFFSET('Sales, Production, &amp; Other Assu'!BF$54,'Internmediate sheet'!$A56/3,0)*Capacity</f>
        <v>0</v>
      </c>
      <c r="BG151" s="19">
        <f ca="1">OFFSET('Sales, Production, &amp; Other Assu'!BG$54,'Internmediate sheet'!$A56/3,0)*Capacity</f>
        <v>0</v>
      </c>
      <c r="BH151" s="19">
        <f ca="1">OFFSET('Sales, Production, &amp; Other Assu'!BH$54,'Internmediate sheet'!$A56/3,0)*Capacity</f>
        <v>0</v>
      </c>
      <c r="BI151" s="19">
        <f ca="1">OFFSET('Sales, Production, &amp; Other Assu'!BI$54,'Internmediate sheet'!$A56/3,0)*Capacity</f>
        <v>0</v>
      </c>
      <c r="BJ151" s="19">
        <f ca="1">OFFSET('Sales, Production, &amp; Other Assu'!BJ$54,'Internmediate sheet'!$A56/3,0)*Capacity</f>
        <v>0</v>
      </c>
      <c r="BK151" s="19">
        <f ca="1">OFFSET('Sales, Production, &amp; Other Assu'!BK$54,'Internmediate sheet'!$A56/3,0)*Capacity</f>
        <v>0</v>
      </c>
      <c r="BL151" s="19">
        <f ca="1">OFFSET('Sales, Production, &amp; Other Assu'!BL$54,'Internmediate sheet'!$A56/3,0)*Capacity</f>
        <v>0</v>
      </c>
      <c r="BM151" s="19">
        <f ca="1">OFFSET('Sales, Production, &amp; Other Assu'!BM$54,'Internmediate sheet'!$A56/3,0)*Capacity</f>
        <v>0</v>
      </c>
      <c r="BN151" s="19">
        <f ca="1">OFFSET('Sales, Production, &amp; Other Assu'!BN$54,'Internmediate sheet'!$A56/3,0)*Capacity</f>
        <v>0</v>
      </c>
      <c r="BO151" s="19">
        <f ca="1">OFFSET('Sales, Production, &amp; Other Assu'!BO$54,'Internmediate sheet'!$A56/3,0)*Capacity</f>
        <v>0</v>
      </c>
      <c r="BP151" s="434">
        <f ca="1">SUM(BD151:BO151)</f>
        <v>0</v>
      </c>
      <c r="BQ151" s="19">
        <f ca="1">OFFSET('Sales, Production, &amp; Other Assu'!BQ$54,'Internmediate sheet'!$A56/3,0)*Capacity</f>
        <v>0</v>
      </c>
      <c r="BR151" s="19">
        <f ca="1">OFFSET('Sales, Production, &amp; Other Assu'!BR$54,'Internmediate sheet'!$A56/3,0)*Capacity</f>
        <v>0</v>
      </c>
      <c r="BS151" s="19">
        <f ca="1">OFFSET('Sales, Production, &amp; Other Assu'!BS$54,'Internmediate sheet'!$A56/3,0)*Capacity</f>
        <v>0</v>
      </c>
      <c r="BT151" s="19">
        <f ca="1">OFFSET('Sales, Production, &amp; Other Assu'!BT$54,'Internmediate sheet'!$A56/3,0)*Capacity</f>
        <v>0</v>
      </c>
      <c r="BU151" s="19">
        <f ca="1">OFFSET('Sales, Production, &amp; Other Assu'!BU$54,'Internmediate sheet'!$A56/3,0)*Capacity</f>
        <v>0</v>
      </c>
      <c r="BV151" s="19">
        <f ca="1">OFFSET('Sales, Production, &amp; Other Assu'!BV$54,'Internmediate sheet'!$A56/3,0)*Capacity</f>
        <v>0</v>
      </c>
      <c r="BW151" s="19">
        <f ca="1">OFFSET('Sales, Production, &amp; Other Assu'!BW$54,'Internmediate sheet'!$A56/3,0)*Capacity</f>
        <v>0</v>
      </c>
      <c r="BX151" s="19">
        <f ca="1">OFFSET('Sales, Production, &amp; Other Assu'!BX$54,'Internmediate sheet'!$A56/3,0)*Capacity</f>
        <v>0</v>
      </c>
      <c r="BY151" s="19">
        <f ca="1">OFFSET('Sales, Production, &amp; Other Assu'!BY$54,'Internmediate sheet'!$A56/3,0)*Capacity</f>
        <v>0</v>
      </c>
      <c r="BZ151" s="19">
        <f ca="1">OFFSET('Sales, Production, &amp; Other Assu'!BZ$54,'Internmediate sheet'!$A56/3,0)*Capacity</f>
        <v>0</v>
      </c>
      <c r="CA151" s="19">
        <f ca="1">OFFSET('Sales, Production, &amp; Other Assu'!CA$54,'Internmediate sheet'!$A56/3,0)*Capacity</f>
        <v>0</v>
      </c>
      <c r="CB151" s="19">
        <f ca="1">OFFSET('Sales, Production, &amp; Other Assu'!CB$54,'Internmediate sheet'!$A56/3,0)*Capacity</f>
        <v>0</v>
      </c>
      <c r="CC151" s="434">
        <f ca="1">SUM(BQ151:CB151)</f>
        <v>0</v>
      </c>
      <c r="CD151" s="19">
        <f ca="1">OFFSET('Sales, Production, &amp; Other Assu'!CD$54,'Internmediate sheet'!$A56/3,0)*Capacity</f>
        <v>0</v>
      </c>
      <c r="CE151" s="19">
        <f ca="1">OFFSET('Sales, Production, &amp; Other Assu'!CE$54,'Internmediate sheet'!$A56/3,0)*Capacity</f>
        <v>0</v>
      </c>
      <c r="CF151" s="19">
        <f ca="1">OFFSET('Sales, Production, &amp; Other Assu'!CF$54,'Internmediate sheet'!$A56/3,0)*Capacity</f>
        <v>0</v>
      </c>
      <c r="CG151" s="19">
        <f ca="1">OFFSET('Sales, Production, &amp; Other Assu'!CG$54,'Internmediate sheet'!$A56/3,0)*Capacity</f>
        <v>0</v>
      </c>
      <c r="CH151" s="19">
        <f ca="1">OFFSET('Sales, Production, &amp; Other Assu'!CH$54,'Internmediate sheet'!$A56/3,0)*Capacity</f>
        <v>0</v>
      </c>
      <c r="CI151" s="19">
        <f ca="1">OFFSET('Sales, Production, &amp; Other Assu'!CI$54,'Internmediate sheet'!$A56/3,0)*Capacity</f>
        <v>0</v>
      </c>
      <c r="CJ151" s="19">
        <f ca="1">OFFSET('Sales, Production, &amp; Other Assu'!CJ$54,'Internmediate sheet'!$A56/3,0)*Capacity</f>
        <v>0</v>
      </c>
      <c r="CK151" s="19">
        <f ca="1">OFFSET('Sales, Production, &amp; Other Assu'!CK$54,'Internmediate sheet'!$A56/3,0)*Capacity</f>
        <v>0</v>
      </c>
      <c r="CL151" s="19">
        <f ca="1">OFFSET('Sales, Production, &amp; Other Assu'!CL$54,'Internmediate sheet'!$A56/3,0)*Capacity</f>
        <v>0</v>
      </c>
      <c r="CM151" s="19">
        <f ca="1">OFFSET('Sales, Production, &amp; Other Assu'!CM$54,'Internmediate sheet'!$A56/3,0)*Capacity</f>
        <v>0</v>
      </c>
      <c r="CN151" s="19">
        <f ca="1">OFFSET('Sales, Production, &amp; Other Assu'!CN$54,'Internmediate sheet'!$A56/3,0)*Capacity</f>
        <v>0</v>
      </c>
      <c r="CO151" s="19">
        <f ca="1">OFFSET('Sales, Production, &amp; Other Assu'!CO$54,'Internmediate sheet'!$A56/3,0)*Capacity</f>
        <v>0</v>
      </c>
      <c r="CP151" s="434">
        <f ca="1">SUM(CD151:CO151)</f>
        <v>0</v>
      </c>
    </row>
    <row r="152" spans="1:94" ht="20.100000000000001" hidden="1" customHeight="1">
      <c r="A152" s="793"/>
      <c r="B152" s="9" t="s">
        <v>614</v>
      </c>
      <c r="C152" s="10">
        <f ca="1">OFFSET('BEP. &amp; Summary Results'!$C$6,'Internmediate sheet'!A53/3,0)</f>
        <v>0</v>
      </c>
      <c r="D152" s="9">
        <f t="shared" ref="D152" ca="1" si="4116">C152</f>
        <v>0</v>
      </c>
      <c r="E152" s="9">
        <f t="shared" ref="E152" ca="1" si="4117">D152</f>
        <v>0</v>
      </c>
      <c r="F152" s="9">
        <f t="shared" ref="F152" ca="1" si="4118">E152</f>
        <v>0</v>
      </c>
      <c r="G152" s="9">
        <f t="shared" ref="G152" ca="1" si="4119">F152</f>
        <v>0</v>
      </c>
      <c r="H152" s="9">
        <f t="shared" ref="H152" ca="1" si="4120">G152</f>
        <v>0</v>
      </c>
      <c r="I152" s="9">
        <f t="shared" ref="I152" ca="1" si="4121">H152</f>
        <v>0</v>
      </c>
      <c r="J152" s="9">
        <f t="shared" ref="J152" ca="1" si="4122">I152</f>
        <v>0</v>
      </c>
      <c r="K152" s="9">
        <f t="shared" ref="K152" ca="1" si="4123">J152</f>
        <v>0</v>
      </c>
      <c r="L152" s="9">
        <f t="shared" ref="L152" ca="1" si="4124">K152</f>
        <v>0</v>
      </c>
      <c r="M152" s="9">
        <f t="shared" ref="M152" ca="1" si="4125">L152</f>
        <v>0</v>
      </c>
      <c r="N152" s="9">
        <f t="shared" ref="N152" ca="1" si="4126">M152</f>
        <v>0</v>
      </c>
      <c r="O152" s="9">
        <f t="shared" ref="O152" ca="1" si="4127">N152</f>
        <v>0</v>
      </c>
      <c r="P152" s="435">
        <f t="shared" ref="P152" ca="1" si="4128">O152</f>
        <v>0</v>
      </c>
      <c r="Q152" s="9">
        <f t="shared" ref="Q152" ca="1" si="4129">P152</f>
        <v>0</v>
      </c>
      <c r="R152" s="9">
        <f t="shared" ref="R152" ca="1" si="4130">Q152</f>
        <v>0</v>
      </c>
      <c r="S152" s="9">
        <f t="shared" ref="S152" ca="1" si="4131">R152</f>
        <v>0</v>
      </c>
      <c r="T152" s="9">
        <f t="shared" ref="T152" ca="1" si="4132">S152</f>
        <v>0</v>
      </c>
      <c r="U152" s="9">
        <f t="shared" ref="U152" ca="1" si="4133">T152</f>
        <v>0</v>
      </c>
      <c r="V152" s="9">
        <f t="shared" ref="V152" ca="1" si="4134">U152</f>
        <v>0</v>
      </c>
      <c r="W152" s="9">
        <f t="shared" ref="W152" ca="1" si="4135">V152</f>
        <v>0</v>
      </c>
      <c r="X152" s="9">
        <f t="shared" ref="X152" ca="1" si="4136">W152</f>
        <v>0</v>
      </c>
      <c r="Y152" s="9">
        <f t="shared" ref="Y152" ca="1" si="4137">X152</f>
        <v>0</v>
      </c>
      <c r="Z152" s="9">
        <f t="shared" ref="Z152" ca="1" si="4138">Y152</f>
        <v>0</v>
      </c>
      <c r="AA152" s="9">
        <f t="shared" ref="AA152" ca="1" si="4139">Z152</f>
        <v>0</v>
      </c>
      <c r="AB152" s="9">
        <f t="shared" ref="AB152" ca="1" si="4140">AA152</f>
        <v>0</v>
      </c>
      <c r="AC152" s="435">
        <f t="shared" ref="AC152" ca="1" si="4141">AB152</f>
        <v>0</v>
      </c>
      <c r="AD152" s="9">
        <f t="shared" ref="AD152" ca="1" si="4142">AC152</f>
        <v>0</v>
      </c>
      <c r="AE152" s="9">
        <f t="shared" ref="AE152" ca="1" si="4143">AD152</f>
        <v>0</v>
      </c>
      <c r="AF152" s="9">
        <f t="shared" ref="AF152" ca="1" si="4144">AE152</f>
        <v>0</v>
      </c>
      <c r="AG152" s="9">
        <f t="shared" ref="AG152" ca="1" si="4145">AF152</f>
        <v>0</v>
      </c>
      <c r="AH152" s="9">
        <f t="shared" ref="AH152" ca="1" si="4146">AG152</f>
        <v>0</v>
      </c>
      <c r="AI152" s="9">
        <f t="shared" ref="AI152" ca="1" si="4147">AH152</f>
        <v>0</v>
      </c>
      <c r="AJ152" s="9">
        <f t="shared" ref="AJ152" ca="1" si="4148">AI152</f>
        <v>0</v>
      </c>
      <c r="AK152" s="9">
        <f t="shared" ref="AK152" ca="1" si="4149">AJ152</f>
        <v>0</v>
      </c>
      <c r="AL152" s="9">
        <f t="shared" ref="AL152" ca="1" si="4150">AK152</f>
        <v>0</v>
      </c>
      <c r="AM152" s="9">
        <f t="shared" ref="AM152" ca="1" si="4151">AL152</f>
        <v>0</v>
      </c>
      <c r="AN152" s="9">
        <f t="shared" ref="AN152" ca="1" si="4152">AM152</f>
        <v>0</v>
      </c>
      <c r="AO152" s="9">
        <f t="shared" ref="AO152" ca="1" si="4153">AN152</f>
        <v>0</v>
      </c>
      <c r="AP152" s="435">
        <f t="shared" ref="AP152" ca="1" si="4154">AO152</f>
        <v>0</v>
      </c>
      <c r="AQ152" s="9">
        <f ca="1">AP152</f>
        <v>0</v>
      </c>
      <c r="AR152" s="9">
        <f t="shared" ref="AR152" ca="1" si="4155">AQ152</f>
        <v>0</v>
      </c>
      <c r="AS152" s="9">
        <f t="shared" ref="AS152" ca="1" si="4156">AR152</f>
        <v>0</v>
      </c>
      <c r="AT152" s="9">
        <f t="shared" ref="AT152" ca="1" si="4157">AS152</f>
        <v>0</v>
      </c>
      <c r="AU152" s="9">
        <f t="shared" ref="AU152" ca="1" si="4158">AT152</f>
        <v>0</v>
      </c>
      <c r="AV152" s="9">
        <f t="shared" ref="AV152" ca="1" si="4159">AU152</f>
        <v>0</v>
      </c>
      <c r="AW152" s="9">
        <f t="shared" ref="AW152" ca="1" si="4160">AV152</f>
        <v>0</v>
      </c>
      <c r="AX152" s="9">
        <f t="shared" ref="AX152" ca="1" si="4161">AW152</f>
        <v>0</v>
      </c>
      <c r="AY152" s="9">
        <f t="shared" ref="AY152" ca="1" si="4162">AX152</f>
        <v>0</v>
      </c>
      <c r="AZ152" s="9">
        <f t="shared" ref="AZ152" ca="1" si="4163">AY152</f>
        <v>0</v>
      </c>
      <c r="BA152" s="9">
        <f t="shared" ref="BA152" ca="1" si="4164">AZ152</f>
        <v>0</v>
      </c>
      <c r="BB152" s="9">
        <f t="shared" ref="BB152" ca="1" si="4165">BA152</f>
        <v>0</v>
      </c>
      <c r="BC152" s="435">
        <f t="shared" ref="BC152" ca="1" si="4166">BB152</f>
        <v>0</v>
      </c>
      <c r="BD152" s="9">
        <f t="shared" ref="BD152" ca="1" si="4167">BC152</f>
        <v>0</v>
      </c>
      <c r="BE152" s="9">
        <f t="shared" ref="BE152" ca="1" si="4168">BD152</f>
        <v>0</v>
      </c>
      <c r="BF152" s="9">
        <f t="shared" ref="BF152" ca="1" si="4169">BE152</f>
        <v>0</v>
      </c>
      <c r="BG152" s="9">
        <f t="shared" ref="BG152" ca="1" si="4170">BF152</f>
        <v>0</v>
      </c>
      <c r="BH152" s="9">
        <f t="shared" ref="BH152" ca="1" si="4171">BG152</f>
        <v>0</v>
      </c>
      <c r="BI152" s="9">
        <f t="shared" ref="BI152" ca="1" si="4172">BH152</f>
        <v>0</v>
      </c>
      <c r="BJ152" s="9">
        <f t="shared" ref="BJ152" ca="1" si="4173">BI152</f>
        <v>0</v>
      </c>
      <c r="BK152" s="9">
        <f t="shared" ref="BK152" ca="1" si="4174">BJ152</f>
        <v>0</v>
      </c>
      <c r="BL152" s="9">
        <f t="shared" ref="BL152" ca="1" si="4175">BK152</f>
        <v>0</v>
      </c>
      <c r="BM152" s="9">
        <f t="shared" ref="BM152" ca="1" si="4176">BL152</f>
        <v>0</v>
      </c>
      <c r="BN152" s="9">
        <f t="shared" ref="BN152" ca="1" si="4177">BM152</f>
        <v>0</v>
      </c>
      <c r="BO152" s="9">
        <f t="shared" ref="BO152" ca="1" si="4178">BN152</f>
        <v>0</v>
      </c>
      <c r="BP152" s="435">
        <f t="shared" ref="BP152" ca="1" si="4179">BO152</f>
        <v>0</v>
      </c>
      <c r="BQ152" s="9">
        <f t="shared" ref="BQ152" ca="1" si="4180">BP152</f>
        <v>0</v>
      </c>
      <c r="BR152" s="9">
        <f t="shared" ref="BR152" ca="1" si="4181">BQ152</f>
        <v>0</v>
      </c>
      <c r="BS152" s="9">
        <f t="shared" ref="BS152" ca="1" si="4182">BR152</f>
        <v>0</v>
      </c>
      <c r="BT152" s="9">
        <f t="shared" ref="BT152" ca="1" si="4183">BS152</f>
        <v>0</v>
      </c>
      <c r="BU152" s="9">
        <f t="shared" ref="BU152" ca="1" si="4184">BT152</f>
        <v>0</v>
      </c>
      <c r="BV152" s="9">
        <f t="shared" ref="BV152" ca="1" si="4185">BU152</f>
        <v>0</v>
      </c>
      <c r="BW152" s="9">
        <f t="shared" ref="BW152" ca="1" si="4186">BV152</f>
        <v>0</v>
      </c>
      <c r="BX152" s="9">
        <f t="shared" ref="BX152" ca="1" si="4187">BW152</f>
        <v>0</v>
      </c>
      <c r="BY152" s="9">
        <f t="shared" ref="BY152" ca="1" si="4188">BX152</f>
        <v>0</v>
      </c>
      <c r="BZ152" s="9">
        <f t="shared" ref="BZ152" ca="1" si="4189">BY152</f>
        <v>0</v>
      </c>
      <c r="CA152" s="9">
        <f t="shared" ref="CA152" ca="1" si="4190">BZ152</f>
        <v>0</v>
      </c>
      <c r="CB152" s="9">
        <f t="shared" ref="CB152" ca="1" si="4191">CA152</f>
        <v>0</v>
      </c>
      <c r="CC152" s="435">
        <f t="shared" ref="CC152" ca="1" si="4192">CB152</f>
        <v>0</v>
      </c>
      <c r="CD152" s="9">
        <f t="shared" ref="CD152" ca="1" si="4193">CC152</f>
        <v>0</v>
      </c>
      <c r="CE152" s="9">
        <f t="shared" ref="CE152" ca="1" si="4194">CD152</f>
        <v>0</v>
      </c>
      <c r="CF152" s="9">
        <f t="shared" ref="CF152" ca="1" si="4195">CE152</f>
        <v>0</v>
      </c>
      <c r="CG152" s="9">
        <f t="shared" ref="CG152" ca="1" si="4196">CF152</f>
        <v>0</v>
      </c>
      <c r="CH152" s="9">
        <f t="shared" ref="CH152" ca="1" si="4197">CG152</f>
        <v>0</v>
      </c>
      <c r="CI152" s="9">
        <f t="shared" ref="CI152" ca="1" si="4198">CH152</f>
        <v>0</v>
      </c>
      <c r="CJ152" s="9">
        <f t="shared" ref="CJ152" ca="1" si="4199">CI152</f>
        <v>0</v>
      </c>
      <c r="CK152" s="9">
        <f t="shared" ref="CK152" ca="1" si="4200">CJ152</f>
        <v>0</v>
      </c>
      <c r="CL152" s="9">
        <f t="shared" ref="CL152" ca="1" si="4201">CK152</f>
        <v>0</v>
      </c>
      <c r="CM152" s="9">
        <f t="shared" ref="CM152" ca="1" si="4202">CL152</f>
        <v>0</v>
      </c>
      <c r="CN152" s="9">
        <f t="shared" ref="CN152" ca="1" si="4203">CM152</f>
        <v>0</v>
      </c>
      <c r="CO152" s="9">
        <f t="shared" ref="CO152" ca="1" si="4204">CN152</f>
        <v>0</v>
      </c>
      <c r="CP152" s="435">
        <f t="shared" ref="CP152" ca="1" si="4205">CO152</f>
        <v>0</v>
      </c>
    </row>
    <row r="153" spans="1:94" ht="20.100000000000001" hidden="1" customHeight="1">
      <c r="A153" s="794"/>
      <c r="B153" s="255" t="s">
        <v>615</v>
      </c>
      <c r="C153" s="256">
        <f t="shared" ref="C153:O153" ca="1" si="4206">C151*C152</f>
        <v>0</v>
      </c>
      <c r="D153" s="255">
        <f t="shared" ca="1" si="4206"/>
        <v>0</v>
      </c>
      <c r="E153" s="255">
        <f t="shared" ca="1" si="4206"/>
        <v>0</v>
      </c>
      <c r="F153" s="255">
        <f t="shared" ca="1" si="4206"/>
        <v>0</v>
      </c>
      <c r="G153" s="255">
        <f t="shared" ca="1" si="4206"/>
        <v>0</v>
      </c>
      <c r="H153" s="255">
        <f t="shared" ca="1" si="4206"/>
        <v>0</v>
      </c>
      <c r="I153" s="255">
        <f t="shared" ca="1" si="4206"/>
        <v>0</v>
      </c>
      <c r="J153" s="255">
        <f t="shared" ca="1" si="4206"/>
        <v>0</v>
      </c>
      <c r="K153" s="255">
        <f t="shared" ca="1" si="4206"/>
        <v>0</v>
      </c>
      <c r="L153" s="255">
        <f t="shared" ca="1" si="4206"/>
        <v>0</v>
      </c>
      <c r="M153" s="255">
        <f t="shared" ca="1" si="4206"/>
        <v>0</v>
      </c>
      <c r="N153" s="255">
        <f t="shared" ca="1" si="4206"/>
        <v>0</v>
      </c>
      <c r="O153" s="255">
        <f t="shared" ca="1" si="4206"/>
        <v>0</v>
      </c>
      <c r="P153" s="434">
        <f ca="1">SUM(D153:O153)</f>
        <v>0</v>
      </c>
      <c r="Q153" s="255">
        <f t="shared" ref="Q153:AB153" ca="1" si="4207">Q151*Q152</f>
        <v>0</v>
      </c>
      <c r="R153" s="255">
        <f t="shared" ca="1" si="4207"/>
        <v>0</v>
      </c>
      <c r="S153" s="255">
        <f t="shared" ca="1" si="4207"/>
        <v>0</v>
      </c>
      <c r="T153" s="255">
        <f t="shared" ca="1" si="4207"/>
        <v>0</v>
      </c>
      <c r="U153" s="255">
        <f t="shared" ca="1" si="4207"/>
        <v>0</v>
      </c>
      <c r="V153" s="255">
        <f t="shared" ca="1" si="4207"/>
        <v>0</v>
      </c>
      <c r="W153" s="255">
        <f t="shared" ca="1" si="4207"/>
        <v>0</v>
      </c>
      <c r="X153" s="255">
        <f t="shared" ca="1" si="4207"/>
        <v>0</v>
      </c>
      <c r="Y153" s="255">
        <f t="shared" ca="1" si="4207"/>
        <v>0</v>
      </c>
      <c r="Z153" s="255">
        <f t="shared" ca="1" si="4207"/>
        <v>0</v>
      </c>
      <c r="AA153" s="255">
        <f t="shared" ca="1" si="4207"/>
        <v>0</v>
      </c>
      <c r="AB153" s="255">
        <f t="shared" ca="1" si="4207"/>
        <v>0</v>
      </c>
      <c r="AC153" s="434">
        <f ca="1">SUM(Q153:AB153)</f>
        <v>0</v>
      </c>
      <c r="AD153" s="255">
        <f t="shared" ref="AD153:AO153" ca="1" si="4208">AD151*AD152</f>
        <v>0</v>
      </c>
      <c r="AE153" s="255">
        <f t="shared" ca="1" si="4208"/>
        <v>0</v>
      </c>
      <c r="AF153" s="255">
        <f t="shared" ca="1" si="4208"/>
        <v>0</v>
      </c>
      <c r="AG153" s="255">
        <f t="shared" ca="1" si="4208"/>
        <v>0</v>
      </c>
      <c r="AH153" s="255">
        <f t="shared" ca="1" si="4208"/>
        <v>0</v>
      </c>
      <c r="AI153" s="255">
        <f t="shared" ca="1" si="4208"/>
        <v>0</v>
      </c>
      <c r="AJ153" s="255">
        <f t="shared" ca="1" si="4208"/>
        <v>0</v>
      </c>
      <c r="AK153" s="255">
        <f t="shared" ca="1" si="4208"/>
        <v>0</v>
      </c>
      <c r="AL153" s="255">
        <f t="shared" ca="1" si="4208"/>
        <v>0</v>
      </c>
      <c r="AM153" s="255">
        <f t="shared" ca="1" si="4208"/>
        <v>0</v>
      </c>
      <c r="AN153" s="255">
        <f t="shared" ca="1" si="4208"/>
        <v>0</v>
      </c>
      <c r="AO153" s="255">
        <f t="shared" ca="1" si="4208"/>
        <v>0</v>
      </c>
      <c r="AP153" s="434">
        <f ca="1">SUM(AD153:AO153)</f>
        <v>0</v>
      </c>
      <c r="AQ153" s="255">
        <f t="shared" ref="AQ153:BB153" ca="1" si="4209">AQ151*AQ152</f>
        <v>0</v>
      </c>
      <c r="AR153" s="255">
        <f t="shared" ca="1" si="4209"/>
        <v>0</v>
      </c>
      <c r="AS153" s="255">
        <f t="shared" ca="1" si="4209"/>
        <v>0</v>
      </c>
      <c r="AT153" s="255">
        <f t="shared" ca="1" si="4209"/>
        <v>0</v>
      </c>
      <c r="AU153" s="255">
        <f t="shared" ca="1" si="4209"/>
        <v>0</v>
      </c>
      <c r="AV153" s="255">
        <f t="shared" ca="1" si="4209"/>
        <v>0</v>
      </c>
      <c r="AW153" s="255">
        <f t="shared" ca="1" si="4209"/>
        <v>0</v>
      </c>
      <c r="AX153" s="255">
        <f t="shared" ca="1" si="4209"/>
        <v>0</v>
      </c>
      <c r="AY153" s="255">
        <f t="shared" ca="1" si="4209"/>
        <v>0</v>
      </c>
      <c r="AZ153" s="255">
        <f t="shared" ca="1" si="4209"/>
        <v>0</v>
      </c>
      <c r="BA153" s="255">
        <f t="shared" ca="1" si="4209"/>
        <v>0</v>
      </c>
      <c r="BB153" s="255">
        <f t="shared" ca="1" si="4209"/>
        <v>0</v>
      </c>
      <c r="BC153" s="434">
        <f ca="1">SUM(AQ153:BB153)</f>
        <v>0</v>
      </c>
      <c r="BD153" s="255">
        <f t="shared" ref="BD153:BO153" ca="1" si="4210">BD151*BD152</f>
        <v>0</v>
      </c>
      <c r="BE153" s="255">
        <f t="shared" ca="1" si="4210"/>
        <v>0</v>
      </c>
      <c r="BF153" s="255">
        <f t="shared" ca="1" si="4210"/>
        <v>0</v>
      </c>
      <c r="BG153" s="255">
        <f t="shared" ca="1" si="4210"/>
        <v>0</v>
      </c>
      <c r="BH153" s="255">
        <f t="shared" ca="1" si="4210"/>
        <v>0</v>
      </c>
      <c r="BI153" s="255">
        <f t="shared" ca="1" si="4210"/>
        <v>0</v>
      </c>
      <c r="BJ153" s="255">
        <f t="shared" ca="1" si="4210"/>
        <v>0</v>
      </c>
      <c r="BK153" s="255">
        <f t="shared" ca="1" si="4210"/>
        <v>0</v>
      </c>
      <c r="BL153" s="255">
        <f t="shared" ca="1" si="4210"/>
        <v>0</v>
      </c>
      <c r="BM153" s="255">
        <f t="shared" ca="1" si="4210"/>
        <v>0</v>
      </c>
      <c r="BN153" s="255">
        <f t="shared" ca="1" si="4210"/>
        <v>0</v>
      </c>
      <c r="BO153" s="255">
        <f t="shared" ca="1" si="4210"/>
        <v>0</v>
      </c>
      <c r="BP153" s="434">
        <f ca="1">SUM(BD153:BO153)</f>
        <v>0</v>
      </c>
      <c r="BQ153" s="255">
        <f t="shared" ref="BQ153:CB153" ca="1" si="4211">BQ151*BQ152</f>
        <v>0</v>
      </c>
      <c r="BR153" s="255">
        <f t="shared" ca="1" si="4211"/>
        <v>0</v>
      </c>
      <c r="BS153" s="255">
        <f t="shared" ca="1" si="4211"/>
        <v>0</v>
      </c>
      <c r="BT153" s="255">
        <f t="shared" ca="1" si="4211"/>
        <v>0</v>
      </c>
      <c r="BU153" s="255">
        <f t="shared" ca="1" si="4211"/>
        <v>0</v>
      </c>
      <c r="BV153" s="255">
        <f t="shared" ca="1" si="4211"/>
        <v>0</v>
      </c>
      <c r="BW153" s="255">
        <f t="shared" ca="1" si="4211"/>
        <v>0</v>
      </c>
      <c r="BX153" s="255">
        <f t="shared" ca="1" si="4211"/>
        <v>0</v>
      </c>
      <c r="BY153" s="255">
        <f t="shared" ca="1" si="4211"/>
        <v>0</v>
      </c>
      <c r="BZ153" s="255">
        <f t="shared" ca="1" si="4211"/>
        <v>0</v>
      </c>
      <c r="CA153" s="255">
        <f t="shared" ca="1" si="4211"/>
        <v>0</v>
      </c>
      <c r="CB153" s="255">
        <f t="shared" ca="1" si="4211"/>
        <v>0</v>
      </c>
      <c r="CC153" s="434">
        <f ca="1">SUM(BQ153:CB153)</f>
        <v>0</v>
      </c>
      <c r="CD153" s="255">
        <f t="shared" ref="CD153:CO153" ca="1" si="4212">CD151*CD152</f>
        <v>0</v>
      </c>
      <c r="CE153" s="255">
        <f t="shared" ca="1" si="4212"/>
        <v>0</v>
      </c>
      <c r="CF153" s="255">
        <f t="shared" ca="1" si="4212"/>
        <v>0</v>
      </c>
      <c r="CG153" s="255">
        <f t="shared" ca="1" si="4212"/>
        <v>0</v>
      </c>
      <c r="CH153" s="255">
        <f t="shared" ca="1" si="4212"/>
        <v>0</v>
      </c>
      <c r="CI153" s="255">
        <f t="shared" ca="1" si="4212"/>
        <v>0</v>
      </c>
      <c r="CJ153" s="255">
        <f t="shared" ca="1" si="4212"/>
        <v>0</v>
      </c>
      <c r="CK153" s="255">
        <f t="shared" ca="1" si="4212"/>
        <v>0</v>
      </c>
      <c r="CL153" s="255">
        <f t="shared" ca="1" si="4212"/>
        <v>0</v>
      </c>
      <c r="CM153" s="255">
        <f t="shared" ca="1" si="4212"/>
        <v>0</v>
      </c>
      <c r="CN153" s="255">
        <f t="shared" ca="1" si="4212"/>
        <v>0</v>
      </c>
      <c r="CO153" s="255">
        <f t="shared" ca="1" si="4212"/>
        <v>0</v>
      </c>
      <c r="CP153" s="434">
        <f ca="1">SUM(CD153:CO153)</f>
        <v>0</v>
      </c>
    </row>
    <row r="154" spans="1:94" ht="20.100000000000001" hidden="1" customHeight="1">
      <c r="A154" s="792">
        <f ca="1">OFFSET('Summary. Assumptions. Inputs'!$A$45,'Internmediate sheet'!A59/3,0)</f>
        <v>0</v>
      </c>
      <c r="B154" s="19" t="s">
        <v>613</v>
      </c>
      <c r="C154" s="20">
        <f ca="1">OFFSET('Sales, Production, &amp; Other Assu'!C$54,'Internmediate sheet'!$A59/3,0)*Capacity</f>
        <v>0</v>
      </c>
      <c r="D154" s="19">
        <f ca="1">OFFSET('Sales, Production, &amp; Other Assu'!D$54,'Internmediate sheet'!$A59/3,0)*Capacity</f>
        <v>0</v>
      </c>
      <c r="E154" s="19">
        <f ca="1">OFFSET('Sales, Production, &amp; Other Assu'!E$54,'Internmediate sheet'!$A59/3,0)*Capacity</f>
        <v>0</v>
      </c>
      <c r="F154" s="19">
        <f ca="1">OFFSET('Sales, Production, &amp; Other Assu'!F$54,'Internmediate sheet'!$A59/3,0)*Capacity</f>
        <v>0</v>
      </c>
      <c r="G154" s="19">
        <f ca="1">OFFSET('Sales, Production, &amp; Other Assu'!G$54,'Internmediate sheet'!$A59/3,0)*Capacity</f>
        <v>0</v>
      </c>
      <c r="H154" s="19">
        <f ca="1">OFFSET('Sales, Production, &amp; Other Assu'!H$54,'Internmediate sheet'!$A59/3,0)*Capacity</f>
        <v>0</v>
      </c>
      <c r="I154" s="19">
        <f ca="1">OFFSET('Sales, Production, &amp; Other Assu'!I$54,'Internmediate sheet'!$A59/3,0)*Capacity</f>
        <v>0</v>
      </c>
      <c r="J154" s="19">
        <f ca="1">OFFSET('Sales, Production, &amp; Other Assu'!J$54,'Internmediate sheet'!$A59/3,0)*Capacity</f>
        <v>0</v>
      </c>
      <c r="K154" s="19">
        <f ca="1">OFFSET('Sales, Production, &amp; Other Assu'!K$54,'Internmediate sheet'!$A59/3,0)*Capacity</f>
        <v>0</v>
      </c>
      <c r="L154" s="19">
        <f ca="1">OFFSET('Sales, Production, &amp; Other Assu'!L$54,'Internmediate sheet'!$A59/3,0)*Capacity</f>
        <v>0</v>
      </c>
      <c r="M154" s="19">
        <f ca="1">OFFSET('Sales, Production, &amp; Other Assu'!M$54,'Internmediate sheet'!$A59/3,0)*Capacity</f>
        <v>0</v>
      </c>
      <c r="N154" s="19">
        <f ca="1">OFFSET('Sales, Production, &amp; Other Assu'!N$54,'Internmediate sheet'!$A59/3,0)*Capacity</f>
        <v>0</v>
      </c>
      <c r="O154" s="19">
        <f ca="1">OFFSET('Sales, Production, &amp; Other Assu'!O$54,'Internmediate sheet'!$A59/3,0)*Capacity</f>
        <v>0</v>
      </c>
      <c r="P154" s="434">
        <f ca="1">SUM(D154:O154)</f>
        <v>0</v>
      </c>
      <c r="Q154" s="19">
        <f ca="1">OFFSET('Sales, Production, &amp; Other Assu'!Q$54,'Internmediate sheet'!$A59/3,0)*Capacity</f>
        <v>0</v>
      </c>
      <c r="R154" s="19">
        <f ca="1">OFFSET('Sales, Production, &amp; Other Assu'!R$54,'Internmediate sheet'!$A59/3,0)*Capacity</f>
        <v>0</v>
      </c>
      <c r="S154" s="19">
        <f ca="1">OFFSET('Sales, Production, &amp; Other Assu'!S$54,'Internmediate sheet'!$A59/3,0)*Capacity</f>
        <v>0</v>
      </c>
      <c r="T154" s="19">
        <f ca="1">OFFSET('Sales, Production, &amp; Other Assu'!T$54,'Internmediate sheet'!$A59/3,0)*Capacity</f>
        <v>0</v>
      </c>
      <c r="U154" s="19">
        <f ca="1">OFFSET('Sales, Production, &amp; Other Assu'!U$54,'Internmediate sheet'!$A59/3,0)*Capacity</f>
        <v>0</v>
      </c>
      <c r="V154" s="19">
        <f ca="1">OFFSET('Sales, Production, &amp; Other Assu'!V$54,'Internmediate sheet'!$A59/3,0)*Capacity</f>
        <v>0</v>
      </c>
      <c r="W154" s="19">
        <f ca="1">OFFSET('Sales, Production, &amp; Other Assu'!W$54,'Internmediate sheet'!$A59/3,0)*Capacity</f>
        <v>0</v>
      </c>
      <c r="X154" s="19">
        <f ca="1">OFFSET('Sales, Production, &amp; Other Assu'!X$54,'Internmediate sheet'!$A59/3,0)*Capacity</f>
        <v>0</v>
      </c>
      <c r="Y154" s="19">
        <f ca="1">OFFSET('Sales, Production, &amp; Other Assu'!Y$54,'Internmediate sheet'!$A59/3,0)*Capacity</f>
        <v>0</v>
      </c>
      <c r="Z154" s="19">
        <f ca="1">OFFSET('Sales, Production, &amp; Other Assu'!Z$54,'Internmediate sheet'!$A59/3,0)*Capacity</f>
        <v>0</v>
      </c>
      <c r="AA154" s="19">
        <f ca="1">OFFSET('Sales, Production, &amp; Other Assu'!AA$54,'Internmediate sheet'!$A59/3,0)*Capacity</f>
        <v>0</v>
      </c>
      <c r="AB154" s="19">
        <f ca="1">OFFSET('Sales, Production, &amp; Other Assu'!AB$54,'Internmediate sheet'!$A59/3,0)*Capacity</f>
        <v>0</v>
      </c>
      <c r="AC154" s="434">
        <f ca="1">SUM(Q154:AB154)</f>
        <v>0</v>
      </c>
      <c r="AD154" s="19">
        <f ca="1">OFFSET('Sales, Production, &amp; Other Assu'!AD$54,'Internmediate sheet'!$A59/3,0)*Capacity</f>
        <v>0</v>
      </c>
      <c r="AE154" s="19">
        <f ca="1">OFFSET('Sales, Production, &amp; Other Assu'!AE$54,'Internmediate sheet'!$A59/3,0)*Capacity</f>
        <v>0</v>
      </c>
      <c r="AF154" s="19">
        <f ca="1">OFFSET('Sales, Production, &amp; Other Assu'!AF$54,'Internmediate sheet'!$A59/3,0)*Capacity</f>
        <v>0</v>
      </c>
      <c r="AG154" s="19">
        <f ca="1">OFFSET('Sales, Production, &amp; Other Assu'!AG$54,'Internmediate sheet'!$A59/3,0)*Capacity</f>
        <v>0</v>
      </c>
      <c r="AH154" s="19">
        <f ca="1">OFFSET('Sales, Production, &amp; Other Assu'!AH$54,'Internmediate sheet'!$A59/3,0)*Capacity</f>
        <v>0</v>
      </c>
      <c r="AI154" s="19">
        <f ca="1">OFFSET('Sales, Production, &amp; Other Assu'!AI$54,'Internmediate sheet'!$A59/3,0)*Capacity</f>
        <v>0</v>
      </c>
      <c r="AJ154" s="19">
        <f ca="1">OFFSET('Sales, Production, &amp; Other Assu'!AJ$54,'Internmediate sheet'!$A59/3,0)*Capacity</f>
        <v>0</v>
      </c>
      <c r="AK154" s="19">
        <f ca="1">OFFSET('Sales, Production, &amp; Other Assu'!AK$54,'Internmediate sheet'!$A59/3,0)*Capacity</f>
        <v>0</v>
      </c>
      <c r="AL154" s="19">
        <f ca="1">OFFSET('Sales, Production, &amp; Other Assu'!AL$54,'Internmediate sheet'!$A59/3,0)*Capacity</f>
        <v>0</v>
      </c>
      <c r="AM154" s="19">
        <f ca="1">OFFSET('Sales, Production, &amp; Other Assu'!AM$54,'Internmediate sheet'!$A59/3,0)*Capacity</f>
        <v>0</v>
      </c>
      <c r="AN154" s="19">
        <f ca="1">OFFSET('Sales, Production, &amp; Other Assu'!AN$54,'Internmediate sheet'!$A59/3,0)*Capacity</f>
        <v>0</v>
      </c>
      <c r="AO154" s="19">
        <f ca="1">OFFSET('Sales, Production, &amp; Other Assu'!AO$54,'Internmediate sheet'!$A59/3,0)*Capacity</f>
        <v>0</v>
      </c>
      <c r="AP154" s="434">
        <f ca="1">SUM(AD154:AO154)</f>
        <v>0</v>
      </c>
      <c r="AQ154" s="19">
        <f ca="1">OFFSET('Sales, Production, &amp; Other Assu'!AQ$54,'Internmediate sheet'!$A59/3,0)*Capacity</f>
        <v>0</v>
      </c>
      <c r="AR154" s="19">
        <f ca="1">OFFSET('Sales, Production, &amp; Other Assu'!AR$54,'Internmediate sheet'!$A59/3,0)*Capacity</f>
        <v>0</v>
      </c>
      <c r="AS154" s="19">
        <f ca="1">OFFSET('Sales, Production, &amp; Other Assu'!AS$54,'Internmediate sheet'!$A59/3,0)*Capacity</f>
        <v>0</v>
      </c>
      <c r="AT154" s="19">
        <f ca="1">OFFSET('Sales, Production, &amp; Other Assu'!AT$54,'Internmediate sheet'!$A59/3,0)*Capacity</f>
        <v>0</v>
      </c>
      <c r="AU154" s="19">
        <f ca="1">OFFSET('Sales, Production, &amp; Other Assu'!AU$54,'Internmediate sheet'!$A59/3,0)*Capacity</f>
        <v>0</v>
      </c>
      <c r="AV154" s="19">
        <f ca="1">OFFSET('Sales, Production, &amp; Other Assu'!AV$54,'Internmediate sheet'!$A59/3,0)*Capacity</f>
        <v>0</v>
      </c>
      <c r="AW154" s="19">
        <f ca="1">OFFSET('Sales, Production, &amp; Other Assu'!AW$54,'Internmediate sheet'!$A59/3,0)*Capacity</f>
        <v>0</v>
      </c>
      <c r="AX154" s="19">
        <f ca="1">OFFSET('Sales, Production, &amp; Other Assu'!AX$54,'Internmediate sheet'!$A59/3,0)*Capacity</f>
        <v>0</v>
      </c>
      <c r="AY154" s="19">
        <f ca="1">OFFSET('Sales, Production, &amp; Other Assu'!AY$54,'Internmediate sheet'!$A59/3,0)*Capacity</f>
        <v>0</v>
      </c>
      <c r="AZ154" s="19">
        <f ca="1">OFFSET('Sales, Production, &amp; Other Assu'!AZ$54,'Internmediate sheet'!$A59/3,0)*Capacity</f>
        <v>0</v>
      </c>
      <c r="BA154" s="19">
        <f ca="1">OFFSET('Sales, Production, &amp; Other Assu'!BA$54,'Internmediate sheet'!$A59/3,0)*Capacity</f>
        <v>0</v>
      </c>
      <c r="BB154" s="19">
        <f ca="1">OFFSET('Sales, Production, &amp; Other Assu'!BB$54,'Internmediate sheet'!$A59/3,0)*Capacity</f>
        <v>0</v>
      </c>
      <c r="BC154" s="434">
        <f ca="1">SUM(AQ154:BB154)</f>
        <v>0</v>
      </c>
      <c r="BD154" s="19">
        <f ca="1">OFFSET('Sales, Production, &amp; Other Assu'!BD$54,'Internmediate sheet'!$A59/3,0)*Capacity</f>
        <v>0</v>
      </c>
      <c r="BE154" s="19">
        <f ca="1">OFFSET('Sales, Production, &amp; Other Assu'!BE$54,'Internmediate sheet'!$A59/3,0)*Capacity</f>
        <v>0</v>
      </c>
      <c r="BF154" s="19">
        <f ca="1">OFFSET('Sales, Production, &amp; Other Assu'!BF$54,'Internmediate sheet'!$A59/3,0)*Capacity</f>
        <v>0</v>
      </c>
      <c r="BG154" s="19">
        <f ca="1">OFFSET('Sales, Production, &amp; Other Assu'!BG$54,'Internmediate sheet'!$A59/3,0)*Capacity</f>
        <v>0</v>
      </c>
      <c r="BH154" s="19">
        <f ca="1">OFFSET('Sales, Production, &amp; Other Assu'!BH$54,'Internmediate sheet'!$A59/3,0)*Capacity</f>
        <v>0</v>
      </c>
      <c r="BI154" s="19">
        <f ca="1">OFFSET('Sales, Production, &amp; Other Assu'!BI$54,'Internmediate sheet'!$A59/3,0)*Capacity</f>
        <v>0</v>
      </c>
      <c r="BJ154" s="19">
        <f ca="1">OFFSET('Sales, Production, &amp; Other Assu'!BJ$54,'Internmediate sheet'!$A59/3,0)*Capacity</f>
        <v>0</v>
      </c>
      <c r="BK154" s="19">
        <f ca="1">OFFSET('Sales, Production, &amp; Other Assu'!BK$54,'Internmediate sheet'!$A59/3,0)*Capacity</f>
        <v>0</v>
      </c>
      <c r="BL154" s="19">
        <f ca="1">OFFSET('Sales, Production, &amp; Other Assu'!BL$54,'Internmediate sheet'!$A59/3,0)*Capacity</f>
        <v>0</v>
      </c>
      <c r="BM154" s="19">
        <f ca="1">OFFSET('Sales, Production, &amp; Other Assu'!BM$54,'Internmediate sheet'!$A59/3,0)*Capacity</f>
        <v>0</v>
      </c>
      <c r="BN154" s="19">
        <f ca="1">OFFSET('Sales, Production, &amp; Other Assu'!BN$54,'Internmediate sheet'!$A59/3,0)*Capacity</f>
        <v>0</v>
      </c>
      <c r="BO154" s="19">
        <f ca="1">OFFSET('Sales, Production, &amp; Other Assu'!BO$54,'Internmediate sheet'!$A59/3,0)*Capacity</f>
        <v>0</v>
      </c>
      <c r="BP154" s="434">
        <f ca="1">SUM(BD154:BO154)</f>
        <v>0</v>
      </c>
      <c r="BQ154" s="19">
        <f ca="1">OFFSET('Sales, Production, &amp; Other Assu'!BQ$54,'Internmediate sheet'!$A59/3,0)*Capacity</f>
        <v>0</v>
      </c>
      <c r="BR154" s="19">
        <f ca="1">OFFSET('Sales, Production, &amp; Other Assu'!BR$54,'Internmediate sheet'!$A59/3,0)*Capacity</f>
        <v>0</v>
      </c>
      <c r="BS154" s="19">
        <f ca="1">OFFSET('Sales, Production, &amp; Other Assu'!BS$54,'Internmediate sheet'!$A59/3,0)*Capacity</f>
        <v>0</v>
      </c>
      <c r="BT154" s="19">
        <f ca="1">OFFSET('Sales, Production, &amp; Other Assu'!BT$54,'Internmediate sheet'!$A59/3,0)*Capacity</f>
        <v>0</v>
      </c>
      <c r="BU154" s="19">
        <f ca="1">OFFSET('Sales, Production, &amp; Other Assu'!BU$54,'Internmediate sheet'!$A59/3,0)*Capacity</f>
        <v>0</v>
      </c>
      <c r="BV154" s="19">
        <f ca="1">OFFSET('Sales, Production, &amp; Other Assu'!BV$54,'Internmediate sheet'!$A59/3,0)*Capacity</f>
        <v>0</v>
      </c>
      <c r="BW154" s="19">
        <f ca="1">OFFSET('Sales, Production, &amp; Other Assu'!BW$54,'Internmediate sheet'!$A59/3,0)*Capacity</f>
        <v>0</v>
      </c>
      <c r="BX154" s="19">
        <f ca="1">OFFSET('Sales, Production, &amp; Other Assu'!BX$54,'Internmediate sheet'!$A59/3,0)*Capacity</f>
        <v>0</v>
      </c>
      <c r="BY154" s="19">
        <f ca="1">OFFSET('Sales, Production, &amp; Other Assu'!BY$54,'Internmediate sheet'!$A59/3,0)*Capacity</f>
        <v>0</v>
      </c>
      <c r="BZ154" s="19">
        <f ca="1">OFFSET('Sales, Production, &amp; Other Assu'!BZ$54,'Internmediate sheet'!$A59/3,0)*Capacity</f>
        <v>0</v>
      </c>
      <c r="CA154" s="19">
        <f ca="1">OFFSET('Sales, Production, &amp; Other Assu'!CA$54,'Internmediate sheet'!$A59/3,0)*Capacity</f>
        <v>0</v>
      </c>
      <c r="CB154" s="19">
        <f ca="1">OFFSET('Sales, Production, &amp; Other Assu'!CB$54,'Internmediate sheet'!$A59/3,0)*Capacity</f>
        <v>0</v>
      </c>
      <c r="CC154" s="434">
        <f ca="1">SUM(BQ154:CB154)</f>
        <v>0</v>
      </c>
      <c r="CD154" s="19">
        <f ca="1">OFFSET('Sales, Production, &amp; Other Assu'!CD$54,'Internmediate sheet'!$A59/3,0)*Capacity</f>
        <v>0</v>
      </c>
      <c r="CE154" s="19">
        <f ca="1">OFFSET('Sales, Production, &amp; Other Assu'!CE$54,'Internmediate sheet'!$A59/3,0)*Capacity</f>
        <v>0</v>
      </c>
      <c r="CF154" s="19">
        <f ca="1">OFFSET('Sales, Production, &amp; Other Assu'!CF$54,'Internmediate sheet'!$A59/3,0)*Capacity</f>
        <v>0</v>
      </c>
      <c r="CG154" s="19">
        <f ca="1">OFFSET('Sales, Production, &amp; Other Assu'!CG$54,'Internmediate sheet'!$A59/3,0)*Capacity</f>
        <v>0</v>
      </c>
      <c r="CH154" s="19">
        <f ca="1">OFFSET('Sales, Production, &amp; Other Assu'!CH$54,'Internmediate sheet'!$A59/3,0)*Capacity</f>
        <v>0</v>
      </c>
      <c r="CI154" s="19">
        <f ca="1">OFFSET('Sales, Production, &amp; Other Assu'!CI$54,'Internmediate sheet'!$A59/3,0)*Capacity</f>
        <v>0</v>
      </c>
      <c r="CJ154" s="19">
        <f ca="1">OFFSET('Sales, Production, &amp; Other Assu'!CJ$54,'Internmediate sheet'!$A59/3,0)*Capacity</f>
        <v>0</v>
      </c>
      <c r="CK154" s="19">
        <f ca="1">OFFSET('Sales, Production, &amp; Other Assu'!CK$54,'Internmediate sheet'!$A59/3,0)*Capacity</f>
        <v>0</v>
      </c>
      <c r="CL154" s="19">
        <f ca="1">OFFSET('Sales, Production, &amp; Other Assu'!CL$54,'Internmediate sheet'!$A59/3,0)*Capacity</f>
        <v>0</v>
      </c>
      <c r="CM154" s="19">
        <f ca="1">OFFSET('Sales, Production, &amp; Other Assu'!CM$54,'Internmediate sheet'!$A59/3,0)*Capacity</f>
        <v>0</v>
      </c>
      <c r="CN154" s="19">
        <f ca="1">OFFSET('Sales, Production, &amp; Other Assu'!CN$54,'Internmediate sheet'!$A59/3,0)*Capacity</f>
        <v>0</v>
      </c>
      <c r="CO154" s="19">
        <f ca="1">OFFSET('Sales, Production, &amp; Other Assu'!CO$54,'Internmediate sheet'!$A59/3,0)*Capacity</f>
        <v>0</v>
      </c>
      <c r="CP154" s="434">
        <f ca="1">SUM(CD154:CO154)</f>
        <v>0</v>
      </c>
    </row>
    <row r="155" spans="1:94" ht="20.100000000000001" hidden="1" customHeight="1">
      <c r="A155" s="793"/>
      <c r="B155" s="9" t="s">
        <v>614</v>
      </c>
      <c r="C155" s="10">
        <f ca="1">OFFSET('BEP. &amp; Summary Results'!$C$6,'Internmediate sheet'!A56/3,0)</f>
        <v>0</v>
      </c>
      <c r="D155" s="9">
        <f t="shared" ref="D155" ca="1" si="4213">C155</f>
        <v>0</v>
      </c>
      <c r="E155" s="9">
        <f t="shared" ref="E155" ca="1" si="4214">D155</f>
        <v>0</v>
      </c>
      <c r="F155" s="9">
        <f t="shared" ref="F155" ca="1" si="4215">E155</f>
        <v>0</v>
      </c>
      <c r="G155" s="9">
        <f t="shared" ref="G155" ca="1" si="4216">F155</f>
        <v>0</v>
      </c>
      <c r="H155" s="9">
        <f t="shared" ref="H155" ca="1" si="4217">G155</f>
        <v>0</v>
      </c>
      <c r="I155" s="9">
        <f t="shared" ref="I155" ca="1" si="4218">H155</f>
        <v>0</v>
      </c>
      <c r="J155" s="9">
        <f t="shared" ref="J155" ca="1" si="4219">I155</f>
        <v>0</v>
      </c>
      <c r="K155" s="9">
        <f t="shared" ref="K155" ca="1" si="4220">J155</f>
        <v>0</v>
      </c>
      <c r="L155" s="9">
        <f t="shared" ref="L155" ca="1" si="4221">K155</f>
        <v>0</v>
      </c>
      <c r="M155" s="9">
        <f t="shared" ref="M155" ca="1" si="4222">L155</f>
        <v>0</v>
      </c>
      <c r="N155" s="9">
        <f t="shared" ref="N155" ca="1" si="4223">M155</f>
        <v>0</v>
      </c>
      <c r="O155" s="9">
        <f t="shared" ref="O155" ca="1" si="4224">N155</f>
        <v>0</v>
      </c>
      <c r="P155" s="435">
        <f t="shared" ref="P155" ca="1" si="4225">O155</f>
        <v>0</v>
      </c>
      <c r="Q155" s="9">
        <f t="shared" ref="Q155" ca="1" si="4226">P155</f>
        <v>0</v>
      </c>
      <c r="R155" s="9">
        <f t="shared" ref="R155" ca="1" si="4227">Q155</f>
        <v>0</v>
      </c>
      <c r="S155" s="9">
        <f t="shared" ref="S155" ca="1" si="4228">R155</f>
        <v>0</v>
      </c>
      <c r="T155" s="9">
        <f t="shared" ref="T155" ca="1" si="4229">S155</f>
        <v>0</v>
      </c>
      <c r="U155" s="9">
        <f t="shared" ref="U155" ca="1" si="4230">T155</f>
        <v>0</v>
      </c>
      <c r="V155" s="9">
        <f t="shared" ref="V155" ca="1" si="4231">U155</f>
        <v>0</v>
      </c>
      <c r="W155" s="9">
        <f t="shared" ref="W155" ca="1" si="4232">V155</f>
        <v>0</v>
      </c>
      <c r="X155" s="9">
        <f t="shared" ref="X155" ca="1" si="4233">W155</f>
        <v>0</v>
      </c>
      <c r="Y155" s="9">
        <f t="shared" ref="Y155" ca="1" si="4234">X155</f>
        <v>0</v>
      </c>
      <c r="Z155" s="9">
        <f t="shared" ref="Z155" ca="1" si="4235">Y155</f>
        <v>0</v>
      </c>
      <c r="AA155" s="9">
        <f t="shared" ref="AA155" ca="1" si="4236">Z155</f>
        <v>0</v>
      </c>
      <c r="AB155" s="9">
        <f t="shared" ref="AB155" ca="1" si="4237">AA155</f>
        <v>0</v>
      </c>
      <c r="AC155" s="435">
        <f t="shared" ref="AC155" ca="1" si="4238">AB155</f>
        <v>0</v>
      </c>
      <c r="AD155" s="9">
        <f t="shared" ref="AD155" ca="1" si="4239">AC155</f>
        <v>0</v>
      </c>
      <c r="AE155" s="9">
        <f t="shared" ref="AE155" ca="1" si="4240">AD155</f>
        <v>0</v>
      </c>
      <c r="AF155" s="9">
        <f t="shared" ref="AF155" ca="1" si="4241">AE155</f>
        <v>0</v>
      </c>
      <c r="AG155" s="9">
        <f t="shared" ref="AG155" ca="1" si="4242">AF155</f>
        <v>0</v>
      </c>
      <c r="AH155" s="9">
        <f t="shared" ref="AH155" ca="1" si="4243">AG155</f>
        <v>0</v>
      </c>
      <c r="AI155" s="9">
        <f t="shared" ref="AI155" ca="1" si="4244">AH155</f>
        <v>0</v>
      </c>
      <c r="AJ155" s="9">
        <f t="shared" ref="AJ155" ca="1" si="4245">AI155</f>
        <v>0</v>
      </c>
      <c r="AK155" s="9">
        <f t="shared" ref="AK155" ca="1" si="4246">AJ155</f>
        <v>0</v>
      </c>
      <c r="AL155" s="9">
        <f t="shared" ref="AL155" ca="1" si="4247">AK155</f>
        <v>0</v>
      </c>
      <c r="AM155" s="9">
        <f t="shared" ref="AM155" ca="1" si="4248">AL155</f>
        <v>0</v>
      </c>
      <c r="AN155" s="9">
        <f t="shared" ref="AN155" ca="1" si="4249">AM155</f>
        <v>0</v>
      </c>
      <c r="AO155" s="9">
        <f t="shared" ref="AO155" ca="1" si="4250">AN155</f>
        <v>0</v>
      </c>
      <c r="AP155" s="435">
        <f t="shared" ref="AP155" ca="1" si="4251">AO155</f>
        <v>0</v>
      </c>
      <c r="AQ155" s="9">
        <f ca="1">AP155</f>
        <v>0</v>
      </c>
      <c r="AR155" s="9">
        <f t="shared" ref="AR155" ca="1" si="4252">AQ155</f>
        <v>0</v>
      </c>
      <c r="AS155" s="9">
        <f t="shared" ref="AS155" ca="1" si="4253">AR155</f>
        <v>0</v>
      </c>
      <c r="AT155" s="9">
        <f t="shared" ref="AT155" ca="1" si="4254">AS155</f>
        <v>0</v>
      </c>
      <c r="AU155" s="9">
        <f t="shared" ref="AU155" ca="1" si="4255">AT155</f>
        <v>0</v>
      </c>
      <c r="AV155" s="9">
        <f t="shared" ref="AV155" ca="1" si="4256">AU155</f>
        <v>0</v>
      </c>
      <c r="AW155" s="9">
        <f t="shared" ref="AW155" ca="1" si="4257">AV155</f>
        <v>0</v>
      </c>
      <c r="AX155" s="9">
        <f t="shared" ref="AX155" ca="1" si="4258">AW155</f>
        <v>0</v>
      </c>
      <c r="AY155" s="9">
        <f t="shared" ref="AY155" ca="1" si="4259">AX155</f>
        <v>0</v>
      </c>
      <c r="AZ155" s="9">
        <f t="shared" ref="AZ155" ca="1" si="4260">AY155</f>
        <v>0</v>
      </c>
      <c r="BA155" s="9">
        <f t="shared" ref="BA155" ca="1" si="4261">AZ155</f>
        <v>0</v>
      </c>
      <c r="BB155" s="9">
        <f t="shared" ref="BB155" ca="1" si="4262">BA155</f>
        <v>0</v>
      </c>
      <c r="BC155" s="435">
        <f t="shared" ref="BC155" ca="1" si="4263">BB155</f>
        <v>0</v>
      </c>
      <c r="BD155" s="9">
        <f t="shared" ref="BD155" ca="1" si="4264">BC155</f>
        <v>0</v>
      </c>
      <c r="BE155" s="9">
        <f t="shared" ref="BE155" ca="1" si="4265">BD155</f>
        <v>0</v>
      </c>
      <c r="BF155" s="9">
        <f t="shared" ref="BF155" ca="1" si="4266">BE155</f>
        <v>0</v>
      </c>
      <c r="BG155" s="9">
        <f t="shared" ref="BG155" ca="1" si="4267">BF155</f>
        <v>0</v>
      </c>
      <c r="BH155" s="9">
        <f t="shared" ref="BH155" ca="1" si="4268">BG155</f>
        <v>0</v>
      </c>
      <c r="BI155" s="9">
        <f t="shared" ref="BI155" ca="1" si="4269">BH155</f>
        <v>0</v>
      </c>
      <c r="BJ155" s="9">
        <f t="shared" ref="BJ155" ca="1" si="4270">BI155</f>
        <v>0</v>
      </c>
      <c r="BK155" s="9">
        <f t="shared" ref="BK155" ca="1" si="4271">BJ155</f>
        <v>0</v>
      </c>
      <c r="BL155" s="9">
        <f t="shared" ref="BL155" ca="1" si="4272">BK155</f>
        <v>0</v>
      </c>
      <c r="BM155" s="9">
        <f t="shared" ref="BM155" ca="1" si="4273">BL155</f>
        <v>0</v>
      </c>
      <c r="BN155" s="9">
        <f t="shared" ref="BN155" ca="1" si="4274">BM155</f>
        <v>0</v>
      </c>
      <c r="BO155" s="9">
        <f t="shared" ref="BO155" ca="1" si="4275">BN155</f>
        <v>0</v>
      </c>
      <c r="BP155" s="435">
        <f t="shared" ref="BP155" ca="1" si="4276">BO155</f>
        <v>0</v>
      </c>
      <c r="BQ155" s="9">
        <f t="shared" ref="BQ155" ca="1" si="4277">BP155</f>
        <v>0</v>
      </c>
      <c r="BR155" s="9">
        <f t="shared" ref="BR155" ca="1" si="4278">BQ155</f>
        <v>0</v>
      </c>
      <c r="BS155" s="9">
        <f t="shared" ref="BS155" ca="1" si="4279">BR155</f>
        <v>0</v>
      </c>
      <c r="BT155" s="9">
        <f t="shared" ref="BT155" ca="1" si="4280">BS155</f>
        <v>0</v>
      </c>
      <c r="BU155" s="9">
        <f t="shared" ref="BU155" ca="1" si="4281">BT155</f>
        <v>0</v>
      </c>
      <c r="BV155" s="9">
        <f t="shared" ref="BV155" ca="1" si="4282">BU155</f>
        <v>0</v>
      </c>
      <c r="BW155" s="9">
        <f t="shared" ref="BW155" ca="1" si="4283">BV155</f>
        <v>0</v>
      </c>
      <c r="BX155" s="9">
        <f t="shared" ref="BX155" ca="1" si="4284">BW155</f>
        <v>0</v>
      </c>
      <c r="BY155" s="9">
        <f t="shared" ref="BY155" ca="1" si="4285">BX155</f>
        <v>0</v>
      </c>
      <c r="BZ155" s="9">
        <f t="shared" ref="BZ155" ca="1" si="4286">BY155</f>
        <v>0</v>
      </c>
      <c r="CA155" s="9">
        <f t="shared" ref="CA155" ca="1" si="4287">BZ155</f>
        <v>0</v>
      </c>
      <c r="CB155" s="9">
        <f t="shared" ref="CB155" ca="1" si="4288">CA155</f>
        <v>0</v>
      </c>
      <c r="CC155" s="435">
        <f t="shared" ref="CC155" ca="1" si="4289">CB155</f>
        <v>0</v>
      </c>
      <c r="CD155" s="9">
        <f t="shared" ref="CD155" ca="1" si="4290">CC155</f>
        <v>0</v>
      </c>
      <c r="CE155" s="9">
        <f t="shared" ref="CE155" ca="1" si="4291">CD155</f>
        <v>0</v>
      </c>
      <c r="CF155" s="9">
        <f t="shared" ref="CF155" ca="1" si="4292">CE155</f>
        <v>0</v>
      </c>
      <c r="CG155" s="9">
        <f t="shared" ref="CG155" ca="1" si="4293">CF155</f>
        <v>0</v>
      </c>
      <c r="CH155" s="9">
        <f t="shared" ref="CH155" ca="1" si="4294">CG155</f>
        <v>0</v>
      </c>
      <c r="CI155" s="9">
        <f t="shared" ref="CI155" ca="1" si="4295">CH155</f>
        <v>0</v>
      </c>
      <c r="CJ155" s="9">
        <f t="shared" ref="CJ155" ca="1" si="4296">CI155</f>
        <v>0</v>
      </c>
      <c r="CK155" s="9">
        <f t="shared" ref="CK155" ca="1" si="4297">CJ155</f>
        <v>0</v>
      </c>
      <c r="CL155" s="9">
        <f t="shared" ref="CL155" ca="1" si="4298">CK155</f>
        <v>0</v>
      </c>
      <c r="CM155" s="9">
        <f t="shared" ref="CM155" ca="1" si="4299">CL155</f>
        <v>0</v>
      </c>
      <c r="CN155" s="9">
        <f t="shared" ref="CN155" ca="1" si="4300">CM155</f>
        <v>0</v>
      </c>
      <c r="CO155" s="9">
        <f t="shared" ref="CO155" ca="1" si="4301">CN155</f>
        <v>0</v>
      </c>
      <c r="CP155" s="435">
        <f t="shared" ref="CP155" ca="1" si="4302">CO155</f>
        <v>0</v>
      </c>
    </row>
    <row r="156" spans="1:94" ht="20.100000000000001" hidden="1" customHeight="1">
      <c r="A156" s="794"/>
      <c r="B156" s="255" t="s">
        <v>615</v>
      </c>
      <c r="C156" s="256">
        <f t="shared" ref="C156:O156" ca="1" si="4303">C154*C155</f>
        <v>0</v>
      </c>
      <c r="D156" s="255">
        <f t="shared" ca="1" si="4303"/>
        <v>0</v>
      </c>
      <c r="E156" s="255">
        <f t="shared" ca="1" si="4303"/>
        <v>0</v>
      </c>
      <c r="F156" s="255">
        <f t="shared" ca="1" si="4303"/>
        <v>0</v>
      </c>
      <c r="G156" s="255">
        <f t="shared" ca="1" si="4303"/>
        <v>0</v>
      </c>
      <c r="H156" s="255">
        <f t="shared" ca="1" si="4303"/>
        <v>0</v>
      </c>
      <c r="I156" s="255">
        <f t="shared" ca="1" si="4303"/>
        <v>0</v>
      </c>
      <c r="J156" s="255">
        <f t="shared" ca="1" si="4303"/>
        <v>0</v>
      </c>
      <c r="K156" s="255">
        <f t="shared" ca="1" si="4303"/>
        <v>0</v>
      </c>
      <c r="L156" s="255">
        <f t="shared" ca="1" si="4303"/>
        <v>0</v>
      </c>
      <c r="M156" s="255">
        <f t="shared" ca="1" si="4303"/>
        <v>0</v>
      </c>
      <c r="N156" s="255">
        <f t="shared" ca="1" si="4303"/>
        <v>0</v>
      </c>
      <c r="O156" s="255">
        <f t="shared" ca="1" si="4303"/>
        <v>0</v>
      </c>
      <c r="P156" s="434">
        <f ca="1">SUM(D156:O156)</f>
        <v>0</v>
      </c>
      <c r="Q156" s="255">
        <f t="shared" ref="Q156:AB156" ca="1" si="4304">Q154*Q155</f>
        <v>0</v>
      </c>
      <c r="R156" s="255">
        <f t="shared" ca="1" si="4304"/>
        <v>0</v>
      </c>
      <c r="S156" s="255">
        <f t="shared" ca="1" si="4304"/>
        <v>0</v>
      </c>
      <c r="T156" s="255">
        <f t="shared" ca="1" si="4304"/>
        <v>0</v>
      </c>
      <c r="U156" s="255">
        <f t="shared" ca="1" si="4304"/>
        <v>0</v>
      </c>
      <c r="V156" s="255">
        <f t="shared" ca="1" si="4304"/>
        <v>0</v>
      </c>
      <c r="W156" s="255">
        <f t="shared" ca="1" si="4304"/>
        <v>0</v>
      </c>
      <c r="X156" s="255">
        <f t="shared" ca="1" si="4304"/>
        <v>0</v>
      </c>
      <c r="Y156" s="255">
        <f t="shared" ca="1" si="4304"/>
        <v>0</v>
      </c>
      <c r="Z156" s="255">
        <f t="shared" ca="1" si="4304"/>
        <v>0</v>
      </c>
      <c r="AA156" s="255">
        <f t="shared" ca="1" si="4304"/>
        <v>0</v>
      </c>
      <c r="AB156" s="255">
        <f t="shared" ca="1" si="4304"/>
        <v>0</v>
      </c>
      <c r="AC156" s="434">
        <f ca="1">SUM(Q156:AB156)</f>
        <v>0</v>
      </c>
      <c r="AD156" s="255">
        <f t="shared" ref="AD156:AO156" ca="1" si="4305">AD154*AD155</f>
        <v>0</v>
      </c>
      <c r="AE156" s="255">
        <f t="shared" ca="1" si="4305"/>
        <v>0</v>
      </c>
      <c r="AF156" s="255">
        <f t="shared" ca="1" si="4305"/>
        <v>0</v>
      </c>
      <c r="AG156" s="255">
        <f t="shared" ca="1" si="4305"/>
        <v>0</v>
      </c>
      <c r="AH156" s="255">
        <f t="shared" ca="1" si="4305"/>
        <v>0</v>
      </c>
      <c r="AI156" s="255">
        <f t="shared" ca="1" si="4305"/>
        <v>0</v>
      </c>
      <c r="AJ156" s="255">
        <f t="shared" ca="1" si="4305"/>
        <v>0</v>
      </c>
      <c r="AK156" s="255">
        <f t="shared" ca="1" si="4305"/>
        <v>0</v>
      </c>
      <c r="AL156" s="255">
        <f t="shared" ca="1" si="4305"/>
        <v>0</v>
      </c>
      <c r="AM156" s="255">
        <f t="shared" ca="1" si="4305"/>
        <v>0</v>
      </c>
      <c r="AN156" s="255">
        <f t="shared" ca="1" si="4305"/>
        <v>0</v>
      </c>
      <c r="AO156" s="255">
        <f t="shared" ca="1" si="4305"/>
        <v>0</v>
      </c>
      <c r="AP156" s="434">
        <f ca="1">SUM(AD156:AO156)</f>
        <v>0</v>
      </c>
      <c r="AQ156" s="255">
        <f t="shared" ref="AQ156:BB156" ca="1" si="4306">AQ154*AQ155</f>
        <v>0</v>
      </c>
      <c r="AR156" s="255">
        <f t="shared" ca="1" si="4306"/>
        <v>0</v>
      </c>
      <c r="AS156" s="255">
        <f t="shared" ca="1" si="4306"/>
        <v>0</v>
      </c>
      <c r="AT156" s="255">
        <f t="shared" ca="1" si="4306"/>
        <v>0</v>
      </c>
      <c r="AU156" s="255">
        <f t="shared" ca="1" si="4306"/>
        <v>0</v>
      </c>
      <c r="AV156" s="255">
        <f t="shared" ca="1" si="4306"/>
        <v>0</v>
      </c>
      <c r="AW156" s="255">
        <f t="shared" ca="1" si="4306"/>
        <v>0</v>
      </c>
      <c r="AX156" s="255">
        <f t="shared" ca="1" si="4306"/>
        <v>0</v>
      </c>
      <c r="AY156" s="255">
        <f t="shared" ca="1" si="4306"/>
        <v>0</v>
      </c>
      <c r="AZ156" s="255">
        <f t="shared" ca="1" si="4306"/>
        <v>0</v>
      </c>
      <c r="BA156" s="255">
        <f t="shared" ca="1" si="4306"/>
        <v>0</v>
      </c>
      <c r="BB156" s="255">
        <f t="shared" ca="1" si="4306"/>
        <v>0</v>
      </c>
      <c r="BC156" s="434">
        <f ca="1">SUM(AQ156:BB156)</f>
        <v>0</v>
      </c>
      <c r="BD156" s="255">
        <f t="shared" ref="BD156:BO156" ca="1" si="4307">BD154*BD155</f>
        <v>0</v>
      </c>
      <c r="BE156" s="255">
        <f t="shared" ca="1" si="4307"/>
        <v>0</v>
      </c>
      <c r="BF156" s="255">
        <f t="shared" ca="1" si="4307"/>
        <v>0</v>
      </c>
      <c r="BG156" s="255">
        <f t="shared" ca="1" si="4307"/>
        <v>0</v>
      </c>
      <c r="BH156" s="255">
        <f t="shared" ca="1" si="4307"/>
        <v>0</v>
      </c>
      <c r="BI156" s="255">
        <f t="shared" ca="1" si="4307"/>
        <v>0</v>
      </c>
      <c r="BJ156" s="255">
        <f t="shared" ca="1" si="4307"/>
        <v>0</v>
      </c>
      <c r="BK156" s="255">
        <f t="shared" ca="1" si="4307"/>
        <v>0</v>
      </c>
      <c r="BL156" s="255">
        <f t="shared" ca="1" si="4307"/>
        <v>0</v>
      </c>
      <c r="BM156" s="255">
        <f t="shared" ca="1" si="4307"/>
        <v>0</v>
      </c>
      <c r="BN156" s="255">
        <f t="shared" ca="1" si="4307"/>
        <v>0</v>
      </c>
      <c r="BO156" s="255">
        <f t="shared" ca="1" si="4307"/>
        <v>0</v>
      </c>
      <c r="BP156" s="434">
        <f ca="1">SUM(BD156:BO156)</f>
        <v>0</v>
      </c>
      <c r="BQ156" s="255">
        <f t="shared" ref="BQ156:CB156" ca="1" si="4308">BQ154*BQ155</f>
        <v>0</v>
      </c>
      <c r="BR156" s="255">
        <f t="shared" ca="1" si="4308"/>
        <v>0</v>
      </c>
      <c r="BS156" s="255">
        <f t="shared" ca="1" si="4308"/>
        <v>0</v>
      </c>
      <c r="BT156" s="255">
        <f t="shared" ca="1" si="4308"/>
        <v>0</v>
      </c>
      <c r="BU156" s="255">
        <f t="shared" ca="1" si="4308"/>
        <v>0</v>
      </c>
      <c r="BV156" s="255">
        <f t="shared" ca="1" si="4308"/>
        <v>0</v>
      </c>
      <c r="BW156" s="255">
        <f t="shared" ca="1" si="4308"/>
        <v>0</v>
      </c>
      <c r="BX156" s="255">
        <f t="shared" ca="1" si="4308"/>
        <v>0</v>
      </c>
      <c r="BY156" s="255">
        <f t="shared" ca="1" si="4308"/>
        <v>0</v>
      </c>
      <c r="BZ156" s="255">
        <f t="shared" ca="1" si="4308"/>
        <v>0</v>
      </c>
      <c r="CA156" s="255">
        <f t="shared" ca="1" si="4308"/>
        <v>0</v>
      </c>
      <c r="CB156" s="255">
        <f t="shared" ca="1" si="4308"/>
        <v>0</v>
      </c>
      <c r="CC156" s="434">
        <f ca="1">SUM(BQ156:CB156)</f>
        <v>0</v>
      </c>
      <c r="CD156" s="255">
        <f t="shared" ref="CD156:CO156" ca="1" si="4309">CD154*CD155</f>
        <v>0</v>
      </c>
      <c r="CE156" s="255">
        <f t="shared" ca="1" si="4309"/>
        <v>0</v>
      </c>
      <c r="CF156" s="255">
        <f t="shared" ca="1" si="4309"/>
        <v>0</v>
      </c>
      <c r="CG156" s="255">
        <f t="shared" ca="1" si="4309"/>
        <v>0</v>
      </c>
      <c r="CH156" s="255">
        <f t="shared" ca="1" si="4309"/>
        <v>0</v>
      </c>
      <c r="CI156" s="255">
        <f t="shared" ca="1" si="4309"/>
        <v>0</v>
      </c>
      <c r="CJ156" s="255">
        <f t="shared" ca="1" si="4309"/>
        <v>0</v>
      </c>
      <c r="CK156" s="255">
        <f t="shared" ca="1" si="4309"/>
        <v>0</v>
      </c>
      <c r="CL156" s="255">
        <f t="shared" ca="1" si="4309"/>
        <v>0</v>
      </c>
      <c r="CM156" s="255">
        <f t="shared" ca="1" si="4309"/>
        <v>0</v>
      </c>
      <c r="CN156" s="255">
        <f t="shared" ca="1" si="4309"/>
        <v>0</v>
      </c>
      <c r="CO156" s="255">
        <f t="shared" ca="1" si="4309"/>
        <v>0</v>
      </c>
      <c r="CP156" s="434">
        <f ca="1">SUM(CD156:CO156)</f>
        <v>0</v>
      </c>
    </row>
    <row r="157" spans="1:94" ht="20.100000000000001" hidden="1" customHeight="1">
      <c r="A157" s="792">
        <f ca="1">OFFSET('Summary. Assumptions. Inputs'!$A$45,'Internmediate sheet'!A62/3,0)</f>
        <v>0</v>
      </c>
      <c r="B157" s="19" t="s">
        <v>613</v>
      </c>
      <c r="C157" s="20">
        <f ca="1">OFFSET('Sales, Production, &amp; Other Assu'!C$54,'Internmediate sheet'!$A62/3,0)*Capacity</f>
        <v>0</v>
      </c>
      <c r="D157" s="19">
        <f ca="1">OFFSET('Sales, Production, &amp; Other Assu'!D$54,'Internmediate sheet'!$A62/3,0)*Capacity</f>
        <v>0</v>
      </c>
      <c r="E157" s="19">
        <f ca="1">OFFSET('Sales, Production, &amp; Other Assu'!E$54,'Internmediate sheet'!$A62/3,0)*Capacity</f>
        <v>0</v>
      </c>
      <c r="F157" s="19">
        <f ca="1">OFFSET('Sales, Production, &amp; Other Assu'!F$54,'Internmediate sheet'!$A62/3,0)*Capacity</f>
        <v>0</v>
      </c>
      <c r="G157" s="19">
        <f ca="1">OFFSET('Sales, Production, &amp; Other Assu'!G$54,'Internmediate sheet'!$A62/3,0)*Capacity</f>
        <v>0</v>
      </c>
      <c r="H157" s="19">
        <f ca="1">OFFSET('Sales, Production, &amp; Other Assu'!H$54,'Internmediate sheet'!$A62/3,0)*Capacity</f>
        <v>0</v>
      </c>
      <c r="I157" s="19">
        <f ca="1">OFFSET('Sales, Production, &amp; Other Assu'!I$54,'Internmediate sheet'!$A62/3,0)*Capacity</f>
        <v>0</v>
      </c>
      <c r="J157" s="19">
        <f ca="1">OFFSET('Sales, Production, &amp; Other Assu'!J$54,'Internmediate sheet'!$A62/3,0)*Capacity</f>
        <v>0</v>
      </c>
      <c r="K157" s="19">
        <f ca="1">OFFSET('Sales, Production, &amp; Other Assu'!K$54,'Internmediate sheet'!$A62/3,0)*Capacity</f>
        <v>0</v>
      </c>
      <c r="L157" s="19">
        <f ca="1">OFFSET('Sales, Production, &amp; Other Assu'!L$54,'Internmediate sheet'!$A62/3,0)*Capacity</f>
        <v>0</v>
      </c>
      <c r="M157" s="19">
        <f ca="1">OFFSET('Sales, Production, &amp; Other Assu'!M$54,'Internmediate sheet'!$A62/3,0)*Capacity</f>
        <v>0</v>
      </c>
      <c r="N157" s="19">
        <f ca="1">OFFSET('Sales, Production, &amp; Other Assu'!N$54,'Internmediate sheet'!$A62/3,0)*Capacity</f>
        <v>0</v>
      </c>
      <c r="O157" s="19">
        <f ca="1">OFFSET('Sales, Production, &amp; Other Assu'!O$54,'Internmediate sheet'!$A62/3,0)*Capacity</f>
        <v>0</v>
      </c>
      <c r="P157" s="434">
        <f ca="1">SUM(D157:O157)</f>
        <v>0</v>
      </c>
      <c r="Q157" s="19">
        <f ca="1">OFFSET('Sales, Production, &amp; Other Assu'!Q$54,'Internmediate sheet'!$A62/3,0)*Capacity</f>
        <v>0</v>
      </c>
      <c r="R157" s="19">
        <f ca="1">OFFSET('Sales, Production, &amp; Other Assu'!R$54,'Internmediate sheet'!$A62/3,0)*Capacity</f>
        <v>0</v>
      </c>
      <c r="S157" s="19">
        <f ca="1">OFFSET('Sales, Production, &amp; Other Assu'!S$54,'Internmediate sheet'!$A62/3,0)*Capacity</f>
        <v>0</v>
      </c>
      <c r="T157" s="19">
        <f ca="1">OFFSET('Sales, Production, &amp; Other Assu'!T$54,'Internmediate sheet'!$A62/3,0)*Capacity</f>
        <v>0</v>
      </c>
      <c r="U157" s="19">
        <f ca="1">OFFSET('Sales, Production, &amp; Other Assu'!U$54,'Internmediate sheet'!$A62/3,0)*Capacity</f>
        <v>0</v>
      </c>
      <c r="V157" s="19">
        <f ca="1">OFFSET('Sales, Production, &amp; Other Assu'!V$54,'Internmediate sheet'!$A62/3,0)*Capacity</f>
        <v>0</v>
      </c>
      <c r="W157" s="19">
        <f ca="1">OFFSET('Sales, Production, &amp; Other Assu'!W$54,'Internmediate sheet'!$A62/3,0)*Capacity</f>
        <v>0</v>
      </c>
      <c r="X157" s="19">
        <f ca="1">OFFSET('Sales, Production, &amp; Other Assu'!X$54,'Internmediate sheet'!$A62/3,0)*Capacity</f>
        <v>0</v>
      </c>
      <c r="Y157" s="19">
        <f ca="1">OFFSET('Sales, Production, &amp; Other Assu'!Y$54,'Internmediate sheet'!$A62/3,0)*Capacity</f>
        <v>0</v>
      </c>
      <c r="Z157" s="19">
        <f ca="1">OFFSET('Sales, Production, &amp; Other Assu'!Z$54,'Internmediate sheet'!$A62/3,0)*Capacity</f>
        <v>0</v>
      </c>
      <c r="AA157" s="19">
        <f ca="1">OFFSET('Sales, Production, &amp; Other Assu'!AA$54,'Internmediate sheet'!$A62/3,0)*Capacity</f>
        <v>0</v>
      </c>
      <c r="AB157" s="19">
        <f ca="1">OFFSET('Sales, Production, &amp; Other Assu'!AB$54,'Internmediate sheet'!$A62/3,0)*Capacity</f>
        <v>0</v>
      </c>
      <c r="AC157" s="434">
        <f ca="1">SUM(Q157:AB157)</f>
        <v>0</v>
      </c>
      <c r="AD157" s="19">
        <f ca="1">OFFSET('Sales, Production, &amp; Other Assu'!AD$54,'Internmediate sheet'!$A62/3,0)*Capacity</f>
        <v>0</v>
      </c>
      <c r="AE157" s="19">
        <f ca="1">OFFSET('Sales, Production, &amp; Other Assu'!AE$54,'Internmediate sheet'!$A62/3,0)*Capacity</f>
        <v>0</v>
      </c>
      <c r="AF157" s="19">
        <f ca="1">OFFSET('Sales, Production, &amp; Other Assu'!AF$54,'Internmediate sheet'!$A62/3,0)*Capacity</f>
        <v>0</v>
      </c>
      <c r="AG157" s="19">
        <f ca="1">OFFSET('Sales, Production, &amp; Other Assu'!AG$54,'Internmediate sheet'!$A62/3,0)*Capacity</f>
        <v>0</v>
      </c>
      <c r="AH157" s="19">
        <f ca="1">OFFSET('Sales, Production, &amp; Other Assu'!AH$54,'Internmediate sheet'!$A62/3,0)*Capacity</f>
        <v>0</v>
      </c>
      <c r="AI157" s="19">
        <f ca="1">OFFSET('Sales, Production, &amp; Other Assu'!AI$54,'Internmediate sheet'!$A62/3,0)*Capacity</f>
        <v>0</v>
      </c>
      <c r="AJ157" s="19">
        <f ca="1">OFFSET('Sales, Production, &amp; Other Assu'!AJ$54,'Internmediate sheet'!$A62/3,0)*Capacity</f>
        <v>0</v>
      </c>
      <c r="AK157" s="19">
        <f ca="1">OFFSET('Sales, Production, &amp; Other Assu'!AK$54,'Internmediate sheet'!$A62/3,0)*Capacity</f>
        <v>0</v>
      </c>
      <c r="AL157" s="19">
        <f ca="1">OFFSET('Sales, Production, &amp; Other Assu'!AL$54,'Internmediate sheet'!$A62/3,0)*Capacity</f>
        <v>0</v>
      </c>
      <c r="AM157" s="19">
        <f ca="1">OFFSET('Sales, Production, &amp; Other Assu'!AM$54,'Internmediate sheet'!$A62/3,0)*Capacity</f>
        <v>0</v>
      </c>
      <c r="AN157" s="19">
        <f ca="1">OFFSET('Sales, Production, &amp; Other Assu'!AN$54,'Internmediate sheet'!$A62/3,0)*Capacity</f>
        <v>0</v>
      </c>
      <c r="AO157" s="19">
        <f ca="1">OFFSET('Sales, Production, &amp; Other Assu'!AO$54,'Internmediate sheet'!$A62/3,0)*Capacity</f>
        <v>0</v>
      </c>
      <c r="AP157" s="434">
        <f ca="1">SUM(AD157:AO157)</f>
        <v>0</v>
      </c>
      <c r="AQ157" s="19">
        <f ca="1">OFFSET('Sales, Production, &amp; Other Assu'!AQ$54,'Internmediate sheet'!$A62/3,0)*Capacity</f>
        <v>0</v>
      </c>
      <c r="AR157" s="19">
        <f ca="1">OFFSET('Sales, Production, &amp; Other Assu'!AR$54,'Internmediate sheet'!$A62/3,0)*Capacity</f>
        <v>0</v>
      </c>
      <c r="AS157" s="19">
        <f ca="1">OFFSET('Sales, Production, &amp; Other Assu'!AS$54,'Internmediate sheet'!$A62/3,0)*Capacity</f>
        <v>0</v>
      </c>
      <c r="AT157" s="19">
        <f ca="1">OFFSET('Sales, Production, &amp; Other Assu'!AT$54,'Internmediate sheet'!$A62/3,0)*Capacity</f>
        <v>0</v>
      </c>
      <c r="AU157" s="19">
        <f ca="1">OFFSET('Sales, Production, &amp; Other Assu'!AU$54,'Internmediate sheet'!$A62/3,0)*Capacity</f>
        <v>0</v>
      </c>
      <c r="AV157" s="19">
        <f ca="1">OFFSET('Sales, Production, &amp; Other Assu'!AV$54,'Internmediate sheet'!$A62/3,0)*Capacity</f>
        <v>0</v>
      </c>
      <c r="AW157" s="19">
        <f ca="1">OFFSET('Sales, Production, &amp; Other Assu'!AW$54,'Internmediate sheet'!$A62/3,0)*Capacity</f>
        <v>0</v>
      </c>
      <c r="AX157" s="19">
        <f ca="1">OFFSET('Sales, Production, &amp; Other Assu'!AX$54,'Internmediate sheet'!$A62/3,0)*Capacity</f>
        <v>0</v>
      </c>
      <c r="AY157" s="19">
        <f ca="1">OFFSET('Sales, Production, &amp; Other Assu'!AY$54,'Internmediate sheet'!$A62/3,0)*Capacity</f>
        <v>0</v>
      </c>
      <c r="AZ157" s="19">
        <f ca="1">OFFSET('Sales, Production, &amp; Other Assu'!AZ$54,'Internmediate sheet'!$A62/3,0)*Capacity</f>
        <v>0</v>
      </c>
      <c r="BA157" s="19">
        <f ca="1">OFFSET('Sales, Production, &amp; Other Assu'!BA$54,'Internmediate sheet'!$A62/3,0)*Capacity</f>
        <v>0</v>
      </c>
      <c r="BB157" s="19">
        <f ca="1">OFFSET('Sales, Production, &amp; Other Assu'!BB$54,'Internmediate sheet'!$A62/3,0)*Capacity</f>
        <v>0</v>
      </c>
      <c r="BC157" s="434">
        <f ca="1">SUM(AQ157:BB157)</f>
        <v>0</v>
      </c>
      <c r="BD157" s="19">
        <f ca="1">OFFSET('Sales, Production, &amp; Other Assu'!BD$54,'Internmediate sheet'!$A62/3,0)*Capacity</f>
        <v>0</v>
      </c>
      <c r="BE157" s="19">
        <f ca="1">OFFSET('Sales, Production, &amp; Other Assu'!BE$54,'Internmediate sheet'!$A62/3,0)*Capacity</f>
        <v>0</v>
      </c>
      <c r="BF157" s="19">
        <f ca="1">OFFSET('Sales, Production, &amp; Other Assu'!BF$54,'Internmediate sheet'!$A62/3,0)*Capacity</f>
        <v>0</v>
      </c>
      <c r="BG157" s="19">
        <f ca="1">OFFSET('Sales, Production, &amp; Other Assu'!BG$54,'Internmediate sheet'!$A62/3,0)*Capacity</f>
        <v>0</v>
      </c>
      <c r="BH157" s="19">
        <f ca="1">OFFSET('Sales, Production, &amp; Other Assu'!BH$54,'Internmediate sheet'!$A62/3,0)*Capacity</f>
        <v>0</v>
      </c>
      <c r="BI157" s="19">
        <f ca="1">OFFSET('Sales, Production, &amp; Other Assu'!BI$54,'Internmediate sheet'!$A62/3,0)*Capacity</f>
        <v>0</v>
      </c>
      <c r="BJ157" s="19">
        <f ca="1">OFFSET('Sales, Production, &amp; Other Assu'!BJ$54,'Internmediate sheet'!$A62/3,0)*Capacity</f>
        <v>0</v>
      </c>
      <c r="BK157" s="19">
        <f ca="1">OFFSET('Sales, Production, &amp; Other Assu'!BK$54,'Internmediate sheet'!$A62/3,0)*Capacity</f>
        <v>0</v>
      </c>
      <c r="BL157" s="19">
        <f ca="1">OFFSET('Sales, Production, &amp; Other Assu'!BL$54,'Internmediate sheet'!$A62/3,0)*Capacity</f>
        <v>0</v>
      </c>
      <c r="BM157" s="19">
        <f ca="1">OFFSET('Sales, Production, &amp; Other Assu'!BM$54,'Internmediate sheet'!$A62/3,0)*Capacity</f>
        <v>0</v>
      </c>
      <c r="BN157" s="19">
        <f ca="1">OFFSET('Sales, Production, &amp; Other Assu'!BN$54,'Internmediate sheet'!$A62/3,0)*Capacity</f>
        <v>0</v>
      </c>
      <c r="BO157" s="19">
        <f ca="1">OFFSET('Sales, Production, &amp; Other Assu'!BO$54,'Internmediate sheet'!$A62/3,0)*Capacity</f>
        <v>0</v>
      </c>
      <c r="BP157" s="434">
        <f ca="1">SUM(BD157:BO157)</f>
        <v>0</v>
      </c>
      <c r="BQ157" s="19">
        <f ca="1">OFFSET('Sales, Production, &amp; Other Assu'!BQ$54,'Internmediate sheet'!$A62/3,0)*Capacity</f>
        <v>0</v>
      </c>
      <c r="BR157" s="19">
        <f ca="1">OFFSET('Sales, Production, &amp; Other Assu'!BR$54,'Internmediate sheet'!$A62/3,0)*Capacity</f>
        <v>0</v>
      </c>
      <c r="BS157" s="19">
        <f ca="1">OFFSET('Sales, Production, &amp; Other Assu'!BS$54,'Internmediate sheet'!$A62/3,0)*Capacity</f>
        <v>0</v>
      </c>
      <c r="BT157" s="19">
        <f ca="1">OFFSET('Sales, Production, &amp; Other Assu'!BT$54,'Internmediate sheet'!$A62/3,0)*Capacity</f>
        <v>0</v>
      </c>
      <c r="BU157" s="19">
        <f ca="1">OFFSET('Sales, Production, &amp; Other Assu'!BU$54,'Internmediate sheet'!$A62/3,0)*Capacity</f>
        <v>0</v>
      </c>
      <c r="BV157" s="19">
        <f ca="1">OFFSET('Sales, Production, &amp; Other Assu'!BV$54,'Internmediate sheet'!$A62/3,0)*Capacity</f>
        <v>0</v>
      </c>
      <c r="BW157" s="19">
        <f ca="1">OFFSET('Sales, Production, &amp; Other Assu'!BW$54,'Internmediate sheet'!$A62/3,0)*Capacity</f>
        <v>0</v>
      </c>
      <c r="BX157" s="19">
        <f ca="1">OFFSET('Sales, Production, &amp; Other Assu'!BX$54,'Internmediate sheet'!$A62/3,0)*Capacity</f>
        <v>0</v>
      </c>
      <c r="BY157" s="19">
        <f ca="1">OFFSET('Sales, Production, &amp; Other Assu'!BY$54,'Internmediate sheet'!$A62/3,0)*Capacity</f>
        <v>0</v>
      </c>
      <c r="BZ157" s="19">
        <f ca="1">OFFSET('Sales, Production, &amp; Other Assu'!BZ$54,'Internmediate sheet'!$A62/3,0)*Capacity</f>
        <v>0</v>
      </c>
      <c r="CA157" s="19">
        <f ca="1">OFFSET('Sales, Production, &amp; Other Assu'!CA$54,'Internmediate sheet'!$A62/3,0)*Capacity</f>
        <v>0</v>
      </c>
      <c r="CB157" s="19">
        <f ca="1">OFFSET('Sales, Production, &amp; Other Assu'!CB$54,'Internmediate sheet'!$A62/3,0)*Capacity</f>
        <v>0</v>
      </c>
      <c r="CC157" s="434">
        <f ca="1">SUM(BQ157:CB157)</f>
        <v>0</v>
      </c>
      <c r="CD157" s="19">
        <f ca="1">OFFSET('Sales, Production, &amp; Other Assu'!CD$54,'Internmediate sheet'!$A62/3,0)*Capacity</f>
        <v>0</v>
      </c>
      <c r="CE157" s="19">
        <f ca="1">OFFSET('Sales, Production, &amp; Other Assu'!CE$54,'Internmediate sheet'!$A62/3,0)*Capacity</f>
        <v>0</v>
      </c>
      <c r="CF157" s="19">
        <f ca="1">OFFSET('Sales, Production, &amp; Other Assu'!CF$54,'Internmediate sheet'!$A62/3,0)*Capacity</f>
        <v>0</v>
      </c>
      <c r="CG157" s="19">
        <f ca="1">OFFSET('Sales, Production, &amp; Other Assu'!CG$54,'Internmediate sheet'!$A62/3,0)*Capacity</f>
        <v>0</v>
      </c>
      <c r="CH157" s="19">
        <f ca="1">OFFSET('Sales, Production, &amp; Other Assu'!CH$54,'Internmediate sheet'!$A62/3,0)*Capacity</f>
        <v>0</v>
      </c>
      <c r="CI157" s="19">
        <f ca="1">OFFSET('Sales, Production, &amp; Other Assu'!CI$54,'Internmediate sheet'!$A62/3,0)*Capacity</f>
        <v>0</v>
      </c>
      <c r="CJ157" s="19">
        <f ca="1">OFFSET('Sales, Production, &amp; Other Assu'!CJ$54,'Internmediate sheet'!$A62/3,0)*Capacity</f>
        <v>0</v>
      </c>
      <c r="CK157" s="19">
        <f ca="1">OFFSET('Sales, Production, &amp; Other Assu'!CK$54,'Internmediate sheet'!$A62/3,0)*Capacity</f>
        <v>0</v>
      </c>
      <c r="CL157" s="19">
        <f ca="1">OFFSET('Sales, Production, &amp; Other Assu'!CL$54,'Internmediate sheet'!$A62/3,0)*Capacity</f>
        <v>0</v>
      </c>
      <c r="CM157" s="19">
        <f ca="1">OFFSET('Sales, Production, &amp; Other Assu'!CM$54,'Internmediate sheet'!$A62/3,0)*Capacity</f>
        <v>0</v>
      </c>
      <c r="CN157" s="19">
        <f ca="1">OFFSET('Sales, Production, &amp; Other Assu'!CN$54,'Internmediate sheet'!$A62/3,0)*Capacity</f>
        <v>0</v>
      </c>
      <c r="CO157" s="19">
        <f ca="1">OFFSET('Sales, Production, &amp; Other Assu'!CO$54,'Internmediate sheet'!$A62/3,0)*Capacity</f>
        <v>0</v>
      </c>
      <c r="CP157" s="434">
        <f ca="1">SUM(CD157:CO157)</f>
        <v>0</v>
      </c>
    </row>
    <row r="158" spans="1:94" ht="20.100000000000001" hidden="1" customHeight="1">
      <c r="A158" s="793"/>
      <c r="B158" s="9" t="s">
        <v>614</v>
      </c>
      <c r="C158" s="10">
        <f ca="1">OFFSET('BEP. &amp; Summary Results'!$C$6,'Internmediate sheet'!A59/3,0)</f>
        <v>0</v>
      </c>
      <c r="D158" s="9">
        <f t="shared" ref="D158" ca="1" si="4310">C158</f>
        <v>0</v>
      </c>
      <c r="E158" s="9">
        <f t="shared" ref="E158" ca="1" si="4311">D158</f>
        <v>0</v>
      </c>
      <c r="F158" s="9">
        <f t="shared" ref="F158" ca="1" si="4312">E158</f>
        <v>0</v>
      </c>
      <c r="G158" s="9">
        <f t="shared" ref="G158" ca="1" si="4313">F158</f>
        <v>0</v>
      </c>
      <c r="H158" s="9">
        <f t="shared" ref="H158" ca="1" si="4314">G158</f>
        <v>0</v>
      </c>
      <c r="I158" s="9">
        <f t="shared" ref="I158" ca="1" si="4315">H158</f>
        <v>0</v>
      </c>
      <c r="J158" s="9">
        <f t="shared" ref="J158" ca="1" si="4316">I158</f>
        <v>0</v>
      </c>
      <c r="K158" s="9">
        <f t="shared" ref="K158" ca="1" si="4317">J158</f>
        <v>0</v>
      </c>
      <c r="L158" s="9">
        <f t="shared" ref="L158" ca="1" si="4318">K158</f>
        <v>0</v>
      </c>
      <c r="M158" s="9">
        <f t="shared" ref="M158" ca="1" si="4319">L158</f>
        <v>0</v>
      </c>
      <c r="N158" s="9">
        <f t="shared" ref="N158" ca="1" si="4320">M158</f>
        <v>0</v>
      </c>
      <c r="O158" s="9">
        <f t="shared" ref="O158" ca="1" si="4321">N158</f>
        <v>0</v>
      </c>
      <c r="P158" s="435">
        <f t="shared" ref="P158" ca="1" si="4322">O158</f>
        <v>0</v>
      </c>
      <c r="Q158" s="9">
        <f t="shared" ref="Q158" ca="1" si="4323">P158</f>
        <v>0</v>
      </c>
      <c r="R158" s="9">
        <f t="shared" ref="R158" ca="1" si="4324">Q158</f>
        <v>0</v>
      </c>
      <c r="S158" s="9">
        <f t="shared" ref="S158" ca="1" si="4325">R158</f>
        <v>0</v>
      </c>
      <c r="T158" s="9">
        <f t="shared" ref="T158" ca="1" si="4326">S158</f>
        <v>0</v>
      </c>
      <c r="U158" s="9">
        <f t="shared" ref="U158" ca="1" si="4327">T158</f>
        <v>0</v>
      </c>
      <c r="V158" s="9">
        <f t="shared" ref="V158" ca="1" si="4328">U158</f>
        <v>0</v>
      </c>
      <c r="W158" s="9">
        <f t="shared" ref="W158" ca="1" si="4329">V158</f>
        <v>0</v>
      </c>
      <c r="X158" s="9">
        <f t="shared" ref="X158" ca="1" si="4330">W158</f>
        <v>0</v>
      </c>
      <c r="Y158" s="9">
        <f t="shared" ref="Y158" ca="1" si="4331">X158</f>
        <v>0</v>
      </c>
      <c r="Z158" s="9">
        <f t="shared" ref="Z158" ca="1" si="4332">Y158</f>
        <v>0</v>
      </c>
      <c r="AA158" s="9">
        <f t="shared" ref="AA158" ca="1" si="4333">Z158</f>
        <v>0</v>
      </c>
      <c r="AB158" s="9">
        <f t="shared" ref="AB158" ca="1" si="4334">AA158</f>
        <v>0</v>
      </c>
      <c r="AC158" s="435">
        <f t="shared" ref="AC158" ca="1" si="4335">AB158</f>
        <v>0</v>
      </c>
      <c r="AD158" s="9">
        <f t="shared" ref="AD158" ca="1" si="4336">AC158</f>
        <v>0</v>
      </c>
      <c r="AE158" s="9">
        <f t="shared" ref="AE158" ca="1" si="4337">AD158</f>
        <v>0</v>
      </c>
      <c r="AF158" s="9">
        <f t="shared" ref="AF158" ca="1" si="4338">AE158</f>
        <v>0</v>
      </c>
      <c r="AG158" s="9">
        <f t="shared" ref="AG158" ca="1" si="4339">AF158</f>
        <v>0</v>
      </c>
      <c r="AH158" s="9">
        <f t="shared" ref="AH158" ca="1" si="4340">AG158</f>
        <v>0</v>
      </c>
      <c r="AI158" s="9">
        <f t="shared" ref="AI158" ca="1" si="4341">AH158</f>
        <v>0</v>
      </c>
      <c r="AJ158" s="9">
        <f t="shared" ref="AJ158" ca="1" si="4342">AI158</f>
        <v>0</v>
      </c>
      <c r="AK158" s="9">
        <f t="shared" ref="AK158" ca="1" si="4343">AJ158</f>
        <v>0</v>
      </c>
      <c r="AL158" s="9">
        <f t="shared" ref="AL158" ca="1" si="4344">AK158</f>
        <v>0</v>
      </c>
      <c r="AM158" s="9">
        <f t="shared" ref="AM158" ca="1" si="4345">AL158</f>
        <v>0</v>
      </c>
      <c r="AN158" s="9">
        <f t="shared" ref="AN158" ca="1" si="4346">AM158</f>
        <v>0</v>
      </c>
      <c r="AO158" s="9">
        <f t="shared" ref="AO158" ca="1" si="4347">AN158</f>
        <v>0</v>
      </c>
      <c r="AP158" s="435">
        <f t="shared" ref="AP158" ca="1" si="4348">AO158</f>
        <v>0</v>
      </c>
      <c r="AQ158" s="9">
        <f ca="1">AP158</f>
        <v>0</v>
      </c>
      <c r="AR158" s="9">
        <f t="shared" ref="AR158" ca="1" si="4349">AQ158</f>
        <v>0</v>
      </c>
      <c r="AS158" s="9">
        <f t="shared" ref="AS158" ca="1" si="4350">AR158</f>
        <v>0</v>
      </c>
      <c r="AT158" s="9">
        <f t="shared" ref="AT158" ca="1" si="4351">AS158</f>
        <v>0</v>
      </c>
      <c r="AU158" s="9">
        <f t="shared" ref="AU158" ca="1" si="4352">AT158</f>
        <v>0</v>
      </c>
      <c r="AV158" s="9">
        <f t="shared" ref="AV158" ca="1" si="4353">AU158</f>
        <v>0</v>
      </c>
      <c r="AW158" s="9">
        <f t="shared" ref="AW158" ca="1" si="4354">AV158</f>
        <v>0</v>
      </c>
      <c r="AX158" s="9">
        <f t="shared" ref="AX158" ca="1" si="4355">AW158</f>
        <v>0</v>
      </c>
      <c r="AY158" s="9">
        <f t="shared" ref="AY158" ca="1" si="4356">AX158</f>
        <v>0</v>
      </c>
      <c r="AZ158" s="9">
        <f t="shared" ref="AZ158" ca="1" si="4357">AY158</f>
        <v>0</v>
      </c>
      <c r="BA158" s="9">
        <f t="shared" ref="BA158" ca="1" si="4358">AZ158</f>
        <v>0</v>
      </c>
      <c r="BB158" s="9">
        <f t="shared" ref="BB158" ca="1" si="4359">BA158</f>
        <v>0</v>
      </c>
      <c r="BC158" s="435">
        <f t="shared" ref="BC158" ca="1" si="4360">BB158</f>
        <v>0</v>
      </c>
      <c r="BD158" s="9">
        <f t="shared" ref="BD158" ca="1" si="4361">BC158</f>
        <v>0</v>
      </c>
      <c r="BE158" s="9">
        <f t="shared" ref="BE158" ca="1" si="4362">BD158</f>
        <v>0</v>
      </c>
      <c r="BF158" s="9">
        <f t="shared" ref="BF158" ca="1" si="4363">BE158</f>
        <v>0</v>
      </c>
      <c r="BG158" s="9">
        <f t="shared" ref="BG158" ca="1" si="4364">BF158</f>
        <v>0</v>
      </c>
      <c r="BH158" s="9">
        <f t="shared" ref="BH158" ca="1" si="4365">BG158</f>
        <v>0</v>
      </c>
      <c r="BI158" s="9">
        <f t="shared" ref="BI158" ca="1" si="4366">BH158</f>
        <v>0</v>
      </c>
      <c r="BJ158" s="9">
        <f t="shared" ref="BJ158" ca="1" si="4367">BI158</f>
        <v>0</v>
      </c>
      <c r="BK158" s="9">
        <f t="shared" ref="BK158" ca="1" si="4368">BJ158</f>
        <v>0</v>
      </c>
      <c r="BL158" s="9">
        <f t="shared" ref="BL158" ca="1" si="4369">BK158</f>
        <v>0</v>
      </c>
      <c r="BM158" s="9">
        <f t="shared" ref="BM158" ca="1" si="4370">BL158</f>
        <v>0</v>
      </c>
      <c r="BN158" s="9">
        <f t="shared" ref="BN158" ca="1" si="4371">BM158</f>
        <v>0</v>
      </c>
      <c r="BO158" s="9">
        <f t="shared" ref="BO158" ca="1" si="4372">BN158</f>
        <v>0</v>
      </c>
      <c r="BP158" s="435">
        <f t="shared" ref="BP158" ca="1" si="4373">BO158</f>
        <v>0</v>
      </c>
      <c r="BQ158" s="9">
        <f t="shared" ref="BQ158" ca="1" si="4374">BP158</f>
        <v>0</v>
      </c>
      <c r="BR158" s="9">
        <f t="shared" ref="BR158" ca="1" si="4375">BQ158</f>
        <v>0</v>
      </c>
      <c r="BS158" s="9">
        <f t="shared" ref="BS158" ca="1" si="4376">BR158</f>
        <v>0</v>
      </c>
      <c r="BT158" s="9">
        <f t="shared" ref="BT158" ca="1" si="4377">BS158</f>
        <v>0</v>
      </c>
      <c r="BU158" s="9">
        <f t="shared" ref="BU158" ca="1" si="4378">BT158</f>
        <v>0</v>
      </c>
      <c r="BV158" s="9">
        <f t="shared" ref="BV158" ca="1" si="4379">BU158</f>
        <v>0</v>
      </c>
      <c r="BW158" s="9">
        <f t="shared" ref="BW158" ca="1" si="4380">BV158</f>
        <v>0</v>
      </c>
      <c r="BX158" s="9">
        <f t="shared" ref="BX158" ca="1" si="4381">BW158</f>
        <v>0</v>
      </c>
      <c r="BY158" s="9">
        <f t="shared" ref="BY158" ca="1" si="4382">BX158</f>
        <v>0</v>
      </c>
      <c r="BZ158" s="9">
        <f t="shared" ref="BZ158" ca="1" si="4383">BY158</f>
        <v>0</v>
      </c>
      <c r="CA158" s="9">
        <f t="shared" ref="CA158" ca="1" si="4384">BZ158</f>
        <v>0</v>
      </c>
      <c r="CB158" s="9">
        <f t="shared" ref="CB158" ca="1" si="4385">CA158</f>
        <v>0</v>
      </c>
      <c r="CC158" s="435">
        <f t="shared" ref="CC158" ca="1" si="4386">CB158</f>
        <v>0</v>
      </c>
      <c r="CD158" s="9">
        <f t="shared" ref="CD158" ca="1" si="4387">CC158</f>
        <v>0</v>
      </c>
      <c r="CE158" s="9">
        <f t="shared" ref="CE158" ca="1" si="4388">CD158</f>
        <v>0</v>
      </c>
      <c r="CF158" s="9">
        <f t="shared" ref="CF158" ca="1" si="4389">CE158</f>
        <v>0</v>
      </c>
      <c r="CG158" s="9">
        <f t="shared" ref="CG158" ca="1" si="4390">CF158</f>
        <v>0</v>
      </c>
      <c r="CH158" s="9">
        <f t="shared" ref="CH158" ca="1" si="4391">CG158</f>
        <v>0</v>
      </c>
      <c r="CI158" s="9">
        <f t="shared" ref="CI158" ca="1" si="4392">CH158</f>
        <v>0</v>
      </c>
      <c r="CJ158" s="9">
        <f t="shared" ref="CJ158" ca="1" si="4393">CI158</f>
        <v>0</v>
      </c>
      <c r="CK158" s="9">
        <f t="shared" ref="CK158" ca="1" si="4394">CJ158</f>
        <v>0</v>
      </c>
      <c r="CL158" s="9">
        <f t="shared" ref="CL158" ca="1" si="4395">CK158</f>
        <v>0</v>
      </c>
      <c r="CM158" s="9">
        <f t="shared" ref="CM158" ca="1" si="4396">CL158</f>
        <v>0</v>
      </c>
      <c r="CN158" s="9">
        <f t="shared" ref="CN158" ca="1" si="4397">CM158</f>
        <v>0</v>
      </c>
      <c r="CO158" s="9">
        <f t="shared" ref="CO158" ca="1" si="4398">CN158</f>
        <v>0</v>
      </c>
      <c r="CP158" s="435">
        <f t="shared" ref="CP158" ca="1" si="4399">CO158</f>
        <v>0</v>
      </c>
    </row>
    <row r="159" spans="1:94" ht="20.100000000000001" hidden="1" customHeight="1">
      <c r="A159" s="794"/>
      <c r="B159" s="255" t="s">
        <v>615</v>
      </c>
      <c r="C159" s="256">
        <f t="shared" ref="C159:O159" ca="1" si="4400">C157*C158</f>
        <v>0</v>
      </c>
      <c r="D159" s="255">
        <f t="shared" ca="1" si="4400"/>
        <v>0</v>
      </c>
      <c r="E159" s="255">
        <f t="shared" ca="1" si="4400"/>
        <v>0</v>
      </c>
      <c r="F159" s="255">
        <f t="shared" ca="1" si="4400"/>
        <v>0</v>
      </c>
      <c r="G159" s="255">
        <f t="shared" ca="1" si="4400"/>
        <v>0</v>
      </c>
      <c r="H159" s="255">
        <f t="shared" ca="1" si="4400"/>
        <v>0</v>
      </c>
      <c r="I159" s="255">
        <f t="shared" ca="1" si="4400"/>
        <v>0</v>
      </c>
      <c r="J159" s="255">
        <f t="shared" ca="1" si="4400"/>
        <v>0</v>
      </c>
      <c r="K159" s="255">
        <f t="shared" ca="1" si="4400"/>
        <v>0</v>
      </c>
      <c r="L159" s="255">
        <f t="shared" ca="1" si="4400"/>
        <v>0</v>
      </c>
      <c r="M159" s="255">
        <f t="shared" ca="1" si="4400"/>
        <v>0</v>
      </c>
      <c r="N159" s="255">
        <f t="shared" ca="1" si="4400"/>
        <v>0</v>
      </c>
      <c r="O159" s="255">
        <f t="shared" ca="1" si="4400"/>
        <v>0</v>
      </c>
      <c r="P159" s="434">
        <f ca="1">SUM(D159:O159)</f>
        <v>0</v>
      </c>
      <c r="Q159" s="255">
        <f t="shared" ref="Q159:AB159" ca="1" si="4401">Q157*Q158</f>
        <v>0</v>
      </c>
      <c r="R159" s="255">
        <f t="shared" ca="1" si="4401"/>
        <v>0</v>
      </c>
      <c r="S159" s="255">
        <f t="shared" ca="1" si="4401"/>
        <v>0</v>
      </c>
      <c r="T159" s="255">
        <f t="shared" ca="1" si="4401"/>
        <v>0</v>
      </c>
      <c r="U159" s="255">
        <f t="shared" ca="1" si="4401"/>
        <v>0</v>
      </c>
      <c r="V159" s="255">
        <f t="shared" ca="1" si="4401"/>
        <v>0</v>
      </c>
      <c r="W159" s="255">
        <f t="shared" ca="1" si="4401"/>
        <v>0</v>
      </c>
      <c r="X159" s="255">
        <f t="shared" ca="1" si="4401"/>
        <v>0</v>
      </c>
      <c r="Y159" s="255">
        <f t="shared" ca="1" si="4401"/>
        <v>0</v>
      </c>
      <c r="Z159" s="255">
        <f t="shared" ca="1" si="4401"/>
        <v>0</v>
      </c>
      <c r="AA159" s="255">
        <f t="shared" ca="1" si="4401"/>
        <v>0</v>
      </c>
      <c r="AB159" s="255">
        <f t="shared" ca="1" si="4401"/>
        <v>0</v>
      </c>
      <c r="AC159" s="434">
        <f ca="1">SUM(Q159:AB159)</f>
        <v>0</v>
      </c>
      <c r="AD159" s="255">
        <f t="shared" ref="AD159:AO159" ca="1" si="4402">AD157*AD158</f>
        <v>0</v>
      </c>
      <c r="AE159" s="255">
        <f t="shared" ca="1" si="4402"/>
        <v>0</v>
      </c>
      <c r="AF159" s="255">
        <f t="shared" ca="1" si="4402"/>
        <v>0</v>
      </c>
      <c r="AG159" s="255">
        <f t="shared" ca="1" si="4402"/>
        <v>0</v>
      </c>
      <c r="AH159" s="255">
        <f t="shared" ca="1" si="4402"/>
        <v>0</v>
      </c>
      <c r="AI159" s="255">
        <f t="shared" ca="1" si="4402"/>
        <v>0</v>
      </c>
      <c r="AJ159" s="255">
        <f t="shared" ca="1" si="4402"/>
        <v>0</v>
      </c>
      <c r="AK159" s="255">
        <f t="shared" ca="1" si="4402"/>
        <v>0</v>
      </c>
      <c r="AL159" s="255">
        <f t="shared" ca="1" si="4402"/>
        <v>0</v>
      </c>
      <c r="AM159" s="255">
        <f t="shared" ca="1" si="4402"/>
        <v>0</v>
      </c>
      <c r="AN159" s="255">
        <f t="shared" ca="1" si="4402"/>
        <v>0</v>
      </c>
      <c r="AO159" s="255">
        <f t="shared" ca="1" si="4402"/>
        <v>0</v>
      </c>
      <c r="AP159" s="434">
        <f ca="1">SUM(AD159:AO159)</f>
        <v>0</v>
      </c>
      <c r="AQ159" s="255">
        <f t="shared" ref="AQ159:BB159" ca="1" si="4403">AQ157*AQ158</f>
        <v>0</v>
      </c>
      <c r="AR159" s="255">
        <f t="shared" ca="1" si="4403"/>
        <v>0</v>
      </c>
      <c r="AS159" s="255">
        <f t="shared" ca="1" si="4403"/>
        <v>0</v>
      </c>
      <c r="AT159" s="255">
        <f t="shared" ca="1" si="4403"/>
        <v>0</v>
      </c>
      <c r="AU159" s="255">
        <f t="shared" ca="1" si="4403"/>
        <v>0</v>
      </c>
      <c r="AV159" s="255">
        <f t="shared" ca="1" si="4403"/>
        <v>0</v>
      </c>
      <c r="AW159" s="255">
        <f t="shared" ca="1" si="4403"/>
        <v>0</v>
      </c>
      <c r="AX159" s="255">
        <f t="shared" ca="1" si="4403"/>
        <v>0</v>
      </c>
      <c r="AY159" s="255">
        <f t="shared" ca="1" si="4403"/>
        <v>0</v>
      </c>
      <c r="AZ159" s="255">
        <f t="shared" ca="1" si="4403"/>
        <v>0</v>
      </c>
      <c r="BA159" s="255">
        <f t="shared" ca="1" si="4403"/>
        <v>0</v>
      </c>
      <c r="BB159" s="255">
        <f t="shared" ca="1" si="4403"/>
        <v>0</v>
      </c>
      <c r="BC159" s="434">
        <f ca="1">SUM(AQ159:BB159)</f>
        <v>0</v>
      </c>
      <c r="BD159" s="255">
        <f t="shared" ref="BD159:BO159" ca="1" si="4404">BD157*BD158</f>
        <v>0</v>
      </c>
      <c r="BE159" s="255">
        <f t="shared" ca="1" si="4404"/>
        <v>0</v>
      </c>
      <c r="BF159" s="255">
        <f t="shared" ca="1" si="4404"/>
        <v>0</v>
      </c>
      <c r="BG159" s="255">
        <f t="shared" ca="1" si="4404"/>
        <v>0</v>
      </c>
      <c r="BH159" s="255">
        <f t="shared" ca="1" si="4404"/>
        <v>0</v>
      </c>
      <c r="BI159" s="255">
        <f t="shared" ca="1" si="4404"/>
        <v>0</v>
      </c>
      <c r="BJ159" s="255">
        <f t="shared" ca="1" si="4404"/>
        <v>0</v>
      </c>
      <c r="BK159" s="255">
        <f t="shared" ca="1" si="4404"/>
        <v>0</v>
      </c>
      <c r="BL159" s="255">
        <f t="shared" ca="1" si="4404"/>
        <v>0</v>
      </c>
      <c r="BM159" s="255">
        <f t="shared" ca="1" si="4404"/>
        <v>0</v>
      </c>
      <c r="BN159" s="255">
        <f t="shared" ca="1" si="4404"/>
        <v>0</v>
      </c>
      <c r="BO159" s="255">
        <f t="shared" ca="1" si="4404"/>
        <v>0</v>
      </c>
      <c r="BP159" s="434">
        <f ca="1">SUM(BD159:BO159)</f>
        <v>0</v>
      </c>
      <c r="BQ159" s="255">
        <f t="shared" ref="BQ159:CB159" ca="1" si="4405">BQ157*BQ158</f>
        <v>0</v>
      </c>
      <c r="BR159" s="255">
        <f t="shared" ca="1" si="4405"/>
        <v>0</v>
      </c>
      <c r="BS159" s="255">
        <f t="shared" ca="1" si="4405"/>
        <v>0</v>
      </c>
      <c r="BT159" s="255">
        <f t="shared" ca="1" si="4405"/>
        <v>0</v>
      </c>
      <c r="BU159" s="255">
        <f t="shared" ca="1" si="4405"/>
        <v>0</v>
      </c>
      <c r="BV159" s="255">
        <f t="shared" ca="1" si="4405"/>
        <v>0</v>
      </c>
      <c r="BW159" s="255">
        <f t="shared" ca="1" si="4405"/>
        <v>0</v>
      </c>
      <c r="BX159" s="255">
        <f t="shared" ca="1" si="4405"/>
        <v>0</v>
      </c>
      <c r="BY159" s="255">
        <f t="shared" ca="1" si="4405"/>
        <v>0</v>
      </c>
      <c r="BZ159" s="255">
        <f t="shared" ca="1" si="4405"/>
        <v>0</v>
      </c>
      <c r="CA159" s="255">
        <f t="shared" ca="1" si="4405"/>
        <v>0</v>
      </c>
      <c r="CB159" s="255">
        <f t="shared" ca="1" si="4405"/>
        <v>0</v>
      </c>
      <c r="CC159" s="434">
        <f ca="1">SUM(BQ159:CB159)</f>
        <v>0</v>
      </c>
      <c r="CD159" s="255">
        <f t="shared" ref="CD159:CO159" ca="1" si="4406">CD157*CD158</f>
        <v>0</v>
      </c>
      <c r="CE159" s="255">
        <f t="shared" ca="1" si="4406"/>
        <v>0</v>
      </c>
      <c r="CF159" s="255">
        <f t="shared" ca="1" si="4406"/>
        <v>0</v>
      </c>
      <c r="CG159" s="255">
        <f t="shared" ca="1" si="4406"/>
        <v>0</v>
      </c>
      <c r="CH159" s="255">
        <f t="shared" ca="1" si="4406"/>
        <v>0</v>
      </c>
      <c r="CI159" s="255">
        <f t="shared" ca="1" si="4406"/>
        <v>0</v>
      </c>
      <c r="CJ159" s="255">
        <f t="shared" ca="1" si="4406"/>
        <v>0</v>
      </c>
      <c r="CK159" s="255">
        <f t="shared" ca="1" si="4406"/>
        <v>0</v>
      </c>
      <c r="CL159" s="255">
        <f t="shared" ca="1" si="4406"/>
        <v>0</v>
      </c>
      <c r="CM159" s="255">
        <f t="shared" ca="1" si="4406"/>
        <v>0</v>
      </c>
      <c r="CN159" s="255">
        <f t="shared" ca="1" si="4406"/>
        <v>0</v>
      </c>
      <c r="CO159" s="255">
        <f t="shared" ca="1" si="4406"/>
        <v>0</v>
      </c>
      <c r="CP159" s="434">
        <f ca="1">SUM(CD159:CO159)</f>
        <v>0</v>
      </c>
    </row>
    <row r="160" spans="1:94" ht="20.100000000000001" hidden="1" customHeight="1">
      <c r="A160" s="792">
        <f ca="1">OFFSET('Summary. Assumptions. Inputs'!$A$45,'Internmediate sheet'!A65/3,0)</f>
        <v>0</v>
      </c>
      <c r="B160" s="19" t="s">
        <v>613</v>
      </c>
      <c r="C160" s="20">
        <f ca="1">OFFSET('Sales, Production, &amp; Other Assu'!C$54,'Internmediate sheet'!$A65/3,0)*Capacity</f>
        <v>0</v>
      </c>
      <c r="D160" s="19">
        <f ca="1">OFFSET('Sales, Production, &amp; Other Assu'!D$54,'Internmediate sheet'!$A65/3,0)*Capacity</f>
        <v>0</v>
      </c>
      <c r="E160" s="19">
        <f ca="1">OFFSET('Sales, Production, &amp; Other Assu'!E$54,'Internmediate sheet'!$A65/3,0)*Capacity</f>
        <v>0</v>
      </c>
      <c r="F160" s="19">
        <f ca="1">OFFSET('Sales, Production, &amp; Other Assu'!F$54,'Internmediate sheet'!$A65/3,0)*Capacity</f>
        <v>0</v>
      </c>
      <c r="G160" s="19">
        <f ca="1">OFFSET('Sales, Production, &amp; Other Assu'!G$54,'Internmediate sheet'!$A65/3,0)*Capacity</f>
        <v>0</v>
      </c>
      <c r="H160" s="19">
        <f ca="1">OFFSET('Sales, Production, &amp; Other Assu'!H$54,'Internmediate sheet'!$A65/3,0)*Capacity</f>
        <v>0</v>
      </c>
      <c r="I160" s="19">
        <f ca="1">OFFSET('Sales, Production, &amp; Other Assu'!I$54,'Internmediate sheet'!$A65/3,0)*Capacity</f>
        <v>0</v>
      </c>
      <c r="J160" s="19">
        <f ca="1">OFFSET('Sales, Production, &amp; Other Assu'!J$54,'Internmediate sheet'!$A65/3,0)*Capacity</f>
        <v>0</v>
      </c>
      <c r="K160" s="19">
        <f ca="1">OFFSET('Sales, Production, &amp; Other Assu'!K$54,'Internmediate sheet'!$A65/3,0)*Capacity</f>
        <v>0</v>
      </c>
      <c r="L160" s="19">
        <f ca="1">OFFSET('Sales, Production, &amp; Other Assu'!L$54,'Internmediate sheet'!$A65/3,0)*Capacity</f>
        <v>0</v>
      </c>
      <c r="M160" s="19">
        <f ca="1">OFFSET('Sales, Production, &amp; Other Assu'!M$54,'Internmediate sheet'!$A65/3,0)*Capacity</f>
        <v>0</v>
      </c>
      <c r="N160" s="19">
        <f ca="1">OFFSET('Sales, Production, &amp; Other Assu'!N$54,'Internmediate sheet'!$A65/3,0)*Capacity</f>
        <v>0</v>
      </c>
      <c r="O160" s="19">
        <f ca="1">OFFSET('Sales, Production, &amp; Other Assu'!O$54,'Internmediate sheet'!$A65/3,0)*Capacity</f>
        <v>0</v>
      </c>
      <c r="P160" s="434">
        <f ca="1">SUM(D160:O160)</f>
        <v>0</v>
      </c>
      <c r="Q160" s="19">
        <f ca="1">OFFSET('Sales, Production, &amp; Other Assu'!Q$54,'Internmediate sheet'!$A65/3,0)*Capacity</f>
        <v>0</v>
      </c>
      <c r="R160" s="19">
        <f ca="1">OFFSET('Sales, Production, &amp; Other Assu'!R$54,'Internmediate sheet'!$A65/3,0)*Capacity</f>
        <v>0</v>
      </c>
      <c r="S160" s="19">
        <f ca="1">OFFSET('Sales, Production, &amp; Other Assu'!S$54,'Internmediate sheet'!$A65/3,0)*Capacity</f>
        <v>0</v>
      </c>
      <c r="T160" s="19">
        <f ca="1">OFFSET('Sales, Production, &amp; Other Assu'!T$54,'Internmediate sheet'!$A65/3,0)*Capacity</f>
        <v>0</v>
      </c>
      <c r="U160" s="19">
        <f ca="1">OFFSET('Sales, Production, &amp; Other Assu'!U$54,'Internmediate sheet'!$A65/3,0)*Capacity</f>
        <v>0</v>
      </c>
      <c r="V160" s="19">
        <f ca="1">OFFSET('Sales, Production, &amp; Other Assu'!V$54,'Internmediate sheet'!$A65/3,0)*Capacity</f>
        <v>0</v>
      </c>
      <c r="W160" s="19">
        <f ca="1">OFFSET('Sales, Production, &amp; Other Assu'!W$54,'Internmediate sheet'!$A65/3,0)*Capacity</f>
        <v>0</v>
      </c>
      <c r="X160" s="19">
        <f ca="1">OFFSET('Sales, Production, &amp; Other Assu'!X$54,'Internmediate sheet'!$A65/3,0)*Capacity</f>
        <v>0</v>
      </c>
      <c r="Y160" s="19">
        <f ca="1">OFFSET('Sales, Production, &amp; Other Assu'!Y$54,'Internmediate sheet'!$A65/3,0)*Capacity</f>
        <v>0</v>
      </c>
      <c r="Z160" s="19">
        <f ca="1">OFFSET('Sales, Production, &amp; Other Assu'!Z$54,'Internmediate sheet'!$A65/3,0)*Capacity</f>
        <v>0</v>
      </c>
      <c r="AA160" s="19">
        <f ca="1">OFFSET('Sales, Production, &amp; Other Assu'!AA$54,'Internmediate sheet'!$A65/3,0)*Capacity</f>
        <v>0</v>
      </c>
      <c r="AB160" s="19">
        <f ca="1">OFFSET('Sales, Production, &amp; Other Assu'!AB$54,'Internmediate sheet'!$A65/3,0)*Capacity</f>
        <v>0</v>
      </c>
      <c r="AC160" s="434">
        <f ca="1">SUM(Q160:AB160)</f>
        <v>0</v>
      </c>
      <c r="AD160" s="19">
        <f ca="1">OFFSET('Sales, Production, &amp; Other Assu'!AD$54,'Internmediate sheet'!$A65/3,0)*Capacity</f>
        <v>0</v>
      </c>
      <c r="AE160" s="19">
        <f ca="1">OFFSET('Sales, Production, &amp; Other Assu'!AE$54,'Internmediate sheet'!$A65/3,0)*Capacity</f>
        <v>0</v>
      </c>
      <c r="AF160" s="19">
        <f ca="1">OFFSET('Sales, Production, &amp; Other Assu'!AF$54,'Internmediate sheet'!$A65/3,0)*Capacity</f>
        <v>0</v>
      </c>
      <c r="AG160" s="19">
        <f ca="1">OFFSET('Sales, Production, &amp; Other Assu'!AG$54,'Internmediate sheet'!$A65/3,0)*Capacity</f>
        <v>0</v>
      </c>
      <c r="AH160" s="19">
        <f ca="1">OFFSET('Sales, Production, &amp; Other Assu'!AH$54,'Internmediate sheet'!$A65/3,0)*Capacity</f>
        <v>0</v>
      </c>
      <c r="AI160" s="19">
        <f ca="1">OFFSET('Sales, Production, &amp; Other Assu'!AI$54,'Internmediate sheet'!$A65/3,0)*Capacity</f>
        <v>0</v>
      </c>
      <c r="AJ160" s="19">
        <f ca="1">OFFSET('Sales, Production, &amp; Other Assu'!AJ$54,'Internmediate sheet'!$A65/3,0)*Capacity</f>
        <v>0</v>
      </c>
      <c r="AK160" s="19">
        <f ca="1">OFFSET('Sales, Production, &amp; Other Assu'!AK$54,'Internmediate sheet'!$A65/3,0)*Capacity</f>
        <v>0</v>
      </c>
      <c r="AL160" s="19">
        <f ca="1">OFFSET('Sales, Production, &amp; Other Assu'!AL$54,'Internmediate sheet'!$A65/3,0)*Capacity</f>
        <v>0</v>
      </c>
      <c r="AM160" s="19">
        <f ca="1">OFFSET('Sales, Production, &amp; Other Assu'!AM$54,'Internmediate sheet'!$A65/3,0)*Capacity</f>
        <v>0</v>
      </c>
      <c r="AN160" s="19">
        <f ca="1">OFFSET('Sales, Production, &amp; Other Assu'!AN$54,'Internmediate sheet'!$A65/3,0)*Capacity</f>
        <v>0</v>
      </c>
      <c r="AO160" s="19">
        <f ca="1">OFFSET('Sales, Production, &amp; Other Assu'!AO$54,'Internmediate sheet'!$A65/3,0)*Capacity</f>
        <v>0</v>
      </c>
      <c r="AP160" s="434">
        <f ca="1">SUM(AD160:AO160)</f>
        <v>0</v>
      </c>
      <c r="AQ160" s="19">
        <f ca="1">OFFSET('Sales, Production, &amp; Other Assu'!AQ$54,'Internmediate sheet'!$A65/3,0)*Capacity</f>
        <v>0</v>
      </c>
      <c r="AR160" s="19">
        <f ca="1">OFFSET('Sales, Production, &amp; Other Assu'!AR$54,'Internmediate sheet'!$A65/3,0)*Capacity</f>
        <v>0</v>
      </c>
      <c r="AS160" s="19">
        <f ca="1">OFFSET('Sales, Production, &amp; Other Assu'!AS$54,'Internmediate sheet'!$A65/3,0)*Capacity</f>
        <v>0</v>
      </c>
      <c r="AT160" s="19">
        <f ca="1">OFFSET('Sales, Production, &amp; Other Assu'!AT$54,'Internmediate sheet'!$A65/3,0)*Capacity</f>
        <v>0</v>
      </c>
      <c r="AU160" s="19">
        <f ca="1">OFFSET('Sales, Production, &amp; Other Assu'!AU$54,'Internmediate sheet'!$A65/3,0)*Capacity</f>
        <v>0</v>
      </c>
      <c r="AV160" s="19">
        <f ca="1">OFFSET('Sales, Production, &amp; Other Assu'!AV$54,'Internmediate sheet'!$A65/3,0)*Capacity</f>
        <v>0</v>
      </c>
      <c r="AW160" s="19">
        <f ca="1">OFFSET('Sales, Production, &amp; Other Assu'!AW$54,'Internmediate sheet'!$A65/3,0)*Capacity</f>
        <v>0</v>
      </c>
      <c r="AX160" s="19">
        <f ca="1">OFFSET('Sales, Production, &amp; Other Assu'!AX$54,'Internmediate sheet'!$A65/3,0)*Capacity</f>
        <v>0</v>
      </c>
      <c r="AY160" s="19">
        <f ca="1">OFFSET('Sales, Production, &amp; Other Assu'!AY$54,'Internmediate sheet'!$A65/3,0)*Capacity</f>
        <v>0</v>
      </c>
      <c r="AZ160" s="19">
        <f ca="1">OFFSET('Sales, Production, &amp; Other Assu'!AZ$54,'Internmediate sheet'!$A65/3,0)*Capacity</f>
        <v>0</v>
      </c>
      <c r="BA160" s="19">
        <f ca="1">OFFSET('Sales, Production, &amp; Other Assu'!BA$54,'Internmediate sheet'!$A65/3,0)*Capacity</f>
        <v>0</v>
      </c>
      <c r="BB160" s="19">
        <f ca="1">OFFSET('Sales, Production, &amp; Other Assu'!BB$54,'Internmediate sheet'!$A65/3,0)*Capacity</f>
        <v>0</v>
      </c>
      <c r="BC160" s="434">
        <f ca="1">SUM(AQ160:BB160)</f>
        <v>0</v>
      </c>
      <c r="BD160" s="19">
        <f ca="1">OFFSET('Sales, Production, &amp; Other Assu'!BD$54,'Internmediate sheet'!$A65/3,0)*Capacity</f>
        <v>0</v>
      </c>
      <c r="BE160" s="19">
        <f ca="1">OFFSET('Sales, Production, &amp; Other Assu'!BE$54,'Internmediate sheet'!$A65/3,0)*Capacity</f>
        <v>0</v>
      </c>
      <c r="BF160" s="19">
        <f ca="1">OFFSET('Sales, Production, &amp; Other Assu'!BF$54,'Internmediate sheet'!$A65/3,0)*Capacity</f>
        <v>0</v>
      </c>
      <c r="BG160" s="19">
        <f ca="1">OFFSET('Sales, Production, &amp; Other Assu'!BG$54,'Internmediate sheet'!$A65/3,0)*Capacity</f>
        <v>0</v>
      </c>
      <c r="BH160" s="19">
        <f ca="1">OFFSET('Sales, Production, &amp; Other Assu'!BH$54,'Internmediate sheet'!$A65/3,0)*Capacity</f>
        <v>0</v>
      </c>
      <c r="BI160" s="19">
        <f ca="1">OFFSET('Sales, Production, &amp; Other Assu'!BI$54,'Internmediate sheet'!$A65/3,0)*Capacity</f>
        <v>0</v>
      </c>
      <c r="BJ160" s="19">
        <f ca="1">OFFSET('Sales, Production, &amp; Other Assu'!BJ$54,'Internmediate sheet'!$A65/3,0)*Capacity</f>
        <v>0</v>
      </c>
      <c r="BK160" s="19">
        <f ca="1">OFFSET('Sales, Production, &amp; Other Assu'!BK$54,'Internmediate sheet'!$A65/3,0)*Capacity</f>
        <v>0</v>
      </c>
      <c r="BL160" s="19">
        <f ca="1">OFFSET('Sales, Production, &amp; Other Assu'!BL$54,'Internmediate sheet'!$A65/3,0)*Capacity</f>
        <v>0</v>
      </c>
      <c r="BM160" s="19">
        <f ca="1">OFFSET('Sales, Production, &amp; Other Assu'!BM$54,'Internmediate sheet'!$A65/3,0)*Capacity</f>
        <v>0</v>
      </c>
      <c r="BN160" s="19">
        <f ca="1">OFFSET('Sales, Production, &amp; Other Assu'!BN$54,'Internmediate sheet'!$A65/3,0)*Capacity</f>
        <v>0</v>
      </c>
      <c r="BO160" s="19">
        <f ca="1">OFFSET('Sales, Production, &amp; Other Assu'!BO$54,'Internmediate sheet'!$A65/3,0)*Capacity</f>
        <v>0</v>
      </c>
      <c r="BP160" s="434">
        <f ca="1">SUM(BD160:BO160)</f>
        <v>0</v>
      </c>
      <c r="BQ160" s="19">
        <f ca="1">OFFSET('Sales, Production, &amp; Other Assu'!BQ$54,'Internmediate sheet'!$A65/3,0)*Capacity</f>
        <v>0</v>
      </c>
      <c r="BR160" s="19">
        <f ca="1">OFFSET('Sales, Production, &amp; Other Assu'!BR$54,'Internmediate sheet'!$A65/3,0)*Capacity</f>
        <v>0</v>
      </c>
      <c r="BS160" s="19">
        <f ca="1">OFFSET('Sales, Production, &amp; Other Assu'!BS$54,'Internmediate sheet'!$A65/3,0)*Capacity</f>
        <v>0</v>
      </c>
      <c r="BT160" s="19">
        <f ca="1">OFFSET('Sales, Production, &amp; Other Assu'!BT$54,'Internmediate sheet'!$A65/3,0)*Capacity</f>
        <v>0</v>
      </c>
      <c r="BU160" s="19">
        <f ca="1">OFFSET('Sales, Production, &amp; Other Assu'!BU$54,'Internmediate sheet'!$A65/3,0)*Capacity</f>
        <v>0</v>
      </c>
      <c r="BV160" s="19">
        <f ca="1">OFFSET('Sales, Production, &amp; Other Assu'!BV$54,'Internmediate sheet'!$A65/3,0)*Capacity</f>
        <v>0</v>
      </c>
      <c r="BW160" s="19">
        <f ca="1">OFFSET('Sales, Production, &amp; Other Assu'!BW$54,'Internmediate sheet'!$A65/3,0)*Capacity</f>
        <v>0</v>
      </c>
      <c r="BX160" s="19">
        <f ca="1">OFFSET('Sales, Production, &amp; Other Assu'!BX$54,'Internmediate sheet'!$A65/3,0)*Capacity</f>
        <v>0</v>
      </c>
      <c r="BY160" s="19">
        <f ca="1">OFFSET('Sales, Production, &amp; Other Assu'!BY$54,'Internmediate sheet'!$A65/3,0)*Capacity</f>
        <v>0</v>
      </c>
      <c r="BZ160" s="19">
        <f ca="1">OFFSET('Sales, Production, &amp; Other Assu'!BZ$54,'Internmediate sheet'!$A65/3,0)*Capacity</f>
        <v>0</v>
      </c>
      <c r="CA160" s="19">
        <f ca="1">OFFSET('Sales, Production, &amp; Other Assu'!CA$54,'Internmediate sheet'!$A65/3,0)*Capacity</f>
        <v>0</v>
      </c>
      <c r="CB160" s="19">
        <f ca="1">OFFSET('Sales, Production, &amp; Other Assu'!CB$54,'Internmediate sheet'!$A65/3,0)*Capacity</f>
        <v>0</v>
      </c>
      <c r="CC160" s="434">
        <f ca="1">SUM(BQ160:CB160)</f>
        <v>0</v>
      </c>
      <c r="CD160" s="19">
        <f ca="1">OFFSET('Sales, Production, &amp; Other Assu'!CD$54,'Internmediate sheet'!$A65/3,0)*Capacity</f>
        <v>0</v>
      </c>
      <c r="CE160" s="19">
        <f ca="1">OFFSET('Sales, Production, &amp; Other Assu'!CE$54,'Internmediate sheet'!$A65/3,0)*Capacity</f>
        <v>0</v>
      </c>
      <c r="CF160" s="19">
        <f ca="1">OFFSET('Sales, Production, &amp; Other Assu'!CF$54,'Internmediate sheet'!$A65/3,0)*Capacity</f>
        <v>0</v>
      </c>
      <c r="CG160" s="19">
        <f ca="1">OFFSET('Sales, Production, &amp; Other Assu'!CG$54,'Internmediate sheet'!$A65/3,0)*Capacity</f>
        <v>0</v>
      </c>
      <c r="CH160" s="19">
        <f ca="1">OFFSET('Sales, Production, &amp; Other Assu'!CH$54,'Internmediate sheet'!$A65/3,0)*Capacity</f>
        <v>0</v>
      </c>
      <c r="CI160" s="19">
        <f ca="1">OFFSET('Sales, Production, &amp; Other Assu'!CI$54,'Internmediate sheet'!$A65/3,0)*Capacity</f>
        <v>0</v>
      </c>
      <c r="CJ160" s="19">
        <f ca="1">OFFSET('Sales, Production, &amp; Other Assu'!CJ$54,'Internmediate sheet'!$A65/3,0)*Capacity</f>
        <v>0</v>
      </c>
      <c r="CK160" s="19">
        <f ca="1">OFFSET('Sales, Production, &amp; Other Assu'!CK$54,'Internmediate sheet'!$A65/3,0)*Capacity</f>
        <v>0</v>
      </c>
      <c r="CL160" s="19">
        <f ca="1">OFFSET('Sales, Production, &amp; Other Assu'!CL$54,'Internmediate sheet'!$A65/3,0)*Capacity</f>
        <v>0</v>
      </c>
      <c r="CM160" s="19">
        <f ca="1">OFFSET('Sales, Production, &amp; Other Assu'!CM$54,'Internmediate sheet'!$A65/3,0)*Capacity</f>
        <v>0</v>
      </c>
      <c r="CN160" s="19">
        <f ca="1">OFFSET('Sales, Production, &amp; Other Assu'!CN$54,'Internmediate sheet'!$A65/3,0)*Capacity</f>
        <v>0</v>
      </c>
      <c r="CO160" s="19">
        <f ca="1">OFFSET('Sales, Production, &amp; Other Assu'!CO$54,'Internmediate sheet'!$A65/3,0)*Capacity</f>
        <v>0</v>
      </c>
      <c r="CP160" s="434">
        <f ca="1">SUM(CD160:CO160)</f>
        <v>0</v>
      </c>
    </row>
    <row r="161" spans="1:94" ht="20.100000000000001" hidden="1" customHeight="1">
      <c r="A161" s="793"/>
      <c r="B161" s="9" t="s">
        <v>614</v>
      </c>
      <c r="C161" s="10">
        <f ca="1">OFFSET('BEP. &amp; Summary Results'!$C$6,'Internmediate sheet'!A62/3,0)</f>
        <v>0</v>
      </c>
      <c r="D161" s="9">
        <f t="shared" ref="D161" ca="1" si="4407">C161</f>
        <v>0</v>
      </c>
      <c r="E161" s="9">
        <f t="shared" ref="E161" ca="1" si="4408">D161</f>
        <v>0</v>
      </c>
      <c r="F161" s="9">
        <f t="shared" ref="F161" ca="1" si="4409">E161</f>
        <v>0</v>
      </c>
      <c r="G161" s="9">
        <f t="shared" ref="G161" ca="1" si="4410">F161</f>
        <v>0</v>
      </c>
      <c r="H161" s="9">
        <f t="shared" ref="H161" ca="1" si="4411">G161</f>
        <v>0</v>
      </c>
      <c r="I161" s="9">
        <f t="shared" ref="I161" ca="1" si="4412">H161</f>
        <v>0</v>
      </c>
      <c r="J161" s="9">
        <f t="shared" ref="J161" ca="1" si="4413">I161</f>
        <v>0</v>
      </c>
      <c r="K161" s="9">
        <f t="shared" ref="K161" ca="1" si="4414">J161</f>
        <v>0</v>
      </c>
      <c r="L161" s="9">
        <f t="shared" ref="L161" ca="1" si="4415">K161</f>
        <v>0</v>
      </c>
      <c r="M161" s="9">
        <f t="shared" ref="M161" ca="1" si="4416">L161</f>
        <v>0</v>
      </c>
      <c r="N161" s="9">
        <f t="shared" ref="N161" ca="1" si="4417">M161</f>
        <v>0</v>
      </c>
      <c r="O161" s="9">
        <f t="shared" ref="O161" ca="1" si="4418">N161</f>
        <v>0</v>
      </c>
      <c r="P161" s="435">
        <f t="shared" ref="P161" ca="1" si="4419">O161</f>
        <v>0</v>
      </c>
      <c r="Q161" s="9">
        <f t="shared" ref="Q161" ca="1" si="4420">P161</f>
        <v>0</v>
      </c>
      <c r="R161" s="9">
        <f t="shared" ref="R161" ca="1" si="4421">Q161</f>
        <v>0</v>
      </c>
      <c r="S161" s="9">
        <f t="shared" ref="S161" ca="1" si="4422">R161</f>
        <v>0</v>
      </c>
      <c r="T161" s="9">
        <f t="shared" ref="T161" ca="1" si="4423">S161</f>
        <v>0</v>
      </c>
      <c r="U161" s="9">
        <f t="shared" ref="U161" ca="1" si="4424">T161</f>
        <v>0</v>
      </c>
      <c r="V161" s="9">
        <f t="shared" ref="V161" ca="1" si="4425">U161</f>
        <v>0</v>
      </c>
      <c r="W161" s="9">
        <f t="shared" ref="W161" ca="1" si="4426">V161</f>
        <v>0</v>
      </c>
      <c r="X161" s="9">
        <f t="shared" ref="X161" ca="1" si="4427">W161</f>
        <v>0</v>
      </c>
      <c r="Y161" s="9">
        <f t="shared" ref="Y161" ca="1" si="4428">X161</f>
        <v>0</v>
      </c>
      <c r="Z161" s="9">
        <f t="shared" ref="Z161" ca="1" si="4429">Y161</f>
        <v>0</v>
      </c>
      <c r="AA161" s="9">
        <f t="shared" ref="AA161" ca="1" si="4430">Z161</f>
        <v>0</v>
      </c>
      <c r="AB161" s="9">
        <f t="shared" ref="AB161" ca="1" si="4431">AA161</f>
        <v>0</v>
      </c>
      <c r="AC161" s="435">
        <f t="shared" ref="AC161" ca="1" si="4432">AB161</f>
        <v>0</v>
      </c>
      <c r="AD161" s="9">
        <f t="shared" ref="AD161" ca="1" si="4433">AC161</f>
        <v>0</v>
      </c>
      <c r="AE161" s="9">
        <f t="shared" ref="AE161" ca="1" si="4434">AD161</f>
        <v>0</v>
      </c>
      <c r="AF161" s="9">
        <f t="shared" ref="AF161" ca="1" si="4435">AE161</f>
        <v>0</v>
      </c>
      <c r="AG161" s="9">
        <f t="shared" ref="AG161" ca="1" si="4436">AF161</f>
        <v>0</v>
      </c>
      <c r="AH161" s="9">
        <f t="shared" ref="AH161" ca="1" si="4437">AG161</f>
        <v>0</v>
      </c>
      <c r="AI161" s="9">
        <f t="shared" ref="AI161" ca="1" si="4438">AH161</f>
        <v>0</v>
      </c>
      <c r="AJ161" s="9">
        <f t="shared" ref="AJ161" ca="1" si="4439">AI161</f>
        <v>0</v>
      </c>
      <c r="AK161" s="9">
        <f t="shared" ref="AK161" ca="1" si="4440">AJ161</f>
        <v>0</v>
      </c>
      <c r="AL161" s="9">
        <f t="shared" ref="AL161" ca="1" si="4441">AK161</f>
        <v>0</v>
      </c>
      <c r="AM161" s="9">
        <f t="shared" ref="AM161" ca="1" si="4442">AL161</f>
        <v>0</v>
      </c>
      <c r="AN161" s="9">
        <f t="shared" ref="AN161" ca="1" si="4443">AM161</f>
        <v>0</v>
      </c>
      <c r="AO161" s="9">
        <f t="shared" ref="AO161" ca="1" si="4444">AN161</f>
        <v>0</v>
      </c>
      <c r="AP161" s="435">
        <f t="shared" ref="AP161" ca="1" si="4445">AO161</f>
        <v>0</v>
      </c>
      <c r="AQ161" s="9">
        <f ca="1">AP161</f>
        <v>0</v>
      </c>
      <c r="AR161" s="9">
        <f t="shared" ref="AR161" ca="1" si="4446">AQ161</f>
        <v>0</v>
      </c>
      <c r="AS161" s="9">
        <f t="shared" ref="AS161" ca="1" si="4447">AR161</f>
        <v>0</v>
      </c>
      <c r="AT161" s="9">
        <f t="shared" ref="AT161" ca="1" si="4448">AS161</f>
        <v>0</v>
      </c>
      <c r="AU161" s="9">
        <f t="shared" ref="AU161" ca="1" si="4449">AT161</f>
        <v>0</v>
      </c>
      <c r="AV161" s="9">
        <f t="shared" ref="AV161" ca="1" si="4450">AU161</f>
        <v>0</v>
      </c>
      <c r="AW161" s="9">
        <f t="shared" ref="AW161" ca="1" si="4451">AV161</f>
        <v>0</v>
      </c>
      <c r="AX161" s="9">
        <f t="shared" ref="AX161" ca="1" si="4452">AW161</f>
        <v>0</v>
      </c>
      <c r="AY161" s="9">
        <f t="shared" ref="AY161" ca="1" si="4453">AX161</f>
        <v>0</v>
      </c>
      <c r="AZ161" s="9">
        <f t="shared" ref="AZ161" ca="1" si="4454">AY161</f>
        <v>0</v>
      </c>
      <c r="BA161" s="9">
        <f t="shared" ref="BA161" ca="1" si="4455">AZ161</f>
        <v>0</v>
      </c>
      <c r="BB161" s="9">
        <f t="shared" ref="BB161" ca="1" si="4456">BA161</f>
        <v>0</v>
      </c>
      <c r="BC161" s="435">
        <f t="shared" ref="BC161" ca="1" si="4457">BB161</f>
        <v>0</v>
      </c>
      <c r="BD161" s="9">
        <f t="shared" ref="BD161" ca="1" si="4458">BC161</f>
        <v>0</v>
      </c>
      <c r="BE161" s="9">
        <f t="shared" ref="BE161" ca="1" si="4459">BD161</f>
        <v>0</v>
      </c>
      <c r="BF161" s="9">
        <f t="shared" ref="BF161" ca="1" si="4460">BE161</f>
        <v>0</v>
      </c>
      <c r="BG161" s="9">
        <f t="shared" ref="BG161" ca="1" si="4461">BF161</f>
        <v>0</v>
      </c>
      <c r="BH161" s="9">
        <f t="shared" ref="BH161" ca="1" si="4462">BG161</f>
        <v>0</v>
      </c>
      <c r="BI161" s="9">
        <f t="shared" ref="BI161" ca="1" si="4463">BH161</f>
        <v>0</v>
      </c>
      <c r="BJ161" s="9">
        <f t="shared" ref="BJ161" ca="1" si="4464">BI161</f>
        <v>0</v>
      </c>
      <c r="BK161" s="9">
        <f t="shared" ref="BK161" ca="1" si="4465">BJ161</f>
        <v>0</v>
      </c>
      <c r="BL161" s="9">
        <f t="shared" ref="BL161" ca="1" si="4466">BK161</f>
        <v>0</v>
      </c>
      <c r="BM161" s="9">
        <f t="shared" ref="BM161" ca="1" si="4467">BL161</f>
        <v>0</v>
      </c>
      <c r="BN161" s="9">
        <f t="shared" ref="BN161" ca="1" si="4468">BM161</f>
        <v>0</v>
      </c>
      <c r="BO161" s="9">
        <f t="shared" ref="BO161" ca="1" si="4469">BN161</f>
        <v>0</v>
      </c>
      <c r="BP161" s="435">
        <f t="shared" ref="BP161" ca="1" si="4470">BO161</f>
        <v>0</v>
      </c>
      <c r="BQ161" s="9">
        <f t="shared" ref="BQ161" ca="1" si="4471">BP161</f>
        <v>0</v>
      </c>
      <c r="BR161" s="9">
        <f t="shared" ref="BR161" ca="1" si="4472">BQ161</f>
        <v>0</v>
      </c>
      <c r="BS161" s="9">
        <f t="shared" ref="BS161" ca="1" si="4473">BR161</f>
        <v>0</v>
      </c>
      <c r="BT161" s="9">
        <f t="shared" ref="BT161" ca="1" si="4474">BS161</f>
        <v>0</v>
      </c>
      <c r="BU161" s="9">
        <f t="shared" ref="BU161" ca="1" si="4475">BT161</f>
        <v>0</v>
      </c>
      <c r="BV161" s="9">
        <f t="shared" ref="BV161" ca="1" si="4476">BU161</f>
        <v>0</v>
      </c>
      <c r="BW161" s="9">
        <f t="shared" ref="BW161" ca="1" si="4477">BV161</f>
        <v>0</v>
      </c>
      <c r="BX161" s="9">
        <f t="shared" ref="BX161" ca="1" si="4478">BW161</f>
        <v>0</v>
      </c>
      <c r="BY161" s="9">
        <f t="shared" ref="BY161" ca="1" si="4479">BX161</f>
        <v>0</v>
      </c>
      <c r="BZ161" s="9">
        <f t="shared" ref="BZ161" ca="1" si="4480">BY161</f>
        <v>0</v>
      </c>
      <c r="CA161" s="9">
        <f t="shared" ref="CA161" ca="1" si="4481">BZ161</f>
        <v>0</v>
      </c>
      <c r="CB161" s="9">
        <f t="shared" ref="CB161" ca="1" si="4482">CA161</f>
        <v>0</v>
      </c>
      <c r="CC161" s="435">
        <f t="shared" ref="CC161" ca="1" si="4483">CB161</f>
        <v>0</v>
      </c>
      <c r="CD161" s="9">
        <f t="shared" ref="CD161" ca="1" si="4484">CC161</f>
        <v>0</v>
      </c>
      <c r="CE161" s="9">
        <f t="shared" ref="CE161" ca="1" si="4485">CD161</f>
        <v>0</v>
      </c>
      <c r="CF161" s="9">
        <f t="shared" ref="CF161" ca="1" si="4486">CE161</f>
        <v>0</v>
      </c>
      <c r="CG161" s="9">
        <f t="shared" ref="CG161" ca="1" si="4487">CF161</f>
        <v>0</v>
      </c>
      <c r="CH161" s="9">
        <f t="shared" ref="CH161" ca="1" si="4488">CG161</f>
        <v>0</v>
      </c>
      <c r="CI161" s="9">
        <f t="shared" ref="CI161" ca="1" si="4489">CH161</f>
        <v>0</v>
      </c>
      <c r="CJ161" s="9">
        <f t="shared" ref="CJ161" ca="1" si="4490">CI161</f>
        <v>0</v>
      </c>
      <c r="CK161" s="9">
        <f t="shared" ref="CK161" ca="1" si="4491">CJ161</f>
        <v>0</v>
      </c>
      <c r="CL161" s="9">
        <f t="shared" ref="CL161" ca="1" si="4492">CK161</f>
        <v>0</v>
      </c>
      <c r="CM161" s="9">
        <f t="shared" ref="CM161" ca="1" si="4493">CL161</f>
        <v>0</v>
      </c>
      <c r="CN161" s="9">
        <f t="shared" ref="CN161" ca="1" si="4494">CM161</f>
        <v>0</v>
      </c>
      <c r="CO161" s="9">
        <f t="shared" ref="CO161" ca="1" si="4495">CN161</f>
        <v>0</v>
      </c>
      <c r="CP161" s="435">
        <f t="shared" ref="CP161" ca="1" si="4496">CO161</f>
        <v>0</v>
      </c>
    </row>
    <row r="162" spans="1:94" ht="20.100000000000001" hidden="1" customHeight="1">
      <c r="A162" s="794"/>
      <c r="B162" s="255" t="s">
        <v>615</v>
      </c>
      <c r="C162" s="256">
        <f t="shared" ref="C162:O162" ca="1" si="4497">C160*C161</f>
        <v>0</v>
      </c>
      <c r="D162" s="255">
        <f t="shared" ca="1" si="4497"/>
        <v>0</v>
      </c>
      <c r="E162" s="255">
        <f t="shared" ca="1" si="4497"/>
        <v>0</v>
      </c>
      <c r="F162" s="255">
        <f t="shared" ca="1" si="4497"/>
        <v>0</v>
      </c>
      <c r="G162" s="255">
        <f t="shared" ca="1" si="4497"/>
        <v>0</v>
      </c>
      <c r="H162" s="255">
        <f t="shared" ca="1" si="4497"/>
        <v>0</v>
      </c>
      <c r="I162" s="255">
        <f t="shared" ca="1" si="4497"/>
        <v>0</v>
      </c>
      <c r="J162" s="255">
        <f t="shared" ca="1" si="4497"/>
        <v>0</v>
      </c>
      <c r="K162" s="255">
        <f t="shared" ca="1" si="4497"/>
        <v>0</v>
      </c>
      <c r="L162" s="255">
        <f t="shared" ca="1" si="4497"/>
        <v>0</v>
      </c>
      <c r="M162" s="255">
        <f t="shared" ca="1" si="4497"/>
        <v>0</v>
      </c>
      <c r="N162" s="255">
        <f t="shared" ca="1" si="4497"/>
        <v>0</v>
      </c>
      <c r="O162" s="255">
        <f t="shared" ca="1" si="4497"/>
        <v>0</v>
      </c>
      <c r="P162" s="434">
        <f ca="1">SUM(D162:O162)</f>
        <v>0</v>
      </c>
      <c r="Q162" s="255">
        <f t="shared" ref="Q162:AB162" ca="1" si="4498">Q160*Q161</f>
        <v>0</v>
      </c>
      <c r="R162" s="255">
        <f t="shared" ca="1" si="4498"/>
        <v>0</v>
      </c>
      <c r="S162" s="255">
        <f t="shared" ca="1" si="4498"/>
        <v>0</v>
      </c>
      <c r="T162" s="255">
        <f t="shared" ca="1" si="4498"/>
        <v>0</v>
      </c>
      <c r="U162" s="255">
        <f t="shared" ca="1" si="4498"/>
        <v>0</v>
      </c>
      <c r="V162" s="255">
        <f t="shared" ca="1" si="4498"/>
        <v>0</v>
      </c>
      <c r="W162" s="255">
        <f t="shared" ca="1" si="4498"/>
        <v>0</v>
      </c>
      <c r="X162" s="255">
        <f t="shared" ca="1" si="4498"/>
        <v>0</v>
      </c>
      <c r="Y162" s="255">
        <f t="shared" ca="1" si="4498"/>
        <v>0</v>
      </c>
      <c r="Z162" s="255">
        <f t="shared" ca="1" si="4498"/>
        <v>0</v>
      </c>
      <c r="AA162" s="255">
        <f t="shared" ca="1" si="4498"/>
        <v>0</v>
      </c>
      <c r="AB162" s="255">
        <f t="shared" ca="1" si="4498"/>
        <v>0</v>
      </c>
      <c r="AC162" s="434">
        <f ca="1">SUM(Q162:AB162)</f>
        <v>0</v>
      </c>
      <c r="AD162" s="255">
        <f t="shared" ref="AD162:AO162" ca="1" si="4499">AD160*AD161</f>
        <v>0</v>
      </c>
      <c r="AE162" s="255">
        <f t="shared" ca="1" si="4499"/>
        <v>0</v>
      </c>
      <c r="AF162" s="255">
        <f t="shared" ca="1" si="4499"/>
        <v>0</v>
      </c>
      <c r="AG162" s="255">
        <f t="shared" ca="1" si="4499"/>
        <v>0</v>
      </c>
      <c r="AH162" s="255">
        <f t="shared" ca="1" si="4499"/>
        <v>0</v>
      </c>
      <c r="AI162" s="255">
        <f t="shared" ca="1" si="4499"/>
        <v>0</v>
      </c>
      <c r="AJ162" s="255">
        <f t="shared" ca="1" si="4499"/>
        <v>0</v>
      </c>
      <c r="AK162" s="255">
        <f t="shared" ca="1" si="4499"/>
        <v>0</v>
      </c>
      <c r="AL162" s="255">
        <f t="shared" ca="1" si="4499"/>
        <v>0</v>
      </c>
      <c r="AM162" s="255">
        <f t="shared" ca="1" si="4499"/>
        <v>0</v>
      </c>
      <c r="AN162" s="255">
        <f t="shared" ca="1" si="4499"/>
        <v>0</v>
      </c>
      <c r="AO162" s="255">
        <f t="shared" ca="1" si="4499"/>
        <v>0</v>
      </c>
      <c r="AP162" s="434">
        <f ca="1">SUM(AD162:AO162)</f>
        <v>0</v>
      </c>
      <c r="AQ162" s="255">
        <f t="shared" ref="AQ162:BB162" ca="1" si="4500">AQ160*AQ161</f>
        <v>0</v>
      </c>
      <c r="AR162" s="255">
        <f t="shared" ca="1" si="4500"/>
        <v>0</v>
      </c>
      <c r="AS162" s="255">
        <f t="shared" ca="1" si="4500"/>
        <v>0</v>
      </c>
      <c r="AT162" s="255">
        <f t="shared" ca="1" si="4500"/>
        <v>0</v>
      </c>
      <c r="AU162" s="255">
        <f t="shared" ca="1" si="4500"/>
        <v>0</v>
      </c>
      <c r="AV162" s="255">
        <f t="shared" ca="1" si="4500"/>
        <v>0</v>
      </c>
      <c r="AW162" s="255">
        <f t="shared" ca="1" si="4500"/>
        <v>0</v>
      </c>
      <c r="AX162" s="255">
        <f t="shared" ca="1" si="4500"/>
        <v>0</v>
      </c>
      <c r="AY162" s="255">
        <f t="shared" ca="1" si="4500"/>
        <v>0</v>
      </c>
      <c r="AZ162" s="255">
        <f t="shared" ca="1" si="4500"/>
        <v>0</v>
      </c>
      <c r="BA162" s="255">
        <f t="shared" ca="1" si="4500"/>
        <v>0</v>
      </c>
      <c r="BB162" s="255">
        <f t="shared" ca="1" si="4500"/>
        <v>0</v>
      </c>
      <c r="BC162" s="434">
        <f ca="1">SUM(AQ162:BB162)</f>
        <v>0</v>
      </c>
      <c r="BD162" s="255">
        <f t="shared" ref="BD162:BO162" ca="1" si="4501">BD160*BD161</f>
        <v>0</v>
      </c>
      <c r="BE162" s="255">
        <f t="shared" ca="1" si="4501"/>
        <v>0</v>
      </c>
      <c r="BF162" s="255">
        <f t="shared" ca="1" si="4501"/>
        <v>0</v>
      </c>
      <c r="BG162" s="255">
        <f t="shared" ca="1" si="4501"/>
        <v>0</v>
      </c>
      <c r="BH162" s="255">
        <f t="shared" ca="1" si="4501"/>
        <v>0</v>
      </c>
      <c r="BI162" s="255">
        <f t="shared" ca="1" si="4501"/>
        <v>0</v>
      </c>
      <c r="BJ162" s="255">
        <f t="shared" ca="1" si="4501"/>
        <v>0</v>
      </c>
      <c r="BK162" s="255">
        <f t="shared" ca="1" si="4501"/>
        <v>0</v>
      </c>
      <c r="BL162" s="255">
        <f t="shared" ca="1" si="4501"/>
        <v>0</v>
      </c>
      <c r="BM162" s="255">
        <f t="shared" ca="1" si="4501"/>
        <v>0</v>
      </c>
      <c r="BN162" s="255">
        <f t="shared" ca="1" si="4501"/>
        <v>0</v>
      </c>
      <c r="BO162" s="255">
        <f t="shared" ca="1" si="4501"/>
        <v>0</v>
      </c>
      <c r="BP162" s="434">
        <f ca="1">SUM(BD162:BO162)</f>
        <v>0</v>
      </c>
      <c r="BQ162" s="255">
        <f t="shared" ref="BQ162:CB162" ca="1" si="4502">BQ160*BQ161</f>
        <v>0</v>
      </c>
      <c r="BR162" s="255">
        <f t="shared" ca="1" si="4502"/>
        <v>0</v>
      </c>
      <c r="BS162" s="255">
        <f t="shared" ca="1" si="4502"/>
        <v>0</v>
      </c>
      <c r="BT162" s="255">
        <f t="shared" ca="1" si="4502"/>
        <v>0</v>
      </c>
      <c r="BU162" s="255">
        <f t="shared" ca="1" si="4502"/>
        <v>0</v>
      </c>
      <c r="BV162" s="255">
        <f t="shared" ca="1" si="4502"/>
        <v>0</v>
      </c>
      <c r="BW162" s="255">
        <f t="shared" ca="1" si="4502"/>
        <v>0</v>
      </c>
      <c r="BX162" s="255">
        <f t="shared" ca="1" si="4502"/>
        <v>0</v>
      </c>
      <c r="BY162" s="255">
        <f t="shared" ca="1" si="4502"/>
        <v>0</v>
      </c>
      <c r="BZ162" s="255">
        <f t="shared" ca="1" si="4502"/>
        <v>0</v>
      </c>
      <c r="CA162" s="255">
        <f t="shared" ca="1" si="4502"/>
        <v>0</v>
      </c>
      <c r="CB162" s="255">
        <f t="shared" ca="1" si="4502"/>
        <v>0</v>
      </c>
      <c r="CC162" s="434">
        <f ca="1">SUM(BQ162:CB162)</f>
        <v>0</v>
      </c>
      <c r="CD162" s="255">
        <f t="shared" ref="CD162:CO162" ca="1" si="4503">CD160*CD161</f>
        <v>0</v>
      </c>
      <c r="CE162" s="255">
        <f t="shared" ca="1" si="4503"/>
        <v>0</v>
      </c>
      <c r="CF162" s="255">
        <f t="shared" ca="1" si="4503"/>
        <v>0</v>
      </c>
      <c r="CG162" s="255">
        <f t="shared" ca="1" si="4503"/>
        <v>0</v>
      </c>
      <c r="CH162" s="255">
        <f t="shared" ca="1" si="4503"/>
        <v>0</v>
      </c>
      <c r="CI162" s="255">
        <f t="shared" ca="1" si="4503"/>
        <v>0</v>
      </c>
      <c r="CJ162" s="255">
        <f t="shared" ca="1" si="4503"/>
        <v>0</v>
      </c>
      <c r="CK162" s="255">
        <f t="shared" ca="1" si="4503"/>
        <v>0</v>
      </c>
      <c r="CL162" s="255">
        <f t="shared" ca="1" si="4503"/>
        <v>0</v>
      </c>
      <c r="CM162" s="255">
        <f t="shared" ca="1" si="4503"/>
        <v>0</v>
      </c>
      <c r="CN162" s="255">
        <f t="shared" ca="1" si="4503"/>
        <v>0</v>
      </c>
      <c r="CO162" s="255">
        <f t="shared" ca="1" si="4503"/>
        <v>0</v>
      </c>
      <c r="CP162" s="434">
        <f ca="1">SUM(CD162:CO162)</f>
        <v>0</v>
      </c>
    </row>
    <row r="163" spans="1:94" ht="20.100000000000001" hidden="1" customHeight="1">
      <c r="A163" s="792">
        <f ca="1">OFFSET('Summary. Assumptions. Inputs'!$A$45,'Internmediate sheet'!A68/3,0)</f>
        <v>0</v>
      </c>
      <c r="B163" s="19" t="s">
        <v>613</v>
      </c>
      <c r="C163" s="20">
        <f ca="1">OFFSET('Sales, Production, &amp; Other Assu'!C$54,'Internmediate sheet'!$A68/3,0)*Capacity</f>
        <v>0</v>
      </c>
      <c r="D163" s="19">
        <f ca="1">OFFSET('Sales, Production, &amp; Other Assu'!D$54,'Internmediate sheet'!$A68/3,0)*Capacity</f>
        <v>0</v>
      </c>
      <c r="E163" s="19">
        <f ca="1">OFFSET('Sales, Production, &amp; Other Assu'!E$54,'Internmediate sheet'!$A68/3,0)*Capacity</f>
        <v>0</v>
      </c>
      <c r="F163" s="19">
        <f ca="1">OFFSET('Sales, Production, &amp; Other Assu'!F$54,'Internmediate sheet'!$A68/3,0)*Capacity</f>
        <v>0</v>
      </c>
      <c r="G163" s="19">
        <f ca="1">OFFSET('Sales, Production, &amp; Other Assu'!G$54,'Internmediate sheet'!$A68/3,0)*Capacity</f>
        <v>0</v>
      </c>
      <c r="H163" s="19">
        <f ca="1">OFFSET('Sales, Production, &amp; Other Assu'!H$54,'Internmediate sheet'!$A68/3,0)*Capacity</f>
        <v>0</v>
      </c>
      <c r="I163" s="19">
        <f ca="1">OFFSET('Sales, Production, &amp; Other Assu'!I$54,'Internmediate sheet'!$A68/3,0)*Capacity</f>
        <v>0</v>
      </c>
      <c r="J163" s="19">
        <f ca="1">OFFSET('Sales, Production, &amp; Other Assu'!J$54,'Internmediate sheet'!$A68/3,0)*Capacity</f>
        <v>0</v>
      </c>
      <c r="K163" s="19">
        <f ca="1">OFFSET('Sales, Production, &amp; Other Assu'!K$54,'Internmediate sheet'!$A68/3,0)*Capacity</f>
        <v>0</v>
      </c>
      <c r="L163" s="19">
        <f ca="1">OFFSET('Sales, Production, &amp; Other Assu'!L$54,'Internmediate sheet'!$A68/3,0)*Capacity</f>
        <v>0</v>
      </c>
      <c r="M163" s="19">
        <f ca="1">OFFSET('Sales, Production, &amp; Other Assu'!M$54,'Internmediate sheet'!$A68/3,0)*Capacity</f>
        <v>0</v>
      </c>
      <c r="N163" s="19">
        <f ca="1">OFFSET('Sales, Production, &amp; Other Assu'!N$54,'Internmediate sheet'!$A68/3,0)*Capacity</f>
        <v>0</v>
      </c>
      <c r="O163" s="19">
        <f ca="1">OFFSET('Sales, Production, &amp; Other Assu'!O$54,'Internmediate sheet'!$A68/3,0)*Capacity</f>
        <v>0</v>
      </c>
      <c r="P163" s="434">
        <f ca="1">SUM(D163:O163)</f>
        <v>0</v>
      </c>
      <c r="Q163" s="19">
        <f ca="1">OFFSET('Sales, Production, &amp; Other Assu'!Q$54,'Internmediate sheet'!$A68/3,0)*Capacity</f>
        <v>0</v>
      </c>
      <c r="R163" s="19">
        <f ca="1">OFFSET('Sales, Production, &amp; Other Assu'!R$54,'Internmediate sheet'!$A68/3,0)*Capacity</f>
        <v>0</v>
      </c>
      <c r="S163" s="19">
        <f ca="1">OFFSET('Sales, Production, &amp; Other Assu'!S$54,'Internmediate sheet'!$A68/3,0)*Capacity</f>
        <v>0</v>
      </c>
      <c r="T163" s="19">
        <f ca="1">OFFSET('Sales, Production, &amp; Other Assu'!T$54,'Internmediate sheet'!$A68/3,0)*Capacity</f>
        <v>0</v>
      </c>
      <c r="U163" s="19">
        <f ca="1">OFFSET('Sales, Production, &amp; Other Assu'!U$54,'Internmediate sheet'!$A68/3,0)*Capacity</f>
        <v>0</v>
      </c>
      <c r="V163" s="19">
        <f ca="1">OFFSET('Sales, Production, &amp; Other Assu'!V$54,'Internmediate sheet'!$A68/3,0)*Capacity</f>
        <v>0</v>
      </c>
      <c r="W163" s="19">
        <f ca="1">OFFSET('Sales, Production, &amp; Other Assu'!W$54,'Internmediate sheet'!$A68/3,0)*Capacity</f>
        <v>0</v>
      </c>
      <c r="X163" s="19">
        <f ca="1">OFFSET('Sales, Production, &amp; Other Assu'!X$54,'Internmediate sheet'!$A68/3,0)*Capacity</f>
        <v>0</v>
      </c>
      <c r="Y163" s="19">
        <f ca="1">OFFSET('Sales, Production, &amp; Other Assu'!Y$54,'Internmediate sheet'!$A68/3,0)*Capacity</f>
        <v>0</v>
      </c>
      <c r="Z163" s="19">
        <f ca="1">OFFSET('Sales, Production, &amp; Other Assu'!Z$54,'Internmediate sheet'!$A68/3,0)*Capacity</f>
        <v>0</v>
      </c>
      <c r="AA163" s="19">
        <f ca="1">OFFSET('Sales, Production, &amp; Other Assu'!AA$54,'Internmediate sheet'!$A68/3,0)*Capacity</f>
        <v>0</v>
      </c>
      <c r="AB163" s="19">
        <f ca="1">OFFSET('Sales, Production, &amp; Other Assu'!AB$54,'Internmediate sheet'!$A68/3,0)*Capacity</f>
        <v>0</v>
      </c>
      <c r="AC163" s="434">
        <f ca="1">SUM(Q163:AB163)</f>
        <v>0</v>
      </c>
      <c r="AD163" s="19">
        <f ca="1">OFFSET('Sales, Production, &amp; Other Assu'!AD$54,'Internmediate sheet'!$A68/3,0)*Capacity</f>
        <v>0</v>
      </c>
      <c r="AE163" s="19">
        <f ca="1">OFFSET('Sales, Production, &amp; Other Assu'!AE$54,'Internmediate sheet'!$A68/3,0)*Capacity</f>
        <v>0</v>
      </c>
      <c r="AF163" s="19">
        <f ca="1">OFFSET('Sales, Production, &amp; Other Assu'!AF$54,'Internmediate sheet'!$A68/3,0)*Capacity</f>
        <v>0</v>
      </c>
      <c r="AG163" s="19">
        <f ca="1">OFFSET('Sales, Production, &amp; Other Assu'!AG$54,'Internmediate sheet'!$A68/3,0)*Capacity</f>
        <v>0</v>
      </c>
      <c r="AH163" s="19">
        <f ca="1">OFFSET('Sales, Production, &amp; Other Assu'!AH$54,'Internmediate sheet'!$A68/3,0)*Capacity</f>
        <v>0</v>
      </c>
      <c r="AI163" s="19">
        <f ca="1">OFFSET('Sales, Production, &amp; Other Assu'!AI$54,'Internmediate sheet'!$A68/3,0)*Capacity</f>
        <v>0</v>
      </c>
      <c r="AJ163" s="19">
        <f ca="1">OFFSET('Sales, Production, &amp; Other Assu'!AJ$54,'Internmediate sheet'!$A68/3,0)*Capacity</f>
        <v>0</v>
      </c>
      <c r="AK163" s="19">
        <f ca="1">OFFSET('Sales, Production, &amp; Other Assu'!AK$54,'Internmediate sheet'!$A68/3,0)*Capacity</f>
        <v>0</v>
      </c>
      <c r="AL163" s="19">
        <f ca="1">OFFSET('Sales, Production, &amp; Other Assu'!AL$54,'Internmediate sheet'!$A68/3,0)*Capacity</f>
        <v>0</v>
      </c>
      <c r="AM163" s="19">
        <f ca="1">OFFSET('Sales, Production, &amp; Other Assu'!AM$54,'Internmediate sheet'!$A68/3,0)*Capacity</f>
        <v>0</v>
      </c>
      <c r="AN163" s="19">
        <f ca="1">OFFSET('Sales, Production, &amp; Other Assu'!AN$54,'Internmediate sheet'!$A68/3,0)*Capacity</f>
        <v>0</v>
      </c>
      <c r="AO163" s="19">
        <f ca="1">OFFSET('Sales, Production, &amp; Other Assu'!AO$54,'Internmediate sheet'!$A68/3,0)*Capacity</f>
        <v>0</v>
      </c>
      <c r="AP163" s="434">
        <f ca="1">SUM(AD163:AO163)</f>
        <v>0</v>
      </c>
      <c r="AQ163" s="19">
        <f ca="1">OFFSET('Sales, Production, &amp; Other Assu'!AQ$54,'Internmediate sheet'!$A68/3,0)*Capacity</f>
        <v>0</v>
      </c>
      <c r="AR163" s="19">
        <f ca="1">OFFSET('Sales, Production, &amp; Other Assu'!AR$54,'Internmediate sheet'!$A68/3,0)*Capacity</f>
        <v>0</v>
      </c>
      <c r="AS163" s="19">
        <f ca="1">OFFSET('Sales, Production, &amp; Other Assu'!AS$54,'Internmediate sheet'!$A68/3,0)*Capacity</f>
        <v>0</v>
      </c>
      <c r="AT163" s="19">
        <f ca="1">OFFSET('Sales, Production, &amp; Other Assu'!AT$54,'Internmediate sheet'!$A68/3,0)*Capacity</f>
        <v>0</v>
      </c>
      <c r="AU163" s="19">
        <f ca="1">OFFSET('Sales, Production, &amp; Other Assu'!AU$54,'Internmediate sheet'!$A68/3,0)*Capacity</f>
        <v>0</v>
      </c>
      <c r="AV163" s="19">
        <f ca="1">OFFSET('Sales, Production, &amp; Other Assu'!AV$54,'Internmediate sheet'!$A68/3,0)*Capacity</f>
        <v>0</v>
      </c>
      <c r="AW163" s="19">
        <f ca="1">OFFSET('Sales, Production, &amp; Other Assu'!AW$54,'Internmediate sheet'!$A68/3,0)*Capacity</f>
        <v>0</v>
      </c>
      <c r="AX163" s="19">
        <f ca="1">OFFSET('Sales, Production, &amp; Other Assu'!AX$54,'Internmediate sheet'!$A68/3,0)*Capacity</f>
        <v>0</v>
      </c>
      <c r="AY163" s="19">
        <f ca="1">OFFSET('Sales, Production, &amp; Other Assu'!AY$54,'Internmediate sheet'!$A68/3,0)*Capacity</f>
        <v>0</v>
      </c>
      <c r="AZ163" s="19">
        <f ca="1">OFFSET('Sales, Production, &amp; Other Assu'!AZ$54,'Internmediate sheet'!$A68/3,0)*Capacity</f>
        <v>0</v>
      </c>
      <c r="BA163" s="19">
        <f ca="1">OFFSET('Sales, Production, &amp; Other Assu'!BA$54,'Internmediate sheet'!$A68/3,0)*Capacity</f>
        <v>0</v>
      </c>
      <c r="BB163" s="19">
        <f ca="1">OFFSET('Sales, Production, &amp; Other Assu'!BB$54,'Internmediate sheet'!$A68/3,0)*Capacity</f>
        <v>0</v>
      </c>
      <c r="BC163" s="434">
        <f ca="1">SUM(AQ163:BB163)</f>
        <v>0</v>
      </c>
      <c r="BD163" s="19">
        <f ca="1">OFFSET('Sales, Production, &amp; Other Assu'!BD$54,'Internmediate sheet'!$A68/3,0)*Capacity</f>
        <v>0</v>
      </c>
      <c r="BE163" s="19">
        <f ca="1">OFFSET('Sales, Production, &amp; Other Assu'!BE$54,'Internmediate sheet'!$A68/3,0)*Capacity</f>
        <v>0</v>
      </c>
      <c r="BF163" s="19">
        <f ca="1">OFFSET('Sales, Production, &amp; Other Assu'!BF$54,'Internmediate sheet'!$A68/3,0)*Capacity</f>
        <v>0</v>
      </c>
      <c r="BG163" s="19">
        <f ca="1">OFFSET('Sales, Production, &amp; Other Assu'!BG$54,'Internmediate sheet'!$A68/3,0)*Capacity</f>
        <v>0</v>
      </c>
      <c r="BH163" s="19">
        <f ca="1">OFFSET('Sales, Production, &amp; Other Assu'!BH$54,'Internmediate sheet'!$A68/3,0)*Capacity</f>
        <v>0</v>
      </c>
      <c r="BI163" s="19">
        <f ca="1">OFFSET('Sales, Production, &amp; Other Assu'!BI$54,'Internmediate sheet'!$A68/3,0)*Capacity</f>
        <v>0</v>
      </c>
      <c r="BJ163" s="19">
        <f ca="1">OFFSET('Sales, Production, &amp; Other Assu'!BJ$54,'Internmediate sheet'!$A68/3,0)*Capacity</f>
        <v>0</v>
      </c>
      <c r="BK163" s="19">
        <f ca="1">OFFSET('Sales, Production, &amp; Other Assu'!BK$54,'Internmediate sheet'!$A68/3,0)*Capacity</f>
        <v>0</v>
      </c>
      <c r="BL163" s="19">
        <f ca="1">OFFSET('Sales, Production, &amp; Other Assu'!BL$54,'Internmediate sheet'!$A68/3,0)*Capacity</f>
        <v>0</v>
      </c>
      <c r="BM163" s="19">
        <f ca="1">OFFSET('Sales, Production, &amp; Other Assu'!BM$54,'Internmediate sheet'!$A68/3,0)*Capacity</f>
        <v>0</v>
      </c>
      <c r="BN163" s="19">
        <f ca="1">OFFSET('Sales, Production, &amp; Other Assu'!BN$54,'Internmediate sheet'!$A68/3,0)*Capacity</f>
        <v>0</v>
      </c>
      <c r="BO163" s="19">
        <f ca="1">OFFSET('Sales, Production, &amp; Other Assu'!BO$54,'Internmediate sheet'!$A68/3,0)*Capacity</f>
        <v>0</v>
      </c>
      <c r="BP163" s="434">
        <f ca="1">SUM(BD163:BO163)</f>
        <v>0</v>
      </c>
      <c r="BQ163" s="19">
        <f ca="1">OFFSET('Sales, Production, &amp; Other Assu'!BQ$54,'Internmediate sheet'!$A68/3,0)*Capacity</f>
        <v>0</v>
      </c>
      <c r="BR163" s="19">
        <f ca="1">OFFSET('Sales, Production, &amp; Other Assu'!BR$54,'Internmediate sheet'!$A68/3,0)*Capacity</f>
        <v>0</v>
      </c>
      <c r="BS163" s="19">
        <f ca="1">OFFSET('Sales, Production, &amp; Other Assu'!BS$54,'Internmediate sheet'!$A68/3,0)*Capacity</f>
        <v>0</v>
      </c>
      <c r="BT163" s="19">
        <f ca="1">OFFSET('Sales, Production, &amp; Other Assu'!BT$54,'Internmediate sheet'!$A68/3,0)*Capacity</f>
        <v>0</v>
      </c>
      <c r="BU163" s="19">
        <f ca="1">OFFSET('Sales, Production, &amp; Other Assu'!BU$54,'Internmediate sheet'!$A68/3,0)*Capacity</f>
        <v>0</v>
      </c>
      <c r="BV163" s="19">
        <f ca="1">OFFSET('Sales, Production, &amp; Other Assu'!BV$54,'Internmediate sheet'!$A68/3,0)*Capacity</f>
        <v>0</v>
      </c>
      <c r="BW163" s="19">
        <f ca="1">OFFSET('Sales, Production, &amp; Other Assu'!BW$54,'Internmediate sheet'!$A68/3,0)*Capacity</f>
        <v>0</v>
      </c>
      <c r="BX163" s="19">
        <f ca="1">OFFSET('Sales, Production, &amp; Other Assu'!BX$54,'Internmediate sheet'!$A68/3,0)*Capacity</f>
        <v>0</v>
      </c>
      <c r="BY163" s="19">
        <f ca="1">OFFSET('Sales, Production, &amp; Other Assu'!BY$54,'Internmediate sheet'!$A68/3,0)*Capacity</f>
        <v>0</v>
      </c>
      <c r="BZ163" s="19">
        <f ca="1">OFFSET('Sales, Production, &amp; Other Assu'!BZ$54,'Internmediate sheet'!$A68/3,0)*Capacity</f>
        <v>0</v>
      </c>
      <c r="CA163" s="19">
        <f ca="1">OFFSET('Sales, Production, &amp; Other Assu'!CA$54,'Internmediate sheet'!$A68/3,0)*Capacity</f>
        <v>0</v>
      </c>
      <c r="CB163" s="19">
        <f ca="1">OFFSET('Sales, Production, &amp; Other Assu'!CB$54,'Internmediate sheet'!$A68/3,0)*Capacity</f>
        <v>0</v>
      </c>
      <c r="CC163" s="434">
        <f ca="1">SUM(BQ163:CB163)</f>
        <v>0</v>
      </c>
      <c r="CD163" s="19">
        <f ca="1">OFFSET('Sales, Production, &amp; Other Assu'!CD$54,'Internmediate sheet'!$A68/3,0)*Capacity</f>
        <v>0</v>
      </c>
      <c r="CE163" s="19">
        <f ca="1">OFFSET('Sales, Production, &amp; Other Assu'!CE$54,'Internmediate sheet'!$A68/3,0)*Capacity</f>
        <v>0</v>
      </c>
      <c r="CF163" s="19">
        <f ca="1">OFFSET('Sales, Production, &amp; Other Assu'!CF$54,'Internmediate sheet'!$A68/3,0)*Capacity</f>
        <v>0</v>
      </c>
      <c r="CG163" s="19">
        <f ca="1">OFFSET('Sales, Production, &amp; Other Assu'!CG$54,'Internmediate sheet'!$A68/3,0)*Capacity</f>
        <v>0</v>
      </c>
      <c r="CH163" s="19">
        <f ca="1">OFFSET('Sales, Production, &amp; Other Assu'!CH$54,'Internmediate sheet'!$A68/3,0)*Capacity</f>
        <v>0</v>
      </c>
      <c r="CI163" s="19">
        <f ca="1">OFFSET('Sales, Production, &amp; Other Assu'!CI$54,'Internmediate sheet'!$A68/3,0)*Capacity</f>
        <v>0</v>
      </c>
      <c r="CJ163" s="19">
        <f ca="1">OFFSET('Sales, Production, &amp; Other Assu'!CJ$54,'Internmediate sheet'!$A68/3,0)*Capacity</f>
        <v>0</v>
      </c>
      <c r="CK163" s="19">
        <f ca="1">OFFSET('Sales, Production, &amp; Other Assu'!CK$54,'Internmediate sheet'!$A68/3,0)*Capacity</f>
        <v>0</v>
      </c>
      <c r="CL163" s="19">
        <f ca="1">OFFSET('Sales, Production, &amp; Other Assu'!CL$54,'Internmediate sheet'!$A68/3,0)*Capacity</f>
        <v>0</v>
      </c>
      <c r="CM163" s="19">
        <f ca="1">OFFSET('Sales, Production, &amp; Other Assu'!CM$54,'Internmediate sheet'!$A68/3,0)*Capacity</f>
        <v>0</v>
      </c>
      <c r="CN163" s="19">
        <f ca="1">OFFSET('Sales, Production, &amp; Other Assu'!CN$54,'Internmediate sheet'!$A68/3,0)*Capacity</f>
        <v>0</v>
      </c>
      <c r="CO163" s="19">
        <f ca="1">OFFSET('Sales, Production, &amp; Other Assu'!CO$54,'Internmediate sheet'!$A68/3,0)*Capacity</f>
        <v>0</v>
      </c>
      <c r="CP163" s="434">
        <f ca="1">SUM(CD163:CO163)</f>
        <v>0</v>
      </c>
    </row>
    <row r="164" spans="1:94" ht="20.100000000000001" hidden="1" customHeight="1">
      <c r="A164" s="793"/>
      <c r="B164" s="9" t="s">
        <v>614</v>
      </c>
      <c r="C164" s="10">
        <f ca="1">OFFSET('BEP. &amp; Summary Results'!$C$6,'Internmediate sheet'!A65/3,0)</f>
        <v>0</v>
      </c>
      <c r="D164" s="9">
        <f t="shared" ref="D164" ca="1" si="4504">C164</f>
        <v>0</v>
      </c>
      <c r="E164" s="9">
        <f t="shared" ref="E164" ca="1" si="4505">D164</f>
        <v>0</v>
      </c>
      <c r="F164" s="9">
        <f t="shared" ref="F164" ca="1" si="4506">E164</f>
        <v>0</v>
      </c>
      <c r="G164" s="9">
        <f t="shared" ref="G164" ca="1" si="4507">F164</f>
        <v>0</v>
      </c>
      <c r="H164" s="9">
        <f t="shared" ref="H164" ca="1" si="4508">G164</f>
        <v>0</v>
      </c>
      <c r="I164" s="9">
        <f t="shared" ref="I164" ca="1" si="4509">H164</f>
        <v>0</v>
      </c>
      <c r="J164" s="9">
        <f t="shared" ref="J164" ca="1" si="4510">I164</f>
        <v>0</v>
      </c>
      <c r="K164" s="9">
        <f t="shared" ref="K164" ca="1" si="4511">J164</f>
        <v>0</v>
      </c>
      <c r="L164" s="9">
        <f t="shared" ref="L164" ca="1" si="4512">K164</f>
        <v>0</v>
      </c>
      <c r="M164" s="9">
        <f t="shared" ref="M164" ca="1" si="4513">L164</f>
        <v>0</v>
      </c>
      <c r="N164" s="9">
        <f t="shared" ref="N164" ca="1" si="4514">M164</f>
        <v>0</v>
      </c>
      <c r="O164" s="9">
        <f t="shared" ref="O164" ca="1" si="4515">N164</f>
        <v>0</v>
      </c>
      <c r="P164" s="435">
        <f t="shared" ref="P164" ca="1" si="4516">O164</f>
        <v>0</v>
      </c>
      <c r="Q164" s="9">
        <f t="shared" ref="Q164" ca="1" si="4517">P164</f>
        <v>0</v>
      </c>
      <c r="R164" s="9">
        <f t="shared" ref="R164" ca="1" si="4518">Q164</f>
        <v>0</v>
      </c>
      <c r="S164" s="9">
        <f t="shared" ref="S164" ca="1" si="4519">R164</f>
        <v>0</v>
      </c>
      <c r="T164" s="9">
        <f t="shared" ref="T164" ca="1" si="4520">S164</f>
        <v>0</v>
      </c>
      <c r="U164" s="9">
        <f t="shared" ref="U164" ca="1" si="4521">T164</f>
        <v>0</v>
      </c>
      <c r="V164" s="9">
        <f t="shared" ref="V164" ca="1" si="4522">U164</f>
        <v>0</v>
      </c>
      <c r="W164" s="9">
        <f t="shared" ref="W164" ca="1" si="4523">V164</f>
        <v>0</v>
      </c>
      <c r="X164" s="9">
        <f t="shared" ref="X164" ca="1" si="4524">W164</f>
        <v>0</v>
      </c>
      <c r="Y164" s="9">
        <f t="shared" ref="Y164" ca="1" si="4525">X164</f>
        <v>0</v>
      </c>
      <c r="Z164" s="9">
        <f t="shared" ref="Z164" ca="1" si="4526">Y164</f>
        <v>0</v>
      </c>
      <c r="AA164" s="9">
        <f t="shared" ref="AA164" ca="1" si="4527">Z164</f>
        <v>0</v>
      </c>
      <c r="AB164" s="9">
        <f t="shared" ref="AB164" ca="1" si="4528">AA164</f>
        <v>0</v>
      </c>
      <c r="AC164" s="435">
        <f t="shared" ref="AC164" ca="1" si="4529">AB164</f>
        <v>0</v>
      </c>
      <c r="AD164" s="9">
        <f t="shared" ref="AD164" ca="1" si="4530">AC164</f>
        <v>0</v>
      </c>
      <c r="AE164" s="9">
        <f t="shared" ref="AE164" ca="1" si="4531">AD164</f>
        <v>0</v>
      </c>
      <c r="AF164" s="9">
        <f t="shared" ref="AF164" ca="1" si="4532">AE164</f>
        <v>0</v>
      </c>
      <c r="AG164" s="9">
        <f t="shared" ref="AG164" ca="1" si="4533">AF164</f>
        <v>0</v>
      </c>
      <c r="AH164" s="9">
        <f t="shared" ref="AH164" ca="1" si="4534">AG164</f>
        <v>0</v>
      </c>
      <c r="AI164" s="9">
        <f t="shared" ref="AI164" ca="1" si="4535">AH164</f>
        <v>0</v>
      </c>
      <c r="AJ164" s="9">
        <f t="shared" ref="AJ164" ca="1" si="4536">AI164</f>
        <v>0</v>
      </c>
      <c r="AK164" s="9">
        <f t="shared" ref="AK164" ca="1" si="4537">AJ164</f>
        <v>0</v>
      </c>
      <c r="AL164" s="9">
        <f t="shared" ref="AL164" ca="1" si="4538">AK164</f>
        <v>0</v>
      </c>
      <c r="AM164" s="9">
        <f t="shared" ref="AM164" ca="1" si="4539">AL164</f>
        <v>0</v>
      </c>
      <c r="AN164" s="9">
        <f t="shared" ref="AN164" ca="1" si="4540">AM164</f>
        <v>0</v>
      </c>
      <c r="AO164" s="9">
        <f t="shared" ref="AO164" ca="1" si="4541">AN164</f>
        <v>0</v>
      </c>
      <c r="AP164" s="435">
        <f t="shared" ref="AP164" ca="1" si="4542">AO164</f>
        <v>0</v>
      </c>
      <c r="AQ164" s="9">
        <f ca="1">AP164</f>
        <v>0</v>
      </c>
      <c r="AR164" s="9">
        <f t="shared" ref="AR164" ca="1" si="4543">AQ164</f>
        <v>0</v>
      </c>
      <c r="AS164" s="9">
        <f t="shared" ref="AS164" ca="1" si="4544">AR164</f>
        <v>0</v>
      </c>
      <c r="AT164" s="9">
        <f t="shared" ref="AT164" ca="1" si="4545">AS164</f>
        <v>0</v>
      </c>
      <c r="AU164" s="9">
        <f t="shared" ref="AU164" ca="1" si="4546">AT164</f>
        <v>0</v>
      </c>
      <c r="AV164" s="9">
        <f t="shared" ref="AV164" ca="1" si="4547">AU164</f>
        <v>0</v>
      </c>
      <c r="AW164" s="9">
        <f t="shared" ref="AW164" ca="1" si="4548">AV164</f>
        <v>0</v>
      </c>
      <c r="AX164" s="9">
        <f t="shared" ref="AX164" ca="1" si="4549">AW164</f>
        <v>0</v>
      </c>
      <c r="AY164" s="9">
        <f t="shared" ref="AY164" ca="1" si="4550">AX164</f>
        <v>0</v>
      </c>
      <c r="AZ164" s="9">
        <f t="shared" ref="AZ164" ca="1" si="4551">AY164</f>
        <v>0</v>
      </c>
      <c r="BA164" s="9">
        <f t="shared" ref="BA164" ca="1" si="4552">AZ164</f>
        <v>0</v>
      </c>
      <c r="BB164" s="9">
        <f t="shared" ref="BB164" ca="1" si="4553">BA164</f>
        <v>0</v>
      </c>
      <c r="BC164" s="435">
        <f t="shared" ref="BC164" ca="1" si="4554">BB164</f>
        <v>0</v>
      </c>
      <c r="BD164" s="9">
        <f t="shared" ref="BD164" ca="1" si="4555">BC164</f>
        <v>0</v>
      </c>
      <c r="BE164" s="9">
        <f t="shared" ref="BE164" ca="1" si="4556">BD164</f>
        <v>0</v>
      </c>
      <c r="BF164" s="9">
        <f t="shared" ref="BF164" ca="1" si="4557">BE164</f>
        <v>0</v>
      </c>
      <c r="BG164" s="9">
        <f t="shared" ref="BG164" ca="1" si="4558">BF164</f>
        <v>0</v>
      </c>
      <c r="BH164" s="9">
        <f t="shared" ref="BH164" ca="1" si="4559">BG164</f>
        <v>0</v>
      </c>
      <c r="BI164" s="9">
        <f t="shared" ref="BI164" ca="1" si="4560">BH164</f>
        <v>0</v>
      </c>
      <c r="BJ164" s="9">
        <f t="shared" ref="BJ164" ca="1" si="4561">BI164</f>
        <v>0</v>
      </c>
      <c r="BK164" s="9">
        <f t="shared" ref="BK164" ca="1" si="4562">BJ164</f>
        <v>0</v>
      </c>
      <c r="BL164" s="9">
        <f t="shared" ref="BL164" ca="1" si="4563">BK164</f>
        <v>0</v>
      </c>
      <c r="BM164" s="9">
        <f t="shared" ref="BM164" ca="1" si="4564">BL164</f>
        <v>0</v>
      </c>
      <c r="BN164" s="9">
        <f t="shared" ref="BN164" ca="1" si="4565">BM164</f>
        <v>0</v>
      </c>
      <c r="BO164" s="9">
        <f t="shared" ref="BO164" ca="1" si="4566">BN164</f>
        <v>0</v>
      </c>
      <c r="BP164" s="435">
        <f t="shared" ref="BP164" ca="1" si="4567">BO164</f>
        <v>0</v>
      </c>
      <c r="BQ164" s="9">
        <f t="shared" ref="BQ164" ca="1" si="4568">BP164</f>
        <v>0</v>
      </c>
      <c r="BR164" s="9">
        <f t="shared" ref="BR164" ca="1" si="4569">BQ164</f>
        <v>0</v>
      </c>
      <c r="BS164" s="9">
        <f t="shared" ref="BS164" ca="1" si="4570">BR164</f>
        <v>0</v>
      </c>
      <c r="BT164" s="9">
        <f t="shared" ref="BT164" ca="1" si="4571">BS164</f>
        <v>0</v>
      </c>
      <c r="BU164" s="9">
        <f t="shared" ref="BU164" ca="1" si="4572">BT164</f>
        <v>0</v>
      </c>
      <c r="BV164" s="9">
        <f t="shared" ref="BV164" ca="1" si="4573">BU164</f>
        <v>0</v>
      </c>
      <c r="BW164" s="9">
        <f t="shared" ref="BW164" ca="1" si="4574">BV164</f>
        <v>0</v>
      </c>
      <c r="BX164" s="9">
        <f t="shared" ref="BX164" ca="1" si="4575">BW164</f>
        <v>0</v>
      </c>
      <c r="BY164" s="9">
        <f t="shared" ref="BY164" ca="1" si="4576">BX164</f>
        <v>0</v>
      </c>
      <c r="BZ164" s="9">
        <f t="shared" ref="BZ164" ca="1" si="4577">BY164</f>
        <v>0</v>
      </c>
      <c r="CA164" s="9">
        <f t="shared" ref="CA164" ca="1" si="4578">BZ164</f>
        <v>0</v>
      </c>
      <c r="CB164" s="9">
        <f t="shared" ref="CB164" ca="1" si="4579">CA164</f>
        <v>0</v>
      </c>
      <c r="CC164" s="435">
        <f t="shared" ref="CC164" ca="1" si="4580">CB164</f>
        <v>0</v>
      </c>
      <c r="CD164" s="9">
        <f t="shared" ref="CD164" ca="1" si="4581">CC164</f>
        <v>0</v>
      </c>
      <c r="CE164" s="9">
        <f t="shared" ref="CE164" ca="1" si="4582">CD164</f>
        <v>0</v>
      </c>
      <c r="CF164" s="9">
        <f t="shared" ref="CF164" ca="1" si="4583">CE164</f>
        <v>0</v>
      </c>
      <c r="CG164" s="9">
        <f t="shared" ref="CG164" ca="1" si="4584">CF164</f>
        <v>0</v>
      </c>
      <c r="CH164" s="9">
        <f t="shared" ref="CH164" ca="1" si="4585">CG164</f>
        <v>0</v>
      </c>
      <c r="CI164" s="9">
        <f t="shared" ref="CI164" ca="1" si="4586">CH164</f>
        <v>0</v>
      </c>
      <c r="CJ164" s="9">
        <f t="shared" ref="CJ164" ca="1" si="4587">CI164</f>
        <v>0</v>
      </c>
      <c r="CK164" s="9">
        <f t="shared" ref="CK164" ca="1" si="4588">CJ164</f>
        <v>0</v>
      </c>
      <c r="CL164" s="9">
        <f t="shared" ref="CL164" ca="1" si="4589">CK164</f>
        <v>0</v>
      </c>
      <c r="CM164" s="9">
        <f t="shared" ref="CM164" ca="1" si="4590">CL164</f>
        <v>0</v>
      </c>
      <c r="CN164" s="9">
        <f t="shared" ref="CN164" ca="1" si="4591">CM164</f>
        <v>0</v>
      </c>
      <c r="CO164" s="9">
        <f t="shared" ref="CO164" ca="1" si="4592">CN164</f>
        <v>0</v>
      </c>
      <c r="CP164" s="435">
        <f t="shared" ref="CP164" ca="1" si="4593">CO164</f>
        <v>0</v>
      </c>
    </row>
    <row r="165" spans="1:94" ht="20.100000000000001" hidden="1" customHeight="1">
      <c r="A165" s="794"/>
      <c r="B165" s="255" t="s">
        <v>615</v>
      </c>
      <c r="C165" s="256">
        <f t="shared" ref="C165:O165" ca="1" si="4594">C163*C164</f>
        <v>0</v>
      </c>
      <c r="D165" s="255">
        <f t="shared" ca="1" si="4594"/>
        <v>0</v>
      </c>
      <c r="E165" s="255">
        <f t="shared" ca="1" si="4594"/>
        <v>0</v>
      </c>
      <c r="F165" s="255">
        <f t="shared" ca="1" si="4594"/>
        <v>0</v>
      </c>
      <c r="G165" s="255">
        <f t="shared" ca="1" si="4594"/>
        <v>0</v>
      </c>
      <c r="H165" s="255">
        <f t="shared" ca="1" si="4594"/>
        <v>0</v>
      </c>
      <c r="I165" s="255">
        <f t="shared" ca="1" si="4594"/>
        <v>0</v>
      </c>
      <c r="J165" s="255">
        <f t="shared" ca="1" si="4594"/>
        <v>0</v>
      </c>
      <c r="K165" s="255">
        <f t="shared" ca="1" si="4594"/>
        <v>0</v>
      </c>
      <c r="L165" s="255">
        <f t="shared" ca="1" si="4594"/>
        <v>0</v>
      </c>
      <c r="M165" s="255">
        <f t="shared" ca="1" si="4594"/>
        <v>0</v>
      </c>
      <c r="N165" s="255">
        <f t="shared" ca="1" si="4594"/>
        <v>0</v>
      </c>
      <c r="O165" s="255">
        <f t="shared" ca="1" si="4594"/>
        <v>0</v>
      </c>
      <c r="P165" s="434">
        <f ca="1">SUM(D165:O165)</f>
        <v>0</v>
      </c>
      <c r="Q165" s="255">
        <f t="shared" ref="Q165:AB165" ca="1" si="4595">Q163*Q164</f>
        <v>0</v>
      </c>
      <c r="R165" s="255">
        <f t="shared" ca="1" si="4595"/>
        <v>0</v>
      </c>
      <c r="S165" s="255">
        <f t="shared" ca="1" si="4595"/>
        <v>0</v>
      </c>
      <c r="T165" s="255">
        <f t="shared" ca="1" si="4595"/>
        <v>0</v>
      </c>
      <c r="U165" s="255">
        <f t="shared" ca="1" si="4595"/>
        <v>0</v>
      </c>
      <c r="V165" s="255">
        <f t="shared" ca="1" si="4595"/>
        <v>0</v>
      </c>
      <c r="W165" s="255">
        <f t="shared" ca="1" si="4595"/>
        <v>0</v>
      </c>
      <c r="X165" s="255">
        <f t="shared" ca="1" si="4595"/>
        <v>0</v>
      </c>
      <c r="Y165" s="255">
        <f t="shared" ca="1" si="4595"/>
        <v>0</v>
      </c>
      <c r="Z165" s="255">
        <f t="shared" ca="1" si="4595"/>
        <v>0</v>
      </c>
      <c r="AA165" s="255">
        <f t="shared" ca="1" si="4595"/>
        <v>0</v>
      </c>
      <c r="AB165" s="255">
        <f t="shared" ca="1" si="4595"/>
        <v>0</v>
      </c>
      <c r="AC165" s="434">
        <f ca="1">SUM(Q165:AB165)</f>
        <v>0</v>
      </c>
      <c r="AD165" s="255">
        <f t="shared" ref="AD165:AO165" ca="1" si="4596">AD163*AD164</f>
        <v>0</v>
      </c>
      <c r="AE165" s="255">
        <f t="shared" ca="1" si="4596"/>
        <v>0</v>
      </c>
      <c r="AF165" s="255">
        <f t="shared" ca="1" si="4596"/>
        <v>0</v>
      </c>
      <c r="AG165" s="255">
        <f t="shared" ca="1" si="4596"/>
        <v>0</v>
      </c>
      <c r="AH165" s="255">
        <f t="shared" ca="1" si="4596"/>
        <v>0</v>
      </c>
      <c r="AI165" s="255">
        <f t="shared" ca="1" si="4596"/>
        <v>0</v>
      </c>
      <c r="AJ165" s="255">
        <f t="shared" ca="1" si="4596"/>
        <v>0</v>
      </c>
      <c r="AK165" s="255">
        <f t="shared" ca="1" si="4596"/>
        <v>0</v>
      </c>
      <c r="AL165" s="255">
        <f t="shared" ca="1" si="4596"/>
        <v>0</v>
      </c>
      <c r="AM165" s="255">
        <f t="shared" ca="1" si="4596"/>
        <v>0</v>
      </c>
      <c r="AN165" s="255">
        <f t="shared" ca="1" si="4596"/>
        <v>0</v>
      </c>
      <c r="AO165" s="255">
        <f t="shared" ca="1" si="4596"/>
        <v>0</v>
      </c>
      <c r="AP165" s="434">
        <f ca="1">SUM(AD165:AO165)</f>
        <v>0</v>
      </c>
      <c r="AQ165" s="255">
        <f t="shared" ref="AQ165:BB165" ca="1" si="4597">AQ163*AQ164</f>
        <v>0</v>
      </c>
      <c r="AR165" s="255">
        <f t="shared" ca="1" si="4597"/>
        <v>0</v>
      </c>
      <c r="AS165" s="255">
        <f t="shared" ca="1" si="4597"/>
        <v>0</v>
      </c>
      <c r="AT165" s="255">
        <f t="shared" ca="1" si="4597"/>
        <v>0</v>
      </c>
      <c r="AU165" s="255">
        <f t="shared" ca="1" si="4597"/>
        <v>0</v>
      </c>
      <c r="AV165" s="255">
        <f t="shared" ca="1" si="4597"/>
        <v>0</v>
      </c>
      <c r="AW165" s="255">
        <f t="shared" ca="1" si="4597"/>
        <v>0</v>
      </c>
      <c r="AX165" s="255">
        <f t="shared" ca="1" si="4597"/>
        <v>0</v>
      </c>
      <c r="AY165" s="255">
        <f t="shared" ca="1" si="4597"/>
        <v>0</v>
      </c>
      <c r="AZ165" s="255">
        <f t="shared" ca="1" si="4597"/>
        <v>0</v>
      </c>
      <c r="BA165" s="255">
        <f t="shared" ca="1" si="4597"/>
        <v>0</v>
      </c>
      <c r="BB165" s="255">
        <f t="shared" ca="1" si="4597"/>
        <v>0</v>
      </c>
      <c r="BC165" s="434">
        <f ca="1">SUM(AQ165:BB165)</f>
        <v>0</v>
      </c>
      <c r="BD165" s="255">
        <f t="shared" ref="BD165:BO165" ca="1" si="4598">BD163*BD164</f>
        <v>0</v>
      </c>
      <c r="BE165" s="255">
        <f t="shared" ca="1" si="4598"/>
        <v>0</v>
      </c>
      <c r="BF165" s="255">
        <f t="shared" ca="1" si="4598"/>
        <v>0</v>
      </c>
      <c r="BG165" s="255">
        <f t="shared" ca="1" si="4598"/>
        <v>0</v>
      </c>
      <c r="BH165" s="255">
        <f t="shared" ca="1" si="4598"/>
        <v>0</v>
      </c>
      <c r="BI165" s="255">
        <f t="shared" ca="1" si="4598"/>
        <v>0</v>
      </c>
      <c r="BJ165" s="255">
        <f t="shared" ca="1" si="4598"/>
        <v>0</v>
      </c>
      <c r="BK165" s="255">
        <f t="shared" ca="1" si="4598"/>
        <v>0</v>
      </c>
      <c r="BL165" s="255">
        <f t="shared" ca="1" si="4598"/>
        <v>0</v>
      </c>
      <c r="BM165" s="255">
        <f t="shared" ca="1" si="4598"/>
        <v>0</v>
      </c>
      <c r="BN165" s="255">
        <f t="shared" ca="1" si="4598"/>
        <v>0</v>
      </c>
      <c r="BO165" s="255">
        <f t="shared" ca="1" si="4598"/>
        <v>0</v>
      </c>
      <c r="BP165" s="434">
        <f ca="1">SUM(BD165:BO165)</f>
        <v>0</v>
      </c>
      <c r="BQ165" s="255">
        <f t="shared" ref="BQ165:CB165" ca="1" si="4599">BQ163*BQ164</f>
        <v>0</v>
      </c>
      <c r="BR165" s="255">
        <f t="shared" ca="1" si="4599"/>
        <v>0</v>
      </c>
      <c r="BS165" s="255">
        <f t="shared" ca="1" si="4599"/>
        <v>0</v>
      </c>
      <c r="BT165" s="255">
        <f t="shared" ca="1" si="4599"/>
        <v>0</v>
      </c>
      <c r="BU165" s="255">
        <f t="shared" ca="1" si="4599"/>
        <v>0</v>
      </c>
      <c r="BV165" s="255">
        <f t="shared" ca="1" si="4599"/>
        <v>0</v>
      </c>
      <c r="BW165" s="255">
        <f t="shared" ca="1" si="4599"/>
        <v>0</v>
      </c>
      <c r="BX165" s="255">
        <f t="shared" ca="1" si="4599"/>
        <v>0</v>
      </c>
      <c r="BY165" s="255">
        <f t="shared" ca="1" si="4599"/>
        <v>0</v>
      </c>
      <c r="BZ165" s="255">
        <f t="shared" ca="1" si="4599"/>
        <v>0</v>
      </c>
      <c r="CA165" s="255">
        <f t="shared" ca="1" si="4599"/>
        <v>0</v>
      </c>
      <c r="CB165" s="255">
        <f t="shared" ca="1" si="4599"/>
        <v>0</v>
      </c>
      <c r="CC165" s="434">
        <f ca="1">SUM(BQ165:CB165)</f>
        <v>0</v>
      </c>
      <c r="CD165" s="255">
        <f t="shared" ref="CD165:CO165" ca="1" si="4600">CD163*CD164</f>
        <v>0</v>
      </c>
      <c r="CE165" s="255">
        <f t="shared" ca="1" si="4600"/>
        <v>0</v>
      </c>
      <c r="CF165" s="255">
        <f t="shared" ca="1" si="4600"/>
        <v>0</v>
      </c>
      <c r="CG165" s="255">
        <f t="shared" ca="1" si="4600"/>
        <v>0</v>
      </c>
      <c r="CH165" s="255">
        <f t="shared" ca="1" si="4600"/>
        <v>0</v>
      </c>
      <c r="CI165" s="255">
        <f t="shared" ca="1" si="4600"/>
        <v>0</v>
      </c>
      <c r="CJ165" s="255">
        <f t="shared" ca="1" si="4600"/>
        <v>0</v>
      </c>
      <c r="CK165" s="255">
        <f t="shared" ca="1" si="4600"/>
        <v>0</v>
      </c>
      <c r="CL165" s="255">
        <f t="shared" ca="1" si="4600"/>
        <v>0</v>
      </c>
      <c r="CM165" s="255">
        <f t="shared" ca="1" si="4600"/>
        <v>0</v>
      </c>
      <c r="CN165" s="255">
        <f t="shared" ca="1" si="4600"/>
        <v>0</v>
      </c>
      <c r="CO165" s="255">
        <f t="shared" ca="1" si="4600"/>
        <v>0</v>
      </c>
      <c r="CP165" s="434">
        <f ca="1">SUM(CD165:CO165)</f>
        <v>0</v>
      </c>
    </row>
    <row r="166" spans="1:94" ht="20.100000000000001" hidden="1" customHeight="1">
      <c r="A166" s="792">
        <f ca="1">OFFSET('Summary. Assumptions. Inputs'!$A$45,'Internmediate sheet'!A71/3,0)</f>
        <v>0</v>
      </c>
      <c r="B166" s="19" t="s">
        <v>613</v>
      </c>
      <c r="C166" s="20">
        <f ca="1">OFFSET('Sales, Production, &amp; Other Assu'!C$54,'Internmediate sheet'!$A71/3,0)*Capacity</f>
        <v>0</v>
      </c>
      <c r="D166" s="19">
        <f ca="1">OFFSET('Sales, Production, &amp; Other Assu'!D$54,'Internmediate sheet'!$A71/3,0)*Capacity</f>
        <v>0</v>
      </c>
      <c r="E166" s="19">
        <f ca="1">OFFSET('Sales, Production, &amp; Other Assu'!E$54,'Internmediate sheet'!$A71/3,0)*Capacity</f>
        <v>0</v>
      </c>
      <c r="F166" s="19">
        <f ca="1">OFFSET('Sales, Production, &amp; Other Assu'!F$54,'Internmediate sheet'!$A71/3,0)*Capacity</f>
        <v>0</v>
      </c>
      <c r="G166" s="19">
        <f ca="1">OFFSET('Sales, Production, &amp; Other Assu'!G$54,'Internmediate sheet'!$A71/3,0)*Capacity</f>
        <v>0</v>
      </c>
      <c r="H166" s="19">
        <f ca="1">OFFSET('Sales, Production, &amp; Other Assu'!H$54,'Internmediate sheet'!$A71/3,0)*Capacity</f>
        <v>0</v>
      </c>
      <c r="I166" s="19">
        <f ca="1">OFFSET('Sales, Production, &amp; Other Assu'!I$54,'Internmediate sheet'!$A71/3,0)*Capacity</f>
        <v>0</v>
      </c>
      <c r="J166" s="19">
        <f ca="1">OFFSET('Sales, Production, &amp; Other Assu'!J$54,'Internmediate sheet'!$A71/3,0)*Capacity</f>
        <v>0</v>
      </c>
      <c r="K166" s="19">
        <f ca="1">OFFSET('Sales, Production, &amp; Other Assu'!K$54,'Internmediate sheet'!$A71/3,0)*Capacity</f>
        <v>0</v>
      </c>
      <c r="L166" s="19">
        <f ca="1">OFFSET('Sales, Production, &amp; Other Assu'!L$54,'Internmediate sheet'!$A71/3,0)*Capacity</f>
        <v>0</v>
      </c>
      <c r="M166" s="19">
        <f ca="1">OFFSET('Sales, Production, &amp; Other Assu'!M$54,'Internmediate sheet'!$A71/3,0)*Capacity</f>
        <v>0</v>
      </c>
      <c r="N166" s="19">
        <f ca="1">OFFSET('Sales, Production, &amp; Other Assu'!N$54,'Internmediate sheet'!$A71/3,0)*Capacity</f>
        <v>0</v>
      </c>
      <c r="O166" s="19">
        <f ca="1">OFFSET('Sales, Production, &amp; Other Assu'!O$54,'Internmediate sheet'!$A71/3,0)*Capacity</f>
        <v>0</v>
      </c>
      <c r="P166" s="434">
        <f ca="1">SUM(D166:O166)</f>
        <v>0</v>
      </c>
      <c r="Q166" s="19">
        <f ca="1">OFFSET('Sales, Production, &amp; Other Assu'!Q$54,'Internmediate sheet'!$A71/3,0)*Capacity</f>
        <v>0</v>
      </c>
      <c r="R166" s="19">
        <f ca="1">OFFSET('Sales, Production, &amp; Other Assu'!R$54,'Internmediate sheet'!$A71/3,0)*Capacity</f>
        <v>0</v>
      </c>
      <c r="S166" s="19">
        <f ca="1">OFFSET('Sales, Production, &amp; Other Assu'!S$54,'Internmediate sheet'!$A71/3,0)*Capacity</f>
        <v>0</v>
      </c>
      <c r="T166" s="19">
        <f ca="1">OFFSET('Sales, Production, &amp; Other Assu'!T$54,'Internmediate sheet'!$A71/3,0)*Capacity</f>
        <v>0</v>
      </c>
      <c r="U166" s="19">
        <f ca="1">OFFSET('Sales, Production, &amp; Other Assu'!U$54,'Internmediate sheet'!$A71/3,0)*Capacity</f>
        <v>0</v>
      </c>
      <c r="V166" s="19">
        <f ca="1">OFFSET('Sales, Production, &amp; Other Assu'!V$54,'Internmediate sheet'!$A71/3,0)*Capacity</f>
        <v>0</v>
      </c>
      <c r="W166" s="19">
        <f ca="1">OFFSET('Sales, Production, &amp; Other Assu'!W$54,'Internmediate sheet'!$A71/3,0)*Capacity</f>
        <v>0</v>
      </c>
      <c r="X166" s="19">
        <f ca="1">OFFSET('Sales, Production, &amp; Other Assu'!X$54,'Internmediate sheet'!$A71/3,0)*Capacity</f>
        <v>0</v>
      </c>
      <c r="Y166" s="19">
        <f ca="1">OFFSET('Sales, Production, &amp; Other Assu'!Y$54,'Internmediate sheet'!$A71/3,0)*Capacity</f>
        <v>0</v>
      </c>
      <c r="Z166" s="19">
        <f ca="1">OFFSET('Sales, Production, &amp; Other Assu'!Z$54,'Internmediate sheet'!$A71/3,0)*Capacity</f>
        <v>0</v>
      </c>
      <c r="AA166" s="19">
        <f ca="1">OFFSET('Sales, Production, &amp; Other Assu'!AA$54,'Internmediate sheet'!$A71/3,0)*Capacity</f>
        <v>0</v>
      </c>
      <c r="AB166" s="19">
        <f ca="1">OFFSET('Sales, Production, &amp; Other Assu'!AB$54,'Internmediate sheet'!$A71/3,0)*Capacity</f>
        <v>0</v>
      </c>
      <c r="AC166" s="434">
        <f ca="1">SUM(Q166:AB166)</f>
        <v>0</v>
      </c>
      <c r="AD166" s="19">
        <f ca="1">OFFSET('Sales, Production, &amp; Other Assu'!AD$54,'Internmediate sheet'!$A71/3,0)*Capacity</f>
        <v>0</v>
      </c>
      <c r="AE166" s="19">
        <f ca="1">OFFSET('Sales, Production, &amp; Other Assu'!AE$54,'Internmediate sheet'!$A71/3,0)*Capacity</f>
        <v>0</v>
      </c>
      <c r="AF166" s="19">
        <f ca="1">OFFSET('Sales, Production, &amp; Other Assu'!AF$54,'Internmediate sheet'!$A71/3,0)*Capacity</f>
        <v>0</v>
      </c>
      <c r="AG166" s="19">
        <f ca="1">OFFSET('Sales, Production, &amp; Other Assu'!AG$54,'Internmediate sheet'!$A71/3,0)*Capacity</f>
        <v>0</v>
      </c>
      <c r="AH166" s="19">
        <f ca="1">OFFSET('Sales, Production, &amp; Other Assu'!AH$54,'Internmediate sheet'!$A71/3,0)*Capacity</f>
        <v>0</v>
      </c>
      <c r="AI166" s="19">
        <f ca="1">OFFSET('Sales, Production, &amp; Other Assu'!AI$54,'Internmediate sheet'!$A71/3,0)*Capacity</f>
        <v>0</v>
      </c>
      <c r="AJ166" s="19">
        <f ca="1">OFFSET('Sales, Production, &amp; Other Assu'!AJ$54,'Internmediate sheet'!$A71/3,0)*Capacity</f>
        <v>0</v>
      </c>
      <c r="AK166" s="19">
        <f ca="1">OFFSET('Sales, Production, &amp; Other Assu'!AK$54,'Internmediate sheet'!$A71/3,0)*Capacity</f>
        <v>0</v>
      </c>
      <c r="AL166" s="19">
        <f ca="1">OFFSET('Sales, Production, &amp; Other Assu'!AL$54,'Internmediate sheet'!$A71/3,0)*Capacity</f>
        <v>0</v>
      </c>
      <c r="AM166" s="19">
        <f ca="1">OFFSET('Sales, Production, &amp; Other Assu'!AM$54,'Internmediate sheet'!$A71/3,0)*Capacity</f>
        <v>0</v>
      </c>
      <c r="AN166" s="19">
        <f ca="1">OFFSET('Sales, Production, &amp; Other Assu'!AN$54,'Internmediate sheet'!$A71/3,0)*Capacity</f>
        <v>0</v>
      </c>
      <c r="AO166" s="19">
        <f ca="1">OFFSET('Sales, Production, &amp; Other Assu'!AO$54,'Internmediate sheet'!$A71/3,0)*Capacity</f>
        <v>0</v>
      </c>
      <c r="AP166" s="434">
        <f ca="1">SUM(AD166:AO166)</f>
        <v>0</v>
      </c>
      <c r="AQ166" s="19">
        <f ca="1">OFFSET('Sales, Production, &amp; Other Assu'!AQ$54,'Internmediate sheet'!$A71/3,0)*Capacity</f>
        <v>0</v>
      </c>
      <c r="AR166" s="19">
        <f ca="1">OFFSET('Sales, Production, &amp; Other Assu'!AR$54,'Internmediate sheet'!$A71/3,0)*Capacity</f>
        <v>0</v>
      </c>
      <c r="AS166" s="19">
        <f ca="1">OFFSET('Sales, Production, &amp; Other Assu'!AS$54,'Internmediate sheet'!$A71/3,0)*Capacity</f>
        <v>0</v>
      </c>
      <c r="AT166" s="19">
        <f ca="1">OFFSET('Sales, Production, &amp; Other Assu'!AT$54,'Internmediate sheet'!$A71/3,0)*Capacity</f>
        <v>0</v>
      </c>
      <c r="AU166" s="19">
        <f ca="1">OFFSET('Sales, Production, &amp; Other Assu'!AU$54,'Internmediate sheet'!$A71/3,0)*Capacity</f>
        <v>0</v>
      </c>
      <c r="AV166" s="19">
        <f ca="1">OFFSET('Sales, Production, &amp; Other Assu'!AV$54,'Internmediate sheet'!$A71/3,0)*Capacity</f>
        <v>0</v>
      </c>
      <c r="AW166" s="19">
        <f ca="1">OFFSET('Sales, Production, &amp; Other Assu'!AW$54,'Internmediate sheet'!$A71/3,0)*Capacity</f>
        <v>0</v>
      </c>
      <c r="AX166" s="19">
        <f ca="1">OFFSET('Sales, Production, &amp; Other Assu'!AX$54,'Internmediate sheet'!$A71/3,0)*Capacity</f>
        <v>0</v>
      </c>
      <c r="AY166" s="19">
        <f ca="1">OFFSET('Sales, Production, &amp; Other Assu'!AY$54,'Internmediate sheet'!$A71/3,0)*Capacity</f>
        <v>0</v>
      </c>
      <c r="AZ166" s="19">
        <f ca="1">OFFSET('Sales, Production, &amp; Other Assu'!AZ$54,'Internmediate sheet'!$A71/3,0)*Capacity</f>
        <v>0</v>
      </c>
      <c r="BA166" s="19">
        <f ca="1">OFFSET('Sales, Production, &amp; Other Assu'!BA$54,'Internmediate sheet'!$A71/3,0)*Capacity</f>
        <v>0</v>
      </c>
      <c r="BB166" s="19">
        <f ca="1">OFFSET('Sales, Production, &amp; Other Assu'!BB$54,'Internmediate sheet'!$A71/3,0)*Capacity</f>
        <v>0</v>
      </c>
      <c r="BC166" s="434">
        <f ca="1">SUM(AQ166:BB166)</f>
        <v>0</v>
      </c>
      <c r="BD166" s="19">
        <f ca="1">OFFSET('Sales, Production, &amp; Other Assu'!BD$54,'Internmediate sheet'!$A71/3,0)*Capacity</f>
        <v>0</v>
      </c>
      <c r="BE166" s="19">
        <f ca="1">OFFSET('Sales, Production, &amp; Other Assu'!BE$54,'Internmediate sheet'!$A71/3,0)*Capacity</f>
        <v>0</v>
      </c>
      <c r="BF166" s="19">
        <f ca="1">OFFSET('Sales, Production, &amp; Other Assu'!BF$54,'Internmediate sheet'!$A71/3,0)*Capacity</f>
        <v>0</v>
      </c>
      <c r="BG166" s="19">
        <f ca="1">OFFSET('Sales, Production, &amp; Other Assu'!BG$54,'Internmediate sheet'!$A71/3,0)*Capacity</f>
        <v>0</v>
      </c>
      <c r="BH166" s="19">
        <f ca="1">OFFSET('Sales, Production, &amp; Other Assu'!BH$54,'Internmediate sheet'!$A71/3,0)*Capacity</f>
        <v>0</v>
      </c>
      <c r="BI166" s="19">
        <f ca="1">OFFSET('Sales, Production, &amp; Other Assu'!BI$54,'Internmediate sheet'!$A71/3,0)*Capacity</f>
        <v>0</v>
      </c>
      <c r="BJ166" s="19">
        <f ca="1">OFFSET('Sales, Production, &amp; Other Assu'!BJ$54,'Internmediate sheet'!$A71/3,0)*Capacity</f>
        <v>0</v>
      </c>
      <c r="BK166" s="19">
        <f ca="1">OFFSET('Sales, Production, &amp; Other Assu'!BK$54,'Internmediate sheet'!$A71/3,0)*Capacity</f>
        <v>0</v>
      </c>
      <c r="BL166" s="19">
        <f ca="1">OFFSET('Sales, Production, &amp; Other Assu'!BL$54,'Internmediate sheet'!$A71/3,0)*Capacity</f>
        <v>0</v>
      </c>
      <c r="BM166" s="19">
        <f ca="1">OFFSET('Sales, Production, &amp; Other Assu'!BM$54,'Internmediate sheet'!$A71/3,0)*Capacity</f>
        <v>0</v>
      </c>
      <c r="BN166" s="19">
        <f ca="1">OFFSET('Sales, Production, &amp; Other Assu'!BN$54,'Internmediate sheet'!$A71/3,0)*Capacity</f>
        <v>0</v>
      </c>
      <c r="BO166" s="19">
        <f ca="1">OFFSET('Sales, Production, &amp; Other Assu'!BO$54,'Internmediate sheet'!$A71/3,0)*Capacity</f>
        <v>0</v>
      </c>
      <c r="BP166" s="434">
        <f ca="1">SUM(BD166:BO166)</f>
        <v>0</v>
      </c>
      <c r="BQ166" s="19">
        <f ca="1">OFFSET('Sales, Production, &amp; Other Assu'!BQ$54,'Internmediate sheet'!$A71/3,0)*Capacity</f>
        <v>0</v>
      </c>
      <c r="BR166" s="19">
        <f ca="1">OFFSET('Sales, Production, &amp; Other Assu'!BR$54,'Internmediate sheet'!$A71/3,0)*Capacity</f>
        <v>0</v>
      </c>
      <c r="BS166" s="19">
        <f ca="1">OFFSET('Sales, Production, &amp; Other Assu'!BS$54,'Internmediate sheet'!$A71/3,0)*Capacity</f>
        <v>0</v>
      </c>
      <c r="BT166" s="19">
        <f ca="1">OFFSET('Sales, Production, &amp; Other Assu'!BT$54,'Internmediate sheet'!$A71/3,0)*Capacity</f>
        <v>0</v>
      </c>
      <c r="BU166" s="19">
        <f ca="1">OFFSET('Sales, Production, &amp; Other Assu'!BU$54,'Internmediate sheet'!$A71/3,0)*Capacity</f>
        <v>0</v>
      </c>
      <c r="BV166" s="19">
        <f ca="1">OFFSET('Sales, Production, &amp; Other Assu'!BV$54,'Internmediate sheet'!$A71/3,0)*Capacity</f>
        <v>0</v>
      </c>
      <c r="BW166" s="19">
        <f ca="1">OFFSET('Sales, Production, &amp; Other Assu'!BW$54,'Internmediate sheet'!$A71/3,0)*Capacity</f>
        <v>0</v>
      </c>
      <c r="BX166" s="19">
        <f ca="1">OFFSET('Sales, Production, &amp; Other Assu'!BX$54,'Internmediate sheet'!$A71/3,0)*Capacity</f>
        <v>0</v>
      </c>
      <c r="BY166" s="19">
        <f ca="1">OFFSET('Sales, Production, &amp; Other Assu'!BY$54,'Internmediate sheet'!$A71/3,0)*Capacity</f>
        <v>0</v>
      </c>
      <c r="BZ166" s="19">
        <f ca="1">OFFSET('Sales, Production, &amp; Other Assu'!BZ$54,'Internmediate sheet'!$A71/3,0)*Capacity</f>
        <v>0</v>
      </c>
      <c r="CA166" s="19">
        <f ca="1">OFFSET('Sales, Production, &amp; Other Assu'!CA$54,'Internmediate sheet'!$A71/3,0)*Capacity</f>
        <v>0</v>
      </c>
      <c r="CB166" s="19">
        <f ca="1">OFFSET('Sales, Production, &amp; Other Assu'!CB$54,'Internmediate sheet'!$A71/3,0)*Capacity</f>
        <v>0</v>
      </c>
      <c r="CC166" s="434">
        <f ca="1">SUM(BQ166:CB166)</f>
        <v>0</v>
      </c>
      <c r="CD166" s="19">
        <f ca="1">OFFSET('Sales, Production, &amp; Other Assu'!CD$54,'Internmediate sheet'!$A71/3,0)*Capacity</f>
        <v>0</v>
      </c>
      <c r="CE166" s="19">
        <f ca="1">OFFSET('Sales, Production, &amp; Other Assu'!CE$54,'Internmediate sheet'!$A71/3,0)*Capacity</f>
        <v>0</v>
      </c>
      <c r="CF166" s="19">
        <f ca="1">OFFSET('Sales, Production, &amp; Other Assu'!CF$54,'Internmediate sheet'!$A71/3,0)*Capacity</f>
        <v>0</v>
      </c>
      <c r="CG166" s="19">
        <f ca="1">OFFSET('Sales, Production, &amp; Other Assu'!CG$54,'Internmediate sheet'!$A71/3,0)*Capacity</f>
        <v>0</v>
      </c>
      <c r="CH166" s="19">
        <f ca="1">OFFSET('Sales, Production, &amp; Other Assu'!CH$54,'Internmediate sheet'!$A71/3,0)*Capacity</f>
        <v>0</v>
      </c>
      <c r="CI166" s="19">
        <f ca="1">OFFSET('Sales, Production, &amp; Other Assu'!CI$54,'Internmediate sheet'!$A71/3,0)*Capacity</f>
        <v>0</v>
      </c>
      <c r="CJ166" s="19">
        <f ca="1">OFFSET('Sales, Production, &amp; Other Assu'!CJ$54,'Internmediate sheet'!$A71/3,0)*Capacity</f>
        <v>0</v>
      </c>
      <c r="CK166" s="19">
        <f ca="1">OFFSET('Sales, Production, &amp; Other Assu'!CK$54,'Internmediate sheet'!$A71/3,0)*Capacity</f>
        <v>0</v>
      </c>
      <c r="CL166" s="19">
        <f ca="1">OFFSET('Sales, Production, &amp; Other Assu'!CL$54,'Internmediate sheet'!$A71/3,0)*Capacity</f>
        <v>0</v>
      </c>
      <c r="CM166" s="19">
        <f ca="1">OFFSET('Sales, Production, &amp; Other Assu'!CM$54,'Internmediate sheet'!$A71/3,0)*Capacity</f>
        <v>0</v>
      </c>
      <c r="CN166" s="19">
        <f ca="1">OFFSET('Sales, Production, &amp; Other Assu'!CN$54,'Internmediate sheet'!$A71/3,0)*Capacity</f>
        <v>0</v>
      </c>
      <c r="CO166" s="19">
        <f ca="1">OFFSET('Sales, Production, &amp; Other Assu'!CO$54,'Internmediate sheet'!$A71/3,0)*Capacity</f>
        <v>0</v>
      </c>
      <c r="CP166" s="434">
        <f ca="1">SUM(CD166:CO166)</f>
        <v>0</v>
      </c>
    </row>
    <row r="167" spans="1:94" ht="20.100000000000001" hidden="1" customHeight="1">
      <c r="A167" s="793"/>
      <c r="B167" s="9" t="s">
        <v>614</v>
      </c>
      <c r="C167" s="10">
        <f ca="1">OFFSET('BEP. &amp; Summary Results'!$C$6,'Internmediate sheet'!A68/3,0)</f>
        <v>0</v>
      </c>
      <c r="D167" s="9">
        <f t="shared" ref="D167" ca="1" si="4601">C167</f>
        <v>0</v>
      </c>
      <c r="E167" s="9">
        <f t="shared" ref="E167" ca="1" si="4602">D167</f>
        <v>0</v>
      </c>
      <c r="F167" s="9">
        <f t="shared" ref="F167" ca="1" si="4603">E167</f>
        <v>0</v>
      </c>
      <c r="G167" s="9">
        <f t="shared" ref="G167" ca="1" si="4604">F167</f>
        <v>0</v>
      </c>
      <c r="H167" s="9">
        <f t="shared" ref="H167" ca="1" si="4605">G167</f>
        <v>0</v>
      </c>
      <c r="I167" s="9">
        <f t="shared" ref="I167" ca="1" si="4606">H167</f>
        <v>0</v>
      </c>
      <c r="J167" s="9">
        <f t="shared" ref="J167" ca="1" si="4607">I167</f>
        <v>0</v>
      </c>
      <c r="K167" s="9">
        <f t="shared" ref="K167" ca="1" si="4608">J167</f>
        <v>0</v>
      </c>
      <c r="L167" s="9">
        <f t="shared" ref="L167" ca="1" si="4609">K167</f>
        <v>0</v>
      </c>
      <c r="M167" s="9">
        <f t="shared" ref="M167" ca="1" si="4610">L167</f>
        <v>0</v>
      </c>
      <c r="N167" s="9">
        <f t="shared" ref="N167" ca="1" si="4611">M167</f>
        <v>0</v>
      </c>
      <c r="O167" s="9">
        <f t="shared" ref="O167" ca="1" si="4612">N167</f>
        <v>0</v>
      </c>
      <c r="P167" s="435">
        <f t="shared" ref="P167" ca="1" si="4613">O167</f>
        <v>0</v>
      </c>
      <c r="Q167" s="9">
        <f t="shared" ref="Q167" ca="1" si="4614">P167</f>
        <v>0</v>
      </c>
      <c r="R167" s="9">
        <f t="shared" ref="R167" ca="1" si="4615">Q167</f>
        <v>0</v>
      </c>
      <c r="S167" s="9">
        <f t="shared" ref="S167" ca="1" si="4616">R167</f>
        <v>0</v>
      </c>
      <c r="T167" s="9">
        <f t="shared" ref="T167" ca="1" si="4617">S167</f>
        <v>0</v>
      </c>
      <c r="U167" s="9">
        <f t="shared" ref="U167" ca="1" si="4618">T167</f>
        <v>0</v>
      </c>
      <c r="V167" s="9">
        <f t="shared" ref="V167" ca="1" si="4619">U167</f>
        <v>0</v>
      </c>
      <c r="W167" s="9">
        <f t="shared" ref="W167" ca="1" si="4620">V167</f>
        <v>0</v>
      </c>
      <c r="X167" s="9">
        <f t="shared" ref="X167" ca="1" si="4621">W167</f>
        <v>0</v>
      </c>
      <c r="Y167" s="9">
        <f t="shared" ref="Y167" ca="1" si="4622">X167</f>
        <v>0</v>
      </c>
      <c r="Z167" s="9">
        <f t="shared" ref="Z167" ca="1" si="4623">Y167</f>
        <v>0</v>
      </c>
      <c r="AA167" s="9">
        <f t="shared" ref="AA167" ca="1" si="4624">Z167</f>
        <v>0</v>
      </c>
      <c r="AB167" s="9">
        <f t="shared" ref="AB167" ca="1" si="4625">AA167</f>
        <v>0</v>
      </c>
      <c r="AC167" s="435">
        <f t="shared" ref="AC167" ca="1" si="4626">AB167</f>
        <v>0</v>
      </c>
      <c r="AD167" s="9">
        <f t="shared" ref="AD167" ca="1" si="4627">AC167</f>
        <v>0</v>
      </c>
      <c r="AE167" s="9">
        <f t="shared" ref="AE167" ca="1" si="4628">AD167</f>
        <v>0</v>
      </c>
      <c r="AF167" s="9">
        <f t="shared" ref="AF167" ca="1" si="4629">AE167</f>
        <v>0</v>
      </c>
      <c r="AG167" s="9">
        <f t="shared" ref="AG167" ca="1" si="4630">AF167</f>
        <v>0</v>
      </c>
      <c r="AH167" s="9">
        <f t="shared" ref="AH167" ca="1" si="4631">AG167</f>
        <v>0</v>
      </c>
      <c r="AI167" s="9">
        <f t="shared" ref="AI167" ca="1" si="4632">AH167</f>
        <v>0</v>
      </c>
      <c r="AJ167" s="9">
        <f t="shared" ref="AJ167" ca="1" si="4633">AI167</f>
        <v>0</v>
      </c>
      <c r="AK167" s="9">
        <f t="shared" ref="AK167" ca="1" si="4634">AJ167</f>
        <v>0</v>
      </c>
      <c r="AL167" s="9">
        <f t="shared" ref="AL167" ca="1" si="4635">AK167</f>
        <v>0</v>
      </c>
      <c r="AM167" s="9">
        <f t="shared" ref="AM167" ca="1" si="4636">AL167</f>
        <v>0</v>
      </c>
      <c r="AN167" s="9">
        <f t="shared" ref="AN167" ca="1" si="4637">AM167</f>
        <v>0</v>
      </c>
      <c r="AO167" s="9">
        <f t="shared" ref="AO167" ca="1" si="4638">AN167</f>
        <v>0</v>
      </c>
      <c r="AP167" s="435">
        <f t="shared" ref="AP167" ca="1" si="4639">AO167</f>
        <v>0</v>
      </c>
      <c r="AQ167" s="9">
        <f ca="1">AP167</f>
        <v>0</v>
      </c>
      <c r="AR167" s="9">
        <f t="shared" ref="AR167" ca="1" si="4640">AQ167</f>
        <v>0</v>
      </c>
      <c r="AS167" s="9">
        <f t="shared" ref="AS167" ca="1" si="4641">AR167</f>
        <v>0</v>
      </c>
      <c r="AT167" s="9">
        <f t="shared" ref="AT167" ca="1" si="4642">AS167</f>
        <v>0</v>
      </c>
      <c r="AU167" s="9">
        <f t="shared" ref="AU167" ca="1" si="4643">AT167</f>
        <v>0</v>
      </c>
      <c r="AV167" s="9">
        <f t="shared" ref="AV167" ca="1" si="4644">AU167</f>
        <v>0</v>
      </c>
      <c r="AW167" s="9">
        <f t="shared" ref="AW167" ca="1" si="4645">AV167</f>
        <v>0</v>
      </c>
      <c r="AX167" s="9">
        <f t="shared" ref="AX167" ca="1" si="4646">AW167</f>
        <v>0</v>
      </c>
      <c r="AY167" s="9">
        <f t="shared" ref="AY167" ca="1" si="4647">AX167</f>
        <v>0</v>
      </c>
      <c r="AZ167" s="9">
        <f t="shared" ref="AZ167" ca="1" si="4648">AY167</f>
        <v>0</v>
      </c>
      <c r="BA167" s="9">
        <f t="shared" ref="BA167" ca="1" si="4649">AZ167</f>
        <v>0</v>
      </c>
      <c r="BB167" s="9">
        <f t="shared" ref="BB167" ca="1" si="4650">BA167</f>
        <v>0</v>
      </c>
      <c r="BC167" s="435">
        <f t="shared" ref="BC167" ca="1" si="4651">BB167</f>
        <v>0</v>
      </c>
      <c r="BD167" s="9">
        <f t="shared" ref="BD167" ca="1" si="4652">BC167</f>
        <v>0</v>
      </c>
      <c r="BE167" s="9">
        <f t="shared" ref="BE167" ca="1" si="4653">BD167</f>
        <v>0</v>
      </c>
      <c r="BF167" s="9">
        <f t="shared" ref="BF167" ca="1" si="4654">BE167</f>
        <v>0</v>
      </c>
      <c r="BG167" s="9">
        <f t="shared" ref="BG167" ca="1" si="4655">BF167</f>
        <v>0</v>
      </c>
      <c r="BH167" s="9">
        <f t="shared" ref="BH167" ca="1" si="4656">BG167</f>
        <v>0</v>
      </c>
      <c r="BI167" s="9">
        <f t="shared" ref="BI167" ca="1" si="4657">BH167</f>
        <v>0</v>
      </c>
      <c r="BJ167" s="9">
        <f t="shared" ref="BJ167" ca="1" si="4658">BI167</f>
        <v>0</v>
      </c>
      <c r="BK167" s="9">
        <f t="shared" ref="BK167" ca="1" si="4659">BJ167</f>
        <v>0</v>
      </c>
      <c r="BL167" s="9">
        <f t="shared" ref="BL167" ca="1" si="4660">BK167</f>
        <v>0</v>
      </c>
      <c r="BM167" s="9">
        <f t="shared" ref="BM167" ca="1" si="4661">BL167</f>
        <v>0</v>
      </c>
      <c r="BN167" s="9">
        <f t="shared" ref="BN167" ca="1" si="4662">BM167</f>
        <v>0</v>
      </c>
      <c r="BO167" s="9">
        <f t="shared" ref="BO167" ca="1" si="4663">BN167</f>
        <v>0</v>
      </c>
      <c r="BP167" s="435">
        <f t="shared" ref="BP167" ca="1" si="4664">BO167</f>
        <v>0</v>
      </c>
      <c r="BQ167" s="9">
        <f t="shared" ref="BQ167" ca="1" si="4665">BP167</f>
        <v>0</v>
      </c>
      <c r="BR167" s="9">
        <f t="shared" ref="BR167" ca="1" si="4666">BQ167</f>
        <v>0</v>
      </c>
      <c r="BS167" s="9">
        <f t="shared" ref="BS167" ca="1" si="4667">BR167</f>
        <v>0</v>
      </c>
      <c r="BT167" s="9">
        <f t="shared" ref="BT167" ca="1" si="4668">BS167</f>
        <v>0</v>
      </c>
      <c r="BU167" s="9">
        <f t="shared" ref="BU167" ca="1" si="4669">BT167</f>
        <v>0</v>
      </c>
      <c r="BV167" s="9">
        <f t="shared" ref="BV167" ca="1" si="4670">BU167</f>
        <v>0</v>
      </c>
      <c r="BW167" s="9">
        <f t="shared" ref="BW167" ca="1" si="4671">BV167</f>
        <v>0</v>
      </c>
      <c r="BX167" s="9">
        <f t="shared" ref="BX167" ca="1" si="4672">BW167</f>
        <v>0</v>
      </c>
      <c r="BY167" s="9">
        <f t="shared" ref="BY167" ca="1" si="4673">BX167</f>
        <v>0</v>
      </c>
      <c r="BZ167" s="9">
        <f t="shared" ref="BZ167" ca="1" si="4674">BY167</f>
        <v>0</v>
      </c>
      <c r="CA167" s="9">
        <f t="shared" ref="CA167" ca="1" si="4675">BZ167</f>
        <v>0</v>
      </c>
      <c r="CB167" s="9">
        <f t="shared" ref="CB167" ca="1" si="4676">CA167</f>
        <v>0</v>
      </c>
      <c r="CC167" s="435">
        <f t="shared" ref="CC167" ca="1" si="4677">CB167</f>
        <v>0</v>
      </c>
      <c r="CD167" s="9">
        <f t="shared" ref="CD167" ca="1" si="4678">CC167</f>
        <v>0</v>
      </c>
      <c r="CE167" s="9">
        <f t="shared" ref="CE167" ca="1" si="4679">CD167</f>
        <v>0</v>
      </c>
      <c r="CF167" s="9">
        <f t="shared" ref="CF167" ca="1" si="4680">CE167</f>
        <v>0</v>
      </c>
      <c r="CG167" s="9">
        <f t="shared" ref="CG167" ca="1" si="4681">CF167</f>
        <v>0</v>
      </c>
      <c r="CH167" s="9">
        <f t="shared" ref="CH167" ca="1" si="4682">CG167</f>
        <v>0</v>
      </c>
      <c r="CI167" s="9">
        <f t="shared" ref="CI167" ca="1" si="4683">CH167</f>
        <v>0</v>
      </c>
      <c r="CJ167" s="9">
        <f t="shared" ref="CJ167" ca="1" si="4684">CI167</f>
        <v>0</v>
      </c>
      <c r="CK167" s="9">
        <f t="shared" ref="CK167" ca="1" si="4685">CJ167</f>
        <v>0</v>
      </c>
      <c r="CL167" s="9">
        <f t="shared" ref="CL167" ca="1" si="4686">CK167</f>
        <v>0</v>
      </c>
      <c r="CM167" s="9">
        <f t="shared" ref="CM167" ca="1" si="4687">CL167</f>
        <v>0</v>
      </c>
      <c r="CN167" s="9">
        <f t="shared" ref="CN167" ca="1" si="4688">CM167</f>
        <v>0</v>
      </c>
      <c r="CO167" s="9">
        <f t="shared" ref="CO167" ca="1" si="4689">CN167</f>
        <v>0</v>
      </c>
      <c r="CP167" s="435">
        <f t="shared" ref="CP167" ca="1" si="4690">CO167</f>
        <v>0</v>
      </c>
    </row>
    <row r="168" spans="1:94" ht="20.100000000000001" hidden="1" customHeight="1">
      <c r="A168" s="794"/>
      <c r="B168" s="255" t="s">
        <v>615</v>
      </c>
      <c r="C168" s="256">
        <f t="shared" ref="C168:O168" ca="1" si="4691">C166*C167</f>
        <v>0</v>
      </c>
      <c r="D168" s="255">
        <f t="shared" ca="1" si="4691"/>
        <v>0</v>
      </c>
      <c r="E168" s="255">
        <f t="shared" ca="1" si="4691"/>
        <v>0</v>
      </c>
      <c r="F168" s="255">
        <f t="shared" ca="1" si="4691"/>
        <v>0</v>
      </c>
      <c r="G168" s="255">
        <f t="shared" ca="1" si="4691"/>
        <v>0</v>
      </c>
      <c r="H168" s="255">
        <f t="shared" ca="1" si="4691"/>
        <v>0</v>
      </c>
      <c r="I168" s="255">
        <f t="shared" ca="1" si="4691"/>
        <v>0</v>
      </c>
      <c r="J168" s="255">
        <f t="shared" ca="1" si="4691"/>
        <v>0</v>
      </c>
      <c r="K168" s="255">
        <f t="shared" ca="1" si="4691"/>
        <v>0</v>
      </c>
      <c r="L168" s="255">
        <f t="shared" ca="1" si="4691"/>
        <v>0</v>
      </c>
      <c r="M168" s="255">
        <f t="shared" ca="1" si="4691"/>
        <v>0</v>
      </c>
      <c r="N168" s="255">
        <f t="shared" ca="1" si="4691"/>
        <v>0</v>
      </c>
      <c r="O168" s="255">
        <f t="shared" ca="1" si="4691"/>
        <v>0</v>
      </c>
      <c r="P168" s="434">
        <f ca="1">SUM(D168:O168)</f>
        <v>0</v>
      </c>
      <c r="Q168" s="255">
        <f t="shared" ref="Q168:AB168" ca="1" si="4692">Q166*Q167</f>
        <v>0</v>
      </c>
      <c r="R168" s="255">
        <f t="shared" ca="1" si="4692"/>
        <v>0</v>
      </c>
      <c r="S168" s="255">
        <f t="shared" ca="1" si="4692"/>
        <v>0</v>
      </c>
      <c r="T168" s="255">
        <f t="shared" ca="1" si="4692"/>
        <v>0</v>
      </c>
      <c r="U168" s="255">
        <f t="shared" ca="1" si="4692"/>
        <v>0</v>
      </c>
      <c r="V168" s="255">
        <f t="shared" ca="1" si="4692"/>
        <v>0</v>
      </c>
      <c r="W168" s="255">
        <f t="shared" ca="1" si="4692"/>
        <v>0</v>
      </c>
      <c r="X168" s="255">
        <f t="shared" ca="1" si="4692"/>
        <v>0</v>
      </c>
      <c r="Y168" s="255">
        <f t="shared" ca="1" si="4692"/>
        <v>0</v>
      </c>
      <c r="Z168" s="255">
        <f t="shared" ca="1" si="4692"/>
        <v>0</v>
      </c>
      <c r="AA168" s="255">
        <f t="shared" ca="1" si="4692"/>
        <v>0</v>
      </c>
      <c r="AB168" s="255">
        <f t="shared" ca="1" si="4692"/>
        <v>0</v>
      </c>
      <c r="AC168" s="434">
        <f ca="1">SUM(Q168:AB168)</f>
        <v>0</v>
      </c>
      <c r="AD168" s="255">
        <f t="shared" ref="AD168:AO168" ca="1" si="4693">AD166*AD167</f>
        <v>0</v>
      </c>
      <c r="AE168" s="255">
        <f t="shared" ca="1" si="4693"/>
        <v>0</v>
      </c>
      <c r="AF168" s="255">
        <f t="shared" ca="1" si="4693"/>
        <v>0</v>
      </c>
      <c r="AG168" s="255">
        <f t="shared" ca="1" si="4693"/>
        <v>0</v>
      </c>
      <c r="AH168" s="255">
        <f t="shared" ca="1" si="4693"/>
        <v>0</v>
      </c>
      <c r="AI168" s="255">
        <f t="shared" ca="1" si="4693"/>
        <v>0</v>
      </c>
      <c r="AJ168" s="255">
        <f t="shared" ca="1" si="4693"/>
        <v>0</v>
      </c>
      <c r="AK168" s="255">
        <f t="shared" ca="1" si="4693"/>
        <v>0</v>
      </c>
      <c r="AL168" s="255">
        <f t="shared" ca="1" si="4693"/>
        <v>0</v>
      </c>
      <c r="AM168" s="255">
        <f t="shared" ca="1" si="4693"/>
        <v>0</v>
      </c>
      <c r="AN168" s="255">
        <f t="shared" ca="1" si="4693"/>
        <v>0</v>
      </c>
      <c r="AO168" s="255">
        <f t="shared" ca="1" si="4693"/>
        <v>0</v>
      </c>
      <c r="AP168" s="434">
        <f ca="1">SUM(AD168:AO168)</f>
        <v>0</v>
      </c>
      <c r="AQ168" s="255">
        <f t="shared" ref="AQ168:BB168" ca="1" si="4694">AQ166*AQ167</f>
        <v>0</v>
      </c>
      <c r="AR168" s="255">
        <f t="shared" ca="1" si="4694"/>
        <v>0</v>
      </c>
      <c r="AS168" s="255">
        <f t="shared" ca="1" si="4694"/>
        <v>0</v>
      </c>
      <c r="AT168" s="255">
        <f t="shared" ca="1" si="4694"/>
        <v>0</v>
      </c>
      <c r="AU168" s="255">
        <f t="shared" ca="1" si="4694"/>
        <v>0</v>
      </c>
      <c r="AV168" s="255">
        <f t="shared" ca="1" si="4694"/>
        <v>0</v>
      </c>
      <c r="AW168" s="255">
        <f t="shared" ca="1" si="4694"/>
        <v>0</v>
      </c>
      <c r="AX168" s="255">
        <f t="shared" ca="1" si="4694"/>
        <v>0</v>
      </c>
      <c r="AY168" s="255">
        <f t="shared" ca="1" si="4694"/>
        <v>0</v>
      </c>
      <c r="AZ168" s="255">
        <f t="shared" ca="1" si="4694"/>
        <v>0</v>
      </c>
      <c r="BA168" s="255">
        <f t="shared" ca="1" si="4694"/>
        <v>0</v>
      </c>
      <c r="BB168" s="255">
        <f t="shared" ca="1" si="4694"/>
        <v>0</v>
      </c>
      <c r="BC168" s="434">
        <f ca="1">SUM(AQ168:BB168)</f>
        <v>0</v>
      </c>
      <c r="BD168" s="255">
        <f t="shared" ref="BD168:BO168" ca="1" si="4695">BD166*BD167</f>
        <v>0</v>
      </c>
      <c r="BE168" s="255">
        <f t="shared" ca="1" si="4695"/>
        <v>0</v>
      </c>
      <c r="BF168" s="255">
        <f t="shared" ca="1" si="4695"/>
        <v>0</v>
      </c>
      <c r="BG168" s="255">
        <f t="shared" ca="1" si="4695"/>
        <v>0</v>
      </c>
      <c r="BH168" s="255">
        <f t="shared" ca="1" si="4695"/>
        <v>0</v>
      </c>
      <c r="BI168" s="255">
        <f t="shared" ca="1" si="4695"/>
        <v>0</v>
      </c>
      <c r="BJ168" s="255">
        <f t="shared" ca="1" si="4695"/>
        <v>0</v>
      </c>
      <c r="BK168" s="255">
        <f t="shared" ca="1" si="4695"/>
        <v>0</v>
      </c>
      <c r="BL168" s="255">
        <f t="shared" ca="1" si="4695"/>
        <v>0</v>
      </c>
      <c r="BM168" s="255">
        <f t="shared" ca="1" si="4695"/>
        <v>0</v>
      </c>
      <c r="BN168" s="255">
        <f t="shared" ca="1" si="4695"/>
        <v>0</v>
      </c>
      <c r="BO168" s="255">
        <f t="shared" ca="1" si="4695"/>
        <v>0</v>
      </c>
      <c r="BP168" s="434">
        <f ca="1">SUM(BD168:BO168)</f>
        <v>0</v>
      </c>
      <c r="BQ168" s="255">
        <f t="shared" ref="BQ168:CB168" ca="1" si="4696">BQ166*BQ167</f>
        <v>0</v>
      </c>
      <c r="BR168" s="255">
        <f t="shared" ca="1" si="4696"/>
        <v>0</v>
      </c>
      <c r="BS168" s="255">
        <f t="shared" ca="1" si="4696"/>
        <v>0</v>
      </c>
      <c r="BT168" s="255">
        <f t="shared" ca="1" si="4696"/>
        <v>0</v>
      </c>
      <c r="BU168" s="255">
        <f t="shared" ca="1" si="4696"/>
        <v>0</v>
      </c>
      <c r="BV168" s="255">
        <f t="shared" ca="1" si="4696"/>
        <v>0</v>
      </c>
      <c r="BW168" s="255">
        <f t="shared" ca="1" si="4696"/>
        <v>0</v>
      </c>
      <c r="BX168" s="255">
        <f t="shared" ca="1" si="4696"/>
        <v>0</v>
      </c>
      <c r="BY168" s="255">
        <f t="shared" ca="1" si="4696"/>
        <v>0</v>
      </c>
      <c r="BZ168" s="255">
        <f t="shared" ca="1" si="4696"/>
        <v>0</v>
      </c>
      <c r="CA168" s="255">
        <f t="shared" ca="1" si="4696"/>
        <v>0</v>
      </c>
      <c r="CB168" s="255">
        <f t="shared" ca="1" si="4696"/>
        <v>0</v>
      </c>
      <c r="CC168" s="434">
        <f ca="1">SUM(BQ168:CB168)</f>
        <v>0</v>
      </c>
      <c r="CD168" s="255">
        <f t="shared" ref="CD168:CO168" ca="1" si="4697">CD166*CD167</f>
        <v>0</v>
      </c>
      <c r="CE168" s="255">
        <f t="shared" ca="1" si="4697"/>
        <v>0</v>
      </c>
      <c r="CF168" s="255">
        <f t="shared" ca="1" si="4697"/>
        <v>0</v>
      </c>
      <c r="CG168" s="255">
        <f t="shared" ca="1" si="4697"/>
        <v>0</v>
      </c>
      <c r="CH168" s="255">
        <f t="shared" ca="1" si="4697"/>
        <v>0</v>
      </c>
      <c r="CI168" s="255">
        <f t="shared" ca="1" si="4697"/>
        <v>0</v>
      </c>
      <c r="CJ168" s="255">
        <f t="shared" ca="1" si="4697"/>
        <v>0</v>
      </c>
      <c r="CK168" s="255">
        <f t="shared" ca="1" si="4697"/>
        <v>0</v>
      </c>
      <c r="CL168" s="255">
        <f t="shared" ca="1" si="4697"/>
        <v>0</v>
      </c>
      <c r="CM168" s="255">
        <f t="shared" ca="1" si="4697"/>
        <v>0</v>
      </c>
      <c r="CN168" s="255">
        <f t="shared" ca="1" si="4697"/>
        <v>0</v>
      </c>
      <c r="CO168" s="255">
        <f t="shared" ca="1" si="4697"/>
        <v>0</v>
      </c>
      <c r="CP168" s="434">
        <f ca="1">SUM(CD168:CO168)</f>
        <v>0</v>
      </c>
    </row>
    <row r="169" spans="1:94" ht="20.100000000000001" hidden="1" customHeight="1">
      <c r="A169" s="792">
        <f ca="1">OFFSET('Summary. Assumptions. Inputs'!$A$45,'Internmediate sheet'!A74/3,0)</f>
        <v>0</v>
      </c>
      <c r="B169" s="19" t="s">
        <v>613</v>
      </c>
      <c r="C169" s="20">
        <f ca="1">OFFSET('Sales, Production, &amp; Other Assu'!C$54,'Internmediate sheet'!$A74/3,0)*Capacity</f>
        <v>0</v>
      </c>
      <c r="D169" s="19">
        <f ca="1">OFFSET('Sales, Production, &amp; Other Assu'!D$54,'Internmediate sheet'!$A74/3,0)*Capacity</f>
        <v>0</v>
      </c>
      <c r="E169" s="19">
        <f ca="1">OFFSET('Sales, Production, &amp; Other Assu'!E$54,'Internmediate sheet'!$A74/3,0)*Capacity</f>
        <v>0</v>
      </c>
      <c r="F169" s="19">
        <f ca="1">OFFSET('Sales, Production, &amp; Other Assu'!F$54,'Internmediate sheet'!$A74/3,0)*Capacity</f>
        <v>0</v>
      </c>
      <c r="G169" s="19">
        <f ca="1">OFFSET('Sales, Production, &amp; Other Assu'!G$54,'Internmediate sheet'!$A74/3,0)*Capacity</f>
        <v>0</v>
      </c>
      <c r="H169" s="19">
        <f ca="1">OFFSET('Sales, Production, &amp; Other Assu'!H$54,'Internmediate sheet'!$A74/3,0)*Capacity</f>
        <v>0</v>
      </c>
      <c r="I169" s="19">
        <f ca="1">OFFSET('Sales, Production, &amp; Other Assu'!I$54,'Internmediate sheet'!$A74/3,0)*Capacity</f>
        <v>0</v>
      </c>
      <c r="J169" s="19">
        <f ca="1">OFFSET('Sales, Production, &amp; Other Assu'!J$54,'Internmediate sheet'!$A74/3,0)*Capacity</f>
        <v>0</v>
      </c>
      <c r="K169" s="19">
        <f ca="1">OFFSET('Sales, Production, &amp; Other Assu'!K$54,'Internmediate sheet'!$A74/3,0)*Capacity</f>
        <v>0</v>
      </c>
      <c r="L169" s="19">
        <f ca="1">OFFSET('Sales, Production, &amp; Other Assu'!L$54,'Internmediate sheet'!$A74/3,0)*Capacity</f>
        <v>0</v>
      </c>
      <c r="M169" s="19">
        <f ca="1">OFFSET('Sales, Production, &amp; Other Assu'!M$54,'Internmediate sheet'!$A74/3,0)*Capacity</f>
        <v>0</v>
      </c>
      <c r="N169" s="19">
        <f ca="1">OFFSET('Sales, Production, &amp; Other Assu'!N$54,'Internmediate sheet'!$A74/3,0)*Capacity</f>
        <v>0</v>
      </c>
      <c r="O169" s="19">
        <f ca="1">OFFSET('Sales, Production, &amp; Other Assu'!O$54,'Internmediate sheet'!$A74/3,0)*Capacity</f>
        <v>0</v>
      </c>
      <c r="P169" s="434">
        <f ca="1">SUM(D169:O169)</f>
        <v>0</v>
      </c>
      <c r="Q169" s="19">
        <f ca="1">OFFSET('Sales, Production, &amp; Other Assu'!Q$54,'Internmediate sheet'!$A74/3,0)*Capacity</f>
        <v>0</v>
      </c>
      <c r="R169" s="19">
        <f ca="1">OFFSET('Sales, Production, &amp; Other Assu'!R$54,'Internmediate sheet'!$A74/3,0)*Capacity</f>
        <v>0</v>
      </c>
      <c r="S169" s="19">
        <f ca="1">OFFSET('Sales, Production, &amp; Other Assu'!S$54,'Internmediate sheet'!$A74/3,0)*Capacity</f>
        <v>0</v>
      </c>
      <c r="T169" s="19">
        <f ca="1">OFFSET('Sales, Production, &amp; Other Assu'!T$54,'Internmediate sheet'!$A74/3,0)*Capacity</f>
        <v>0</v>
      </c>
      <c r="U169" s="19">
        <f ca="1">OFFSET('Sales, Production, &amp; Other Assu'!U$54,'Internmediate sheet'!$A74/3,0)*Capacity</f>
        <v>0</v>
      </c>
      <c r="V169" s="19">
        <f ca="1">OFFSET('Sales, Production, &amp; Other Assu'!V$54,'Internmediate sheet'!$A74/3,0)*Capacity</f>
        <v>0</v>
      </c>
      <c r="W169" s="19">
        <f ca="1">OFFSET('Sales, Production, &amp; Other Assu'!W$54,'Internmediate sheet'!$A74/3,0)*Capacity</f>
        <v>0</v>
      </c>
      <c r="X169" s="19">
        <f ca="1">OFFSET('Sales, Production, &amp; Other Assu'!X$54,'Internmediate sheet'!$A74/3,0)*Capacity</f>
        <v>0</v>
      </c>
      <c r="Y169" s="19">
        <f ca="1">OFFSET('Sales, Production, &amp; Other Assu'!Y$54,'Internmediate sheet'!$A74/3,0)*Capacity</f>
        <v>0</v>
      </c>
      <c r="Z169" s="19">
        <f ca="1">OFFSET('Sales, Production, &amp; Other Assu'!Z$54,'Internmediate sheet'!$A74/3,0)*Capacity</f>
        <v>0</v>
      </c>
      <c r="AA169" s="19">
        <f ca="1">OFFSET('Sales, Production, &amp; Other Assu'!AA$54,'Internmediate sheet'!$A74/3,0)*Capacity</f>
        <v>0</v>
      </c>
      <c r="AB169" s="19">
        <f ca="1">OFFSET('Sales, Production, &amp; Other Assu'!AB$54,'Internmediate sheet'!$A74/3,0)*Capacity</f>
        <v>0</v>
      </c>
      <c r="AC169" s="434">
        <f ca="1">SUM(Q169:AB169)</f>
        <v>0</v>
      </c>
      <c r="AD169" s="19">
        <f ca="1">OFFSET('Sales, Production, &amp; Other Assu'!AD$54,'Internmediate sheet'!$A74/3,0)*Capacity</f>
        <v>0</v>
      </c>
      <c r="AE169" s="19">
        <f ca="1">OFFSET('Sales, Production, &amp; Other Assu'!AE$54,'Internmediate sheet'!$A74/3,0)*Capacity</f>
        <v>0</v>
      </c>
      <c r="AF169" s="19">
        <f ca="1">OFFSET('Sales, Production, &amp; Other Assu'!AF$54,'Internmediate sheet'!$A74/3,0)*Capacity</f>
        <v>0</v>
      </c>
      <c r="AG169" s="19">
        <f ca="1">OFFSET('Sales, Production, &amp; Other Assu'!AG$54,'Internmediate sheet'!$A74/3,0)*Capacity</f>
        <v>0</v>
      </c>
      <c r="AH169" s="19">
        <f ca="1">OFFSET('Sales, Production, &amp; Other Assu'!AH$54,'Internmediate sheet'!$A74/3,0)*Capacity</f>
        <v>0</v>
      </c>
      <c r="AI169" s="19">
        <f ca="1">OFFSET('Sales, Production, &amp; Other Assu'!AI$54,'Internmediate sheet'!$A74/3,0)*Capacity</f>
        <v>0</v>
      </c>
      <c r="AJ169" s="19">
        <f ca="1">OFFSET('Sales, Production, &amp; Other Assu'!AJ$54,'Internmediate sheet'!$A74/3,0)*Capacity</f>
        <v>0</v>
      </c>
      <c r="AK169" s="19">
        <f ca="1">OFFSET('Sales, Production, &amp; Other Assu'!AK$54,'Internmediate sheet'!$A74/3,0)*Capacity</f>
        <v>0</v>
      </c>
      <c r="AL169" s="19">
        <f ca="1">OFFSET('Sales, Production, &amp; Other Assu'!AL$54,'Internmediate sheet'!$A74/3,0)*Capacity</f>
        <v>0</v>
      </c>
      <c r="AM169" s="19">
        <f ca="1">OFFSET('Sales, Production, &amp; Other Assu'!AM$54,'Internmediate sheet'!$A74/3,0)*Capacity</f>
        <v>0</v>
      </c>
      <c r="AN169" s="19">
        <f ca="1">OFFSET('Sales, Production, &amp; Other Assu'!AN$54,'Internmediate sheet'!$A74/3,0)*Capacity</f>
        <v>0</v>
      </c>
      <c r="AO169" s="19">
        <f ca="1">OFFSET('Sales, Production, &amp; Other Assu'!AO$54,'Internmediate sheet'!$A74/3,0)*Capacity</f>
        <v>0</v>
      </c>
      <c r="AP169" s="434">
        <f ca="1">SUM(AD169:AO169)</f>
        <v>0</v>
      </c>
      <c r="AQ169" s="19">
        <f ca="1">OFFSET('Sales, Production, &amp; Other Assu'!AQ$54,'Internmediate sheet'!$A74/3,0)*Capacity</f>
        <v>0</v>
      </c>
      <c r="AR169" s="19">
        <f ca="1">OFFSET('Sales, Production, &amp; Other Assu'!AR$54,'Internmediate sheet'!$A74/3,0)*Capacity</f>
        <v>0</v>
      </c>
      <c r="AS169" s="19">
        <f ca="1">OFFSET('Sales, Production, &amp; Other Assu'!AS$54,'Internmediate sheet'!$A74/3,0)*Capacity</f>
        <v>0</v>
      </c>
      <c r="AT169" s="19">
        <f ca="1">OFFSET('Sales, Production, &amp; Other Assu'!AT$54,'Internmediate sheet'!$A74/3,0)*Capacity</f>
        <v>0</v>
      </c>
      <c r="AU169" s="19">
        <f ca="1">OFFSET('Sales, Production, &amp; Other Assu'!AU$54,'Internmediate sheet'!$A74/3,0)*Capacity</f>
        <v>0</v>
      </c>
      <c r="AV169" s="19">
        <f ca="1">OFFSET('Sales, Production, &amp; Other Assu'!AV$54,'Internmediate sheet'!$A74/3,0)*Capacity</f>
        <v>0</v>
      </c>
      <c r="AW169" s="19">
        <f ca="1">OFFSET('Sales, Production, &amp; Other Assu'!AW$54,'Internmediate sheet'!$A74/3,0)*Capacity</f>
        <v>0</v>
      </c>
      <c r="AX169" s="19">
        <f ca="1">OFFSET('Sales, Production, &amp; Other Assu'!AX$54,'Internmediate sheet'!$A74/3,0)*Capacity</f>
        <v>0</v>
      </c>
      <c r="AY169" s="19">
        <f ca="1">OFFSET('Sales, Production, &amp; Other Assu'!AY$54,'Internmediate sheet'!$A74/3,0)*Capacity</f>
        <v>0</v>
      </c>
      <c r="AZ169" s="19">
        <f ca="1">OFFSET('Sales, Production, &amp; Other Assu'!AZ$54,'Internmediate sheet'!$A74/3,0)*Capacity</f>
        <v>0</v>
      </c>
      <c r="BA169" s="19">
        <f ca="1">OFFSET('Sales, Production, &amp; Other Assu'!BA$54,'Internmediate sheet'!$A74/3,0)*Capacity</f>
        <v>0</v>
      </c>
      <c r="BB169" s="19">
        <f ca="1">OFFSET('Sales, Production, &amp; Other Assu'!BB$54,'Internmediate sheet'!$A74/3,0)*Capacity</f>
        <v>0</v>
      </c>
      <c r="BC169" s="434">
        <f ca="1">SUM(AQ169:BB169)</f>
        <v>0</v>
      </c>
      <c r="BD169" s="19">
        <f ca="1">OFFSET('Sales, Production, &amp; Other Assu'!BD$54,'Internmediate sheet'!$A74/3,0)*Capacity</f>
        <v>0</v>
      </c>
      <c r="BE169" s="19">
        <f ca="1">OFFSET('Sales, Production, &amp; Other Assu'!BE$54,'Internmediate sheet'!$A74/3,0)*Capacity</f>
        <v>0</v>
      </c>
      <c r="BF169" s="19">
        <f ca="1">OFFSET('Sales, Production, &amp; Other Assu'!BF$54,'Internmediate sheet'!$A74/3,0)*Capacity</f>
        <v>0</v>
      </c>
      <c r="BG169" s="19">
        <f ca="1">OFFSET('Sales, Production, &amp; Other Assu'!BG$54,'Internmediate sheet'!$A74/3,0)*Capacity</f>
        <v>0</v>
      </c>
      <c r="BH169" s="19">
        <f ca="1">OFFSET('Sales, Production, &amp; Other Assu'!BH$54,'Internmediate sheet'!$A74/3,0)*Capacity</f>
        <v>0</v>
      </c>
      <c r="BI169" s="19">
        <f ca="1">OFFSET('Sales, Production, &amp; Other Assu'!BI$54,'Internmediate sheet'!$A74/3,0)*Capacity</f>
        <v>0</v>
      </c>
      <c r="BJ169" s="19">
        <f ca="1">OFFSET('Sales, Production, &amp; Other Assu'!BJ$54,'Internmediate sheet'!$A74/3,0)*Capacity</f>
        <v>0</v>
      </c>
      <c r="BK169" s="19">
        <f ca="1">OFFSET('Sales, Production, &amp; Other Assu'!BK$54,'Internmediate sheet'!$A74/3,0)*Capacity</f>
        <v>0</v>
      </c>
      <c r="BL169" s="19">
        <f ca="1">OFFSET('Sales, Production, &amp; Other Assu'!BL$54,'Internmediate sheet'!$A74/3,0)*Capacity</f>
        <v>0</v>
      </c>
      <c r="BM169" s="19">
        <f ca="1">OFFSET('Sales, Production, &amp; Other Assu'!BM$54,'Internmediate sheet'!$A74/3,0)*Capacity</f>
        <v>0</v>
      </c>
      <c r="BN169" s="19">
        <f ca="1">OFFSET('Sales, Production, &amp; Other Assu'!BN$54,'Internmediate sheet'!$A74/3,0)*Capacity</f>
        <v>0</v>
      </c>
      <c r="BO169" s="19">
        <f ca="1">OFFSET('Sales, Production, &amp; Other Assu'!BO$54,'Internmediate sheet'!$A74/3,0)*Capacity</f>
        <v>0</v>
      </c>
      <c r="BP169" s="434">
        <f ca="1">SUM(BD169:BO169)</f>
        <v>0</v>
      </c>
      <c r="BQ169" s="19">
        <f ca="1">OFFSET('Sales, Production, &amp; Other Assu'!BQ$54,'Internmediate sheet'!$A74/3,0)*Capacity</f>
        <v>0</v>
      </c>
      <c r="BR169" s="19">
        <f ca="1">OFFSET('Sales, Production, &amp; Other Assu'!BR$54,'Internmediate sheet'!$A74/3,0)*Capacity</f>
        <v>0</v>
      </c>
      <c r="BS169" s="19">
        <f ca="1">OFFSET('Sales, Production, &amp; Other Assu'!BS$54,'Internmediate sheet'!$A74/3,0)*Capacity</f>
        <v>0</v>
      </c>
      <c r="BT169" s="19">
        <f ca="1">OFFSET('Sales, Production, &amp; Other Assu'!BT$54,'Internmediate sheet'!$A74/3,0)*Capacity</f>
        <v>0</v>
      </c>
      <c r="BU169" s="19">
        <f ca="1">OFFSET('Sales, Production, &amp; Other Assu'!BU$54,'Internmediate sheet'!$A74/3,0)*Capacity</f>
        <v>0</v>
      </c>
      <c r="BV169" s="19">
        <f ca="1">OFFSET('Sales, Production, &amp; Other Assu'!BV$54,'Internmediate sheet'!$A74/3,0)*Capacity</f>
        <v>0</v>
      </c>
      <c r="BW169" s="19">
        <f ca="1">OFFSET('Sales, Production, &amp; Other Assu'!BW$54,'Internmediate sheet'!$A74/3,0)*Capacity</f>
        <v>0</v>
      </c>
      <c r="BX169" s="19">
        <f ca="1">OFFSET('Sales, Production, &amp; Other Assu'!BX$54,'Internmediate sheet'!$A74/3,0)*Capacity</f>
        <v>0</v>
      </c>
      <c r="BY169" s="19">
        <f ca="1">OFFSET('Sales, Production, &amp; Other Assu'!BY$54,'Internmediate sheet'!$A74/3,0)*Capacity</f>
        <v>0</v>
      </c>
      <c r="BZ169" s="19">
        <f ca="1">OFFSET('Sales, Production, &amp; Other Assu'!BZ$54,'Internmediate sheet'!$A74/3,0)*Capacity</f>
        <v>0</v>
      </c>
      <c r="CA169" s="19">
        <f ca="1">OFFSET('Sales, Production, &amp; Other Assu'!CA$54,'Internmediate sheet'!$A74/3,0)*Capacity</f>
        <v>0</v>
      </c>
      <c r="CB169" s="19">
        <f ca="1">OFFSET('Sales, Production, &amp; Other Assu'!CB$54,'Internmediate sheet'!$A74/3,0)*Capacity</f>
        <v>0</v>
      </c>
      <c r="CC169" s="434">
        <f ca="1">SUM(BQ169:CB169)</f>
        <v>0</v>
      </c>
      <c r="CD169" s="19">
        <f ca="1">OFFSET('Sales, Production, &amp; Other Assu'!CD$54,'Internmediate sheet'!$A74/3,0)*Capacity</f>
        <v>0</v>
      </c>
      <c r="CE169" s="19">
        <f ca="1">OFFSET('Sales, Production, &amp; Other Assu'!CE$54,'Internmediate sheet'!$A74/3,0)*Capacity</f>
        <v>0</v>
      </c>
      <c r="CF169" s="19">
        <f ca="1">OFFSET('Sales, Production, &amp; Other Assu'!CF$54,'Internmediate sheet'!$A74/3,0)*Capacity</f>
        <v>0</v>
      </c>
      <c r="CG169" s="19">
        <f ca="1">OFFSET('Sales, Production, &amp; Other Assu'!CG$54,'Internmediate sheet'!$A74/3,0)*Capacity</f>
        <v>0</v>
      </c>
      <c r="CH169" s="19">
        <f ca="1">OFFSET('Sales, Production, &amp; Other Assu'!CH$54,'Internmediate sheet'!$A74/3,0)*Capacity</f>
        <v>0</v>
      </c>
      <c r="CI169" s="19">
        <f ca="1">OFFSET('Sales, Production, &amp; Other Assu'!CI$54,'Internmediate sheet'!$A74/3,0)*Capacity</f>
        <v>0</v>
      </c>
      <c r="CJ169" s="19">
        <f ca="1">OFFSET('Sales, Production, &amp; Other Assu'!CJ$54,'Internmediate sheet'!$A74/3,0)*Capacity</f>
        <v>0</v>
      </c>
      <c r="CK169" s="19">
        <f ca="1">OFFSET('Sales, Production, &amp; Other Assu'!CK$54,'Internmediate sheet'!$A74/3,0)*Capacity</f>
        <v>0</v>
      </c>
      <c r="CL169" s="19">
        <f ca="1">OFFSET('Sales, Production, &amp; Other Assu'!CL$54,'Internmediate sheet'!$A74/3,0)*Capacity</f>
        <v>0</v>
      </c>
      <c r="CM169" s="19">
        <f ca="1">OFFSET('Sales, Production, &amp; Other Assu'!CM$54,'Internmediate sheet'!$A74/3,0)*Capacity</f>
        <v>0</v>
      </c>
      <c r="CN169" s="19">
        <f ca="1">OFFSET('Sales, Production, &amp; Other Assu'!CN$54,'Internmediate sheet'!$A74/3,0)*Capacity</f>
        <v>0</v>
      </c>
      <c r="CO169" s="19">
        <f ca="1">OFFSET('Sales, Production, &amp; Other Assu'!CO$54,'Internmediate sheet'!$A74/3,0)*Capacity</f>
        <v>0</v>
      </c>
      <c r="CP169" s="434">
        <f ca="1">SUM(CD169:CO169)</f>
        <v>0</v>
      </c>
    </row>
    <row r="170" spans="1:94" ht="20.100000000000001" hidden="1" customHeight="1">
      <c r="A170" s="793"/>
      <c r="B170" s="9" t="s">
        <v>614</v>
      </c>
      <c r="C170" s="10">
        <f ca="1">OFFSET('BEP. &amp; Summary Results'!$C$6,'Internmediate sheet'!A71/3,0)</f>
        <v>0</v>
      </c>
      <c r="D170" s="9">
        <f t="shared" ref="D170" ca="1" si="4698">C170</f>
        <v>0</v>
      </c>
      <c r="E170" s="9">
        <f t="shared" ref="E170" ca="1" si="4699">D170</f>
        <v>0</v>
      </c>
      <c r="F170" s="9">
        <f t="shared" ref="F170" ca="1" si="4700">E170</f>
        <v>0</v>
      </c>
      <c r="G170" s="9">
        <f t="shared" ref="G170" ca="1" si="4701">F170</f>
        <v>0</v>
      </c>
      <c r="H170" s="9">
        <f t="shared" ref="H170" ca="1" si="4702">G170</f>
        <v>0</v>
      </c>
      <c r="I170" s="9">
        <f t="shared" ref="I170" ca="1" si="4703">H170</f>
        <v>0</v>
      </c>
      <c r="J170" s="9">
        <f t="shared" ref="J170" ca="1" si="4704">I170</f>
        <v>0</v>
      </c>
      <c r="K170" s="9">
        <f t="shared" ref="K170" ca="1" si="4705">J170</f>
        <v>0</v>
      </c>
      <c r="L170" s="9">
        <f t="shared" ref="L170" ca="1" si="4706">K170</f>
        <v>0</v>
      </c>
      <c r="M170" s="9">
        <f t="shared" ref="M170" ca="1" si="4707">L170</f>
        <v>0</v>
      </c>
      <c r="N170" s="9">
        <f t="shared" ref="N170" ca="1" si="4708">M170</f>
        <v>0</v>
      </c>
      <c r="O170" s="9">
        <f t="shared" ref="O170" ca="1" si="4709">N170</f>
        <v>0</v>
      </c>
      <c r="P170" s="435">
        <f t="shared" ref="P170" ca="1" si="4710">O170</f>
        <v>0</v>
      </c>
      <c r="Q170" s="9">
        <f t="shared" ref="Q170" ca="1" si="4711">P170</f>
        <v>0</v>
      </c>
      <c r="R170" s="9">
        <f t="shared" ref="R170" ca="1" si="4712">Q170</f>
        <v>0</v>
      </c>
      <c r="S170" s="9">
        <f t="shared" ref="S170" ca="1" si="4713">R170</f>
        <v>0</v>
      </c>
      <c r="T170" s="9">
        <f t="shared" ref="T170" ca="1" si="4714">S170</f>
        <v>0</v>
      </c>
      <c r="U170" s="9">
        <f t="shared" ref="U170" ca="1" si="4715">T170</f>
        <v>0</v>
      </c>
      <c r="V170" s="9">
        <f t="shared" ref="V170" ca="1" si="4716">U170</f>
        <v>0</v>
      </c>
      <c r="W170" s="9">
        <f t="shared" ref="W170" ca="1" si="4717">V170</f>
        <v>0</v>
      </c>
      <c r="X170" s="9">
        <f t="shared" ref="X170" ca="1" si="4718">W170</f>
        <v>0</v>
      </c>
      <c r="Y170" s="9">
        <f t="shared" ref="Y170" ca="1" si="4719">X170</f>
        <v>0</v>
      </c>
      <c r="Z170" s="9">
        <f t="shared" ref="Z170" ca="1" si="4720">Y170</f>
        <v>0</v>
      </c>
      <c r="AA170" s="9">
        <f t="shared" ref="AA170" ca="1" si="4721">Z170</f>
        <v>0</v>
      </c>
      <c r="AB170" s="9">
        <f t="shared" ref="AB170" ca="1" si="4722">AA170</f>
        <v>0</v>
      </c>
      <c r="AC170" s="435">
        <f t="shared" ref="AC170" ca="1" si="4723">AB170</f>
        <v>0</v>
      </c>
      <c r="AD170" s="9">
        <f t="shared" ref="AD170" ca="1" si="4724">AC170</f>
        <v>0</v>
      </c>
      <c r="AE170" s="9">
        <f t="shared" ref="AE170" ca="1" si="4725">AD170</f>
        <v>0</v>
      </c>
      <c r="AF170" s="9">
        <f t="shared" ref="AF170" ca="1" si="4726">AE170</f>
        <v>0</v>
      </c>
      <c r="AG170" s="9">
        <f t="shared" ref="AG170" ca="1" si="4727">AF170</f>
        <v>0</v>
      </c>
      <c r="AH170" s="9">
        <f t="shared" ref="AH170" ca="1" si="4728">AG170</f>
        <v>0</v>
      </c>
      <c r="AI170" s="9">
        <f t="shared" ref="AI170" ca="1" si="4729">AH170</f>
        <v>0</v>
      </c>
      <c r="AJ170" s="9">
        <f t="shared" ref="AJ170" ca="1" si="4730">AI170</f>
        <v>0</v>
      </c>
      <c r="AK170" s="9">
        <f t="shared" ref="AK170" ca="1" si="4731">AJ170</f>
        <v>0</v>
      </c>
      <c r="AL170" s="9">
        <f t="shared" ref="AL170" ca="1" si="4732">AK170</f>
        <v>0</v>
      </c>
      <c r="AM170" s="9">
        <f t="shared" ref="AM170" ca="1" si="4733">AL170</f>
        <v>0</v>
      </c>
      <c r="AN170" s="9">
        <f t="shared" ref="AN170" ca="1" si="4734">AM170</f>
        <v>0</v>
      </c>
      <c r="AO170" s="9">
        <f t="shared" ref="AO170" ca="1" si="4735">AN170</f>
        <v>0</v>
      </c>
      <c r="AP170" s="435">
        <f t="shared" ref="AP170" ca="1" si="4736">AO170</f>
        <v>0</v>
      </c>
      <c r="AQ170" s="9">
        <f ca="1">AP170</f>
        <v>0</v>
      </c>
      <c r="AR170" s="9">
        <f t="shared" ref="AR170" ca="1" si="4737">AQ170</f>
        <v>0</v>
      </c>
      <c r="AS170" s="9">
        <f t="shared" ref="AS170" ca="1" si="4738">AR170</f>
        <v>0</v>
      </c>
      <c r="AT170" s="9">
        <f t="shared" ref="AT170" ca="1" si="4739">AS170</f>
        <v>0</v>
      </c>
      <c r="AU170" s="9">
        <f t="shared" ref="AU170" ca="1" si="4740">AT170</f>
        <v>0</v>
      </c>
      <c r="AV170" s="9">
        <f t="shared" ref="AV170" ca="1" si="4741">AU170</f>
        <v>0</v>
      </c>
      <c r="AW170" s="9">
        <f t="shared" ref="AW170" ca="1" si="4742">AV170</f>
        <v>0</v>
      </c>
      <c r="AX170" s="9">
        <f t="shared" ref="AX170" ca="1" si="4743">AW170</f>
        <v>0</v>
      </c>
      <c r="AY170" s="9">
        <f t="shared" ref="AY170" ca="1" si="4744">AX170</f>
        <v>0</v>
      </c>
      <c r="AZ170" s="9">
        <f t="shared" ref="AZ170" ca="1" si="4745">AY170</f>
        <v>0</v>
      </c>
      <c r="BA170" s="9">
        <f t="shared" ref="BA170" ca="1" si="4746">AZ170</f>
        <v>0</v>
      </c>
      <c r="BB170" s="9">
        <f t="shared" ref="BB170" ca="1" si="4747">BA170</f>
        <v>0</v>
      </c>
      <c r="BC170" s="435">
        <f t="shared" ref="BC170" ca="1" si="4748">BB170</f>
        <v>0</v>
      </c>
      <c r="BD170" s="9">
        <f t="shared" ref="BD170" ca="1" si="4749">BC170</f>
        <v>0</v>
      </c>
      <c r="BE170" s="9">
        <f t="shared" ref="BE170" ca="1" si="4750">BD170</f>
        <v>0</v>
      </c>
      <c r="BF170" s="9">
        <f t="shared" ref="BF170" ca="1" si="4751">BE170</f>
        <v>0</v>
      </c>
      <c r="BG170" s="9">
        <f t="shared" ref="BG170" ca="1" si="4752">BF170</f>
        <v>0</v>
      </c>
      <c r="BH170" s="9">
        <f t="shared" ref="BH170" ca="1" si="4753">BG170</f>
        <v>0</v>
      </c>
      <c r="BI170" s="9">
        <f t="shared" ref="BI170" ca="1" si="4754">BH170</f>
        <v>0</v>
      </c>
      <c r="BJ170" s="9">
        <f t="shared" ref="BJ170" ca="1" si="4755">BI170</f>
        <v>0</v>
      </c>
      <c r="BK170" s="9">
        <f t="shared" ref="BK170" ca="1" si="4756">BJ170</f>
        <v>0</v>
      </c>
      <c r="BL170" s="9">
        <f t="shared" ref="BL170" ca="1" si="4757">BK170</f>
        <v>0</v>
      </c>
      <c r="BM170" s="9">
        <f t="shared" ref="BM170" ca="1" si="4758">BL170</f>
        <v>0</v>
      </c>
      <c r="BN170" s="9">
        <f t="shared" ref="BN170" ca="1" si="4759">BM170</f>
        <v>0</v>
      </c>
      <c r="BO170" s="9">
        <f t="shared" ref="BO170" ca="1" si="4760">BN170</f>
        <v>0</v>
      </c>
      <c r="BP170" s="435">
        <f t="shared" ref="BP170" ca="1" si="4761">BO170</f>
        <v>0</v>
      </c>
      <c r="BQ170" s="9">
        <f t="shared" ref="BQ170" ca="1" si="4762">BP170</f>
        <v>0</v>
      </c>
      <c r="BR170" s="9">
        <f t="shared" ref="BR170" ca="1" si="4763">BQ170</f>
        <v>0</v>
      </c>
      <c r="BS170" s="9">
        <f t="shared" ref="BS170" ca="1" si="4764">BR170</f>
        <v>0</v>
      </c>
      <c r="BT170" s="9">
        <f t="shared" ref="BT170" ca="1" si="4765">BS170</f>
        <v>0</v>
      </c>
      <c r="BU170" s="9">
        <f t="shared" ref="BU170" ca="1" si="4766">BT170</f>
        <v>0</v>
      </c>
      <c r="BV170" s="9">
        <f t="shared" ref="BV170" ca="1" si="4767">BU170</f>
        <v>0</v>
      </c>
      <c r="BW170" s="9">
        <f t="shared" ref="BW170" ca="1" si="4768">BV170</f>
        <v>0</v>
      </c>
      <c r="BX170" s="9">
        <f t="shared" ref="BX170" ca="1" si="4769">BW170</f>
        <v>0</v>
      </c>
      <c r="BY170" s="9">
        <f t="shared" ref="BY170" ca="1" si="4770">BX170</f>
        <v>0</v>
      </c>
      <c r="BZ170" s="9">
        <f t="shared" ref="BZ170" ca="1" si="4771">BY170</f>
        <v>0</v>
      </c>
      <c r="CA170" s="9">
        <f t="shared" ref="CA170" ca="1" si="4772">BZ170</f>
        <v>0</v>
      </c>
      <c r="CB170" s="9">
        <f t="shared" ref="CB170" ca="1" si="4773">CA170</f>
        <v>0</v>
      </c>
      <c r="CC170" s="435">
        <f t="shared" ref="CC170" ca="1" si="4774">CB170</f>
        <v>0</v>
      </c>
      <c r="CD170" s="9">
        <f t="shared" ref="CD170" ca="1" si="4775">CC170</f>
        <v>0</v>
      </c>
      <c r="CE170" s="9">
        <f t="shared" ref="CE170" ca="1" si="4776">CD170</f>
        <v>0</v>
      </c>
      <c r="CF170" s="9">
        <f t="shared" ref="CF170" ca="1" si="4777">CE170</f>
        <v>0</v>
      </c>
      <c r="CG170" s="9">
        <f t="shared" ref="CG170" ca="1" si="4778">CF170</f>
        <v>0</v>
      </c>
      <c r="CH170" s="9">
        <f t="shared" ref="CH170" ca="1" si="4779">CG170</f>
        <v>0</v>
      </c>
      <c r="CI170" s="9">
        <f t="shared" ref="CI170" ca="1" si="4780">CH170</f>
        <v>0</v>
      </c>
      <c r="CJ170" s="9">
        <f t="shared" ref="CJ170" ca="1" si="4781">CI170</f>
        <v>0</v>
      </c>
      <c r="CK170" s="9">
        <f t="shared" ref="CK170" ca="1" si="4782">CJ170</f>
        <v>0</v>
      </c>
      <c r="CL170" s="9">
        <f t="shared" ref="CL170" ca="1" si="4783">CK170</f>
        <v>0</v>
      </c>
      <c r="CM170" s="9">
        <f t="shared" ref="CM170" ca="1" si="4784">CL170</f>
        <v>0</v>
      </c>
      <c r="CN170" s="9">
        <f t="shared" ref="CN170" ca="1" si="4785">CM170</f>
        <v>0</v>
      </c>
      <c r="CO170" s="9">
        <f t="shared" ref="CO170" ca="1" si="4786">CN170</f>
        <v>0</v>
      </c>
      <c r="CP170" s="435">
        <f t="shared" ref="CP170" ca="1" si="4787">CO170</f>
        <v>0</v>
      </c>
    </row>
    <row r="171" spans="1:94" ht="20.100000000000001" hidden="1" customHeight="1">
      <c r="A171" s="794"/>
      <c r="B171" s="255" t="s">
        <v>615</v>
      </c>
      <c r="C171" s="256">
        <f t="shared" ref="C171:O171" ca="1" si="4788">C169*C170</f>
        <v>0</v>
      </c>
      <c r="D171" s="255">
        <f t="shared" ca="1" si="4788"/>
        <v>0</v>
      </c>
      <c r="E171" s="255">
        <f t="shared" ca="1" si="4788"/>
        <v>0</v>
      </c>
      <c r="F171" s="255">
        <f t="shared" ca="1" si="4788"/>
        <v>0</v>
      </c>
      <c r="G171" s="255">
        <f t="shared" ca="1" si="4788"/>
        <v>0</v>
      </c>
      <c r="H171" s="255">
        <f t="shared" ca="1" si="4788"/>
        <v>0</v>
      </c>
      <c r="I171" s="255">
        <f t="shared" ca="1" si="4788"/>
        <v>0</v>
      </c>
      <c r="J171" s="255">
        <f t="shared" ca="1" si="4788"/>
        <v>0</v>
      </c>
      <c r="K171" s="255">
        <f t="shared" ca="1" si="4788"/>
        <v>0</v>
      </c>
      <c r="L171" s="255">
        <f t="shared" ca="1" si="4788"/>
        <v>0</v>
      </c>
      <c r="M171" s="255">
        <f t="shared" ca="1" si="4788"/>
        <v>0</v>
      </c>
      <c r="N171" s="255">
        <f t="shared" ca="1" si="4788"/>
        <v>0</v>
      </c>
      <c r="O171" s="255">
        <f t="shared" ca="1" si="4788"/>
        <v>0</v>
      </c>
      <c r="P171" s="434">
        <f ca="1">SUM(D171:O171)</f>
        <v>0</v>
      </c>
      <c r="Q171" s="255">
        <f t="shared" ref="Q171:AB171" ca="1" si="4789">Q169*Q170</f>
        <v>0</v>
      </c>
      <c r="R171" s="255">
        <f t="shared" ca="1" si="4789"/>
        <v>0</v>
      </c>
      <c r="S171" s="255">
        <f t="shared" ca="1" si="4789"/>
        <v>0</v>
      </c>
      <c r="T171" s="255">
        <f t="shared" ca="1" si="4789"/>
        <v>0</v>
      </c>
      <c r="U171" s="255">
        <f t="shared" ca="1" si="4789"/>
        <v>0</v>
      </c>
      <c r="V171" s="255">
        <f t="shared" ca="1" si="4789"/>
        <v>0</v>
      </c>
      <c r="W171" s="255">
        <f t="shared" ca="1" si="4789"/>
        <v>0</v>
      </c>
      <c r="X171" s="255">
        <f t="shared" ca="1" si="4789"/>
        <v>0</v>
      </c>
      <c r="Y171" s="255">
        <f t="shared" ca="1" si="4789"/>
        <v>0</v>
      </c>
      <c r="Z171" s="255">
        <f t="shared" ca="1" si="4789"/>
        <v>0</v>
      </c>
      <c r="AA171" s="255">
        <f t="shared" ca="1" si="4789"/>
        <v>0</v>
      </c>
      <c r="AB171" s="255">
        <f t="shared" ca="1" si="4789"/>
        <v>0</v>
      </c>
      <c r="AC171" s="434">
        <f ca="1">SUM(Q171:AB171)</f>
        <v>0</v>
      </c>
      <c r="AD171" s="255">
        <f t="shared" ref="AD171:AO171" ca="1" si="4790">AD169*AD170</f>
        <v>0</v>
      </c>
      <c r="AE171" s="255">
        <f t="shared" ca="1" si="4790"/>
        <v>0</v>
      </c>
      <c r="AF171" s="255">
        <f t="shared" ca="1" si="4790"/>
        <v>0</v>
      </c>
      <c r="AG171" s="255">
        <f t="shared" ca="1" si="4790"/>
        <v>0</v>
      </c>
      <c r="AH171" s="255">
        <f t="shared" ca="1" si="4790"/>
        <v>0</v>
      </c>
      <c r="AI171" s="255">
        <f t="shared" ca="1" si="4790"/>
        <v>0</v>
      </c>
      <c r="AJ171" s="255">
        <f t="shared" ca="1" si="4790"/>
        <v>0</v>
      </c>
      <c r="AK171" s="255">
        <f t="shared" ca="1" si="4790"/>
        <v>0</v>
      </c>
      <c r="AL171" s="255">
        <f t="shared" ca="1" si="4790"/>
        <v>0</v>
      </c>
      <c r="AM171" s="255">
        <f t="shared" ca="1" si="4790"/>
        <v>0</v>
      </c>
      <c r="AN171" s="255">
        <f t="shared" ca="1" si="4790"/>
        <v>0</v>
      </c>
      <c r="AO171" s="255">
        <f t="shared" ca="1" si="4790"/>
        <v>0</v>
      </c>
      <c r="AP171" s="434">
        <f ca="1">SUM(AD171:AO171)</f>
        <v>0</v>
      </c>
      <c r="AQ171" s="255">
        <f t="shared" ref="AQ171:BB171" ca="1" si="4791">AQ169*AQ170</f>
        <v>0</v>
      </c>
      <c r="AR171" s="255">
        <f t="shared" ca="1" si="4791"/>
        <v>0</v>
      </c>
      <c r="AS171" s="255">
        <f t="shared" ca="1" si="4791"/>
        <v>0</v>
      </c>
      <c r="AT171" s="255">
        <f t="shared" ca="1" si="4791"/>
        <v>0</v>
      </c>
      <c r="AU171" s="255">
        <f t="shared" ca="1" si="4791"/>
        <v>0</v>
      </c>
      <c r="AV171" s="255">
        <f t="shared" ca="1" si="4791"/>
        <v>0</v>
      </c>
      <c r="AW171" s="255">
        <f t="shared" ca="1" si="4791"/>
        <v>0</v>
      </c>
      <c r="AX171" s="255">
        <f t="shared" ca="1" si="4791"/>
        <v>0</v>
      </c>
      <c r="AY171" s="255">
        <f t="shared" ca="1" si="4791"/>
        <v>0</v>
      </c>
      <c r="AZ171" s="255">
        <f t="shared" ca="1" si="4791"/>
        <v>0</v>
      </c>
      <c r="BA171" s="255">
        <f t="shared" ca="1" si="4791"/>
        <v>0</v>
      </c>
      <c r="BB171" s="255">
        <f t="shared" ca="1" si="4791"/>
        <v>0</v>
      </c>
      <c r="BC171" s="434">
        <f ca="1">SUM(AQ171:BB171)</f>
        <v>0</v>
      </c>
      <c r="BD171" s="255">
        <f t="shared" ref="BD171:BO171" ca="1" si="4792">BD169*BD170</f>
        <v>0</v>
      </c>
      <c r="BE171" s="255">
        <f t="shared" ca="1" si="4792"/>
        <v>0</v>
      </c>
      <c r="BF171" s="255">
        <f t="shared" ca="1" si="4792"/>
        <v>0</v>
      </c>
      <c r="BG171" s="255">
        <f t="shared" ca="1" si="4792"/>
        <v>0</v>
      </c>
      <c r="BH171" s="255">
        <f t="shared" ca="1" si="4792"/>
        <v>0</v>
      </c>
      <c r="BI171" s="255">
        <f t="shared" ca="1" si="4792"/>
        <v>0</v>
      </c>
      <c r="BJ171" s="255">
        <f t="shared" ca="1" si="4792"/>
        <v>0</v>
      </c>
      <c r="BK171" s="255">
        <f t="shared" ca="1" si="4792"/>
        <v>0</v>
      </c>
      <c r="BL171" s="255">
        <f t="shared" ca="1" si="4792"/>
        <v>0</v>
      </c>
      <c r="BM171" s="255">
        <f t="shared" ca="1" si="4792"/>
        <v>0</v>
      </c>
      <c r="BN171" s="255">
        <f t="shared" ca="1" si="4792"/>
        <v>0</v>
      </c>
      <c r="BO171" s="255">
        <f t="shared" ca="1" si="4792"/>
        <v>0</v>
      </c>
      <c r="BP171" s="434">
        <f ca="1">SUM(BD171:BO171)</f>
        <v>0</v>
      </c>
      <c r="BQ171" s="255">
        <f t="shared" ref="BQ171:CB171" ca="1" si="4793">BQ169*BQ170</f>
        <v>0</v>
      </c>
      <c r="BR171" s="255">
        <f t="shared" ca="1" si="4793"/>
        <v>0</v>
      </c>
      <c r="BS171" s="255">
        <f t="shared" ca="1" si="4793"/>
        <v>0</v>
      </c>
      <c r="BT171" s="255">
        <f t="shared" ca="1" si="4793"/>
        <v>0</v>
      </c>
      <c r="BU171" s="255">
        <f t="shared" ca="1" si="4793"/>
        <v>0</v>
      </c>
      <c r="BV171" s="255">
        <f t="shared" ca="1" si="4793"/>
        <v>0</v>
      </c>
      <c r="BW171" s="255">
        <f t="shared" ca="1" si="4793"/>
        <v>0</v>
      </c>
      <c r="BX171" s="255">
        <f t="shared" ca="1" si="4793"/>
        <v>0</v>
      </c>
      <c r="BY171" s="255">
        <f t="shared" ca="1" si="4793"/>
        <v>0</v>
      </c>
      <c r="BZ171" s="255">
        <f t="shared" ca="1" si="4793"/>
        <v>0</v>
      </c>
      <c r="CA171" s="255">
        <f t="shared" ca="1" si="4793"/>
        <v>0</v>
      </c>
      <c r="CB171" s="255">
        <f t="shared" ca="1" si="4793"/>
        <v>0</v>
      </c>
      <c r="CC171" s="434">
        <f ca="1">SUM(BQ171:CB171)</f>
        <v>0</v>
      </c>
      <c r="CD171" s="255">
        <f t="shared" ref="CD171:CO171" ca="1" si="4794">CD169*CD170</f>
        <v>0</v>
      </c>
      <c r="CE171" s="255">
        <f t="shared" ca="1" si="4794"/>
        <v>0</v>
      </c>
      <c r="CF171" s="255">
        <f t="shared" ca="1" si="4794"/>
        <v>0</v>
      </c>
      <c r="CG171" s="255">
        <f t="shared" ca="1" si="4794"/>
        <v>0</v>
      </c>
      <c r="CH171" s="255">
        <f t="shared" ca="1" si="4794"/>
        <v>0</v>
      </c>
      <c r="CI171" s="255">
        <f t="shared" ca="1" si="4794"/>
        <v>0</v>
      </c>
      <c r="CJ171" s="255">
        <f t="shared" ca="1" si="4794"/>
        <v>0</v>
      </c>
      <c r="CK171" s="255">
        <f t="shared" ca="1" si="4794"/>
        <v>0</v>
      </c>
      <c r="CL171" s="255">
        <f t="shared" ca="1" si="4794"/>
        <v>0</v>
      </c>
      <c r="CM171" s="255">
        <f t="shared" ca="1" si="4794"/>
        <v>0</v>
      </c>
      <c r="CN171" s="255">
        <f t="shared" ca="1" si="4794"/>
        <v>0</v>
      </c>
      <c r="CO171" s="255">
        <f t="shared" ca="1" si="4794"/>
        <v>0</v>
      </c>
      <c r="CP171" s="434">
        <f ca="1">SUM(CD171:CO171)</f>
        <v>0</v>
      </c>
    </row>
    <row r="172" spans="1:94" ht="20.100000000000001" hidden="1" customHeight="1">
      <c r="A172" s="792">
        <f ca="1">OFFSET('Summary. Assumptions. Inputs'!$A$45,'Internmediate sheet'!A77/3,0)</f>
        <v>0</v>
      </c>
      <c r="B172" s="19" t="s">
        <v>613</v>
      </c>
      <c r="C172" s="20">
        <f ca="1">OFFSET('Sales, Production, &amp; Other Assu'!C$54,'Internmediate sheet'!$A77/3,0)*Capacity</f>
        <v>0</v>
      </c>
      <c r="D172" s="19">
        <f ca="1">OFFSET('Sales, Production, &amp; Other Assu'!D$54,'Internmediate sheet'!$A77/3,0)*Capacity</f>
        <v>0</v>
      </c>
      <c r="E172" s="19">
        <f ca="1">OFFSET('Sales, Production, &amp; Other Assu'!E$54,'Internmediate sheet'!$A77/3,0)*Capacity</f>
        <v>0</v>
      </c>
      <c r="F172" s="19">
        <f ca="1">OFFSET('Sales, Production, &amp; Other Assu'!F$54,'Internmediate sheet'!$A77/3,0)*Capacity</f>
        <v>0</v>
      </c>
      <c r="G172" s="19">
        <f ca="1">OFFSET('Sales, Production, &amp; Other Assu'!G$54,'Internmediate sheet'!$A77/3,0)*Capacity</f>
        <v>0</v>
      </c>
      <c r="H172" s="19">
        <f ca="1">OFFSET('Sales, Production, &amp; Other Assu'!H$54,'Internmediate sheet'!$A77/3,0)*Capacity</f>
        <v>0</v>
      </c>
      <c r="I172" s="19">
        <f ca="1">OFFSET('Sales, Production, &amp; Other Assu'!I$54,'Internmediate sheet'!$A77/3,0)*Capacity</f>
        <v>0</v>
      </c>
      <c r="J172" s="19">
        <f ca="1">OFFSET('Sales, Production, &amp; Other Assu'!J$54,'Internmediate sheet'!$A77/3,0)*Capacity</f>
        <v>0</v>
      </c>
      <c r="K172" s="19">
        <f ca="1">OFFSET('Sales, Production, &amp; Other Assu'!K$54,'Internmediate sheet'!$A77/3,0)*Capacity</f>
        <v>0</v>
      </c>
      <c r="L172" s="19">
        <f ca="1">OFFSET('Sales, Production, &amp; Other Assu'!L$54,'Internmediate sheet'!$A77/3,0)*Capacity</f>
        <v>0</v>
      </c>
      <c r="M172" s="19">
        <f ca="1">OFFSET('Sales, Production, &amp; Other Assu'!M$54,'Internmediate sheet'!$A77/3,0)*Capacity</f>
        <v>0</v>
      </c>
      <c r="N172" s="19">
        <f ca="1">OFFSET('Sales, Production, &amp; Other Assu'!N$54,'Internmediate sheet'!$A77/3,0)*Capacity</f>
        <v>0</v>
      </c>
      <c r="O172" s="19">
        <f ca="1">OFFSET('Sales, Production, &amp; Other Assu'!O$54,'Internmediate sheet'!$A77/3,0)*Capacity</f>
        <v>0</v>
      </c>
      <c r="P172" s="434">
        <f ca="1">SUM(D172:O172)</f>
        <v>0</v>
      </c>
      <c r="Q172" s="19">
        <f ca="1">OFFSET('Sales, Production, &amp; Other Assu'!Q$54,'Internmediate sheet'!$A77/3,0)*Capacity</f>
        <v>0</v>
      </c>
      <c r="R172" s="19">
        <f ca="1">OFFSET('Sales, Production, &amp; Other Assu'!R$54,'Internmediate sheet'!$A77/3,0)*Capacity</f>
        <v>0</v>
      </c>
      <c r="S172" s="19">
        <f ca="1">OFFSET('Sales, Production, &amp; Other Assu'!S$54,'Internmediate sheet'!$A77/3,0)*Capacity</f>
        <v>0</v>
      </c>
      <c r="T172" s="19">
        <f ca="1">OFFSET('Sales, Production, &amp; Other Assu'!T$54,'Internmediate sheet'!$A77/3,0)*Capacity</f>
        <v>0</v>
      </c>
      <c r="U172" s="19">
        <f ca="1">OFFSET('Sales, Production, &amp; Other Assu'!U$54,'Internmediate sheet'!$A77/3,0)*Capacity</f>
        <v>0</v>
      </c>
      <c r="V172" s="19">
        <f ca="1">OFFSET('Sales, Production, &amp; Other Assu'!V$54,'Internmediate sheet'!$A77/3,0)*Capacity</f>
        <v>0</v>
      </c>
      <c r="W172" s="19">
        <f ca="1">OFFSET('Sales, Production, &amp; Other Assu'!W$54,'Internmediate sheet'!$A77/3,0)*Capacity</f>
        <v>0</v>
      </c>
      <c r="X172" s="19">
        <f ca="1">OFFSET('Sales, Production, &amp; Other Assu'!X$54,'Internmediate sheet'!$A77/3,0)*Capacity</f>
        <v>0</v>
      </c>
      <c r="Y172" s="19">
        <f ca="1">OFFSET('Sales, Production, &amp; Other Assu'!Y$54,'Internmediate sheet'!$A77/3,0)*Capacity</f>
        <v>0</v>
      </c>
      <c r="Z172" s="19">
        <f ca="1">OFFSET('Sales, Production, &amp; Other Assu'!Z$54,'Internmediate sheet'!$A77/3,0)*Capacity</f>
        <v>0</v>
      </c>
      <c r="AA172" s="19">
        <f ca="1">OFFSET('Sales, Production, &amp; Other Assu'!AA$54,'Internmediate sheet'!$A77/3,0)*Capacity</f>
        <v>0</v>
      </c>
      <c r="AB172" s="19">
        <f ca="1">OFFSET('Sales, Production, &amp; Other Assu'!AB$54,'Internmediate sheet'!$A77/3,0)*Capacity</f>
        <v>0</v>
      </c>
      <c r="AC172" s="434">
        <f ca="1">SUM(Q172:AB172)</f>
        <v>0</v>
      </c>
      <c r="AD172" s="19">
        <f ca="1">OFFSET('Sales, Production, &amp; Other Assu'!AD$54,'Internmediate sheet'!$A77/3,0)*Capacity</f>
        <v>0</v>
      </c>
      <c r="AE172" s="19">
        <f ca="1">OFFSET('Sales, Production, &amp; Other Assu'!AE$54,'Internmediate sheet'!$A77/3,0)*Capacity</f>
        <v>0</v>
      </c>
      <c r="AF172" s="19">
        <f ca="1">OFFSET('Sales, Production, &amp; Other Assu'!AF$54,'Internmediate sheet'!$A77/3,0)*Capacity</f>
        <v>0</v>
      </c>
      <c r="AG172" s="19">
        <f ca="1">OFFSET('Sales, Production, &amp; Other Assu'!AG$54,'Internmediate sheet'!$A77/3,0)*Capacity</f>
        <v>0</v>
      </c>
      <c r="AH172" s="19">
        <f ca="1">OFFSET('Sales, Production, &amp; Other Assu'!AH$54,'Internmediate sheet'!$A77/3,0)*Capacity</f>
        <v>0</v>
      </c>
      <c r="AI172" s="19">
        <f ca="1">OFFSET('Sales, Production, &amp; Other Assu'!AI$54,'Internmediate sheet'!$A77/3,0)*Capacity</f>
        <v>0</v>
      </c>
      <c r="AJ172" s="19">
        <f ca="1">OFFSET('Sales, Production, &amp; Other Assu'!AJ$54,'Internmediate sheet'!$A77/3,0)*Capacity</f>
        <v>0</v>
      </c>
      <c r="AK172" s="19">
        <f ca="1">OFFSET('Sales, Production, &amp; Other Assu'!AK$54,'Internmediate sheet'!$A77/3,0)*Capacity</f>
        <v>0</v>
      </c>
      <c r="AL172" s="19">
        <f ca="1">OFFSET('Sales, Production, &amp; Other Assu'!AL$54,'Internmediate sheet'!$A77/3,0)*Capacity</f>
        <v>0</v>
      </c>
      <c r="AM172" s="19">
        <f ca="1">OFFSET('Sales, Production, &amp; Other Assu'!AM$54,'Internmediate sheet'!$A77/3,0)*Capacity</f>
        <v>0</v>
      </c>
      <c r="AN172" s="19">
        <f ca="1">OFFSET('Sales, Production, &amp; Other Assu'!AN$54,'Internmediate sheet'!$A77/3,0)*Capacity</f>
        <v>0</v>
      </c>
      <c r="AO172" s="19">
        <f ca="1">OFFSET('Sales, Production, &amp; Other Assu'!AO$54,'Internmediate sheet'!$A77/3,0)*Capacity</f>
        <v>0</v>
      </c>
      <c r="AP172" s="434">
        <f ca="1">SUM(AD172:AO172)</f>
        <v>0</v>
      </c>
      <c r="AQ172" s="19">
        <f ca="1">OFFSET('Sales, Production, &amp; Other Assu'!AQ$54,'Internmediate sheet'!$A77/3,0)*Capacity</f>
        <v>0</v>
      </c>
      <c r="AR172" s="19">
        <f ca="1">OFFSET('Sales, Production, &amp; Other Assu'!AR$54,'Internmediate sheet'!$A77/3,0)*Capacity</f>
        <v>0</v>
      </c>
      <c r="AS172" s="19">
        <f ca="1">OFFSET('Sales, Production, &amp; Other Assu'!AS$54,'Internmediate sheet'!$A77/3,0)*Capacity</f>
        <v>0</v>
      </c>
      <c r="AT172" s="19">
        <f ca="1">OFFSET('Sales, Production, &amp; Other Assu'!AT$54,'Internmediate sheet'!$A77/3,0)*Capacity</f>
        <v>0</v>
      </c>
      <c r="AU172" s="19">
        <f ca="1">OFFSET('Sales, Production, &amp; Other Assu'!AU$54,'Internmediate sheet'!$A77/3,0)*Capacity</f>
        <v>0</v>
      </c>
      <c r="AV172" s="19">
        <f ca="1">OFFSET('Sales, Production, &amp; Other Assu'!AV$54,'Internmediate sheet'!$A77/3,0)*Capacity</f>
        <v>0</v>
      </c>
      <c r="AW172" s="19">
        <f ca="1">OFFSET('Sales, Production, &amp; Other Assu'!AW$54,'Internmediate sheet'!$A77/3,0)*Capacity</f>
        <v>0</v>
      </c>
      <c r="AX172" s="19">
        <f ca="1">OFFSET('Sales, Production, &amp; Other Assu'!AX$54,'Internmediate sheet'!$A77/3,0)*Capacity</f>
        <v>0</v>
      </c>
      <c r="AY172" s="19">
        <f ca="1">OFFSET('Sales, Production, &amp; Other Assu'!AY$54,'Internmediate sheet'!$A77/3,0)*Capacity</f>
        <v>0</v>
      </c>
      <c r="AZ172" s="19">
        <f ca="1">OFFSET('Sales, Production, &amp; Other Assu'!AZ$54,'Internmediate sheet'!$A77/3,0)*Capacity</f>
        <v>0</v>
      </c>
      <c r="BA172" s="19">
        <f ca="1">OFFSET('Sales, Production, &amp; Other Assu'!BA$54,'Internmediate sheet'!$A77/3,0)*Capacity</f>
        <v>0</v>
      </c>
      <c r="BB172" s="19">
        <f ca="1">OFFSET('Sales, Production, &amp; Other Assu'!BB$54,'Internmediate sheet'!$A77/3,0)*Capacity</f>
        <v>0</v>
      </c>
      <c r="BC172" s="434">
        <f ca="1">SUM(AQ172:BB172)</f>
        <v>0</v>
      </c>
      <c r="BD172" s="19">
        <f ca="1">OFFSET('Sales, Production, &amp; Other Assu'!BD$54,'Internmediate sheet'!$A77/3,0)*Capacity</f>
        <v>0</v>
      </c>
      <c r="BE172" s="19">
        <f ca="1">OFFSET('Sales, Production, &amp; Other Assu'!BE$54,'Internmediate sheet'!$A77/3,0)*Capacity</f>
        <v>0</v>
      </c>
      <c r="BF172" s="19">
        <f ca="1">OFFSET('Sales, Production, &amp; Other Assu'!BF$54,'Internmediate sheet'!$A77/3,0)*Capacity</f>
        <v>0</v>
      </c>
      <c r="BG172" s="19">
        <f ca="1">OFFSET('Sales, Production, &amp; Other Assu'!BG$54,'Internmediate sheet'!$A77/3,0)*Capacity</f>
        <v>0</v>
      </c>
      <c r="BH172" s="19">
        <f ca="1">OFFSET('Sales, Production, &amp; Other Assu'!BH$54,'Internmediate sheet'!$A77/3,0)*Capacity</f>
        <v>0</v>
      </c>
      <c r="BI172" s="19">
        <f ca="1">OFFSET('Sales, Production, &amp; Other Assu'!BI$54,'Internmediate sheet'!$A77/3,0)*Capacity</f>
        <v>0</v>
      </c>
      <c r="BJ172" s="19">
        <f ca="1">OFFSET('Sales, Production, &amp; Other Assu'!BJ$54,'Internmediate sheet'!$A77/3,0)*Capacity</f>
        <v>0</v>
      </c>
      <c r="BK172" s="19">
        <f ca="1">OFFSET('Sales, Production, &amp; Other Assu'!BK$54,'Internmediate sheet'!$A77/3,0)*Capacity</f>
        <v>0</v>
      </c>
      <c r="BL172" s="19">
        <f ca="1">OFFSET('Sales, Production, &amp; Other Assu'!BL$54,'Internmediate sheet'!$A77/3,0)*Capacity</f>
        <v>0</v>
      </c>
      <c r="BM172" s="19">
        <f ca="1">OFFSET('Sales, Production, &amp; Other Assu'!BM$54,'Internmediate sheet'!$A77/3,0)*Capacity</f>
        <v>0</v>
      </c>
      <c r="BN172" s="19">
        <f ca="1">OFFSET('Sales, Production, &amp; Other Assu'!BN$54,'Internmediate sheet'!$A77/3,0)*Capacity</f>
        <v>0</v>
      </c>
      <c r="BO172" s="19">
        <f ca="1">OFFSET('Sales, Production, &amp; Other Assu'!BO$54,'Internmediate sheet'!$A77/3,0)*Capacity</f>
        <v>0</v>
      </c>
      <c r="BP172" s="434">
        <f ca="1">SUM(BD172:BO172)</f>
        <v>0</v>
      </c>
      <c r="BQ172" s="19">
        <f ca="1">OFFSET('Sales, Production, &amp; Other Assu'!BQ$54,'Internmediate sheet'!$A77/3,0)*Capacity</f>
        <v>0</v>
      </c>
      <c r="BR172" s="19">
        <f ca="1">OFFSET('Sales, Production, &amp; Other Assu'!BR$54,'Internmediate sheet'!$A77/3,0)*Capacity</f>
        <v>0</v>
      </c>
      <c r="BS172" s="19">
        <f ca="1">OFFSET('Sales, Production, &amp; Other Assu'!BS$54,'Internmediate sheet'!$A77/3,0)*Capacity</f>
        <v>0</v>
      </c>
      <c r="BT172" s="19">
        <f ca="1">OFFSET('Sales, Production, &amp; Other Assu'!BT$54,'Internmediate sheet'!$A77/3,0)*Capacity</f>
        <v>0</v>
      </c>
      <c r="BU172" s="19">
        <f ca="1">OFFSET('Sales, Production, &amp; Other Assu'!BU$54,'Internmediate sheet'!$A77/3,0)*Capacity</f>
        <v>0</v>
      </c>
      <c r="BV172" s="19">
        <f ca="1">OFFSET('Sales, Production, &amp; Other Assu'!BV$54,'Internmediate sheet'!$A77/3,0)*Capacity</f>
        <v>0</v>
      </c>
      <c r="BW172" s="19">
        <f ca="1">OFFSET('Sales, Production, &amp; Other Assu'!BW$54,'Internmediate sheet'!$A77/3,0)*Capacity</f>
        <v>0</v>
      </c>
      <c r="BX172" s="19">
        <f ca="1">OFFSET('Sales, Production, &amp; Other Assu'!BX$54,'Internmediate sheet'!$A77/3,0)*Capacity</f>
        <v>0</v>
      </c>
      <c r="BY172" s="19">
        <f ca="1">OFFSET('Sales, Production, &amp; Other Assu'!BY$54,'Internmediate sheet'!$A77/3,0)*Capacity</f>
        <v>0</v>
      </c>
      <c r="BZ172" s="19">
        <f ca="1">OFFSET('Sales, Production, &amp; Other Assu'!BZ$54,'Internmediate sheet'!$A77/3,0)*Capacity</f>
        <v>0</v>
      </c>
      <c r="CA172" s="19">
        <f ca="1">OFFSET('Sales, Production, &amp; Other Assu'!CA$54,'Internmediate sheet'!$A77/3,0)*Capacity</f>
        <v>0</v>
      </c>
      <c r="CB172" s="19">
        <f ca="1">OFFSET('Sales, Production, &amp; Other Assu'!CB$54,'Internmediate sheet'!$A77/3,0)*Capacity</f>
        <v>0</v>
      </c>
      <c r="CC172" s="434">
        <f ca="1">SUM(BQ172:CB172)</f>
        <v>0</v>
      </c>
      <c r="CD172" s="19">
        <f ca="1">OFFSET('Sales, Production, &amp; Other Assu'!CD$54,'Internmediate sheet'!$A77/3,0)*Capacity</f>
        <v>0</v>
      </c>
      <c r="CE172" s="19">
        <f ca="1">OFFSET('Sales, Production, &amp; Other Assu'!CE$54,'Internmediate sheet'!$A77/3,0)*Capacity</f>
        <v>0</v>
      </c>
      <c r="CF172" s="19">
        <f ca="1">OFFSET('Sales, Production, &amp; Other Assu'!CF$54,'Internmediate sheet'!$A77/3,0)*Capacity</f>
        <v>0</v>
      </c>
      <c r="CG172" s="19">
        <f ca="1">OFFSET('Sales, Production, &amp; Other Assu'!CG$54,'Internmediate sheet'!$A77/3,0)*Capacity</f>
        <v>0</v>
      </c>
      <c r="CH172" s="19">
        <f ca="1">OFFSET('Sales, Production, &amp; Other Assu'!CH$54,'Internmediate sheet'!$A77/3,0)*Capacity</f>
        <v>0</v>
      </c>
      <c r="CI172" s="19">
        <f ca="1">OFFSET('Sales, Production, &amp; Other Assu'!CI$54,'Internmediate sheet'!$A77/3,0)*Capacity</f>
        <v>0</v>
      </c>
      <c r="CJ172" s="19">
        <f ca="1">OFFSET('Sales, Production, &amp; Other Assu'!CJ$54,'Internmediate sheet'!$A77/3,0)*Capacity</f>
        <v>0</v>
      </c>
      <c r="CK172" s="19">
        <f ca="1">OFFSET('Sales, Production, &amp; Other Assu'!CK$54,'Internmediate sheet'!$A77/3,0)*Capacity</f>
        <v>0</v>
      </c>
      <c r="CL172" s="19">
        <f ca="1">OFFSET('Sales, Production, &amp; Other Assu'!CL$54,'Internmediate sheet'!$A77/3,0)*Capacity</f>
        <v>0</v>
      </c>
      <c r="CM172" s="19">
        <f ca="1">OFFSET('Sales, Production, &amp; Other Assu'!CM$54,'Internmediate sheet'!$A77/3,0)*Capacity</f>
        <v>0</v>
      </c>
      <c r="CN172" s="19">
        <f ca="1">OFFSET('Sales, Production, &amp; Other Assu'!CN$54,'Internmediate sheet'!$A77/3,0)*Capacity</f>
        <v>0</v>
      </c>
      <c r="CO172" s="19">
        <f ca="1">OFFSET('Sales, Production, &amp; Other Assu'!CO$54,'Internmediate sheet'!$A77/3,0)*Capacity</f>
        <v>0</v>
      </c>
      <c r="CP172" s="434">
        <f ca="1">SUM(CD172:CO172)</f>
        <v>0</v>
      </c>
    </row>
    <row r="173" spans="1:94" ht="20.100000000000001" hidden="1" customHeight="1">
      <c r="A173" s="793"/>
      <c r="B173" s="9" t="s">
        <v>614</v>
      </c>
      <c r="C173" s="10">
        <f ca="1">OFFSET('BEP. &amp; Summary Results'!$C$6,'Internmediate sheet'!A74/3,0)</f>
        <v>0</v>
      </c>
      <c r="D173" s="9">
        <f t="shared" ref="D173" ca="1" si="4795">C173</f>
        <v>0</v>
      </c>
      <c r="E173" s="9">
        <f t="shared" ref="E173" ca="1" si="4796">D173</f>
        <v>0</v>
      </c>
      <c r="F173" s="9">
        <f t="shared" ref="F173" ca="1" si="4797">E173</f>
        <v>0</v>
      </c>
      <c r="G173" s="9">
        <f t="shared" ref="G173" ca="1" si="4798">F173</f>
        <v>0</v>
      </c>
      <c r="H173" s="9">
        <f t="shared" ref="H173" ca="1" si="4799">G173</f>
        <v>0</v>
      </c>
      <c r="I173" s="9">
        <f t="shared" ref="I173" ca="1" si="4800">H173</f>
        <v>0</v>
      </c>
      <c r="J173" s="9">
        <f t="shared" ref="J173" ca="1" si="4801">I173</f>
        <v>0</v>
      </c>
      <c r="K173" s="9">
        <f t="shared" ref="K173" ca="1" si="4802">J173</f>
        <v>0</v>
      </c>
      <c r="L173" s="9">
        <f t="shared" ref="L173" ca="1" si="4803">K173</f>
        <v>0</v>
      </c>
      <c r="M173" s="9">
        <f t="shared" ref="M173" ca="1" si="4804">L173</f>
        <v>0</v>
      </c>
      <c r="N173" s="9">
        <f t="shared" ref="N173" ca="1" si="4805">M173</f>
        <v>0</v>
      </c>
      <c r="O173" s="9">
        <f t="shared" ref="O173" ca="1" si="4806">N173</f>
        <v>0</v>
      </c>
      <c r="P173" s="435">
        <f t="shared" ref="P173" ca="1" si="4807">O173</f>
        <v>0</v>
      </c>
      <c r="Q173" s="9">
        <f t="shared" ref="Q173" ca="1" si="4808">P173</f>
        <v>0</v>
      </c>
      <c r="R173" s="9">
        <f t="shared" ref="R173" ca="1" si="4809">Q173</f>
        <v>0</v>
      </c>
      <c r="S173" s="9">
        <f t="shared" ref="S173" ca="1" si="4810">R173</f>
        <v>0</v>
      </c>
      <c r="T173" s="9">
        <f t="shared" ref="T173" ca="1" si="4811">S173</f>
        <v>0</v>
      </c>
      <c r="U173" s="9">
        <f t="shared" ref="U173" ca="1" si="4812">T173</f>
        <v>0</v>
      </c>
      <c r="V173" s="9">
        <f t="shared" ref="V173" ca="1" si="4813">U173</f>
        <v>0</v>
      </c>
      <c r="W173" s="9">
        <f t="shared" ref="W173" ca="1" si="4814">V173</f>
        <v>0</v>
      </c>
      <c r="X173" s="9">
        <f t="shared" ref="X173" ca="1" si="4815">W173</f>
        <v>0</v>
      </c>
      <c r="Y173" s="9">
        <f t="shared" ref="Y173" ca="1" si="4816">X173</f>
        <v>0</v>
      </c>
      <c r="Z173" s="9">
        <f t="shared" ref="Z173" ca="1" si="4817">Y173</f>
        <v>0</v>
      </c>
      <c r="AA173" s="9">
        <f t="shared" ref="AA173" ca="1" si="4818">Z173</f>
        <v>0</v>
      </c>
      <c r="AB173" s="9">
        <f t="shared" ref="AB173" ca="1" si="4819">AA173</f>
        <v>0</v>
      </c>
      <c r="AC173" s="435">
        <f t="shared" ref="AC173" ca="1" si="4820">AB173</f>
        <v>0</v>
      </c>
      <c r="AD173" s="9">
        <f t="shared" ref="AD173" ca="1" si="4821">AC173</f>
        <v>0</v>
      </c>
      <c r="AE173" s="9">
        <f t="shared" ref="AE173" ca="1" si="4822">AD173</f>
        <v>0</v>
      </c>
      <c r="AF173" s="9">
        <f t="shared" ref="AF173" ca="1" si="4823">AE173</f>
        <v>0</v>
      </c>
      <c r="AG173" s="9">
        <f t="shared" ref="AG173" ca="1" si="4824">AF173</f>
        <v>0</v>
      </c>
      <c r="AH173" s="9">
        <f t="shared" ref="AH173" ca="1" si="4825">AG173</f>
        <v>0</v>
      </c>
      <c r="AI173" s="9">
        <f t="shared" ref="AI173" ca="1" si="4826">AH173</f>
        <v>0</v>
      </c>
      <c r="AJ173" s="9">
        <f t="shared" ref="AJ173" ca="1" si="4827">AI173</f>
        <v>0</v>
      </c>
      <c r="AK173" s="9">
        <f t="shared" ref="AK173" ca="1" si="4828">AJ173</f>
        <v>0</v>
      </c>
      <c r="AL173" s="9">
        <f t="shared" ref="AL173" ca="1" si="4829">AK173</f>
        <v>0</v>
      </c>
      <c r="AM173" s="9">
        <f t="shared" ref="AM173" ca="1" si="4830">AL173</f>
        <v>0</v>
      </c>
      <c r="AN173" s="9">
        <f t="shared" ref="AN173" ca="1" si="4831">AM173</f>
        <v>0</v>
      </c>
      <c r="AO173" s="9">
        <f t="shared" ref="AO173" ca="1" si="4832">AN173</f>
        <v>0</v>
      </c>
      <c r="AP173" s="435">
        <f t="shared" ref="AP173" ca="1" si="4833">AO173</f>
        <v>0</v>
      </c>
      <c r="AQ173" s="9">
        <f ca="1">AP173</f>
        <v>0</v>
      </c>
      <c r="AR173" s="9">
        <f t="shared" ref="AR173" ca="1" si="4834">AQ173</f>
        <v>0</v>
      </c>
      <c r="AS173" s="9">
        <f t="shared" ref="AS173" ca="1" si="4835">AR173</f>
        <v>0</v>
      </c>
      <c r="AT173" s="9">
        <f t="shared" ref="AT173" ca="1" si="4836">AS173</f>
        <v>0</v>
      </c>
      <c r="AU173" s="9">
        <f t="shared" ref="AU173" ca="1" si="4837">AT173</f>
        <v>0</v>
      </c>
      <c r="AV173" s="9">
        <f t="shared" ref="AV173" ca="1" si="4838">AU173</f>
        <v>0</v>
      </c>
      <c r="AW173" s="9">
        <f t="shared" ref="AW173" ca="1" si="4839">AV173</f>
        <v>0</v>
      </c>
      <c r="AX173" s="9">
        <f t="shared" ref="AX173" ca="1" si="4840">AW173</f>
        <v>0</v>
      </c>
      <c r="AY173" s="9">
        <f t="shared" ref="AY173" ca="1" si="4841">AX173</f>
        <v>0</v>
      </c>
      <c r="AZ173" s="9">
        <f t="shared" ref="AZ173" ca="1" si="4842">AY173</f>
        <v>0</v>
      </c>
      <c r="BA173" s="9">
        <f t="shared" ref="BA173" ca="1" si="4843">AZ173</f>
        <v>0</v>
      </c>
      <c r="BB173" s="9">
        <f t="shared" ref="BB173" ca="1" si="4844">BA173</f>
        <v>0</v>
      </c>
      <c r="BC173" s="435">
        <f t="shared" ref="BC173" ca="1" si="4845">BB173</f>
        <v>0</v>
      </c>
      <c r="BD173" s="9">
        <f t="shared" ref="BD173" ca="1" si="4846">BC173</f>
        <v>0</v>
      </c>
      <c r="BE173" s="9">
        <f t="shared" ref="BE173" ca="1" si="4847">BD173</f>
        <v>0</v>
      </c>
      <c r="BF173" s="9">
        <f t="shared" ref="BF173" ca="1" si="4848">BE173</f>
        <v>0</v>
      </c>
      <c r="BG173" s="9">
        <f t="shared" ref="BG173" ca="1" si="4849">BF173</f>
        <v>0</v>
      </c>
      <c r="BH173" s="9">
        <f t="shared" ref="BH173" ca="1" si="4850">BG173</f>
        <v>0</v>
      </c>
      <c r="BI173" s="9">
        <f t="shared" ref="BI173" ca="1" si="4851">BH173</f>
        <v>0</v>
      </c>
      <c r="BJ173" s="9">
        <f t="shared" ref="BJ173" ca="1" si="4852">BI173</f>
        <v>0</v>
      </c>
      <c r="BK173" s="9">
        <f t="shared" ref="BK173" ca="1" si="4853">BJ173</f>
        <v>0</v>
      </c>
      <c r="BL173" s="9">
        <f t="shared" ref="BL173" ca="1" si="4854">BK173</f>
        <v>0</v>
      </c>
      <c r="BM173" s="9">
        <f t="shared" ref="BM173" ca="1" si="4855">BL173</f>
        <v>0</v>
      </c>
      <c r="BN173" s="9">
        <f t="shared" ref="BN173" ca="1" si="4856">BM173</f>
        <v>0</v>
      </c>
      <c r="BO173" s="9">
        <f t="shared" ref="BO173" ca="1" si="4857">BN173</f>
        <v>0</v>
      </c>
      <c r="BP173" s="435">
        <f t="shared" ref="BP173" ca="1" si="4858">BO173</f>
        <v>0</v>
      </c>
      <c r="BQ173" s="9">
        <f t="shared" ref="BQ173" ca="1" si="4859">BP173</f>
        <v>0</v>
      </c>
      <c r="BR173" s="9">
        <f t="shared" ref="BR173" ca="1" si="4860">BQ173</f>
        <v>0</v>
      </c>
      <c r="BS173" s="9">
        <f t="shared" ref="BS173" ca="1" si="4861">BR173</f>
        <v>0</v>
      </c>
      <c r="BT173" s="9">
        <f t="shared" ref="BT173" ca="1" si="4862">BS173</f>
        <v>0</v>
      </c>
      <c r="BU173" s="9">
        <f t="shared" ref="BU173" ca="1" si="4863">BT173</f>
        <v>0</v>
      </c>
      <c r="BV173" s="9">
        <f t="shared" ref="BV173" ca="1" si="4864">BU173</f>
        <v>0</v>
      </c>
      <c r="BW173" s="9">
        <f t="shared" ref="BW173" ca="1" si="4865">BV173</f>
        <v>0</v>
      </c>
      <c r="BX173" s="9">
        <f t="shared" ref="BX173" ca="1" si="4866">BW173</f>
        <v>0</v>
      </c>
      <c r="BY173" s="9">
        <f t="shared" ref="BY173" ca="1" si="4867">BX173</f>
        <v>0</v>
      </c>
      <c r="BZ173" s="9">
        <f t="shared" ref="BZ173" ca="1" si="4868">BY173</f>
        <v>0</v>
      </c>
      <c r="CA173" s="9">
        <f t="shared" ref="CA173" ca="1" si="4869">BZ173</f>
        <v>0</v>
      </c>
      <c r="CB173" s="9">
        <f t="shared" ref="CB173" ca="1" si="4870">CA173</f>
        <v>0</v>
      </c>
      <c r="CC173" s="435">
        <f t="shared" ref="CC173" ca="1" si="4871">CB173</f>
        <v>0</v>
      </c>
      <c r="CD173" s="9">
        <f t="shared" ref="CD173" ca="1" si="4872">CC173</f>
        <v>0</v>
      </c>
      <c r="CE173" s="9">
        <f t="shared" ref="CE173" ca="1" si="4873">CD173</f>
        <v>0</v>
      </c>
      <c r="CF173" s="9">
        <f t="shared" ref="CF173" ca="1" si="4874">CE173</f>
        <v>0</v>
      </c>
      <c r="CG173" s="9">
        <f t="shared" ref="CG173" ca="1" si="4875">CF173</f>
        <v>0</v>
      </c>
      <c r="CH173" s="9">
        <f t="shared" ref="CH173" ca="1" si="4876">CG173</f>
        <v>0</v>
      </c>
      <c r="CI173" s="9">
        <f t="shared" ref="CI173" ca="1" si="4877">CH173</f>
        <v>0</v>
      </c>
      <c r="CJ173" s="9">
        <f t="shared" ref="CJ173" ca="1" si="4878">CI173</f>
        <v>0</v>
      </c>
      <c r="CK173" s="9">
        <f t="shared" ref="CK173" ca="1" si="4879">CJ173</f>
        <v>0</v>
      </c>
      <c r="CL173" s="9">
        <f t="shared" ref="CL173" ca="1" si="4880">CK173</f>
        <v>0</v>
      </c>
      <c r="CM173" s="9">
        <f t="shared" ref="CM173" ca="1" si="4881">CL173</f>
        <v>0</v>
      </c>
      <c r="CN173" s="9">
        <f t="shared" ref="CN173" ca="1" si="4882">CM173</f>
        <v>0</v>
      </c>
      <c r="CO173" s="9">
        <f t="shared" ref="CO173" ca="1" si="4883">CN173</f>
        <v>0</v>
      </c>
      <c r="CP173" s="435">
        <f t="shared" ref="CP173" ca="1" si="4884">CO173</f>
        <v>0</v>
      </c>
    </row>
    <row r="174" spans="1:94" ht="20.100000000000001" hidden="1" customHeight="1">
      <c r="A174" s="794"/>
      <c r="B174" s="255" t="s">
        <v>615</v>
      </c>
      <c r="C174" s="256">
        <f t="shared" ref="C174:O174" ca="1" si="4885">C172*C173</f>
        <v>0</v>
      </c>
      <c r="D174" s="255">
        <f t="shared" ca="1" si="4885"/>
        <v>0</v>
      </c>
      <c r="E174" s="255">
        <f t="shared" ca="1" si="4885"/>
        <v>0</v>
      </c>
      <c r="F174" s="255">
        <f t="shared" ca="1" si="4885"/>
        <v>0</v>
      </c>
      <c r="G174" s="255">
        <f t="shared" ca="1" si="4885"/>
        <v>0</v>
      </c>
      <c r="H174" s="255">
        <f t="shared" ca="1" si="4885"/>
        <v>0</v>
      </c>
      <c r="I174" s="255">
        <f t="shared" ca="1" si="4885"/>
        <v>0</v>
      </c>
      <c r="J174" s="255">
        <f t="shared" ca="1" si="4885"/>
        <v>0</v>
      </c>
      <c r="K174" s="255">
        <f t="shared" ca="1" si="4885"/>
        <v>0</v>
      </c>
      <c r="L174" s="255">
        <f t="shared" ca="1" si="4885"/>
        <v>0</v>
      </c>
      <c r="M174" s="255">
        <f t="shared" ca="1" si="4885"/>
        <v>0</v>
      </c>
      <c r="N174" s="255">
        <f t="shared" ca="1" si="4885"/>
        <v>0</v>
      </c>
      <c r="O174" s="255">
        <f t="shared" ca="1" si="4885"/>
        <v>0</v>
      </c>
      <c r="P174" s="434">
        <f ca="1">SUM(D174:O174)</f>
        <v>0</v>
      </c>
      <c r="Q174" s="255">
        <f t="shared" ref="Q174:AB174" ca="1" si="4886">Q172*Q173</f>
        <v>0</v>
      </c>
      <c r="R174" s="255">
        <f t="shared" ca="1" si="4886"/>
        <v>0</v>
      </c>
      <c r="S174" s="255">
        <f t="shared" ca="1" si="4886"/>
        <v>0</v>
      </c>
      <c r="T174" s="255">
        <f t="shared" ca="1" si="4886"/>
        <v>0</v>
      </c>
      <c r="U174" s="255">
        <f t="shared" ca="1" si="4886"/>
        <v>0</v>
      </c>
      <c r="V174" s="255">
        <f t="shared" ca="1" si="4886"/>
        <v>0</v>
      </c>
      <c r="W174" s="255">
        <f t="shared" ca="1" si="4886"/>
        <v>0</v>
      </c>
      <c r="X174" s="255">
        <f t="shared" ca="1" si="4886"/>
        <v>0</v>
      </c>
      <c r="Y174" s="255">
        <f t="shared" ca="1" si="4886"/>
        <v>0</v>
      </c>
      <c r="Z174" s="255">
        <f t="shared" ca="1" si="4886"/>
        <v>0</v>
      </c>
      <c r="AA174" s="255">
        <f t="shared" ca="1" si="4886"/>
        <v>0</v>
      </c>
      <c r="AB174" s="255">
        <f t="shared" ca="1" si="4886"/>
        <v>0</v>
      </c>
      <c r="AC174" s="434">
        <f ca="1">SUM(Q174:AB174)</f>
        <v>0</v>
      </c>
      <c r="AD174" s="255">
        <f t="shared" ref="AD174:AO174" ca="1" si="4887">AD172*AD173</f>
        <v>0</v>
      </c>
      <c r="AE174" s="255">
        <f t="shared" ca="1" si="4887"/>
        <v>0</v>
      </c>
      <c r="AF174" s="255">
        <f t="shared" ca="1" si="4887"/>
        <v>0</v>
      </c>
      <c r="AG174" s="255">
        <f t="shared" ca="1" si="4887"/>
        <v>0</v>
      </c>
      <c r="AH174" s="255">
        <f t="shared" ca="1" si="4887"/>
        <v>0</v>
      </c>
      <c r="AI174" s="255">
        <f t="shared" ca="1" si="4887"/>
        <v>0</v>
      </c>
      <c r="AJ174" s="255">
        <f t="shared" ca="1" si="4887"/>
        <v>0</v>
      </c>
      <c r="AK174" s="255">
        <f t="shared" ca="1" si="4887"/>
        <v>0</v>
      </c>
      <c r="AL174" s="255">
        <f t="shared" ca="1" si="4887"/>
        <v>0</v>
      </c>
      <c r="AM174" s="255">
        <f t="shared" ca="1" si="4887"/>
        <v>0</v>
      </c>
      <c r="AN174" s="255">
        <f t="shared" ca="1" si="4887"/>
        <v>0</v>
      </c>
      <c r="AO174" s="255">
        <f t="shared" ca="1" si="4887"/>
        <v>0</v>
      </c>
      <c r="AP174" s="434">
        <f ca="1">SUM(AD174:AO174)</f>
        <v>0</v>
      </c>
      <c r="AQ174" s="255">
        <f t="shared" ref="AQ174:BB174" ca="1" si="4888">AQ172*AQ173</f>
        <v>0</v>
      </c>
      <c r="AR174" s="255">
        <f t="shared" ca="1" si="4888"/>
        <v>0</v>
      </c>
      <c r="AS174" s="255">
        <f t="shared" ca="1" si="4888"/>
        <v>0</v>
      </c>
      <c r="AT174" s="255">
        <f t="shared" ca="1" si="4888"/>
        <v>0</v>
      </c>
      <c r="AU174" s="255">
        <f t="shared" ca="1" si="4888"/>
        <v>0</v>
      </c>
      <c r="AV174" s="255">
        <f t="shared" ca="1" si="4888"/>
        <v>0</v>
      </c>
      <c r="AW174" s="255">
        <f t="shared" ca="1" si="4888"/>
        <v>0</v>
      </c>
      <c r="AX174" s="255">
        <f t="shared" ca="1" si="4888"/>
        <v>0</v>
      </c>
      <c r="AY174" s="255">
        <f t="shared" ca="1" si="4888"/>
        <v>0</v>
      </c>
      <c r="AZ174" s="255">
        <f t="shared" ca="1" si="4888"/>
        <v>0</v>
      </c>
      <c r="BA174" s="255">
        <f t="shared" ca="1" si="4888"/>
        <v>0</v>
      </c>
      <c r="BB174" s="255">
        <f t="shared" ca="1" si="4888"/>
        <v>0</v>
      </c>
      <c r="BC174" s="434">
        <f ca="1">SUM(AQ174:BB174)</f>
        <v>0</v>
      </c>
      <c r="BD174" s="255">
        <f t="shared" ref="BD174:BO174" ca="1" si="4889">BD172*BD173</f>
        <v>0</v>
      </c>
      <c r="BE174" s="255">
        <f t="shared" ca="1" si="4889"/>
        <v>0</v>
      </c>
      <c r="BF174" s="255">
        <f t="shared" ca="1" si="4889"/>
        <v>0</v>
      </c>
      <c r="BG174" s="255">
        <f t="shared" ca="1" si="4889"/>
        <v>0</v>
      </c>
      <c r="BH174" s="255">
        <f t="shared" ca="1" si="4889"/>
        <v>0</v>
      </c>
      <c r="BI174" s="255">
        <f t="shared" ca="1" si="4889"/>
        <v>0</v>
      </c>
      <c r="BJ174" s="255">
        <f t="shared" ca="1" si="4889"/>
        <v>0</v>
      </c>
      <c r="BK174" s="255">
        <f t="shared" ca="1" si="4889"/>
        <v>0</v>
      </c>
      <c r="BL174" s="255">
        <f t="shared" ca="1" si="4889"/>
        <v>0</v>
      </c>
      <c r="BM174" s="255">
        <f t="shared" ca="1" si="4889"/>
        <v>0</v>
      </c>
      <c r="BN174" s="255">
        <f t="shared" ca="1" si="4889"/>
        <v>0</v>
      </c>
      <c r="BO174" s="255">
        <f t="shared" ca="1" si="4889"/>
        <v>0</v>
      </c>
      <c r="BP174" s="434">
        <f ca="1">SUM(BD174:BO174)</f>
        <v>0</v>
      </c>
      <c r="BQ174" s="255">
        <f t="shared" ref="BQ174:CB174" ca="1" si="4890">BQ172*BQ173</f>
        <v>0</v>
      </c>
      <c r="BR174" s="255">
        <f t="shared" ca="1" si="4890"/>
        <v>0</v>
      </c>
      <c r="BS174" s="255">
        <f t="shared" ca="1" si="4890"/>
        <v>0</v>
      </c>
      <c r="BT174" s="255">
        <f t="shared" ca="1" si="4890"/>
        <v>0</v>
      </c>
      <c r="BU174" s="255">
        <f t="shared" ca="1" si="4890"/>
        <v>0</v>
      </c>
      <c r="BV174" s="255">
        <f t="shared" ca="1" si="4890"/>
        <v>0</v>
      </c>
      <c r="BW174" s="255">
        <f t="shared" ca="1" si="4890"/>
        <v>0</v>
      </c>
      <c r="BX174" s="255">
        <f t="shared" ca="1" si="4890"/>
        <v>0</v>
      </c>
      <c r="BY174" s="255">
        <f t="shared" ca="1" si="4890"/>
        <v>0</v>
      </c>
      <c r="BZ174" s="255">
        <f t="shared" ca="1" si="4890"/>
        <v>0</v>
      </c>
      <c r="CA174" s="255">
        <f t="shared" ca="1" si="4890"/>
        <v>0</v>
      </c>
      <c r="CB174" s="255">
        <f t="shared" ca="1" si="4890"/>
        <v>0</v>
      </c>
      <c r="CC174" s="434">
        <f ca="1">SUM(BQ174:CB174)</f>
        <v>0</v>
      </c>
      <c r="CD174" s="255">
        <f t="shared" ref="CD174:CO174" ca="1" si="4891">CD172*CD173</f>
        <v>0</v>
      </c>
      <c r="CE174" s="255">
        <f t="shared" ca="1" si="4891"/>
        <v>0</v>
      </c>
      <c r="CF174" s="255">
        <f t="shared" ca="1" si="4891"/>
        <v>0</v>
      </c>
      <c r="CG174" s="255">
        <f t="shared" ca="1" si="4891"/>
        <v>0</v>
      </c>
      <c r="CH174" s="255">
        <f t="shared" ca="1" si="4891"/>
        <v>0</v>
      </c>
      <c r="CI174" s="255">
        <f t="shared" ca="1" si="4891"/>
        <v>0</v>
      </c>
      <c r="CJ174" s="255">
        <f t="shared" ca="1" si="4891"/>
        <v>0</v>
      </c>
      <c r="CK174" s="255">
        <f t="shared" ca="1" si="4891"/>
        <v>0</v>
      </c>
      <c r="CL174" s="255">
        <f t="shared" ca="1" si="4891"/>
        <v>0</v>
      </c>
      <c r="CM174" s="255">
        <f t="shared" ca="1" si="4891"/>
        <v>0</v>
      </c>
      <c r="CN174" s="255">
        <f t="shared" ca="1" si="4891"/>
        <v>0</v>
      </c>
      <c r="CO174" s="255">
        <f t="shared" ca="1" si="4891"/>
        <v>0</v>
      </c>
      <c r="CP174" s="434">
        <f ca="1">SUM(CD174:CO174)</f>
        <v>0</v>
      </c>
    </row>
    <row r="175" spans="1:94" ht="20.100000000000001" hidden="1" customHeight="1">
      <c r="A175" s="792">
        <f ca="1">OFFSET('Summary. Assumptions. Inputs'!$A$45,'Internmediate sheet'!A80/3,0)</f>
        <v>0</v>
      </c>
      <c r="B175" s="19" t="s">
        <v>613</v>
      </c>
      <c r="C175" s="20">
        <f ca="1">OFFSET('Sales, Production, &amp; Other Assu'!C$54,'Internmediate sheet'!$A80/3,0)*Capacity</f>
        <v>0</v>
      </c>
      <c r="D175" s="19">
        <f ca="1">OFFSET('Sales, Production, &amp; Other Assu'!D$54,'Internmediate sheet'!$A80/3,0)*Capacity</f>
        <v>0</v>
      </c>
      <c r="E175" s="19">
        <f ca="1">OFFSET('Sales, Production, &amp; Other Assu'!E$54,'Internmediate sheet'!$A80/3,0)*Capacity</f>
        <v>0</v>
      </c>
      <c r="F175" s="19">
        <f ca="1">OFFSET('Sales, Production, &amp; Other Assu'!F$54,'Internmediate sheet'!$A80/3,0)*Capacity</f>
        <v>0</v>
      </c>
      <c r="G175" s="19">
        <f ca="1">OFFSET('Sales, Production, &amp; Other Assu'!G$54,'Internmediate sheet'!$A80/3,0)*Capacity</f>
        <v>0</v>
      </c>
      <c r="H175" s="19">
        <f ca="1">OFFSET('Sales, Production, &amp; Other Assu'!H$54,'Internmediate sheet'!$A80/3,0)*Capacity</f>
        <v>0</v>
      </c>
      <c r="I175" s="19">
        <f ca="1">OFFSET('Sales, Production, &amp; Other Assu'!I$54,'Internmediate sheet'!$A80/3,0)*Capacity</f>
        <v>0</v>
      </c>
      <c r="J175" s="19">
        <f ca="1">OFFSET('Sales, Production, &amp; Other Assu'!J$54,'Internmediate sheet'!$A80/3,0)*Capacity</f>
        <v>0</v>
      </c>
      <c r="K175" s="19">
        <f ca="1">OFFSET('Sales, Production, &amp; Other Assu'!K$54,'Internmediate sheet'!$A80/3,0)*Capacity</f>
        <v>0</v>
      </c>
      <c r="L175" s="19">
        <f ca="1">OFFSET('Sales, Production, &amp; Other Assu'!L$54,'Internmediate sheet'!$A80/3,0)*Capacity</f>
        <v>0</v>
      </c>
      <c r="M175" s="19">
        <f ca="1">OFFSET('Sales, Production, &amp; Other Assu'!M$54,'Internmediate sheet'!$A80/3,0)*Capacity</f>
        <v>0</v>
      </c>
      <c r="N175" s="19">
        <f ca="1">OFFSET('Sales, Production, &amp; Other Assu'!N$54,'Internmediate sheet'!$A80/3,0)*Capacity</f>
        <v>0</v>
      </c>
      <c r="O175" s="19">
        <f ca="1">OFFSET('Sales, Production, &amp; Other Assu'!O$54,'Internmediate sheet'!$A80/3,0)*Capacity</f>
        <v>0</v>
      </c>
      <c r="P175" s="434">
        <f ca="1">SUM(D175:O175)</f>
        <v>0</v>
      </c>
      <c r="Q175" s="19">
        <f ca="1">OFFSET('Sales, Production, &amp; Other Assu'!Q$54,'Internmediate sheet'!$A80/3,0)*Capacity</f>
        <v>0</v>
      </c>
      <c r="R175" s="19">
        <f ca="1">OFFSET('Sales, Production, &amp; Other Assu'!R$54,'Internmediate sheet'!$A80/3,0)*Capacity</f>
        <v>0</v>
      </c>
      <c r="S175" s="19">
        <f ca="1">OFFSET('Sales, Production, &amp; Other Assu'!S$54,'Internmediate sheet'!$A80/3,0)*Capacity</f>
        <v>0</v>
      </c>
      <c r="T175" s="19">
        <f ca="1">OFFSET('Sales, Production, &amp; Other Assu'!T$54,'Internmediate sheet'!$A80/3,0)*Capacity</f>
        <v>0</v>
      </c>
      <c r="U175" s="19">
        <f ca="1">OFFSET('Sales, Production, &amp; Other Assu'!U$54,'Internmediate sheet'!$A80/3,0)*Capacity</f>
        <v>0</v>
      </c>
      <c r="V175" s="19">
        <f ca="1">OFFSET('Sales, Production, &amp; Other Assu'!V$54,'Internmediate sheet'!$A80/3,0)*Capacity</f>
        <v>0</v>
      </c>
      <c r="W175" s="19">
        <f ca="1">OFFSET('Sales, Production, &amp; Other Assu'!W$54,'Internmediate sheet'!$A80/3,0)*Capacity</f>
        <v>0</v>
      </c>
      <c r="X175" s="19">
        <f ca="1">OFFSET('Sales, Production, &amp; Other Assu'!X$54,'Internmediate sheet'!$A80/3,0)*Capacity</f>
        <v>0</v>
      </c>
      <c r="Y175" s="19">
        <f ca="1">OFFSET('Sales, Production, &amp; Other Assu'!Y$54,'Internmediate sheet'!$A80/3,0)*Capacity</f>
        <v>0</v>
      </c>
      <c r="Z175" s="19">
        <f ca="1">OFFSET('Sales, Production, &amp; Other Assu'!Z$54,'Internmediate sheet'!$A80/3,0)*Capacity</f>
        <v>0</v>
      </c>
      <c r="AA175" s="19">
        <f ca="1">OFFSET('Sales, Production, &amp; Other Assu'!AA$54,'Internmediate sheet'!$A80/3,0)*Capacity</f>
        <v>0</v>
      </c>
      <c r="AB175" s="19">
        <f ca="1">OFFSET('Sales, Production, &amp; Other Assu'!AB$54,'Internmediate sheet'!$A80/3,0)*Capacity</f>
        <v>0</v>
      </c>
      <c r="AC175" s="434">
        <f ca="1">SUM(Q175:AB175)</f>
        <v>0</v>
      </c>
      <c r="AD175" s="19">
        <f ca="1">OFFSET('Sales, Production, &amp; Other Assu'!AD$54,'Internmediate sheet'!$A80/3,0)*Capacity</f>
        <v>0</v>
      </c>
      <c r="AE175" s="19">
        <f ca="1">OFFSET('Sales, Production, &amp; Other Assu'!AE$54,'Internmediate sheet'!$A80/3,0)*Capacity</f>
        <v>0</v>
      </c>
      <c r="AF175" s="19">
        <f ca="1">OFFSET('Sales, Production, &amp; Other Assu'!AF$54,'Internmediate sheet'!$A80/3,0)*Capacity</f>
        <v>0</v>
      </c>
      <c r="AG175" s="19">
        <f ca="1">OFFSET('Sales, Production, &amp; Other Assu'!AG$54,'Internmediate sheet'!$A80/3,0)*Capacity</f>
        <v>0</v>
      </c>
      <c r="AH175" s="19">
        <f ca="1">OFFSET('Sales, Production, &amp; Other Assu'!AH$54,'Internmediate sheet'!$A80/3,0)*Capacity</f>
        <v>0</v>
      </c>
      <c r="AI175" s="19">
        <f ca="1">OFFSET('Sales, Production, &amp; Other Assu'!AI$54,'Internmediate sheet'!$A80/3,0)*Capacity</f>
        <v>0</v>
      </c>
      <c r="AJ175" s="19">
        <f ca="1">OFFSET('Sales, Production, &amp; Other Assu'!AJ$54,'Internmediate sheet'!$A80/3,0)*Capacity</f>
        <v>0</v>
      </c>
      <c r="AK175" s="19">
        <f ca="1">OFFSET('Sales, Production, &amp; Other Assu'!AK$54,'Internmediate sheet'!$A80/3,0)*Capacity</f>
        <v>0</v>
      </c>
      <c r="AL175" s="19">
        <f ca="1">OFFSET('Sales, Production, &amp; Other Assu'!AL$54,'Internmediate sheet'!$A80/3,0)*Capacity</f>
        <v>0</v>
      </c>
      <c r="AM175" s="19">
        <f ca="1">OFFSET('Sales, Production, &amp; Other Assu'!AM$54,'Internmediate sheet'!$A80/3,0)*Capacity</f>
        <v>0</v>
      </c>
      <c r="AN175" s="19">
        <f ca="1">OFFSET('Sales, Production, &amp; Other Assu'!AN$54,'Internmediate sheet'!$A80/3,0)*Capacity</f>
        <v>0</v>
      </c>
      <c r="AO175" s="19">
        <f ca="1">OFFSET('Sales, Production, &amp; Other Assu'!AO$54,'Internmediate sheet'!$A80/3,0)*Capacity</f>
        <v>0</v>
      </c>
      <c r="AP175" s="434">
        <f ca="1">SUM(AD175:AO175)</f>
        <v>0</v>
      </c>
      <c r="AQ175" s="19">
        <f ca="1">OFFSET('Sales, Production, &amp; Other Assu'!AQ$54,'Internmediate sheet'!$A80/3,0)*Capacity</f>
        <v>0</v>
      </c>
      <c r="AR175" s="19">
        <f ca="1">OFFSET('Sales, Production, &amp; Other Assu'!AR$54,'Internmediate sheet'!$A80/3,0)*Capacity</f>
        <v>0</v>
      </c>
      <c r="AS175" s="19">
        <f ca="1">OFFSET('Sales, Production, &amp; Other Assu'!AS$54,'Internmediate sheet'!$A80/3,0)*Capacity</f>
        <v>0</v>
      </c>
      <c r="AT175" s="19">
        <f ca="1">OFFSET('Sales, Production, &amp; Other Assu'!AT$54,'Internmediate sheet'!$A80/3,0)*Capacity</f>
        <v>0</v>
      </c>
      <c r="AU175" s="19">
        <f ca="1">OFFSET('Sales, Production, &amp; Other Assu'!AU$54,'Internmediate sheet'!$A80/3,0)*Capacity</f>
        <v>0</v>
      </c>
      <c r="AV175" s="19">
        <f ca="1">OFFSET('Sales, Production, &amp; Other Assu'!AV$54,'Internmediate sheet'!$A80/3,0)*Capacity</f>
        <v>0</v>
      </c>
      <c r="AW175" s="19">
        <f ca="1">OFFSET('Sales, Production, &amp; Other Assu'!AW$54,'Internmediate sheet'!$A80/3,0)*Capacity</f>
        <v>0</v>
      </c>
      <c r="AX175" s="19">
        <f ca="1">OFFSET('Sales, Production, &amp; Other Assu'!AX$54,'Internmediate sheet'!$A80/3,0)*Capacity</f>
        <v>0</v>
      </c>
      <c r="AY175" s="19">
        <f ca="1">OFFSET('Sales, Production, &amp; Other Assu'!AY$54,'Internmediate sheet'!$A80/3,0)*Capacity</f>
        <v>0</v>
      </c>
      <c r="AZ175" s="19">
        <f ca="1">OFFSET('Sales, Production, &amp; Other Assu'!AZ$54,'Internmediate sheet'!$A80/3,0)*Capacity</f>
        <v>0</v>
      </c>
      <c r="BA175" s="19">
        <f ca="1">OFFSET('Sales, Production, &amp; Other Assu'!BA$54,'Internmediate sheet'!$A80/3,0)*Capacity</f>
        <v>0</v>
      </c>
      <c r="BB175" s="19">
        <f ca="1">OFFSET('Sales, Production, &amp; Other Assu'!BB$54,'Internmediate sheet'!$A80/3,0)*Capacity</f>
        <v>0</v>
      </c>
      <c r="BC175" s="434">
        <f ca="1">SUM(AQ175:BB175)</f>
        <v>0</v>
      </c>
      <c r="BD175" s="19">
        <f ca="1">OFFSET('Sales, Production, &amp; Other Assu'!BD$54,'Internmediate sheet'!$A80/3,0)*Capacity</f>
        <v>0</v>
      </c>
      <c r="BE175" s="19">
        <f ca="1">OFFSET('Sales, Production, &amp; Other Assu'!BE$54,'Internmediate sheet'!$A80/3,0)*Capacity</f>
        <v>0</v>
      </c>
      <c r="BF175" s="19">
        <f ca="1">OFFSET('Sales, Production, &amp; Other Assu'!BF$54,'Internmediate sheet'!$A80/3,0)*Capacity</f>
        <v>0</v>
      </c>
      <c r="BG175" s="19">
        <f ca="1">OFFSET('Sales, Production, &amp; Other Assu'!BG$54,'Internmediate sheet'!$A80/3,0)*Capacity</f>
        <v>0</v>
      </c>
      <c r="BH175" s="19">
        <f ca="1">OFFSET('Sales, Production, &amp; Other Assu'!BH$54,'Internmediate sheet'!$A80/3,0)*Capacity</f>
        <v>0</v>
      </c>
      <c r="BI175" s="19">
        <f ca="1">OFFSET('Sales, Production, &amp; Other Assu'!BI$54,'Internmediate sheet'!$A80/3,0)*Capacity</f>
        <v>0</v>
      </c>
      <c r="BJ175" s="19">
        <f ca="1">OFFSET('Sales, Production, &amp; Other Assu'!BJ$54,'Internmediate sheet'!$A80/3,0)*Capacity</f>
        <v>0</v>
      </c>
      <c r="BK175" s="19">
        <f ca="1">OFFSET('Sales, Production, &amp; Other Assu'!BK$54,'Internmediate sheet'!$A80/3,0)*Capacity</f>
        <v>0</v>
      </c>
      <c r="BL175" s="19">
        <f ca="1">OFFSET('Sales, Production, &amp; Other Assu'!BL$54,'Internmediate sheet'!$A80/3,0)*Capacity</f>
        <v>0</v>
      </c>
      <c r="BM175" s="19">
        <f ca="1">OFFSET('Sales, Production, &amp; Other Assu'!BM$54,'Internmediate sheet'!$A80/3,0)*Capacity</f>
        <v>0</v>
      </c>
      <c r="BN175" s="19">
        <f ca="1">OFFSET('Sales, Production, &amp; Other Assu'!BN$54,'Internmediate sheet'!$A80/3,0)*Capacity</f>
        <v>0</v>
      </c>
      <c r="BO175" s="19">
        <f ca="1">OFFSET('Sales, Production, &amp; Other Assu'!BO$54,'Internmediate sheet'!$A80/3,0)*Capacity</f>
        <v>0</v>
      </c>
      <c r="BP175" s="434">
        <f ca="1">SUM(BD175:BO175)</f>
        <v>0</v>
      </c>
      <c r="BQ175" s="19">
        <f ca="1">OFFSET('Sales, Production, &amp; Other Assu'!BQ$54,'Internmediate sheet'!$A80/3,0)*Capacity</f>
        <v>0</v>
      </c>
      <c r="BR175" s="19">
        <f ca="1">OFFSET('Sales, Production, &amp; Other Assu'!BR$54,'Internmediate sheet'!$A80/3,0)*Capacity</f>
        <v>0</v>
      </c>
      <c r="BS175" s="19">
        <f ca="1">OFFSET('Sales, Production, &amp; Other Assu'!BS$54,'Internmediate sheet'!$A80/3,0)*Capacity</f>
        <v>0</v>
      </c>
      <c r="BT175" s="19">
        <f ca="1">OFFSET('Sales, Production, &amp; Other Assu'!BT$54,'Internmediate sheet'!$A80/3,0)*Capacity</f>
        <v>0</v>
      </c>
      <c r="BU175" s="19">
        <f ca="1">OFFSET('Sales, Production, &amp; Other Assu'!BU$54,'Internmediate sheet'!$A80/3,0)*Capacity</f>
        <v>0</v>
      </c>
      <c r="BV175" s="19">
        <f ca="1">OFFSET('Sales, Production, &amp; Other Assu'!BV$54,'Internmediate sheet'!$A80/3,0)*Capacity</f>
        <v>0</v>
      </c>
      <c r="BW175" s="19">
        <f ca="1">OFFSET('Sales, Production, &amp; Other Assu'!BW$54,'Internmediate sheet'!$A80/3,0)*Capacity</f>
        <v>0</v>
      </c>
      <c r="BX175" s="19">
        <f ca="1">OFFSET('Sales, Production, &amp; Other Assu'!BX$54,'Internmediate sheet'!$A80/3,0)*Capacity</f>
        <v>0</v>
      </c>
      <c r="BY175" s="19">
        <f ca="1">OFFSET('Sales, Production, &amp; Other Assu'!BY$54,'Internmediate sheet'!$A80/3,0)*Capacity</f>
        <v>0</v>
      </c>
      <c r="BZ175" s="19">
        <f ca="1">OFFSET('Sales, Production, &amp; Other Assu'!BZ$54,'Internmediate sheet'!$A80/3,0)*Capacity</f>
        <v>0</v>
      </c>
      <c r="CA175" s="19">
        <f ca="1">OFFSET('Sales, Production, &amp; Other Assu'!CA$54,'Internmediate sheet'!$A80/3,0)*Capacity</f>
        <v>0</v>
      </c>
      <c r="CB175" s="19">
        <f ca="1">OFFSET('Sales, Production, &amp; Other Assu'!CB$54,'Internmediate sheet'!$A80/3,0)*Capacity</f>
        <v>0</v>
      </c>
      <c r="CC175" s="434">
        <f ca="1">SUM(BQ175:CB175)</f>
        <v>0</v>
      </c>
      <c r="CD175" s="19">
        <f ca="1">OFFSET('Sales, Production, &amp; Other Assu'!CD$54,'Internmediate sheet'!$A80/3,0)*Capacity</f>
        <v>0</v>
      </c>
      <c r="CE175" s="19">
        <f ca="1">OFFSET('Sales, Production, &amp; Other Assu'!CE$54,'Internmediate sheet'!$A80/3,0)*Capacity</f>
        <v>0</v>
      </c>
      <c r="CF175" s="19">
        <f ca="1">OFFSET('Sales, Production, &amp; Other Assu'!CF$54,'Internmediate sheet'!$A80/3,0)*Capacity</f>
        <v>0</v>
      </c>
      <c r="CG175" s="19">
        <f ca="1">OFFSET('Sales, Production, &amp; Other Assu'!CG$54,'Internmediate sheet'!$A80/3,0)*Capacity</f>
        <v>0</v>
      </c>
      <c r="CH175" s="19">
        <f ca="1">OFFSET('Sales, Production, &amp; Other Assu'!CH$54,'Internmediate sheet'!$A80/3,0)*Capacity</f>
        <v>0</v>
      </c>
      <c r="CI175" s="19">
        <f ca="1">OFFSET('Sales, Production, &amp; Other Assu'!CI$54,'Internmediate sheet'!$A80/3,0)*Capacity</f>
        <v>0</v>
      </c>
      <c r="CJ175" s="19">
        <f ca="1">OFFSET('Sales, Production, &amp; Other Assu'!CJ$54,'Internmediate sheet'!$A80/3,0)*Capacity</f>
        <v>0</v>
      </c>
      <c r="CK175" s="19">
        <f ca="1">OFFSET('Sales, Production, &amp; Other Assu'!CK$54,'Internmediate sheet'!$A80/3,0)*Capacity</f>
        <v>0</v>
      </c>
      <c r="CL175" s="19">
        <f ca="1">OFFSET('Sales, Production, &amp; Other Assu'!CL$54,'Internmediate sheet'!$A80/3,0)*Capacity</f>
        <v>0</v>
      </c>
      <c r="CM175" s="19">
        <f ca="1">OFFSET('Sales, Production, &amp; Other Assu'!CM$54,'Internmediate sheet'!$A80/3,0)*Capacity</f>
        <v>0</v>
      </c>
      <c r="CN175" s="19">
        <f ca="1">OFFSET('Sales, Production, &amp; Other Assu'!CN$54,'Internmediate sheet'!$A80/3,0)*Capacity</f>
        <v>0</v>
      </c>
      <c r="CO175" s="19">
        <f ca="1">OFFSET('Sales, Production, &amp; Other Assu'!CO$54,'Internmediate sheet'!$A80/3,0)*Capacity</f>
        <v>0</v>
      </c>
      <c r="CP175" s="434">
        <f ca="1">SUM(CD175:CO175)</f>
        <v>0</v>
      </c>
    </row>
    <row r="176" spans="1:94" ht="20.100000000000001" hidden="1" customHeight="1">
      <c r="A176" s="793"/>
      <c r="B176" s="9" t="s">
        <v>614</v>
      </c>
      <c r="C176" s="10">
        <f ca="1">OFFSET('BEP. &amp; Summary Results'!$C$6,'Internmediate sheet'!A77/3,0)</f>
        <v>0</v>
      </c>
      <c r="D176" s="9">
        <f t="shared" ref="D176" ca="1" si="4892">C176</f>
        <v>0</v>
      </c>
      <c r="E176" s="9">
        <f t="shared" ref="E176" ca="1" si="4893">D176</f>
        <v>0</v>
      </c>
      <c r="F176" s="9">
        <f t="shared" ref="F176" ca="1" si="4894">E176</f>
        <v>0</v>
      </c>
      <c r="G176" s="9">
        <f t="shared" ref="G176" ca="1" si="4895">F176</f>
        <v>0</v>
      </c>
      <c r="H176" s="9">
        <f t="shared" ref="H176" ca="1" si="4896">G176</f>
        <v>0</v>
      </c>
      <c r="I176" s="9">
        <f t="shared" ref="I176" ca="1" si="4897">H176</f>
        <v>0</v>
      </c>
      <c r="J176" s="9">
        <f t="shared" ref="J176" ca="1" si="4898">I176</f>
        <v>0</v>
      </c>
      <c r="K176" s="9">
        <f t="shared" ref="K176" ca="1" si="4899">J176</f>
        <v>0</v>
      </c>
      <c r="L176" s="9">
        <f t="shared" ref="L176" ca="1" si="4900">K176</f>
        <v>0</v>
      </c>
      <c r="M176" s="9">
        <f t="shared" ref="M176" ca="1" si="4901">L176</f>
        <v>0</v>
      </c>
      <c r="N176" s="9">
        <f t="shared" ref="N176" ca="1" si="4902">M176</f>
        <v>0</v>
      </c>
      <c r="O176" s="9">
        <f t="shared" ref="O176" ca="1" si="4903">N176</f>
        <v>0</v>
      </c>
      <c r="P176" s="435">
        <f t="shared" ref="P176" ca="1" si="4904">O176</f>
        <v>0</v>
      </c>
      <c r="Q176" s="9">
        <f t="shared" ref="Q176" ca="1" si="4905">P176</f>
        <v>0</v>
      </c>
      <c r="R176" s="9">
        <f t="shared" ref="R176" ca="1" si="4906">Q176</f>
        <v>0</v>
      </c>
      <c r="S176" s="9">
        <f t="shared" ref="S176" ca="1" si="4907">R176</f>
        <v>0</v>
      </c>
      <c r="T176" s="9">
        <f t="shared" ref="T176" ca="1" si="4908">S176</f>
        <v>0</v>
      </c>
      <c r="U176" s="9">
        <f t="shared" ref="U176" ca="1" si="4909">T176</f>
        <v>0</v>
      </c>
      <c r="V176" s="9">
        <f t="shared" ref="V176" ca="1" si="4910">U176</f>
        <v>0</v>
      </c>
      <c r="W176" s="9">
        <f t="shared" ref="W176" ca="1" si="4911">V176</f>
        <v>0</v>
      </c>
      <c r="X176" s="9">
        <f t="shared" ref="X176" ca="1" si="4912">W176</f>
        <v>0</v>
      </c>
      <c r="Y176" s="9">
        <f t="shared" ref="Y176" ca="1" si="4913">X176</f>
        <v>0</v>
      </c>
      <c r="Z176" s="9">
        <f t="shared" ref="Z176" ca="1" si="4914">Y176</f>
        <v>0</v>
      </c>
      <c r="AA176" s="9">
        <f t="shared" ref="AA176" ca="1" si="4915">Z176</f>
        <v>0</v>
      </c>
      <c r="AB176" s="9">
        <f t="shared" ref="AB176" ca="1" si="4916">AA176</f>
        <v>0</v>
      </c>
      <c r="AC176" s="435">
        <f t="shared" ref="AC176" ca="1" si="4917">AB176</f>
        <v>0</v>
      </c>
      <c r="AD176" s="9">
        <f t="shared" ref="AD176" ca="1" si="4918">AC176</f>
        <v>0</v>
      </c>
      <c r="AE176" s="9">
        <f t="shared" ref="AE176" ca="1" si="4919">AD176</f>
        <v>0</v>
      </c>
      <c r="AF176" s="9">
        <f t="shared" ref="AF176" ca="1" si="4920">AE176</f>
        <v>0</v>
      </c>
      <c r="AG176" s="9">
        <f t="shared" ref="AG176" ca="1" si="4921">AF176</f>
        <v>0</v>
      </c>
      <c r="AH176" s="9">
        <f t="shared" ref="AH176" ca="1" si="4922">AG176</f>
        <v>0</v>
      </c>
      <c r="AI176" s="9">
        <f t="shared" ref="AI176" ca="1" si="4923">AH176</f>
        <v>0</v>
      </c>
      <c r="AJ176" s="9">
        <f t="shared" ref="AJ176" ca="1" si="4924">AI176</f>
        <v>0</v>
      </c>
      <c r="AK176" s="9">
        <f t="shared" ref="AK176" ca="1" si="4925">AJ176</f>
        <v>0</v>
      </c>
      <c r="AL176" s="9">
        <f t="shared" ref="AL176" ca="1" si="4926">AK176</f>
        <v>0</v>
      </c>
      <c r="AM176" s="9">
        <f t="shared" ref="AM176" ca="1" si="4927">AL176</f>
        <v>0</v>
      </c>
      <c r="AN176" s="9">
        <f t="shared" ref="AN176" ca="1" si="4928">AM176</f>
        <v>0</v>
      </c>
      <c r="AO176" s="9">
        <f t="shared" ref="AO176" ca="1" si="4929">AN176</f>
        <v>0</v>
      </c>
      <c r="AP176" s="435">
        <f t="shared" ref="AP176" ca="1" si="4930">AO176</f>
        <v>0</v>
      </c>
      <c r="AQ176" s="9">
        <f ca="1">AP176</f>
        <v>0</v>
      </c>
      <c r="AR176" s="9">
        <f t="shared" ref="AR176" ca="1" si="4931">AQ176</f>
        <v>0</v>
      </c>
      <c r="AS176" s="9">
        <f t="shared" ref="AS176" ca="1" si="4932">AR176</f>
        <v>0</v>
      </c>
      <c r="AT176" s="9">
        <f t="shared" ref="AT176" ca="1" si="4933">AS176</f>
        <v>0</v>
      </c>
      <c r="AU176" s="9">
        <f t="shared" ref="AU176" ca="1" si="4934">AT176</f>
        <v>0</v>
      </c>
      <c r="AV176" s="9">
        <f t="shared" ref="AV176" ca="1" si="4935">AU176</f>
        <v>0</v>
      </c>
      <c r="AW176" s="9">
        <f t="shared" ref="AW176" ca="1" si="4936">AV176</f>
        <v>0</v>
      </c>
      <c r="AX176" s="9">
        <f t="shared" ref="AX176" ca="1" si="4937">AW176</f>
        <v>0</v>
      </c>
      <c r="AY176" s="9">
        <f t="shared" ref="AY176" ca="1" si="4938">AX176</f>
        <v>0</v>
      </c>
      <c r="AZ176" s="9">
        <f t="shared" ref="AZ176" ca="1" si="4939">AY176</f>
        <v>0</v>
      </c>
      <c r="BA176" s="9">
        <f t="shared" ref="BA176" ca="1" si="4940">AZ176</f>
        <v>0</v>
      </c>
      <c r="BB176" s="9">
        <f t="shared" ref="BB176" ca="1" si="4941">BA176</f>
        <v>0</v>
      </c>
      <c r="BC176" s="435">
        <f t="shared" ref="BC176" ca="1" si="4942">BB176</f>
        <v>0</v>
      </c>
      <c r="BD176" s="9">
        <f t="shared" ref="BD176" ca="1" si="4943">BC176</f>
        <v>0</v>
      </c>
      <c r="BE176" s="9">
        <f t="shared" ref="BE176" ca="1" si="4944">BD176</f>
        <v>0</v>
      </c>
      <c r="BF176" s="9">
        <f t="shared" ref="BF176" ca="1" si="4945">BE176</f>
        <v>0</v>
      </c>
      <c r="BG176" s="9">
        <f t="shared" ref="BG176" ca="1" si="4946">BF176</f>
        <v>0</v>
      </c>
      <c r="BH176" s="9">
        <f t="shared" ref="BH176" ca="1" si="4947">BG176</f>
        <v>0</v>
      </c>
      <c r="BI176" s="9">
        <f t="shared" ref="BI176" ca="1" si="4948">BH176</f>
        <v>0</v>
      </c>
      <c r="BJ176" s="9">
        <f t="shared" ref="BJ176" ca="1" si="4949">BI176</f>
        <v>0</v>
      </c>
      <c r="BK176" s="9">
        <f t="shared" ref="BK176" ca="1" si="4950">BJ176</f>
        <v>0</v>
      </c>
      <c r="BL176" s="9">
        <f t="shared" ref="BL176" ca="1" si="4951">BK176</f>
        <v>0</v>
      </c>
      <c r="BM176" s="9">
        <f t="shared" ref="BM176" ca="1" si="4952">BL176</f>
        <v>0</v>
      </c>
      <c r="BN176" s="9">
        <f t="shared" ref="BN176" ca="1" si="4953">BM176</f>
        <v>0</v>
      </c>
      <c r="BO176" s="9">
        <f t="shared" ref="BO176" ca="1" si="4954">BN176</f>
        <v>0</v>
      </c>
      <c r="BP176" s="435">
        <f t="shared" ref="BP176" ca="1" si="4955">BO176</f>
        <v>0</v>
      </c>
      <c r="BQ176" s="9">
        <f t="shared" ref="BQ176" ca="1" si="4956">BP176</f>
        <v>0</v>
      </c>
      <c r="BR176" s="9">
        <f t="shared" ref="BR176" ca="1" si="4957">BQ176</f>
        <v>0</v>
      </c>
      <c r="BS176" s="9">
        <f t="shared" ref="BS176" ca="1" si="4958">BR176</f>
        <v>0</v>
      </c>
      <c r="BT176" s="9">
        <f t="shared" ref="BT176" ca="1" si="4959">BS176</f>
        <v>0</v>
      </c>
      <c r="BU176" s="9">
        <f t="shared" ref="BU176" ca="1" si="4960">BT176</f>
        <v>0</v>
      </c>
      <c r="BV176" s="9">
        <f t="shared" ref="BV176" ca="1" si="4961">BU176</f>
        <v>0</v>
      </c>
      <c r="BW176" s="9">
        <f t="shared" ref="BW176" ca="1" si="4962">BV176</f>
        <v>0</v>
      </c>
      <c r="BX176" s="9">
        <f t="shared" ref="BX176" ca="1" si="4963">BW176</f>
        <v>0</v>
      </c>
      <c r="BY176" s="9">
        <f t="shared" ref="BY176" ca="1" si="4964">BX176</f>
        <v>0</v>
      </c>
      <c r="BZ176" s="9">
        <f t="shared" ref="BZ176" ca="1" si="4965">BY176</f>
        <v>0</v>
      </c>
      <c r="CA176" s="9">
        <f t="shared" ref="CA176" ca="1" si="4966">BZ176</f>
        <v>0</v>
      </c>
      <c r="CB176" s="9">
        <f t="shared" ref="CB176" ca="1" si="4967">CA176</f>
        <v>0</v>
      </c>
      <c r="CC176" s="435">
        <f t="shared" ref="CC176" ca="1" si="4968">CB176</f>
        <v>0</v>
      </c>
      <c r="CD176" s="9">
        <f t="shared" ref="CD176" ca="1" si="4969">CC176</f>
        <v>0</v>
      </c>
      <c r="CE176" s="9">
        <f t="shared" ref="CE176" ca="1" si="4970">CD176</f>
        <v>0</v>
      </c>
      <c r="CF176" s="9">
        <f t="shared" ref="CF176" ca="1" si="4971">CE176</f>
        <v>0</v>
      </c>
      <c r="CG176" s="9">
        <f t="shared" ref="CG176" ca="1" si="4972">CF176</f>
        <v>0</v>
      </c>
      <c r="CH176" s="9">
        <f t="shared" ref="CH176" ca="1" si="4973">CG176</f>
        <v>0</v>
      </c>
      <c r="CI176" s="9">
        <f t="shared" ref="CI176" ca="1" si="4974">CH176</f>
        <v>0</v>
      </c>
      <c r="CJ176" s="9">
        <f t="shared" ref="CJ176" ca="1" si="4975">CI176</f>
        <v>0</v>
      </c>
      <c r="CK176" s="9">
        <f t="shared" ref="CK176" ca="1" si="4976">CJ176</f>
        <v>0</v>
      </c>
      <c r="CL176" s="9">
        <f t="shared" ref="CL176" ca="1" si="4977">CK176</f>
        <v>0</v>
      </c>
      <c r="CM176" s="9">
        <f t="shared" ref="CM176" ca="1" si="4978">CL176</f>
        <v>0</v>
      </c>
      <c r="CN176" s="9">
        <f t="shared" ref="CN176" ca="1" si="4979">CM176</f>
        <v>0</v>
      </c>
      <c r="CO176" s="9">
        <f t="shared" ref="CO176" ca="1" si="4980">CN176</f>
        <v>0</v>
      </c>
      <c r="CP176" s="435">
        <f t="shared" ref="CP176" ca="1" si="4981">CO176</f>
        <v>0</v>
      </c>
    </row>
    <row r="177" spans="1:94" ht="20.100000000000001" hidden="1" customHeight="1">
      <c r="A177" s="794"/>
      <c r="B177" s="255" t="s">
        <v>615</v>
      </c>
      <c r="C177" s="256">
        <f t="shared" ref="C177:O177" ca="1" si="4982">C175*C176</f>
        <v>0</v>
      </c>
      <c r="D177" s="255">
        <f t="shared" ca="1" si="4982"/>
        <v>0</v>
      </c>
      <c r="E177" s="255">
        <f t="shared" ca="1" si="4982"/>
        <v>0</v>
      </c>
      <c r="F177" s="255">
        <f t="shared" ca="1" si="4982"/>
        <v>0</v>
      </c>
      <c r="G177" s="255">
        <f t="shared" ca="1" si="4982"/>
        <v>0</v>
      </c>
      <c r="H177" s="255">
        <f t="shared" ca="1" si="4982"/>
        <v>0</v>
      </c>
      <c r="I177" s="255">
        <f t="shared" ca="1" si="4982"/>
        <v>0</v>
      </c>
      <c r="J177" s="255">
        <f t="shared" ca="1" si="4982"/>
        <v>0</v>
      </c>
      <c r="K177" s="255">
        <f t="shared" ca="1" si="4982"/>
        <v>0</v>
      </c>
      <c r="L177" s="255">
        <f t="shared" ca="1" si="4982"/>
        <v>0</v>
      </c>
      <c r="M177" s="255">
        <f t="shared" ca="1" si="4982"/>
        <v>0</v>
      </c>
      <c r="N177" s="255">
        <f t="shared" ca="1" si="4982"/>
        <v>0</v>
      </c>
      <c r="O177" s="255">
        <f t="shared" ca="1" si="4982"/>
        <v>0</v>
      </c>
      <c r="P177" s="434">
        <f ca="1">SUM(D177:O177)</f>
        <v>0</v>
      </c>
      <c r="Q177" s="255">
        <f t="shared" ref="Q177:AB177" ca="1" si="4983">Q175*Q176</f>
        <v>0</v>
      </c>
      <c r="R177" s="255">
        <f t="shared" ca="1" si="4983"/>
        <v>0</v>
      </c>
      <c r="S177" s="255">
        <f t="shared" ca="1" si="4983"/>
        <v>0</v>
      </c>
      <c r="T177" s="255">
        <f t="shared" ca="1" si="4983"/>
        <v>0</v>
      </c>
      <c r="U177" s="255">
        <f t="shared" ca="1" si="4983"/>
        <v>0</v>
      </c>
      <c r="V177" s="255">
        <f t="shared" ca="1" si="4983"/>
        <v>0</v>
      </c>
      <c r="W177" s="255">
        <f t="shared" ca="1" si="4983"/>
        <v>0</v>
      </c>
      <c r="X177" s="255">
        <f t="shared" ca="1" si="4983"/>
        <v>0</v>
      </c>
      <c r="Y177" s="255">
        <f t="shared" ca="1" si="4983"/>
        <v>0</v>
      </c>
      <c r="Z177" s="255">
        <f t="shared" ca="1" si="4983"/>
        <v>0</v>
      </c>
      <c r="AA177" s="255">
        <f t="shared" ca="1" si="4983"/>
        <v>0</v>
      </c>
      <c r="AB177" s="255">
        <f t="shared" ca="1" si="4983"/>
        <v>0</v>
      </c>
      <c r="AC177" s="434">
        <f ca="1">SUM(Q177:AB177)</f>
        <v>0</v>
      </c>
      <c r="AD177" s="255">
        <f t="shared" ref="AD177:AO177" ca="1" si="4984">AD175*AD176</f>
        <v>0</v>
      </c>
      <c r="AE177" s="255">
        <f t="shared" ca="1" si="4984"/>
        <v>0</v>
      </c>
      <c r="AF177" s="255">
        <f t="shared" ca="1" si="4984"/>
        <v>0</v>
      </c>
      <c r="AG177" s="255">
        <f t="shared" ca="1" si="4984"/>
        <v>0</v>
      </c>
      <c r="AH177" s="255">
        <f t="shared" ca="1" si="4984"/>
        <v>0</v>
      </c>
      <c r="AI177" s="255">
        <f t="shared" ca="1" si="4984"/>
        <v>0</v>
      </c>
      <c r="AJ177" s="255">
        <f t="shared" ca="1" si="4984"/>
        <v>0</v>
      </c>
      <c r="AK177" s="255">
        <f t="shared" ca="1" si="4984"/>
        <v>0</v>
      </c>
      <c r="AL177" s="255">
        <f t="shared" ca="1" si="4984"/>
        <v>0</v>
      </c>
      <c r="AM177" s="255">
        <f t="shared" ca="1" si="4984"/>
        <v>0</v>
      </c>
      <c r="AN177" s="255">
        <f t="shared" ca="1" si="4984"/>
        <v>0</v>
      </c>
      <c r="AO177" s="255">
        <f t="shared" ca="1" si="4984"/>
        <v>0</v>
      </c>
      <c r="AP177" s="434">
        <f ca="1">SUM(AD177:AO177)</f>
        <v>0</v>
      </c>
      <c r="AQ177" s="255">
        <f t="shared" ref="AQ177:BB177" ca="1" si="4985">AQ175*AQ176</f>
        <v>0</v>
      </c>
      <c r="AR177" s="255">
        <f t="shared" ca="1" si="4985"/>
        <v>0</v>
      </c>
      <c r="AS177" s="255">
        <f t="shared" ca="1" si="4985"/>
        <v>0</v>
      </c>
      <c r="AT177" s="255">
        <f t="shared" ca="1" si="4985"/>
        <v>0</v>
      </c>
      <c r="AU177" s="255">
        <f t="shared" ca="1" si="4985"/>
        <v>0</v>
      </c>
      <c r="AV177" s="255">
        <f t="shared" ca="1" si="4985"/>
        <v>0</v>
      </c>
      <c r="AW177" s="255">
        <f t="shared" ca="1" si="4985"/>
        <v>0</v>
      </c>
      <c r="AX177" s="255">
        <f t="shared" ca="1" si="4985"/>
        <v>0</v>
      </c>
      <c r="AY177" s="255">
        <f t="shared" ca="1" si="4985"/>
        <v>0</v>
      </c>
      <c r="AZ177" s="255">
        <f t="shared" ca="1" si="4985"/>
        <v>0</v>
      </c>
      <c r="BA177" s="255">
        <f t="shared" ca="1" si="4985"/>
        <v>0</v>
      </c>
      <c r="BB177" s="255">
        <f t="shared" ca="1" si="4985"/>
        <v>0</v>
      </c>
      <c r="BC177" s="434">
        <f ca="1">SUM(AQ177:BB177)</f>
        <v>0</v>
      </c>
      <c r="BD177" s="255">
        <f t="shared" ref="BD177:BO177" ca="1" si="4986">BD175*BD176</f>
        <v>0</v>
      </c>
      <c r="BE177" s="255">
        <f t="shared" ca="1" si="4986"/>
        <v>0</v>
      </c>
      <c r="BF177" s="255">
        <f t="shared" ca="1" si="4986"/>
        <v>0</v>
      </c>
      <c r="BG177" s="255">
        <f t="shared" ca="1" si="4986"/>
        <v>0</v>
      </c>
      <c r="BH177" s="255">
        <f t="shared" ca="1" si="4986"/>
        <v>0</v>
      </c>
      <c r="BI177" s="255">
        <f t="shared" ca="1" si="4986"/>
        <v>0</v>
      </c>
      <c r="BJ177" s="255">
        <f t="shared" ca="1" si="4986"/>
        <v>0</v>
      </c>
      <c r="BK177" s="255">
        <f t="shared" ca="1" si="4986"/>
        <v>0</v>
      </c>
      <c r="BL177" s="255">
        <f t="shared" ca="1" si="4986"/>
        <v>0</v>
      </c>
      <c r="BM177" s="255">
        <f t="shared" ca="1" si="4986"/>
        <v>0</v>
      </c>
      <c r="BN177" s="255">
        <f t="shared" ca="1" si="4986"/>
        <v>0</v>
      </c>
      <c r="BO177" s="255">
        <f t="shared" ca="1" si="4986"/>
        <v>0</v>
      </c>
      <c r="BP177" s="434">
        <f ca="1">SUM(BD177:BO177)</f>
        <v>0</v>
      </c>
      <c r="BQ177" s="255">
        <f t="shared" ref="BQ177:CB177" ca="1" si="4987">BQ175*BQ176</f>
        <v>0</v>
      </c>
      <c r="BR177" s="255">
        <f t="shared" ca="1" si="4987"/>
        <v>0</v>
      </c>
      <c r="BS177" s="255">
        <f t="shared" ca="1" si="4987"/>
        <v>0</v>
      </c>
      <c r="BT177" s="255">
        <f t="shared" ca="1" si="4987"/>
        <v>0</v>
      </c>
      <c r="BU177" s="255">
        <f t="shared" ca="1" si="4987"/>
        <v>0</v>
      </c>
      <c r="BV177" s="255">
        <f t="shared" ca="1" si="4987"/>
        <v>0</v>
      </c>
      <c r="BW177" s="255">
        <f t="shared" ca="1" si="4987"/>
        <v>0</v>
      </c>
      <c r="BX177" s="255">
        <f t="shared" ca="1" si="4987"/>
        <v>0</v>
      </c>
      <c r="BY177" s="255">
        <f t="shared" ca="1" si="4987"/>
        <v>0</v>
      </c>
      <c r="BZ177" s="255">
        <f t="shared" ca="1" si="4987"/>
        <v>0</v>
      </c>
      <c r="CA177" s="255">
        <f t="shared" ca="1" si="4987"/>
        <v>0</v>
      </c>
      <c r="CB177" s="255">
        <f t="shared" ca="1" si="4987"/>
        <v>0</v>
      </c>
      <c r="CC177" s="434">
        <f ca="1">SUM(BQ177:CB177)</f>
        <v>0</v>
      </c>
      <c r="CD177" s="255">
        <f t="shared" ref="CD177:CO177" ca="1" si="4988">CD175*CD176</f>
        <v>0</v>
      </c>
      <c r="CE177" s="255">
        <f t="shared" ca="1" si="4988"/>
        <v>0</v>
      </c>
      <c r="CF177" s="255">
        <f t="shared" ca="1" si="4988"/>
        <v>0</v>
      </c>
      <c r="CG177" s="255">
        <f t="shared" ca="1" si="4988"/>
        <v>0</v>
      </c>
      <c r="CH177" s="255">
        <f t="shared" ca="1" si="4988"/>
        <v>0</v>
      </c>
      <c r="CI177" s="255">
        <f t="shared" ca="1" si="4988"/>
        <v>0</v>
      </c>
      <c r="CJ177" s="255">
        <f t="shared" ca="1" si="4988"/>
        <v>0</v>
      </c>
      <c r="CK177" s="255">
        <f t="shared" ca="1" si="4988"/>
        <v>0</v>
      </c>
      <c r="CL177" s="255">
        <f t="shared" ca="1" si="4988"/>
        <v>0</v>
      </c>
      <c r="CM177" s="255">
        <f t="shared" ca="1" si="4988"/>
        <v>0</v>
      </c>
      <c r="CN177" s="255">
        <f t="shared" ca="1" si="4988"/>
        <v>0</v>
      </c>
      <c r="CO177" s="255">
        <f t="shared" ca="1" si="4988"/>
        <v>0</v>
      </c>
      <c r="CP177" s="434">
        <f ca="1">SUM(CD177:CO177)</f>
        <v>0</v>
      </c>
    </row>
    <row r="178" spans="1:94" ht="20.100000000000001" hidden="1" customHeight="1">
      <c r="A178" s="792">
        <f ca="1">OFFSET('Summary. Assumptions. Inputs'!$A$45,'Internmediate sheet'!A83/3,0)</f>
        <v>0</v>
      </c>
      <c r="B178" s="19" t="s">
        <v>613</v>
      </c>
      <c r="C178" s="20">
        <f ca="1">OFFSET('Sales, Production, &amp; Other Assu'!C$54,'Internmediate sheet'!$A83/3,0)*Capacity</f>
        <v>0</v>
      </c>
      <c r="D178" s="19">
        <f ca="1">OFFSET('Sales, Production, &amp; Other Assu'!D$54,'Internmediate sheet'!$A83/3,0)*Capacity</f>
        <v>0</v>
      </c>
      <c r="E178" s="19">
        <f ca="1">OFFSET('Sales, Production, &amp; Other Assu'!E$54,'Internmediate sheet'!$A83/3,0)*Capacity</f>
        <v>0</v>
      </c>
      <c r="F178" s="19">
        <f ca="1">OFFSET('Sales, Production, &amp; Other Assu'!F$54,'Internmediate sheet'!$A83/3,0)*Capacity</f>
        <v>0</v>
      </c>
      <c r="G178" s="19">
        <f ca="1">OFFSET('Sales, Production, &amp; Other Assu'!G$54,'Internmediate sheet'!$A83/3,0)*Capacity</f>
        <v>0</v>
      </c>
      <c r="H178" s="19">
        <f ca="1">OFFSET('Sales, Production, &amp; Other Assu'!H$54,'Internmediate sheet'!$A83/3,0)*Capacity</f>
        <v>0</v>
      </c>
      <c r="I178" s="19">
        <f ca="1">OFFSET('Sales, Production, &amp; Other Assu'!I$54,'Internmediate sheet'!$A83/3,0)*Capacity</f>
        <v>0</v>
      </c>
      <c r="J178" s="19">
        <f ca="1">OFFSET('Sales, Production, &amp; Other Assu'!J$54,'Internmediate sheet'!$A83/3,0)*Capacity</f>
        <v>0</v>
      </c>
      <c r="K178" s="19">
        <f ca="1">OFFSET('Sales, Production, &amp; Other Assu'!K$54,'Internmediate sheet'!$A83/3,0)*Capacity</f>
        <v>0</v>
      </c>
      <c r="L178" s="19">
        <f ca="1">OFFSET('Sales, Production, &amp; Other Assu'!L$54,'Internmediate sheet'!$A83/3,0)*Capacity</f>
        <v>0</v>
      </c>
      <c r="M178" s="19">
        <f ca="1">OFFSET('Sales, Production, &amp; Other Assu'!M$54,'Internmediate sheet'!$A83/3,0)*Capacity</f>
        <v>0</v>
      </c>
      <c r="N178" s="19">
        <f ca="1">OFFSET('Sales, Production, &amp; Other Assu'!N$54,'Internmediate sheet'!$A83/3,0)*Capacity</f>
        <v>0</v>
      </c>
      <c r="O178" s="19">
        <f ca="1">OFFSET('Sales, Production, &amp; Other Assu'!O$54,'Internmediate sheet'!$A83/3,0)*Capacity</f>
        <v>0</v>
      </c>
      <c r="P178" s="434">
        <f ca="1">SUM(D178:O178)</f>
        <v>0</v>
      </c>
      <c r="Q178" s="19">
        <f ca="1">OFFSET('Sales, Production, &amp; Other Assu'!Q$54,'Internmediate sheet'!$A83/3,0)*Capacity</f>
        <v>0</v>
      </c>
      <c r="R178" s="19">
        <f ca="1">OFFSET('Sales, Production, &amp; Other Assu'!R$54,'Internmediate sheet'!$A83/3,0)*Capacity</f>
        <v>0</v>
      </c>
      <c r="S178" s="19">
        <f ca="1">OFFSET('Sales, Production, &amp; Other Assu'!S$54,'Internmediate sheet'!$A83/3,0)*Capacity</f>
        <v>0</v>
      </c>
      <c r="T178" s="19">
        <f ca="1">OFFSET('Sales, Production, &amp; Other Assu'!T$54,'Internmediate sheet'!$A83/3,0)*Capacity</f>
        <v>0</v>
      </c>
      <c r="U178" s="19">
        <f ca="1">OFFSET('Sales, Production, &amp; Other Assu'!U$54,'Internmediate sheet'!$A83/3,0)*Capacity</f>
        <v>0</v>
      </c>
      <c r="V178" s="19">
        <f ca="1">OFFSET('Sales, Production, &amp; Other Assu'!V$54,'Internmediate sheet'!$A83/3,0)*Capacity</f>
        <v>0</v>
      </c>
      <c r="W178" s="19">
        <f ca="1">OFFSET('Sales, Production, &amp; Other Assu'!W$54,'Internmediate sheet'!$A83/3,0)*Capacity</f>
        <v>0</v>
      </c>
      <c r="X178" s="19">
        <f ca="1">OFFSET('Sales, Production, &amp; Other Assu'!X$54,'Internmediate sheet'!$A83/3,0)*Capacity</f>
        <v>0</v>
      </c>
      <c r="Y178" s="19">
        <f ca="1">OFFSET('Sales, Production, &amp; Other Assu'!Y$54,'Internmediate sheet'!$A83/3,0)*Capacity</f>
        <v>0</v>
      </c>
      <c r="Z178" s="19">
        <f ca="1">OFFSET('Sales, Production, &amp; Other Assu'!Z$54,'Internmediate sheet'!$A83/3,0)*Capacity</f>
        <v>0</v>
      </c>
      <c r="AA178" s="19">
        <f ca="1">OFFSET('Sales, Production, &amp; Other Assu'!AA$54,'Internmediate sheet'!$A83/3,0)*Capacity</f>
        <v>0</v>
      </c>
      <c r="AB178" s="19">
        <f ca="1">OFFSET('Sales, Production, &amp; Other Assu'!AB$54,'Internmediate sheet'!$A83/3,0)*Capacity</f>
        <v>0</v>
      </c>
      <c r="AC178" s="434">
        <f ca="1">SUM(Q178:AB178)</f>
        <v>0</v>
      </c>
      <c r="AD178" s="19">
        <f ca="1">OFFSET('Sales, Production, &amp; Other Assu'!AD$54,'Internmediate sheet'!$A83/3,0)*Capacity</f>
        <v>0</v>
      </c>
      <c r="AE178" s="19">
        <f ca="1">OFFSET('Sales, Production, &amp; Other Assu'!AE$54,'Internmediate sheet'!$A83/3,0)*Capacity</f>
        <v>0</v>
      </c>
      <c r="AF178" s="19">
        <f ca="1">OFFSET('Sales, Production, &amp; Other Assu'!AF$54,'Internmediate sheet'!$A83/3,0)*Capacity</f>
        <v>0</v>
      </c>
      <c r="AG178" s="19">
        <f ca="1">OFFSET('Sales, Production, &amp; Other Assu'!AG$54,'Internmediate sheet'!$A83/3,0)*Capacity</f>
        <v>0</v>
      </c>
      <c r="AH178" s="19">
        <f ca="1">OFFSET('Sales, Production, &amp; Other Assu'!AH$54,'Internmediate sheet'!$A83/3,0)*Capacity</f>
        <v>0</v>
      </c>
      <c r="AI178" s="19">
        <f ca="1">OFFSET('Sales, Production, &amp; Other Assu'!AI$54,'Internmediate sheet'!$A83/3,0)*Capacity</f>
        <v>0</v>
      </c>
      <c r="AJ178" s="19">
        <f ca="1">OFFSET('Sales, Production, &amp; Other Assu'!AJ$54,'Internmediate sheet'!$A83/3,0)*Capacity</f>
        <v>0</v>
      </c>
      <c r="AK178" s="19">
        <f ca="1">OFFSET('Sales, Production, &amp; Other Assu'!AK$54,'Internmediate sheet'!$A83/3,0)*Capacity</f>
        <v>0</v>
      </c>
      <c r="AL178" s="19">
        <f ca="1">OFFSET('Sales, Production, &amp; Other Assu'!AL$54,'Internmediate sheet'!$A83/3,0)*Capacity</f>
        <v>0</v>
      </c>
      <c r="AM178" s="19">
        <f ca="1">OFFSET('Sales, Production, &amp; Other Assu'!AM$54,'Internmediate sheet'!$A83/3,0)*Capacity</f>
        <v>0</v>
      </c>
      <c r="AN178" s="19">
        <f ca="1">OFFSET('Sales, Production, &amp; Other Assu'!AN$54,'Internmediate sheet'!$A83/3,0)*Capacity</f>
        <v>0</v>
      </c>
      <c r="AO178" s="19">
        <f ca="1">OFFSET('Sales, Production, &amp; Other Assu'!AO$54,'Internmediate sheet'!$A83/3,0)*Capacity</f>
        <v>0</v>
      </c>
      <c r="AP178" s="434">
        <f ca="1">SUM(AD178:AO178)</f>
        <v>0</v>
      </c>
      <c r="AQ178" s="19">
        <f ca="1">OFFSET('Sales, Production, &amp; Other Assu'!AQ$54,'Internmediate sheet'!$A83/3,0)*Capacity</f>
        <v>0</v>
      </c>
      <c r="AR178" s="19">
        <f ca="1">OFFSET('Sales, Production, &amp; Other Assu'!AR$54,'Internmediate sheet'!$A83/3,0)*Capacity</f>
        <v>0</v>
      </c>
      <c r="AS178" s="19">
        <f ca="1">OFFSET('Sales, Production, &amp; Other Assu'!AS$54,'Internmediate sheet'!$A83/3,0)*Capacity</f>
        <v>0</v>
      </c>
      <c r="AT178" s="19">
        <f ca="1">OFFSET('Sales, Production, &amp; Other Assu'!AT$54,'Internmediate sheet'!$A83/3,0)*Capacity</f>
        <v>0</v>
      </c>
      <c r="AU178" s="19">
        <f ca="1">OFFSET('Sales, Production, &amp; Other Assu'!AU$54,'Internmediate sheet'!$A83/3,0)*Capacity</f>
        <v>0</v>
      </c>
      <c r="AV178" s="19">
        <f ca="1">OFFSET('Sales, Production, &amp; Other Assu'!AV$54,'Internmediate sheet'!$A83/3,0)*Capacity</f>
        <v>0</v>
      </c>
      <c r="AW178" s="19">
        <f ca="1">OFFSET('Sales, Production, &amp; Other Assu'!AW$54,'Internmediate sheet'!$A83/3,0)*Capacity</f>
        <v>0</v>
      </c>
      <c r="AX178" s="19">
        <f ca="1">OFFSET('Sales, Production, &amp; Other Assu'!AX$54,'Internmediate sheet'!$A83/3,0)*Capacity</f>
        <v>0</v>
      </c>
      <c r="AY178" s="19">
        <f ca="1">OFFSET('Sales, Production, &amp; Other Assu'!AY$54,'Internmediate sheet'!$A83/3,0)*Capacity</f>
        <v>0</v>
      </c>
      <c r="AZ178" s="19">
        <f ca="1">OFFSET('Sales, Production, &amp; Other Assu'!AZ$54,'Internmediate sheet'!$A83/3,0)*Capacity</f>
        <v>0</v>
      </c>
      <c r="BA178" s="19">
        <f ca="1">OFFSET('Sales, Production, &amp; Other Assu'!BA$54,'Internmediate sheet'!$A83/3,0)*Capacity</f>
        <v>0</v>
      </c>
      <c r="BB178" s="19">
        <f ca="1">OFFSET('Sales, Production, &amp; Other Assu'!BB$54,'Internmediate sheet'!$A83/3,0)*Capacity</f>
        <v>0</v>
      </c>
      <c r="BC178" s="434">
        <f ca="1">SUM(AQ178:BB178)</f>
        <v>0</v>
      </c>
      <c r="BD178" s="19">
        <f ca="1">OFFSET('Sales, Production, &amp; Other Assu'!BD$54,'Internmediate sheet'!$A83/3,0)*Capacity</f>
        <v>0</v>
      </c>
      <c r="BE178" s="19">
        <f ca="1">OFFSET('Sales, Production, &amp; Other Assu'!BE$54,'Internmediate sheet'!$A83/3,0)*Capacity</f>
        <v>0</v>
      </c>
      <c r="BF178" s="19">
        <f ca="1">OFFSET('Sales, Production, &amp; Other Assu'!BF$54,'Internmediate sheet'!$A83/3,0)*Capacity</f>
        <v>0</v>
      </c>
      <c r="BG178" s="19">
        <f ca="1">OFFSET('Sales, Production, &amp; Other Assu'!BG$54,'Internmediate sheet'!$A83/3,0)*Capacity</f>
        <v>0</v>
      </c>
      <c r="BH178" s="19">
        <f ca="1">OFFSET('Sales, Production, &amp; Other Assu'!BH$54,'Internmediate sheet'!$A83/3,0)*Capacity</f>
        <v>0</v>
      </c>
      <c r="BI178" s="19">
        <f ca="1">OFFSET('Sales, Production, &amp; Other Assu'!BI$54,'Internmediate sheet'!$A83/3,0)*Capacity</f>
        <v>0</v>
      </c>
      <c r="BJ178" s="19">
        <f ca="1">OFFSET('Sales, Production, &amp; Other Assu'!BJ$54,'Internmediate sheet'!$A83/3,0)*Capacity</f>
        <v>0</v>
      </c>
      <c r="BK178" s="19">
        <f ca="1">OFFSET('Sales, Production, &amp; Other Assu'!BK$54,'Internmediate sheet'!$A83/3,0)*Capacity</f>
        <v>0</v>
      </c>
      <c r="BL178" s="19">
        <f ca="1">OFFSET('Sales, Production, &amp; Other Assu'!BL$54,'Internmediate sheet'!$A83/3,0)*Capacity</f>
        <v>0</v>
      </c>
      <c r="BM178" s="19">
        <f ca="1">OFFSET('Sales, Production, &amp; Other Assu'!BM$54,'Internmediate sheet'!$A83/3,0)*Capacity</f>
        <v>0</v>
      </c>
      <c r="BN178" s="19">
        <f ca="1">OFFSET('Sales, Production, &amp; Other Assu'!BN$54,'Internmediate sheet'!$A83/3,0)*Capacity</f>
        <v>0</v>
      </c>
      <c r="BO178" s="19">
        <f ca="1">OFFSET('Sales, Production, &amp; Other Assu'!BO$54,'Internmediate sheet'!$A83/3,0)*Capacity</f>
        <v>0</v>
      </c>
      <c r="BP178" s="434">
        <f ca="1">SUM(BD178:BO178)</f>
        <v>0</v>
      </c>
      <c r="BQ178" s="19">
        <f ca="1">OFFSET('Sales, Production, &amp; Other Assu'!BQ$54,'Internmediate sheet'!$A83/3,0)*Capacity</f>
        <v>0</v>
      </c>
      <c r="BR178" s="19">
        <f ca="1">OFFSET('Sales, Production, &amp; Other Assu'!BR$54,'Internmediate sheet'!$A83/3,0)*Capacity</f>
        <v>0</v>
      </c>
      <c r="BS178" s="19">
        <f ca="1">OFFSET('Sales, Production, &amp; Other Assu'!BS$54,'Internmediate sheet'!$A83/3,0)*Capacity</f>
        <v>0</v>
      </c>
      <c r="BT178" s="19">
        <f ca="1">OFFSET('Sales, Production, &amp; Other Assu'!BT$54,'Internmediate sheet'!$A83/3,0)*Capacity</f>
        <v>0</v>
      </c>
      <c r="BU178" s="19">
        <f ca="1">OFFSET('Sales, Production, &amp; Other Assu'!BU$54,'Internmediate sheet'!$A83/3,0)*Capacity</f>
        <v>0</v>
      </c>
      <c r="BV178" s="19">
        <f ca="1">OFFSET('Sales, Production, &amp; Other Assu'!BV$54,'Internmediate sheet'!$A83/3,0)*Capacity</f>
        <v>0</v>
      </c>
      <c r="BW178" s="19">
        <f ca="1">OFFSET('Sales, Production, &amp; Other Assu'!BW$54,'Internmediate sheet'!$A83/3,0)*Capacity</f>
        <v>0</v>
      </c>
      <c r="BX178" s="19">
        <f ca="1">OFFSET('Sales, Production, &amp; Other Assu'!BX$54,'Internmediate sheet'!$A83/3,0)*Capacity</f>
        <v>0</v>
      </c>
      <c r="BY178" s="19">
        <f ca="1">OFFSET('Sales, Production, &amp; Other Assu'!BY$54,'Internmediate sheet'!$A83/3,0)*Capacity</f>
        <v>0</v>
      </c>
      <c r="BZ178" s="19">
        <f ca="1">OFFSET('Sales, Production, &amp; Other Assu'!BZ$54,'Internmediate sheet'!$A83/3,0)*Capacity</f>
        <v>0</v>
      </c>
      <c r="CA178" s="19">
        <f ca="1">OFFSET('Sales, Production, &amp; Other Assu'!CA$54,'Internmediate sheet'!$A83/3,0)*Capacity</f>
        <v>0</v>
      </c>
      <c r="CB178" s="19">
        <f ca="1">OFFSET('Sales, Production, &amp; Other Assu'!CB$54,'Internmediate sheet'!$A83/3,0)*Capacity</f>
        <v>0</v>
      </c>
      <c r="CC178" s="434">
        <f ca="1">SUM(BQ178:CB178)</f>
        <v>0</v>
      </c>
      <c r="CD178" s="19">
        <f ca="1">OFFSET('Sales, Production, &amp; Other Assu'!CD$54,'Internmediate sheet'!$A83/3,0)*Capacity</f>
        <v>0</v>
      </c>
      <c r="CE178" s="19">
        <f ca="1">OFFSET('Sales, Production, &amp; Other Assu'!CE$54,'Internmediate sheet'!$A83/3,0)*Capacity</f>
        <v>0</v>
      </c>
      <c r="CF178" s="19">
        <f ca="1">OFFSET('Sales, Production, &amp; Other Assu'!CF$54,'Internmediate sheet'!$A83/3,0)*Capacity</f>
        <v>0</v>
      </c>
      <c r="CG178" s="19">
        <f ca="1">OFFSET('Sales, Production, &amp; Other Assu'!CG$54,'Internmediate sheet'!$A83/3,0)*Capacity</f>
        <v>0</v>
      </c>
      <c r="CH178" s="19">
        <f ca="1">OFFSET('Sales, Production, &amp; Other Assu'!CH$54,'Internmediate sheet'!$A83/3,0)*Capacity</f>
        <v>0</v>
      </c>
      <c r="CI178" s="19">
        <f ca="1">OFFSET('Sales, Production, &amp; Other Assu'!CI$54,'Internmediate sheet'!$A83/3,0)*Capacity</f>
        <v>0</v>
      </c>
      <c r="CJ178" s="19">
        <f ca="1">OFFSET('Sales, Production, &amp; Other Assu'!CJ$54,'Internmediate sheet'!$A83/3,0)*Capacity</f>
        <v>0</v>
      </c>
      <c r="CK178" s="19">
        <f ca="1">OFFSET('Sales, Production, &amp; Other Assu'!CK$54,'Internmediate sheet'!$A83/3,0)*Capacity</f>
        <v>0</v>
      </c>
      <c r="CL178" s="19">
        <f ca="1">OFFSET('Sales, Production, &amp; Other Assu'!CL$54,'Internmediate sheet'!$A83/3,0)*Capacity</f>
        <v>0</v>
      </c>
      <c r="CM178" s="19">
        <f ca="1">OFFSET('Sales, Production, &amp; Other Assu'!CM$54,'Internmediate sheet'!$A83/3,0)*Capacity</f>
        <v>0</v>
      </c>
      <c r="CN178" s="19">
        <f ca="1">OFFSET('Sales, Production, &amp; Other Assu'!CN$54,'Internmediate sheet'!$A83/3,0)*Capacity</f>
        <v>0</v>
      </c>
      <c r="CO178" s="19">
        <f ca="1">OFFSET('Sales, Production, &amp; Other Assu'!CO$54,'Internmediate sheet'!$A83/3,0)*Capacity</f>
        <v>0</v>
      </c>
      <c r="CP178" s="434">
        <f ca="1">SUM(CD178:CO178)</f>
        <v>0</v>
      </c>
    </row>
    <row r="179" spans="1:94" ht="20.100000000000001" hidden="1" customHeight="1">
      <c r="A179" s="793"/>
      <c r="B179" s="9" t="s">
        <v>614</v>
      </c>
      <c r="C179" s="10">
        <f ca="1">OFFSET('BEP. &amp; Summary Results'!$C$6,'Internmediate sheet'!A80/3,0)</f>
        <v>0</v>
      </c>
      <c r="D179" s="9">
        <f t="shared" ref="D179" ca="1" si="4989">C179</f>
        <v>0</v>
      </c>
      <c r="E179" s="9">
        <f t="shared" ref="E179" ca="1" si="4990">D179</f>
        <v>0</v>
      </c>
      <c r="F179" s="9">
        <f t="shared" ref="F179" ca="1" si="4991">E179</f>
        <v>0</v>
      </c>
      <c r="G179" s="9">
        <f t="shared" ref="G179" ca="1" si="4992">F179</f>
        <v>0</v>
      </c>
      <c r="H179" s="9">
        <f t="shared" ref="H179" ca="1" si="4993">G179</f>
        <v>0</v>
      </c>
      <c r="I179" s="9">
        <f t="shared" ref="I179" ca="1" si="4994">H179</f>
        <v>0</v>
      </c>
      <c r="J179" s="9">
        <f t="shared" ref="J179" ca="1" si="4995">I179</f>
        <v>0</v>
      </c>
      <c r="K179" s="9">
        <f t="shared" ref="K179" ca="1" si="4996">J179</f>
        <v>0</v>
      </c>
      <c r="L179" s="9">
        <f t="shared" ref="L179" ca="1" si="4997">K179</f>
        <v>0</v>
      </c>
      <c r="M179" s="9">
        <f t="shared" ref="M179" ca="1" si="4998">L179</f>
        <v>0</v>
      </c>
      <c r="N179" s="9">
        <f t="shared" ref="N179" ca="1" si="4999">M179</f>
        <v>0</v>
      </c>
      <c r="O179" s="9">
        <f t="shared" ref="O179" ca="1" si="5000">N179</f>
        <v>0</v>
      </c>
      <c r="P179" s="435">
        <f t="shared" ref="P179" ca="1" si="5001">O179</f>
        <v>0</v>
      </c>
      <c r="Q179" s="9">
        <f t="shared" ref="Q179" ca="1" si="5002">P179</f>
        <v>0</v>
      </c>
      <c r="R179" s="9">
        <f t="shared" ref="R179" ca="1" si="5003">Q179</f>
        <v>0</v>
      </c>
      <c r="S179" s="9">
        <f t="shared" ref="S179" ca="1" si="5004">R179</f>
        <v>0</v>
      </c>
      <c r="T179" s="9">
        <f t="shared" ref="T179" ca="1" si="5005">S179</f>
        <v>0</v>
      </c>
      <c r="U179" s="9">
        <f t="shared" ref="U179" ca="1" si="5006">T179</f>
        <v>0</v>
      </c>
      <c r="V179" s="9">
        <f t="shared" ref="V179" ca="1" si="5007">U179</f>
        <v>0</v>
      </c>
      <c r="W179" s="9">
        <f t="shared" ref="W179" ca="1" si="5008">V179</f>
        <v>0</v>
      </c>
      <c r="X179" s="9">
        <f t="shared" ref="X179" ca="1" si="5009">W179</f>
        <v>0</v>
      </c>
      <c r="Y179" s="9">
        <f t="shared" ref="Y179" ca="1" si="5010">X179</f>
        <v>0</v>
      </c>
      <c r="Z179" s="9">
        <f t="shared" ref="Z179" ca="1" si="5011">Y179</f>
        <v>0</v>
      </c>
      <c r="AA179" s="9">
        <f t="shared" ref="AA179" ca="1" si="5012">Z179</f>
        <v>0</v>
      </c>
      <c r="AB179" s="9">
        <f t="shared" ref="AB179" ca="1" si="5013">AA179</f>
        <v>0</v>
      </c>
      <c r="AC179" s="435">
        <f t="shared" ref="AC179" ca="1" si="5014">AB179</f>
        <v>0</v>
      </c>
      <c r="AD179" s="9">
        <f t="shared" ref="AD179" ca="1" si="5015">AC179</f>
        <v>0</v>
      </c>
      <c r="AE179" s="9">
        <f t="shared" ref="AE179" ca="1" si="5016">AD179</f>
        <v>0</v>
      </c>
      <c r="AF179" s="9">
        <f t="shared" ref="AF179" ca="1" si="5017">AE179</f>
        <v>0</v>
      </c>
      <c r="AG179" s="9">
        <f t="shared" ref="AG179" ca="1" si="5018">AF179</f>
        <v>0</v>
      </c>
      <c r="AH179" s="9">
        <f t="shared" ref="AH179" ca="1" si="5019">AG179</f>
        <v>0</v>
      </c>
      <c r="AI179" s="9">
        <f t="shared" ref="AI179" ca="1" si="5020">AH179</f>
        <v>0</v>
      </c>
      <c r="AJ179" s="9">
        <f t="shared" ref="AJ179" ca="1" si="5021">AI179</f>
        <v>0</v>
      </c>
      <c r="AK179" s="9">
        <f t="shared" ref="AK179" ca="1" si="5022">AJ179</f>
        <v>0</v>
      </c>
      <c r="AL179" s="9">
        <f t="shared" ref="AL179" ca="1" si="5023">AK179</f>
        <v>0</v>
      </c>
      <c r="AM179" s="9">
        <f t="shared" ref="AM179" ca="1" si="5024">AL179</f>
        <v>0</v>
      </c>
      <c r="AN179" s="9">
        <f t="shared" ref="AN179" ca="1" si="5025">AM179</f>
        <v>0</v>
      </c>
      <c r="AO179" s="9">
        <f t="shared" ref="AO179" ca="1" si="5026">AN179</f>
        <v>0</v>
      </c>
      <c r="AP179" s="435">
        <f t="shared" ref="AP179" ca="1" si="5027">AO179</f>
        <v>0</v>
      </c>
      <c r="AQ179" s="9">
        <f ca="1">AP179</f>
        <v>0</v>
      </c>
      <c r="AR179" s="9">
        <f t="shared" ref="AR179" ca="1" si="5028">AQ179</f>
        <v>0</v>
      </c>
      <c r="AS179" s="9">
        <f t="shared" ref="AS179" ca="1" si="5029">AR179</f>
        <v>0</v>
      </c>
      <c r="AT179" s="9">
        <f t="shared" ref="AT179" ca="1" si="5030">AS179</f>
        <v>0</v>
      </c>
      <c r="AU179" s="9">
        <f t="shared" ref="AU179" ca="1" si="5031">AT179</f>
        <v>0</v>
      </c>
      <c r="AV179" s="9">
        <f t="shared" ref="AV179" ca="1" si="5032">AU179</f>
        <v>0</v>
      </c>
      <c r="AW179" s="9">
        <f t="shared" ref="AW179" ca="1" si="5033">AV179</f>
        <v>0</v>
      </c>
      <c r="AX179" s="9">
        <f t="shared" ref="AX179" ca="1" si="5034">AW179</f>
        <v>0</v>
      </c>
      <c r="AY179" s="9">
        <f t="shared" ref="AY179" ca="1" si="5035">AX179</f>
        <v>0</v>
      </c>
      <c r="AZ179" s="9">
        <f t="shared" ref="AZ179" ca="1" si="5036">AY179</f>
        <v>0</v>
      </c>
      <c r="BA179" s="9">
        <f t="shared" ref="BA179" ca="1" si="5037">AZ179</f>
        <v>0</v>
      </c>
      <c r="BB179" s="9">
        <f t="shared" ref="BB179" ca="1" si="5038">BA179</f>
        <v>0</v>
      </c>
      <c r="BC179" s="435">
        <f t="shared" ref="BC179" ca="1" si="5039">BB179</f>
        <v>0</v>
      </c>
      <c r="BD179" s="9">
        <f t="shared" ref="BD179" ca="1" si="5040">BC179</f>
        <v>0</v>
      </c>
      <c r="BE179" s="9">
        <f t="shared" ref="BE179" ca="1" si="5041">BD179</f>
        <v>0</v>
      </c>
      <c r="BF179" s="9">
        <f t="shared" ref="BF179" ca="1" si="5042">BE179</f>
        <v>0</v>
      </c>
      <c r="BG179" s="9">
        <f t="shared" ref="BG179" ca="1" si="5043">BF179</f>
        <v>0</v>
      </c>
      <c r="BH179" s="9">
        <f t="shared" ref="BH179" ca="1" si="5044">BG179</f>
        <v>0</v>
      </c>
      <c r="BI179" s="9">
        <f t="shared" ref="BI179" ca="1" si="5045">BH179</f>
        <v>0</v>
      </c>
      <c r="BJ179" s="9">
        <f t="shared" ref="BJ179" ca="1" si="5046">BI179</f>
        <v>0</v>
      </c>
      <c r="BK179" s="9">
        <f t="shared" ref="BK179" ca="1" si="5047">BJ179</f>
        <v>0</v>
      </c>
      <c r="BL179" s="9">
        <f t="shared" ref="BL179" ca="1" si="5048">BK179</f>
        <v>0</v>
      </c>
      <c r="BM179" s="9">
        <f t="shared" ref="BM179" ca="1" si="5049">BL179</f>
        <v>0</v>
      </c>
      <c r="BN179" s="9">
        <f t="shared" ref="BN179" ca="1" si="5050">BM179</f>
        <v>0</v>
      </c>
      <c r="BO179" s="9">
        <f t="shared" ref="BO179" ca="1" si="5051">BN179</f>
        <v>0</v>
      </c>
      <c r="BP179" s="435">
        <f t="shared" ref="BP179" ca="1" si="5052">BO179</f>
        <v>0</v>
      </c>
      <c r="BQ179" s="9">
        <f t="shared" ref="BQ179" ca="1" si="5053">BP179</f>
        <v>0</v>
      </c>
      <c r="BR179" s="9">
        <f t="shared" ref="BR179" ca="1" si="5054">BQ179</f>
        <v>0</v>
      </c>
      <c r="BS179" s="9">
        <f t="shared" ref="BS179" ca="1" si="5055">BR179</f>
        <v>0</v>
      </c>
      <c r="BT179" s="9">
        <f t="shared" ref="BT179" ca="1" si="5056">BS179</f>
        <v>0</v>
      </c>
      <c r="BU179" s="9">
        <f t="shared" ref="BU179" ca="1" si="5057">BT179</f>
        <v>0</v>
      </c>
      <c r="BV179" s="9">
        <f t="shared" ref="BV179" ca="1" si="5058">BU179</f>
        <v>0</v>
      </c>
      <c r="BW179" s="9">
        <f t="shared" ref="BW179" ca="1" si="5059">BV179</f>
        <v>0</v>
      </c>
      <c r="BX179" s="9">
        <f t="shared" ref="BX179" ca="1" si="5060">BW179</f>
        <v>0</v>
      </c>
      <c r="BY179" s="9">
        <f t="shared" ref="BY179" ca="1" si="5061">BX179</f>
        <v>0</v>
      </c>
      <c r="BZ179" s="9">
        <f t="shared" ref="BZ179" ca="1" si="5062">BY179</f>
        <v>0</v>
      </c>
      <c r="CA179" s="9">
        <f t="shared" ref="CA179" ca="1" si="5063">BZ179</f>
        <v>0</v>
      </c>
      <c r="CB179" s="9">
        <f t="shared" ref="CB179" ca="1" si="5064">CA179</f>
        <v>0</v>
      </c>
      <c r="CC179" s="435">
        <f t="shared" ref="CC179" ca="1" si="5065">CB179</f>
        <v>0</v>
      </c>
      <c r="CD179" s="9">
        <f t="shared" ref="CD179" ca="1" si="5066">CC179</f>
        <v>0</v>
      </c>
      <c r="CE179" s="9">
        <f t="shared" ref="CE179" ca="1" si="5067">CD179</f>
        <v>0</v>
      </c>
      <c r="CF179" s="9">
        <f t="shared" ref="CF179" ca="1" si="5068">CE179</f>
        <v>0</v>
      </c>
      <c r="CG179" s="9">
        <f t="shared" ref="CG179" ca="1" si="5069">CF179</f>
        <v>0</v>
      </c>
      <c r="CH179" s="9">
        <f t="shared" ref="CH179" ca="1" si="5070">CG179</f>
        <v>0</v>
      </c>
      <c r="CI179" s="9">
        <f t="shared" ref="CI179" ca="1" si="5071">CH179</f>
        <v>0</v>
      </c>
      <c r="CJ179" s="9">
        <f t="shared" ref="CJ179" ca="1" si="5072">CI179</f>
        <v>0</v>
      </c>
      <c r="CK179" s="9">
        <f t="shared" ref="CK179" ca="1" si="5073">CJ179</f>
        <v>0</v>
      </c>
      <c r="CL179" s="9">
        <f t="shared" ref="CL179" ca="1" si="5074">CK179</f>
        <v>0</v>
      </c>
      <c r="CM179" s="9">
        <f t="shared" ref="CM179" ca="1" si="5075">CL179</f>
        <v>0</v>
      </c>
      <c r="CN179" s="9">
        <f t="shared" ref="CN179" ca="1" si="5076">CM179</f>
        <v>0</v>
      </c>
      <c r="CO179" s="9">
        <f t="shared" ref="CO179" ca="1" si="5077">CN179</f>
        <v>0</v>
      </c>
      <c r="CP179" s="435">
        <f t="shared" ref="CP179" ca="1" si="5078">CO179</f>
        <v>0</v>
      </c>
    </row>
    <row r="180" spans="1:94" ht="20.100000000000001" hidden="1" customHeight="1">
      <c r="A180" s="794"/>
      <c r="B180" s="255" t="s">
        <v>615</v>
      </c>
      <c r="C180" s="256">
        <f t="shared" ref="C180:O180" ca="1" si="5079">C178*C179</f>
        <v>0</v>
      </c>
      <c r="D180" s="255">
        <f t="shared" ca="1" si="5079"/>
        <v>0</v>
      </c>
      <c r="E180" s="255">
        <f t="shared" ca="1" si="5079"/>
        <v>0</v>
      </c>
      <c r="F180" s="255">
        <f t="shared" ca="1" si="5079"/>
        <v>0</v>
      </c>
      <c r="G180" s="255">
        <f t="shared" ca="1" si="5079"/>
        <v>0</v>
      </c>
      <c r="H180" s="255">
        <f t="shared" ca="1" si="5079"/>
        <v>0</v>
      </c>
      <c r="I180" s="255">
        <f t="shared" ca="1" si="5079"/>
        <v>0</v>
      </c>
      <c r="J180" s="255">
        <f t="shared" ca="1" si="5079"/>
        <v>0</v>
      </c>
      <c r="K180" s="255">
        <f t="shared" ca="1" si="5079"/>
        <v>0</v>
      </c>
      <c r="L180" s="255">
        <f t="shared" ca="1" si="5079"/>
        <v>0</v>
      </c>
      <c r="M180" s="255">
        <f t="shared" ca="1" si="5079"/>
        <v>0</v>
      </c>
      <c r="N180" s="255">
        <f t="shared" ca="1" si="5079"/>
        <v>0</v>
      </c>
      <c r="O180" s="255">
        <f t="shared" ca="1" si="5079"/>
        <v>0</v>
      </c>
      <c r="P180" s="434">
        <f ca="1">SUM(D180:O180)</f>
        <v>0</v>
      </c>
      <c r="Q180" s="255">
        <f t="shared" ref="Q180:AB180" ca="1" si="5080">Q178*Q179</f>
        <v>0</v>
      </c>
      <c r="R180" s="255">
        <f t="shared" ca="1" si="5080"/>
        <v>0</v>
      </c>
      <c r="S180" s="255">
        <f t="shared" ca="1" si="5080"/>
        <v>0</v>
      </c>
      <c r="T180" s="255">
        <f t="shared" ca="1" si="5080"/>
        <v>0</v>
      </c>
      <c r="U180" s="255">
        <f t="shared" ca="1" si="5080"/>
        <v>0</v>
      </c>
      <c r="V180" s="255">
        <f t="shared" ca="1" si="5080"/>
        <v>0</v>
      </c>
      <c r="W180" s="255">
        <f t="shared" ca="1" si="5080"/>
        <v>0</v>
      </c>
      <c r="X180" s="255">
        <f t="shared" ca="1" si="5080"/>
        <v>0</v>
      </c>
      <c r="Y180" s="255">
        <f t="shared" ca="1" si="5080"/>
        <v>0</v>
      </c>
      <c r="Z180" s="255">
        <f t="shared" ca="1" si="5080"/>
        <v>0</v>
      </c>
      <c r="AA180" s="255">
        <f t="shared" ca="1" si="5080"/>
        <v>0</v>
      </c>
      <c r="AB180" s="255">
        <f t="shared" ca="1" si="5080"/>
        <v>0</v>
      </c>
      <c r="AC180" s="434">
        <f ca="1">SUM(Q180:AB180)</f>
        <v>0</v>
      </c>
      <c r="AD180" s="255">
        <f t="shared" ref="AD180:AO180" ca="1" si="5081">AD178*AD179</f>
        <v>0</v>
      </c>
      <c r="AE180" s="255">
        <f t="shared" ca="1" si="5081"/>
        <v>0</v>
      </c>
      <c r="AF180" s="255">
        <f t="shared" ca="1" si="5081"/>
        <v>0</v>
      </c>
      <c r="AG180" s="255">
        <f t="shared" ca="1" si="5081"/>
        <v>0</v>
      </c>
      <c r="AH180" s="255">
        <f t="shared" ca="1" si="5081"/>
        <v>0</v>
      </c>
      <c r="AI180" s="255">
        <f t="shared" ca="1" si="5081"/>
        <v>0</v>
      </c>
      <c r="AJ180" s="255">
        <f t="shared" ca="1" si="5081"/>
        <v>0</v>
      </c>
      <c r="AK180" s="255">
        <f t="shared" ca="1" si="5081"/>
        <v>0</v>
      </c>
      <c r="AL180" s="255">
        <f t="shared" ca="1" si="5081"/>
        <v>0</v>
      </c>
      <c r="AM180" s="255">
        <f t="shared" ca="1" si="5081"/>
        <v>0</v>
      </c>
      <c r="AN180" s="255">
        <f t="shared" ca="1" si="5081"/>
        <v>0</v>
      </c>
      <c r="AO180" s="255">
        <f t="shared" ca="1" si="5081"/>
        <v>0</v>
      </c>
      <c r="AP180" s="434">
        <f ca="1">SUM(AD180:AO180)</f>
        <v>0</v>
      </c>
      <c r="AQ180" s="255">
        <f t="shared" ref="AQ180:BB180" ca="1" si="5082">AQ178*AQ179</f>
        <v>0</v>
      </c>
      <c r="AR180" s="255">
        <f t="shared" ca="1" si="5082"/>
        <v>0</v>
      </c>
      <c r="AS180" s="255">
        <f t="shared" ca="1" si="5082"/>
        <v>0</v>
      </c>
      <c r="AT180" s="255">
        <f t="shared" ca="1" si="5082"/>
        <v>0</v>
      </c>
      <c r="AU180" s="255">
        <f t="shared" ca="1" si="5082"/>
        <v>0</v>
      </c>
      <c r="AV180" s="255">
        <f t="shared" ca="1" si="5082"/>
        <v>0</v>
      </c>
      <c r="AW180" s="255">
        <f t="shared" ca="1" si="5082"/>
        <v>0</v>
      </c>
      <c r="AX180" s="255">
        <f t="shared" ca="1" si="5082"/>
        <v>0</v>
      </c>
      <c r="AY180" s="255">
        <f t="shared" ca="1" si="5082"/>
        <v>0</v>
      </c>
      <c r="AZ180" s="255">
        <f t="shared" ca="1" si="5082"/>
        <v>0</v>
      </c>
      <c r="BA180" s="255">
        <f t="shared" ca="1" si="5082"/>
        <v>0</v>
      </c>
      <c r="BB180" s="255">
        <f t="shared" ca="1" si="5082"/>
        <v>0</v>
      </c>
      <c r="BC180" s="434">
        <f ca="1">SUM(AQ180:BB180)</f>
        <v>0</v>
      </c>
      <c r="BD180" s="255">
        <f t="shared" ref="BD180:BO180" ca="1" si="5083">BD178*BD179</f>
        <v>0</v>
      </c>
      <c r="BE180" s="255">
        <f t="shared" ca="1" si="5083"/>
        <v>0</v>
      </c>
      <c r="BF180" s="255">
        <f t="shared" ca="1" si="5083"/>
        <v>0</v>
      </c>
      <c r="BG180" s="255">
        <f t="shared" ca="1" si="5083"/>
        <v>0</v>
      </c>
      <c r="BH180" s="255">
        <f t="shared" ca="1" si="5083"/>
        <v>0</v>
      </c>
      <c r="BI180" s="255">
        <f t="shared" ca="1" si="5083"/>
        <v>0</v>
      </c>
      <c r="BJ180" s="255">
        <f t="shared" ca="1" si="5083"/>
        <v>0</v>
      </c>
      <c r="BK180" s="255">
        <f t="shared" ca="1" si="5083"/>
        <v>0</v>
      </c>
      <c r="BL180" s="255">
        <f t="shared" ca="1" si="5083"/>
        <v>0</v>
      </c>
      <c r="BM180" s="255">
        <f t="shared" ca="1" si="5083"/>
        <v>0</v>
      </c>
      <c r="BN180" s="255">
        <f t="shared" ca="1" si="5083"/>
        <v>0</v>
      </c>
      <c r="BO180" s="255">
        <f t="shared" ca="1" si="5083"/>
        <v>0</v>
      </c>
      <c r="BP180" s="434">
        <f ca="1">SUM(BD180:BO180)</f>
        <v>0</v>
      </c>
      <c r="BQ180" s="255">
        <f t="shared" ref="BQ180:CB180" ca="1" si="5084">BQ178*BQ179</f>
        <v>0</v>
      </c>
      <c r="BR180" s="255">
        <f t="shared" ca="1" si="5084"/>
        <v>0</v>
      </c>
      <c r="BS180" s="255">
        <f t="shared" ca="1" si="5084"/>
        <v>0</v>
      </c>
      <c r="BT180" s="255">
        <f t="shared" ca="1" si="5084"/>
        <v>0</v>
      </c>
      <c r="BU180" s="255">
        <f t="shared" ca="1" si="5084"/>
        <v>0</v>
      </c>
      <c r="BV180" s="255">
        <f t="shared" ca="1" si="5084"/>
        <v>0</v>
      </c>
      <c r="BW180" s="255">
        <f t="shared" ca="1" si="5084"/>
        <v>0</v>
      </c>
      <c r="BX180" s="255">
        <f t="shared" ca="1" si="5084"/>
        <v>0</v>
      </c>
      <c r="BY180" s="255">
        <f t="shared" ca="1" si="5084"/>
        <v>0</v>
      </c>
      <c r="BZ180" s="255">
        <f t="shared" ca="1" si="5084"/>
        <v>0</v>
      </c>
      <c r="CA180" s="255">
        <f t="shared" ca="1" si="5084"/>
        <v>0</v>
      </c>
      <c r="CB180" s="255">
        <f t="shared" ca="1" si="5084"/>
        <v>0</v>
      </c>
      <c r="CC180" s="434">
        <f ca="1">SUM(BQ180:CB180)</f>
        <v>0</v>
      </c>
      <c r="CD180" s="255">
        <f t="shared" ref="CD180:CO180" ca="1" si="5085">CD178*CD179</f>
        <v>0</v>
      </c>
      <c r="CE180" s="255">
        <f t="shared" ca="1" si="5085"/>
        <v>0</v>
      </c>
      <c r="CF180" s="255">
        <f t="shared" ca="1" si="5085"/>
        <v>0</v>
      </c>
      <c r="CG180" s="255">
        <f t="shared" ca="1" si="5085"/>
        <v>0</v>
      </c>
      <c r="CH180" s="255">
        <f t="shared" ca="1" si="5085"/>
        <v>0</v>
      </c>
      <c r="CI180" s="255">
        <f t="shared" ca="1" si="5085"/>
        <v>0</v>
      </c>
      <c r="CJ180" s="255">
        <f t="shared" ca="1" si="5085"/>
        <v>0</v>
      </c>
      <c r="CK180" s="255">
        <f t="shared" ca="1" si="5085"/>
        <v>0</v>
      </c>
      <c r="CL180" s="255">
        <f t="shared" ca="1" si="5085"/>
        <v>0</v>
      </c>
      <c r="CM180" s="255">
        <f t="shared" ca="1" si="5085"/>
        <v>0</v>
      </c>
      <c r="CN180" s="255">
        <f t="shared" ca="1" si="5085"/>
        <v>0</v>
      </c>
      <c r="CO180" s="255">
        <f t="shared" ca="1" si="5085"/>
        <v>0</v>
      </c>
      <c r="CP180" s="434">
        <f ca="1">SUM(CD180:CO180)</f>
        <v>0</v>
      </c>
    </row>
    <row r="181" spans="1:94" ht="20.100000000000001" hidden="1" customHeight="1">
      <c r="A181" s="792">
        <f ca="1">OFFSET('Summary. Assumptions. Inputs'!$A$45,'Internmediate sheet'!A86/3,0)</f>
        <v>0</v>
      </c>
      <c r="B181" s="19" t="s">
        <v>613</v>
      </c>
      <c r="C181" s="20">
        <f ca="1">OFFSET('Sales, Production, &amp; Other Assu'!C$54,'Internmediate sheet'!$A86/3,0)*Capacity</f>
        <v>0</v>
      </c>
      <c r="D181" s="19">
        <f ca="1">OFFSET('Sales, Production, &amp; Other Assu'!D$54,'Internmediate sheet'!$A86/3,0)*Capacity</f>
        <v>0</v>
      </c>
      <c r="E181" s="19">
        <f ca="1">OFFSET('Sales, Production, &amp; Other Assu'!E$54,'Internmediate sheet'!$A86/3,0)*Capacity</f>
        <v>0</v>
      </c>
      <c r="F181" s="19">
        <f ca="1">OFFSET('Sales, Production, &amp; Other Assu'!F$54,'Internmediate sheet'!$A86/3,0)*Capacity</f>
        <v>0</v>
      </c>
      <c r="G181" s="19">
        <f ca="1">OFFSET('Sales, Production, &amp; Other Assu'!G$54,'Internmediate sheet'!$A86/3,0)*Capacity</f>
        <v>0</v>
      </c>
      <c r="H181" s="19">
        <f ca="1">OFFSET('Sales, Production, &amp; Other Assu'!H$54,'Internmediate sheet'!$A86/3,0)*Capacity</f>
        <v>0</v>
      </c>
      <c r="I181" s="19">
        <f ca="1">OFFSET('Sales, Production, &amp; Other Assu'!I$54,'Internmediate sheet'!$A86/3,0)*Capacity</f>
        <v>0</v>
      </c>
      <c r="J181" s="19">
        <f ca="1">OFFSET('Sales, Production, &amp; Other Assu'!J$54,'Internmediate sheet'!$A86/3,0)*Capacity</f>
        <v>0</v>
      </c>
      <c r="K181" s="19">
        <f ca="1">OFFSET('Sales, Production, &amp; Other Assu'!K$54,'Internmediate sheet'!$A86/3,0)*Capacity</f>
        <v>0</v>
      </c>
      <c r="L181" s="19">
        <f ca="1">OFFSET('Sales, Production, &amp; Other Assu'!L$54,'Internmediate sheet'!$A86/3,0)*Capacity</f>
        <v>0</v>
      </c>
      <c r="M181" s="19">
        <f ca="1">OFFSET('Sales, Production, &amp; Other Assu'!M$54,'Internmediate sheet'!$A86/3,0)*Capacity</f>
        <v>0</v>
      </c>
      <c r="N181" s="19">
        <f ca="1">OFFSET('Sales, Production, &amp; Other Assu'!N$54,'Internmediate sheet'!$A86/3,0)*Capacity</f>
        <v>0</v>
      </c>
      <c r="O181" s="19">
        <f ca="1">OFFSET('Sales, Production, &amp; Other Assu'!O$54,'Internmediate sheet'!$A86/3,0)*Capacity</f>
        <v>0</v>
      </c>
      <c r="P181" s="434">
        <f ca="1">SUM(D181:O181)</f>
        <v>0</v>
      </c>
      <c r="Q181" s="19">
        <f ca="1">OFFSET('Sales, Production, &amp; Other Assu'!Q$54,'Internmediate sheet'!$A86/3,0)*Capacity</f>
        <v>0</v>
      </c>
      <c r="R181" s="19">
        <f ca="1">OFFSET('Sales, Production, &amp; Other Assu'!R$54,'Internmediate sheet'!$A86/3,0)*Capacity</f>
        <v>0</v>
      </c>
      <c r="S181" s="19">
        <f ca="1">OFFSET('Sales, Production, &amp; Other Assu'!S$54,'Internmediate sheet'!$A86/3,0)*Capacity</f>
        <v>0</v>
      </c>
      <c r="T181" s="19">
        <f ca="1">OFFSET('Sales, Production, &amp; Other Assu'!T$54,'Internmediate sheet'!$A86/3,0)*Capacity</f>
        <v>0</v>
      </c>
      <c r="U181" s="19">
        <f ca="1">OFFSET('Sales, Production, &amp; Other Assu'!U$54,'Internmediate sheet'!$A86/3,0)*Capacity</f>
        <v>0</v>
      </c>
      <c r="V181" s="19">
        <f ca="1">OFFSET('Sales, Production, &amp; Other Assu'!V$54,'Internmediate sheet'!$A86/3,0)*Capacity</f>
        <v>0</v>
      </c>
      <c r="W181" s="19">
        <f ca="1">OFFSET('Sales, Production, &amp; Other Assu'!W$54,'Internmediate sheet'!$A86/3,0)*Capacity</f>
        <v>0</v>
      </c>
      <c r="X181" s="19">
        <f ca="1">OFFSET('Sales, Production, &amp; Other Assu'!X$54,'Internmediate sheet'!$A86/3,0)*Capacity</f>
        <v>0</v>
      </c>
      <c r="Y181" s="19">
        <f ca="1">OFFSET('Sales, Production, &amp; Other Assu'!Y$54,'Internmediate sheet'!$A86/3,0)*Capacity</f>
        <v>0</v>
      </c>
      <c r="Z181" s="19">
        <f ca="1">OFFSET('Sales, Production, &amp; Other Assu'!Z$54,'Internmediate sheet'!$A86/3,0)*Capacity</f>
        <v>0</v>
      </c>
      <c r="AA181" s="19">
        <f ca="1">OFFSET('Sales, Production, &amp; Other Assu'!AA$54,'Internmediate sheet'!$A86/3,0)*Capacity</f>
        <v>0</v>
      </c>
      <c r="AB181" s="19">
        <f ca="1">OFFSET('Sales, Production, &amp; Other Assu'!AB$54,'Internmediate sheet'!$A86/3,0)*Capacity</f>
        <v>0</v>
      </c>
      <c r="AC181" s="434">
        <f ca="1">SUM(Q181:AB181)</f>
        <v>0</v>
      </c>
      <c r="AD181" s="19">
        <f ca="1">OFFSET('Sales, Production, &amp; Other Assu'!AD$54,'Internmediate sheet'!$A86/3,0)*Capacity</f>
        <v>0</v>
      </c>
      <c r="AE181" s="19">
        <f ca="1">OFFSET('Sales, Production, &amp; Other Assu'!AE$54,'Internmediate sheet'!$A86/3,0)*Capacity</f>
        <v>0</v>
      </c>
      <c r="AF181" s="19">
        <f ca="1">OFFSET('Sales, Production, &amp; Other Assu'!AF$54,'Internmediate sheet'!$A86/3,0)*Capacity</f>
        <v>0</v>
      </c>
      <c r="AG181" s="19">
        <f ca="1">OFFSET('Sales, Production, &amp; Other Assu'!AG$54,'Internmediate sheet'!$A86/3,0)*Capacity</f>
        <v>0</v>
      </c>
      <c r="AH181" s="19">
        <f ca="1">OFFSET('Sales, Production, &amp; Other Assu'!AH$54,'Internmediate sheet'!$A86/3,0)*Capacity</f>
        <v>0</v>
      </c>
      <c r="AI181" s="19">
        <f ca="1">OFFSET('Sales, Production, &amp; Other Assu'!AI$54,'Internmediate sheet'!$A86/3,0)*Capacity</f>
        <v>0</v>
      </c>
      <c r="AJ181" s="19">
        <f ca="1">OFFSET('Sales, Production, &amp; Other Assu'!AJ$54,'Internmediate sheet'!$A86/3,0)*Capacity</f>
        <v>0</v>
      </c>
      <c r="AK181" s="19">
        <f ca="1">OFFSET('Sales, Production, &amp; Other Assu'!AK$54,'Internmediate sheet'!$A86/3,0)*Capacity</f>
        <v>0</v>
      </c>
      <c r="AL181" s="19">
        <f ca="1">OFFSET('Sales, Production, &amp; Other Assu'!AL$54,'Internmediate sheet'!$A86/3,0)*Capacity</f>
        <v>0</v>
      </c>
      <c r="AM181" s="19">
        <f ca="1">OFFSET('Sales, Production, &amp; Other Assu'!AM$54,'Internmediate sheet'!$A86/3,0)*Capacity</f>
        <v>0</v>
      </c>
      <c r="AN181" s="19">
        <f ca="1">OFFSET('Sales, Production, &amp; Other Assu'!AN$54,'Internmediate sheet'!$A86/3,0)*Capacity</f>
        <v>0</v>
      </c>
      <c r="AO181" s="19">
        <f ca="1">OFFSET('Sales, Production, &amp; Other Assu'!AO$54,'Internmediate sheet'!$A86/3,0)*Capacity</f>
        <v>0</v>
      </c>
      <c r="AP181" s="434">
        <f ca="1">SUM(AD181:AO181)</f>
        <v>0</v>
      </c>
      <c r="AQ181" s="19">
        <f ca="1">OFFSET('Sales, Production, &amp; Other Assu'!AQ$54,'Internmediate sheet'!$A86/3,0)*Capacity</f>
        <v>0</v>
      </c>
      <c r="AR181" s="19">
        <f ca="1">OFFSET('Sales, Production, &amp; Other Assu'!AR$54,'Internmediate sheet'!$A86/3,0)*Capacity</f>
        <v>0</v>
      </c>
      <c r="AS181" s="19">
        <f ca="1">OFFSET('Sales, Production, &amp; Other Assu'!AS$54,'Internmediate sheet'!$A86/3,0)*Capacity</f>
        <v>0</v>
      </c>
      <c r="AT181" s="19">
        <f ca="1">OFFSET('Sales, Production, &amp; Other Assu'!AT$54,'Internmediate sheet'!$A86/3,0)*Capacity</f>
        <v>0</v>
      </c>
      <c r="AU181" s="19">
        <f ca="1">OFFSET('Sales, Production, &amp; Other Assu'!AU$54,'Internmediate sheet'!$A86/3,0)*Capacity</f>
        <v>0</v>
      </c>
      <c r="AV181" s="19">
        <f ca="1">OFFSET('Sales, Production, &amp; Other Assu'!AV$54,'Internmediate sheet'!$A86/3,0)*Capacity</f>
        <v>0</v>
      </c>
      <c r="AW181" s="19">
        <f ca="1">OFFSET('Sales, Production, &amp; Other Assu'!AW$54,'Internmediate sheet'!$A86/3,0)*Capacity</f>
        <v>0</v>
      </c>
      <c r="AX181" s="19">
        <f ca="1">OFFSET('Sales, Production, &amp; Other Assu'!AX$54,'Internmediate sheet'!$A86/3,0)*Capacity</f>
        <v>0</v>
      </c>
      <c r="AY181" s="19">
        <f ca="1">OFFSET('Sales, Production, &amp; Other Assu'!AY$54,'Internmediate sheet'!$A86/3,0)*Capacity</f>
        <v>0</v>
      </c>
      <c r="AZ181" s="19">
        <f ca="1">OFFSET('Sales, Production, &amp; Other Assu'!AZ$54,'Internmediate sheet'!$A86/3,0)*Capacity</f>
        <v>0</v>
      </c>
      <c r="BA181" s="19">
        <f ca="1">OFFSET('Sales, Production, &amp; Other Assu'!BA$54,'Internmediate sheet'!$A86/3,0)*Capacity</f>
        <v>0</v>
      </c>
      <c r="BB181" s="19">
        <f ca="1">OFFSET('Sales, Production, &amp; Other Assu'!BB$54,'Internmediate sheet'!$A86/3,0)*Capacity</f>
        <v>0</v>
      </c>
      <c r="BC181" s="434">
        <f ca="1">SUM(AQ181:BB181)</f>
        <v>0</v>
      </c>
      <c r="BD181" s="19">
        <f ca="1">OFFSET('Sales, Production, &amp; Other Assu'!BD$54,'Internmediate sheet'!$A86/3,0)*Capacity</f>
        <v>0</v>
      </c>
      <c r="BE181" s="19">
        <f ca="1">OFFSET('Sales, Production, &amp; Other Assu'!BE$54,'Internmediate sheet'!$A86/3,0)*Capacity</f>
        <v>0</v>
      </c>
      <c r="BF181" s="19">
        <f ca="1">OFFSET('Sales, Production, &amp; Other Assu'!BF$54,'Internmediate sheet'!$A86/3,0)*Capacity</f>
        <v>0</v>
      </c>
      <c r="BG181" s="19">
        <f ca="1">OFFSET('Sales, Production, &amp; Other Assu'!BG$54,'Internmediate sheet'!$A86/3,0)*Capacity</f>
        <v>0</v>
      </c>
      <c r="BH181" s="19">
        <f ca="1">OFFSET('Sales, Production, &amp; Other Assu'!BH$54,'Internmediate sheet'!$A86/3,0)*Capacity</f>
        <v>0</v>
      </c>
      <c r="BI181" s="19">
        <f ca="1">OFFSET('Sales, Production, &amp; Other Assu'!BI$54,'Internmediate sheet'!$A86/3,0)*Capacity</f>
        <v>0</v>
      </c>
      <c r="BJ181" s="19">
        <f ca="1">OFFSET('Sales, Production, &amp; Other Assu'!BJ$54,'Internmediate sheet'!$A86/3,0)*Capacity</f>
        <v>0</v>
      </c>
      <c r="BK181" s="19">
        <f ca="1">OFFSET('Sales, Production, &amp; Other Assu'!BK$54,'Internmediate sheet'!$A86/3,0)*Capacity</f>
        <v>0</v>
      </c>
      <c r="BL181" s="19">
        <f ca="1">OFFSET('Sales, Production, &amp; Other Assu'!BL$54,'Internmediate sheet'!$A86/3,0)*Capacity</f>
        <v>0</v>
      </c>
      <c r="BM181" s="19">
        <f ca="1">OFFSET('Sales, Production, &amp; Other Assu'!BM$54,'Internmediate sheet'!$A86/3,0)*Capacity</f>
        <v>0</v>
      </c>
      <c r="BN181" s="19">
        <f ca="1">OFFSET('Sales, Production, &amp; Other Assu'!BN$54,'Internmediate sheet'!$A86/3,0)*Capacity</f>
        <v>0</v>
      </c>
      <c r="BO181" s="19">
        <f ca="1">OFFSET('Sales, Production, &amp; Other Assu'!BO$54,'Internmediate sheet'!$A86/3,0)*Capacity</f>
        <v>0</v>
      </c>
      <c r="BP181" s="434">
        <f ca="1">SUM(BD181:BO181)</f>
        <v>0</v>
      </c>
      <c r="BQ181" s="19">
        <f ca="1">OFFSET('Sales, Production, &amp; Other Assu'!BQ$54,'Internmediate sheet'!$A86/3,0)*Capacity</f>
        <v>0</v>
      </c>
      <c r="BR181" s="19">
        <f ca="1">OFFSET('Sales, Production, &amp; Other Assu'!BR$54,'Internmediate sheet'!$A86/3,0)*Capacity</f>
        <v>0</v>
      </c>
      <c r="BS181" s="19">
        <f ca="1">OFFSET('Sales, Production, &amp; Other Assu'!BS$54,'Internmediate sheet'!$A86/3,0)*Capacity</f>
        <v>0</v>
      </c>
      <c r="BT181" s="19">
        <f ca="1">OFFSET('Sales, Production, &amp; Other Assu'!BT$54,'Internmediate sheet'!$A86/3,0)*Capacity</f>
        <v>0</v>
      </c>
      <c r="BU181" s="19">
        <f ca="1">OFFSET('Sales, Production, &amp; Other Assu'!BU$54,'Internmediate sheet'!$A86/3,0)*Capacity</f>
        <v>0</v>
      </c>
      <c r="BV181" s="19">
        <f ca="1">OFFSET('Sales, Production, &amp; Other Assu'!BV$54,'Internmediate sheet'!$A86/3,0)*Capacity</f>
        <v>0</v>
      </c>
      <c r="BW181" s="19">
        <f ca="1">OFFSET('Sales, Production, &amp; Other Assu'!BW$54,'Internmediate sheet'!$A86/3,0)*Capacity</f>
        <v>0</v>
      </c>
      <c r="BX181" s="19">
        <f ca="1">OFFSET('Sales, Production, &amp; Other Assu'!BX$54,'Internmediate sheet'!$A86/3,0)*Capacity</f>
        <v>0</v>
      </c>
      <c r="BY181" s="19">
        <f ca="1">OFFSET('Sales, Production, &amp; Other Assu'!BY$54,'Internmediate sheet'!$A86/3,0)*Capacity</f>
        <v>0</v>
      </c>
      <c r="BZ181" s="19">
        <f ca="1">OFFSET('Sales, Production, &amp; Other Assu'!BZ$54,'Internmediate sheet'!$A86/3,0)*Capacity</f>
        <v>0</v>
      </c>
      <c r="CA181" s="19">
        <f ca="1">OFFSET('Sales, Production, &amp; Other Assu'!CA$54,'Internmediate sheet'!$A86/3,0)*Capacity</f>
        <v>0</v>
      </c>
      <c r="CB181" s="19">
        <f ca="1">OFFSET('Sales, Production, &amp; Other Assu'!CB$54,'Internmediate sheet'!$A86/3,0)*Capacity</f>
        <v>0</v>
      </c>
      <c r="CC181" s="434">
        <f ca="1">SUM(BQ181:CB181)</f>
        <v>0</v>
      </c>
      <c r="CD181" s="19">
        <f ca="1">OFFSET('Sales, Production, &amp; Other Assu'!CD$54,'Internmediate sheet'!$A86/3,0)*Capacity</f>
        <v>0</v>
      </c>
      <c r="CE181" s="19">
        <f ca="1">OFFSET('Sales, Production, &amp; Other Assu'!CE$54,'Internmediate sheet'!$A86/3,0)*Capacity</f>
        <v>0</v>
      </c>
      <c r="CF181" s="19">
        <f ca="1">OFFSET('Sales, Production, &amp; Other Assu'!CF$54,'Internmediate sheet'!$A86/3,0)*Capacity</f>
        <v>0</v>
      </c>
      <c r="CG181" s="19">
        <f ca="1">OFFSET('Sales, Production, &amp; Other Assu'!CG$54,'Internmediate sheet'!$A86/3,0)*Capacity</f>
        <v>0</v>
      </c>
      <c r="CH181" s="19">
        <f ca="1">OFFSET('Sales, Production, &amp; Other Assu'!CH$54,'Internmediate sheet'!$A86/3,0)*Capacity</f>
        <v>0</v>
      </c>
      <c r="CI181" s="19">
        <f ca="1">OFFSET('Sales, Production, &amp; Other Assu'!CI$54,'Internmediate sheet'!$A86/3,0)*Capacity</f>
        <v>0</v>
      </c>
      <c r="CJ181" s="19">
        <f ca="1">OFFSET('Sales, Production, &amp; Other Assu'!CJ$54,'Internmediate sheet'!$A86/3,0)*Capacity</f>
        <v>0</v>
      </c>
      <c r="CK181" s="19">
        <f ca="1">OFFSET('Sales, Production, &amp; Other Assu'!CK$54,'Internmediate sheet'!$A86/3,0)*Capacity</f>
        <v>0</v>
      </c>
      <c r="CL181" s="19">
        <f ca="1">OFFSET('Sales, Production, &amp; Other Assu'!CL$54,'Internmediate sheet'!$A86/3,0)*Capacity</f>
        <v>0</v>
      </c>
      <c r="CM181" s="19">
        <f ca="1">OFFSET('Sales, Production, &amp; Other Assu'!CM$54,'Internmediate sheet'!$A86/3,0)*Capacity</f>
        <v>0</v>
      </c>
      <c r="CN181" s="19">
        <f ca="1">OFFSET('Sales, Production, &amp; Other Assu'!CN$54,'Internmediate sheet'!$A86/3,0)*Capacity</f>
        <v>0</v>
      </c>
      <c r="CO181" s="19">
        <f ca="1">OFFSET('Sales, Production, &amp; Other Assu'!CO$54,'Internmediate sheet'!$A86/3,0)*Capacity</f>
        <v>0</v>
      </c>
      <c r="CP181" s="434">
        <f ca="1">SUM(CD181:CO181)</f>
        <v>0</v>
      </c>
    </row>
    <row r="182" spans="1:94" ht="20.100000000000001" hidden="1" customHeight="1">
      <c r="A182" s="793"/>
      <c r="B182" s="9" t="s">
        <v>614</v>
      </c>
      <c r="C182" s="10">
        <f ca="1">OFFSET('BEP. &amp; Summary Results'!$C$6,'Internmediate sheet'!A83/3,0)</f>
        <v>0</v>
      </c>
      <c r="D182" s="9">
        <f t="shared" ref="D182" ca="1" si="5086">C182</f>
        <v>0</v>
      </c>
      <c r="E182" s="9">
        <f t="shared" ref="E182" ca="1" si="5087">D182</f>
        <v>0</v>
      </c>
      <c r="F182" s="9">
        <f t="shared" ref="F182" ca="1" si="5088">E182</f>
        <v>0</v>
      </c>
      <c r="G182" s="9">
        <f t="shared" ref="G182" ca="1" si="5089">F182</f>
        <v>0</v>
      </c>
      <c r="H182" s="9">
        <f t="shared" ref="H182" ca="1" si="5090">G182</f>
        <v>0</v>
      </c>
      <c r="I182" s="9">
        <f t="shared" ref="I182" ca="1" si="5091">H182</f>
        <v>0</v>
      </c>
      <c r="J182" s="9">
        <f t="shared" ref="J182" ca="1" si="5092">I182</f>
        <v>0</v>
      </c>
      <c r="K182" s="9">
        <f t="shared" ref="K182" ca="1" si="5093">J182</f>
        <v>0</v>
      </c>
      <c r="L182" s="9">
        <f t="shared" ref="L182" ca="1" si="5094">K182</f>
        <v>0</v>
      </c>
      <c r="M182" s="9">
        <f t="shared" ref="M182" ca="1" si="5095">L182</f>
        <v>0</v>
      </c>
      <c r="N182" s="9">
        <f t="shared" ref="N182" ca="1" si="5096">M182</f>
        <v>0</v>
      </c>
      <c r="O182" s="9">
        <f t="shared" ref="O182" ca="1" si="5097">N182</f>
        <v>0</v>
      </c>
      <c r="P182" s="435">
        <f t="shared" ref="P182" ca="1" si="5098">O182</f>
        <v>0</v>
      </c>
      <c r="Q182" s="9">
        <f t="shared" ref="Q182" ca="1" si="5099">P182</f>
        <v>0</v>
      </c>
      <c r="R182" s="9">
        <f t="shared" ref="R182" ca="1" si="5100">Q182</f>
        <v>0</v>
      </c>
      <c r="S182" s="9">
        <f t="shared" ref="S182" ca="1" si="5101">R182</f>
        <v>0</v>
      </c>
      <c r="T182" s="9">
        <f t="shared" ref="T182" ca="1" si="5102">S182</f>
        <v>0</v>
      </c>
      <c r="U182" s="9">
        <f t="shared" ref="U182" ca="1" si="5103">T182</f>
        <v>0</v>
      </c>
      <c r="V182" s="9">
        <f t="shared" ref="V182" ca="1" si="5104">U182</f>
        <v>0</v>
      </c>
      <c r="W182" s="9">
        <f t="shared" ref="W182" ca="1" si="5105">V182</f>
        <v>0</v>
      </c>
      <c r="X182" s="9">
        <f t="shared" ref="X182" ca="1" si="5106">W182</f>
        <v>0</v>
      </c>
      <c r="Y182" s="9">
        <f t="shared" ref="Y182" ca="1" si="5107">X182</f>
        <v>0</v>
      </c>
      <c r="Z182" s="9">
        <f t="shared" ref="Z182" ca="1" si="5108">Y182</f>
        <v>0</v>
      </c>
      <c r="AA182" s="9">
        <f t="shared" ref="AA182" ca="1" si="5109">Z182</f>
        <v>0</v>
      </c>
      <c r="AB182" s="9">
        <f t="shared" ref="AB182" ca="1" si="5110">AA182</f>
        <v>0</v>
      </c>
      <c r="AC182" s="435">
        <f t="shared" ref="AC182" ca="1" si="5111">AB182</f>
        <v>0</v>
      </c>
      <c r="AD182" s="9">
        <f t="shared" ref="AD182" ca="1" si="5112">AC182</f>
        <v>0</v>
      </c>
      <c r="AE182" s="9">
        <f t="shared" ref="AE182" ca="1" si="5113">AD182</f>
        <v>0</v>
      </c>
      <c r="AF182" s="9">
        <f t="shared" ref="AF182" ca="1" si="5114">AE182</f>
        <v>0</v>
      </c>
      <c r="AG182" s="9">
        <f t="shared" ref="AG182" ca="1" si="5115">AF182</f>
        <v>0</v>
      </c>
      <c r="AH182" s="9">
        <f t="shared" ref="AH182" ca="1" si="5116">AG182</f>
        <v>0</v>
      </c>
      <c r="AI182" s="9">
        <f t="shared" ref="AI182" ca="1" si="5117">AH182</f>
        <v>0</v>
      </c>
      <c r="AJ182" s="9">
        <f t="shared" ref="AJ182" ca="1" si="5118">AI182</f>
        <v>0</v>
      </c>
      <c r="AK182" s="9">
        <f t="shared" ref="AK182" ca="1" si="5119">AJ182</f>
        <v>0</v>
      </c>
      <c r="AL182" s="9">
        <f t="shared" ref="AL182" ca="1" si="5120">AK182</f>
        <v>0</v>
      </c>
      <c r="AM182" s="9">
        <f t="shared" ref="AM182" ca="1" si="5121">AL182</f>
        <v>0</v>
      </c>
      <c r="AN182" s="9">
        <f t="shared" ref="AN182" ca="1" si="5122">AM182</f>
        <v>0</v>
      </c>
      <c r="AO182" s="9">
        <f t="shared" ref="AO182" ca="1" si="5123">AN182</f>
        <v>0</v>
      </c>
      <c r="AP182" s="435">
        <f t="shared" ref="AP182" ca="1" si="5124">AO182</f>
        <v>0</v>
      </c>
      <c r="AQ182" s="9">
        <f ca="1">AP182</f>
        <v>0</v>
      </c>
      <c r="AR182" s="9">
        <f t="shared" ref="AR182" ca="1" si="5125">AQ182</f>
        <v>0</v>
      </c>
      <c r="AS182" s="9">
        <f t="shared" ref="AS182" ca="1" si="5126">AR182</f>
        <v>0</v>
      </c>
      <c r="AT182" s="9">
        <f t="shared" ref="AT182" ca="1" si="5127">AS182</f>
        <v>0</v>
      </c>
      <c r="AU182" s="9">
        <f t="shared" ref="AU182" ca="1" si="5128">AT182</f>
        <v>0</v>
      </c>
      <c r="AV182" s="9">
        <f t="shared" ref="AV182" ca="1" si="5129">AU182</f>
        <v>0</v>
      </c>
      <c r="AW182" s="9">
        <f t="shared" ref="AW182" ca="1" si="5130">AV182</f>
        <v>0</v>
      </c>
      <c r="AX182" s="9">
        <f t="shared" ref="AX182" ca="1" si="5131">AW182</f>
        <v>0</v>
      </c>
      <c r="AY182" s="9">
        <f t="shared" ref="AY182" ca="1" si="5132">AX182</f>
        <v>0</v>
      </c>
      <c r="AZ182" s="9">
        <f t="shared" ref="AZ182" ca="1" si="5133">AY182</f>
        <v>0</v>
      </c>
      <c r="BA182" s="9">
        <f t="shared" ref="BA182" ca="1" si="5134">AZ182</f>
        <v>0</v>
      </c>
      <c r="BB182" s="9">
        <f t="shared" ref="BB182" ca="1" si="5135">BA182</f>
        <v>0</v>
      </c>
      <c r="BC182" s="435">
        <f t="shared" ref="BC182" ca="1" si="5136">BB182</f>
        <v>0</v>
      </c>
      <c r="BD182" s="9">
        <f t="shared" ref="BD182" ca="1" si="5137">BC182</f>
        <v>0</v>
      </c>
      <c r="BE182" s="9">
        <f t="shared" ref="BE182" ca="1" si="5138">BD182</f>
        <v>0</v>
      </c>
      <c r="BF182" s="9">
        <f t="shared" ref="BF182" ca="1" si="5139">BE182</f>
        <v>0</v>
      </c>
      <c r="BG182" s="9">
        <f t="shared" ref="BG182" ca="1" si="5140">BF182</f>
        <v>0</v>
      </c>
      <c r="BH182" s="9">
        <f t="shared" ref="BH182" ca="1" si="5141">BG182</f>
        <v>0</v>
      </c>
      <c r="BI182" s="9">
        <f t="shared" ref="BI182" ca="1" si="5142">BH182</f>
        <v>0</v>
      </c>
      <c r="BJ182" s="9">
        <f t="shared" ref="BJ182" ca="1" si="5143">BI182</f>
        <v>0</v>
      </c>
      <c r="BK182" s="9">
        <f t="shared" ref="BK182" ca="1" si="5144">BJ182</f>
        <v>0</v>
      </c>
      <c r="BL182" s="9">
        <f t="shared" ref="BL182" ca="1" si="5145">BK182</f>
        <v>0</v>
      </c>
      <c r="BM182" s="9">
        <f t="shared" ref="BM182" ca="1" si="5146">BL182</f>
        <v>0</v>
      </c>
      <c r="BN182" s="9">
        <f t="shared" ref="BN182" ca="1" si="5147">BM182</f>
        <v>0</v>
      </c>
      <c r="BO182" s="9">
        <f t="shared" ref="BO182" ca="1" si="5148">BN182</f>
        <v>0</v>
      </c>
      <c r="BP182" s="435">
        <f t="shared" ref="BP182" ca="1" si="5149">BO182</f>
        <v>0</v>
      </c>
      <c r="BQ182" s="9">
        <f t="shared" ref="BQ182" ca="1" si="5150">BP182</f>
        <v>0</v>
      </c>
      <c r="BR182" s="9">
        <f t="shared" ref="BR182" ca="1" si="5151">BQ182</f>
        <v>0</v>
      </c>
      <c r="BS182" s="9">
        <f t="shared" ref="BS182" ca="1" si="5152">BR182</f>
        <v>0</v>
      </c>
      <c r="BT182" s="9">
        <f t="shared" ref="BT182" ca="1" si="5153">BS182</f>
        <v>0</v>
      </c>
      <c r="BU182" s="9">
        <f t="shared" ref="BU182" ca="1" si="5154">BT182</f>
        <v>0</v>
      </c>
      <c r="BV182" s="9">
        <f t="shared" ref="BV182" ca="1" si="5155">BU182</f>
        <v>0</v>
      </c>
      <c r="BW182" s="9">
        <f t="shared" ref="BW182" ca="1" si="5156">BV182</f>
        <v>0</v>
      </c>
      <c r="BX182" s="9">
        <f t="shared" ref="BX182" ca="1" si="5157">BW182</f>
        <v>0</v>
      </c>
      <c r="BY182" s="9">
        <f t="shared" ref="BY182" ca="1" si="5158">BX182</f>
        <v>0</v>
      </c>
      <c r="BZ182" s="9">
        <f t="shared" ref="BZ182" ca="1" si="5159">BY182</f>
        <v>0</v>
      </c>
      <c r="CA182" s="9">
        <f t="shared" ref="CA182" ca="1" si="5160">BZ182</f>
        <v>0</v>
      </c>
      <c r="CB182" s="9">
        <f t="shared" ref="CB182" ca="1" si="5161">CA182</f>
        <v>0</v>
      </c>
      <c r="CC182" s="435">
        <f t="shared" ref="CC182" ca="1" si="5162">CB182</f>
        <v>0</v>
      </c>
      <c r="CD182" s="9">
        <f t="shared" ref="CD182" ca="1" si="5163">CC182</f>
        <v>0</v>
      </c>
      <c r="CE182" s="9">
        <f t="shared" ref="CE182" ca="1" si="5164">CD182</f>
        <v>0</v>
      </c>
      <c r="CF182" s="9">
        <f t="shared" ref="CF182" ca="1" si="5165">CE182</f>
        <v>0</v>
      </c>
      <c r="CG182" s="9">
        <f t="shared" ref="CG182" ca="1" si="5166">CF182</f>
        <v>0</v>
      </c>
      <c r="CH182" s="9">
        <f t="shared" ref="CH182" ca="1" si="5167">CG182</f>
        <v>0</v>
      </c>
      <c r="CI182" s="9">
        <f t="shared" ref="CI182" ca="1" si="5168">CH182</f>
        <v>0</v>
      </c>
      <c r="CJ182" s="9">
        <f t="shared" ref="CJ182" ca="1" si="5169">CI182</f>
        <v>0</v>
      </c>
      <c r="CK182" s="9">
        <f t="shared" ref="CK182" ca="1" si="5170">CJ182</f>
        <v>0</v>
      </c>
      <c r="CL182" s="9">
        <f t="shared" ref="CL182" ca="1" si="5171">CK182</f>
        <v>0</v>
      </c>
      <c r="CM182" s="9">
        <f t="shared" ref="CM182" ca="1" si="5172">CL182</f>
        <v>0</v>
      </c>
      <c r="CN182" s="9">
        <f t="shared" ref="CN182" ca="1" si="5173">CM182</f>
        <v>0</v>
      </c>
      <c r="CO182" s="9">
        <f t="shared" ref="CO182" ca="1" si="5174">CN182</f>
        <v>0</v>
      </c>
      <c r="CP182" s="435">
        <f t="shared" ref="CP182" ca="1" si="5175">CO182</f>
        <v>0</v>
      </c>
    </row>
    <row r="183" spans="1:94" ht="20.100000000000001" hidden="1" customHeight="1">
      <c r="A183" s="794"/>
      <c r="B183" s="255" t="s">
        <v>615</v>
      </c>
      <c r="C183" s="256">
        <f t="shared" ref="C183:O183" ca="1" si="5176">C181*C182</f>
        <v>0</v>
      </c>
      <c r="D183" s="255">
        <f t="shared" ca="1" si="5176"/>
        <v>0</v>
      </c>
      <c r="E183" s="255">
        <f t="shared" ca="1" si="5176"/>
        <v>0</v>
      </c>
      <c r="F183" s="255">
        <f t="shared" ca="1" si="5176"/>
        <v>0</v>
      </c>
      <c r="G183" s="255">
        <f t="shared" ca="1" si="5176"/>
        <v>0</v>
      </c>
      <c r="H183" s="255">
        <f t="shared" ca="1" si="5176"/>
        <v>0</v>
      </c>
      <c r="I183" s="255">
        <f t="shared" ca="1" si="5176"/>
        <v>0</v>
      </c>
      <c r="J183" s="255">
        <f t="shared" ca="1" si="5176"/>
        <v>0</v>
      </c>
      <c r="K183" s="255">
        <f t="shared" ca="1" si="5176"/>
        <v>0</v>
      </c>
      <c r="L183" s="255">
        <f t="shared" ca="1" si="5176"/>
        <v>0</v>
      </c>
      <c r="M183" s="255">
        <f t="shared" ca="1" si="5176"/>
        <v>0</v>
      </c>
      <c r="N183" s="255">
        <f t="shared" ca="1" si="5176"/>
        <v>0</v>
      </c>
      <c r="O183" s="255">
        <f t="shared" ca="1" si="5176"/>
        <v>0</v>
      </c>
      <c r="P183" s="434">
        <f ca="1">SUM(D183:O183)</f>
        <v>0</v>
      </c>
      <c r="Q183" s="255">
        <f t="shared" ref="Q183:AB183" ca="1" si="5177">Q181*Q182</f>
        <v>0</v>
      </c>
      <c r="R183" s="255">
        <f t="shared" ca="1" si="5177"/>
        <v>0</v>
      </c>
      <c r="S183" s="255">
        <f t="shared" ca="1" si="5177"/>
        <v>0</v>
      </c>
      <c r="T183" s="255">
        <f t="shared" ca="1" si="5177"/>
        <v>0</v>
      </c>
      <c r="U183" s="255">
        <f t="shared" ca="1" si="5177"/>
        <v>0</v>
      </c>
      <c r="V183" s="255">
        <f t="shared" ca="1" si="5177"/>
        <v>0</v>
      </c>
      <c r="W183" s="255">
        <f t="shared" ca="1" si="5177"/>
        <v>0</v>
      </c>
      <c r="X183" s="255">
        <f t="shared" ca="1" si="5177"/>
        <v>0</v>
      </c>
      <c r="Y183" s="255">
        <f t="shared" ca="1" si="5177"/>
        <v>0</v>
      </c>
      <c r="Z183" s="255">
        <f t="shared" ca="1" si="5177"/>
        <v>0</v>
      </c>
      <c r="AA183" s="255">
        <f t="shared" ca="1" si="5177"/>
        <v>0</v>
      </c>
      <c r="AB183" s="255">
        <f t="shared" ca="1" si="5177"/>
        <v>0</v>
      </c>
      <c r="AC183" s="434">
        <f ca="1">SUM(Q183:AB183)</f>
        <v>0</v>
      </c>
      <c r="AD183" s="255">
        <f t="shared" ref="AD183:AO183" ca="1" si="5178">AD181*AD182</f>
        <v>0</v>
      </c>
      <c r="AE183" s="255">
        <f t="shared" ca="1" si="5178"/>
        <v>0</v>
      </c>
      <c r="AF183" s="255">
        <f t="shared" ca="1" si="5178"/>
        <v>0</v>
      </c>
      <c r="AG183" s="255">
        <f t="shared" ca="1" si="5178"/>
        <v>0</v>
      </c>
      <c r="AH183" s="255">
        <f t="shared" ca="1" si="5178"/>
        <v>0</v>
      </c>
      <c r="AI183" s="255">
        <f t="shared" ca="1" si="5178"/>
        <v>0</v>
      </c>
      <c r="AJ183" s="255">
        <f t="shared" ca="1" si="5178"/>
        <v>0</v>
      </c>
      <c r="AK183" s="255">
        <f t="shared" ca="1" si="5178"/>
        <v>0</v>
      </c>
      <c r="AL183" s="255">
        <f t="shared" ca="1" si="5178"/>
        <v>0</v>
      </c>
      <c r="AM183" s="255">
        <f t="shared" ca="1" si="5178"/>
        <v>0</v>
      </c>
      <c r="AN183" s="255">
        <f t="shared" ca="1" si="5178"/>
        <v>0</v>
      </c>
      <c r="AO183" s="255">
        <f t="shared" ca="1" si="5178"/>
        <v>0</v>
      </c>
      <c r="AP183" s="434">
        <f ca="1">SUM(AD183:AO183)</f>
        <v>0</v>
      </c>
      <c r="AQ183" s="255">
        <f t="shared" ref="AQ183:BB183" ca="1" si="5179">AQ181*AQ182</f>
        <v>0</v>
      </c>
      <c r="AR183" s="255">
        <f t="shared" ca="1" si="5179"/>
        <v>0</v>
      </c>
      <c r="AS183" s="255">
        <f t="shared" ca="1" si="5179"/>
        <v>0</v>
      </c>
      <c r="AT183" s="255">
        <f t="shared" ca="1" si="5179"/>
        <v>0</v>
      </c>
      <c r="AU183" s="255">
        <f t="shared" ca="1" si="5179"/>
        <v>0</v>
      </c>
      <c r="AV183" s="255">
        <f t="shared" ca="1" si="5179"/>
        <v>0</v>
      </c>
      <c r="AW183" s="255">
        <f t="shared" ca="1" si="5179"/>
        <v>0</v>
      </c>
      <c r="AX183" s="255">
        <f t="shared" ca="1" si="5179"/>
        <v>0</v>
      </c>
      <c r="AY183" s="255">
        <f t="shared" ca="1" si="5179"/>
        <v>0</v>
      </c>
      <c r="AZ183" s="255">
        <f t="shared" ca="1" si="5179"/>
        <v>0</v>
      </c>
      <c r="BA183" s="255">
        <f t="shared" ca="1" si="5179"/>
        <v>0</v>
      </c>
      <c r="BB183" s="255">
        <f t="shared" ca="1" si="5179"/>
        <v>0</v>
      </c>
      <c r="BC183" s="434">
        <f ca="1">SUM(AQ183:BB183)</f>
        <v>0</v>
      </c>
      <c r="BD183" s="255">
        <f t="shared" ref="BD183:BO183" ca="1" si="5180">BD181*BD182</f>
        <v>0</v>
      </c>
      <c r="BE183" s="255">
        <f t="shared" ca="1" si="5180"/>
        <v>0</v>
      </c>
      <c r="BF183" s="255">
        <f t="shared" ca="1" si="5180"/>
        <v>0</v>
      </c>
      <c r="BG183" s="255">
        <f t="shared" ca="1" si="5180"/>
        <v>0</v>
      </c>
      <c r="BH183" s="255">
        <f t="shared" ca="1" si="5180"/>
        <v>0</v>
      </c>
      <c r="BI183" s="255">
        <f t="shared" ca="1" si="5180"/>
        <v>0</v>
      </c>
      <c r="BJ183" s="255">
        <f t="shared" ca="1" si="5180"/>
        <v>0</v>
      </c>
      <c r="BK183" s="255">
        <f t="shared" ca="1" si="5180"/>
        <v>0</v>
      </c>
      <c r="BL183" s="255">
        <f t="shared" ca="1" si="5180"/>
        <v>0</v>
      </c>
      <c r="BM183" s="255">
        <f t="shared" ca="1" si="5180"/>
        <v>0</v>
      </c>
      <c r="BN183" s="255">
        <f t="shared" ca="1" si="5180"/>
        <v>0</v>
      </c>
      <c r="BO183" s="255">
        <f t="shared" ca="1" si="5180"/>
        <v>0</v>
      </c>
      <c r="BP183" s="434">
        <f ca="1">SUM(BD183:BO183)</f>
        <v>0</v>
      </c>
      <c r="BQ183" s="255">
        <f t="shared" ref="BQ183:CB183" ca="1" si="5181">BQ181*BQ182</f>
        <v>0</v>
      </c>
      <c r="BR183" s="255">
        <f t="shared" ca="1" si="5181"/>
        <v>0</v>
      </c>
      <c r="BS183" s="255">
        <f t="shared" ca="1" si="5181"/>
        <v>0</v>
      </c>
      <c r="BT183" s="255">
        <f t="shared" ca="1" si="5181"/>
        <v>0</v>
      </c>
      <c r="BU183" s="255">
        <f t="shared" ca="1" si="5181"/>
        <v>0</v>
      </c>
      <c r="BV183" s="255">
        <f t="shared" ca="1" si="5181"/>
        <v>0</v>
      </c>
      <c r="BW183" s="255">
        <f t="shared" ca="1" si="5181"/>
        <v>0</v>
      </c>
      <c r="BX183" s="255">
        <f t="shared" ca="1" si="5181"/>
        <v>0</v>
      </c>
      <c r="BY183" s="255">
        <f t="shared" ca="1" si="5181"/>
        <v>0</v>
      </c>
      <c r="BZ183" s="255">
        <f t="shared" ca="1" si="5181"/>
        <v>0</v>
      </c>
      <c r="CA183" s="255">
        <f t="shared" ca="1" si="5181"/>
        <v>0</v>
      </c>
      <c r="CB183" s="255">
        <f t="shared" ca="1" si="5181"/>
        <v>0</v>
      </c>
      <c r="CC183" s="434">
        <f ca="1">SUM(BQ183:CB183)</f>
        <v>0</v>
      </c>
      <c r="CD183" s="255">
        <f t="shared" ref="CD183:CO183" ca="1" si="5182">CD181*CD182</f>
        <v>0</v>
      </c>
      <c r="CE183" s="255">
        <f t="shared" ca="1" si="5182"/>
        <v>0</v>
      </c>
      <c r="CF183" s="255">
        <f t="shared" ca="1" si="5182"/>
        <v>0</v>
      </c>
      <c r="CG183" s="255">
        <f t="shared" ca="1" si="5182"/>
        <v>0</v>
      </c>
      <c r="CH183" s="255">
        <f t="shared" ca="1" si="5182"/>
        <v>0</v>
      </c>
      <c r="CI183" s="255">
        <f t="shared" ca="1" si="5182"/>
        <v>0</v>
      </c>
      <c r="CJ183" s="255">
        <f t="shared" ca="1" si="5182"/>
        <v>0</v>
      </c>
      <c r="CK183" s="255">
        <f t="shared" ca="1" si="5182"/>
        <v>0</v>
      </c>
      <c r="CL183" s="255">
        <f t="shared" ca="1" si="5182"/>
        <v>0</v>
      </c>
      <c r="CM183" s="255">
        <f t="shared" ca="1" si="5182"/>
        <v>0</v>
      </c>
      <c r="CN183" s="255">
        <f t="shared" ca="1" si="5182"/>
        <v>0</v>
      </c>
      <c r="CO183" s="255">
        <f t="shared" ca="1" si="5182"/>
        <v>0</v>
      </c>
      <c r="CP183" s="434">
        <f ca="1">SUM(CD183:CO183)</f>
        <v>0</v>
      </c>
    </row>
    <row r="184" spans="1:94" ht="20.100000000000001" hidden="1" customHeight="1">
      <c r="A184" s="792">
        <f ca="1">OFFSET('Summary. Assumptions. Inputs'!$A$45,'Internmediate sheet'!A89/3,0)</f>
        <v>0</v>
      </c>
      <c r="B184" s="19" t="s">
        <v>613</v>
      </c>
      <c r="C184" s="20">
        <f ca="1">OFFSET('Sales, Production, &amp; Other Assu'!C$54,'Internmediate sheet'!$A89/3,0)*Capacity</f>
        <v>0</v>
      </c>
      <c r="D184" s="19">
        <f ca="1">OFFSET('Sales, Production, &amp; Other Assu'!D$54,'Internmediate sheet'!$A89/3,0)*Capacity</f>
        <v>0</v>
      </c>
      <c r="E184" s="19">
        <f ca="1">OFFSET('Sales, Production, &amp; Other Assu'!E$54,'Internmediate sheet'!$A89/3,0)*Capacity</f>
        <v>0</v>
      </c>
      <c r="F184" s="19">
        <f ca="1">OFFSET('Sales, Production, &amp; Other Assu'!F$54,'Internmediate sheet'!$A89/3,0)*Capacity</f>
        <v>0</v>
      </c>
      <c r="G184" s="19">
        <f ca="1">OFFSET('Sales, Production, &amp; Other Assu'!G$54,'Internmediate sheet'!$A89/3,0)*Capacity</f>
        <v>0</v>
      </c>
      <c r="H184" s="19">
        <f ca="1">OFFSET('Sales, Production, &amp; Other Assu'!H$54,'Internmediate sheet'!$A89/3,0)*Capacity</f>
        <v>0</v>
      </c>
      <c r="I184" s="19">
        <f ca="1">OFFSET('Sales, Production, &amp; Other Assu'!I$54,'Internmediate sheet'!$A89/3,0)*Capacity</f>
        <v>0</v>
      </c>
      <c r="J184" s="19">
        <f ca="1">OFFSET('Sales, Production, &amp; Other Assu'!J$54,'Internmediate sheet'!$A89/3,0)*Capacity</f>
        <v>0</v>
      </c>
      <c r="K184" s="19">
        <f ca="1">OFFSET('Sales, Production, &amp; Other Assu'!K$54,'Internmediate sheet'!$A89/3,0)*Capacity</f>
        <v>0</v>
      </c>
      <c r="L184" s="19">
        <f ca="1">OFFSET('Sales, Production, &amp; Other Assu'!L$54,'Internmediate sheet'!$A89/3,0)*Capacity</f>
        <v>0</v>
      </c>
      <c r="M184" s="19">
        <f ca="1">OFFSET('Sales, Production, &amp; Other Assu'!M$54,'Internmediate sheet'!$A89/3,0)*Capacity</f>
        <v>0</v>
      </c>
      <c r="N184" s="19">
        <f ca="1">OFFSET('Sales, Production, &amp; Other Assu'!N$54,'Internmediate sheet'!$A89/3,0)*Capacity</f>
        <v>0</v>
      </c>
      <c r="O184" s="19">
        <f ca="1">OFFSET('Sales, Production, &amp; Other Assu'!O$54,'Internmediate sheet'!$A89/3,0)*Capacity</f>
        <v>0</v>
      </c>
      <c r="P184" s="434">
        <f ca="1">SUM(D184:O184)</f>
        <v>0</v>
      </c>
      <c r="Q184" s="19">
        <f ca="1">OFFSET('Sales, Production, &amp; Other Assu'!Q$54,'Internmediate sheet'!$A89/3,0)*Capacity</f>
        <v>0</v>
      </c>
      <c r="R184" s="19">
        <f ca="1">OFFSET('Sales, Production, &amp; Other Assu'!R$54,'Internmediate sheet'!$A89/3,0)*Capacity</f>
        <v>0</v>
      </c>
      <c r="S184" s="19">
        <f ca="1">OFFSET('Sales, Production, &amp; Other Assu'!S$54,'Internmediate sheet'!$A89/3,0)*Capacity</f>
        <v>0</v>
      </c>
      <c r="T184" s="19">
        <f ca="1">OFFSET('Sales, Production, &amp; Other Assu'!T$54,'Internmediate sheet'!$A89/3,0)*Capacity</f>
        <v>0</v>
      </c>
      <c r="U184" s="19">
        <f ca="1">OFFSET('Sales, Production, &amp; Other Assu'!U$54,'Internmediate sheet'!$A89/3,0)*Capacity</f>
        <v>0</v>
      </c>
      <c r="V184" s="19">
        <f ca="1">OFFSET('Sales, Production, &amp; Other Assu'!V$54,'Internmediate sheet'!$A89/3,0)*Capacity</f>
        <v>0</v>
      </c>
      <c r="W184" s="19">
        <f ca="1">OFFSET('Sales, Production, &amp; Other Assu'!W$54,'Internmediate sheet'!$A89/3,0)*Capacity</f>
        <v>0</v>
      </c>
      <c r="X184" s="19">
        <f ca="1">OFFSET('Sales, Production, &amp; Other Assu'!X$54,'Internmediate sheet'!$A89/3,0)*Capacity</f>
        <v>0</v>
      </c>
      <c r="Y184" s="19">
        <f ca="1">OFFSET('Sales, Production, &amp; Other Assu'!Y$54,'Internmediate sheet'!$A89/3,0)*Capacity</f>
        <v>0</v>
      </c>
      <c r="Z184" s="19">
        <f ca="1">OFFSET('Sales, Production, &amp; Other Assu'!Z$54,'Internmediate sheet'!$A89/3,0)*Capacity</f>
        <v>0</v>
      </c>
      <c r="AA184" s="19">
        <f ca="1">OFFSET('Sales, Production, &amp; Other Assu'!AA$54,'Internmediate sheet'!$A89/3,0)*Capacity</f>
        <v>0</v>
      </c>
      <c r="AB184" s="19">
        <f ca="1">OFFSET('Sales, Production, &amp; Other Assu'!AB$54,'Internmediate sheet'!$A89/3,0)*Capacity</f>
        <v>0</v>
      </c>
      <c r="AC184" s="434">
        <f ca="1">SUM(Q184:AB184)</f>
        <v>0</v>
      </c>
      <c r="AD184" s="19">
        <f ca="1">OFFSET('Sales, Production, &amp; Other Assu'!AD$54,'Internmediate sheet'!$A89/3,0)*Capacity</f>
        <v>0</v>
      </c>
      <c r="AE184" s="19">
        <f ca="1">OFFSET('Sales, Production, &amp; Other Assu'!AE$54,'Internmediate sheet'!$A89/3,0)*Capacity</f>
        <v>0</v>
      </c>
      <c r="AF184" s="19">
        <f ca="1">OFFSET('Sales, Production, &amp; Other Assu'!AF$54,'Internmediate sheet'!$A89/3,0)*Capacity</f>
        <v>0</v>
      </c>
      <c r="AG184" s="19">
        <f ca="1">OFFSET('Sales, Production, &amp; Other Assu'!AG$54,'Internmediate sheet'!$A89/3,0)*Capacity</f>
        <v>0</v>
      </c>
      <c r="AH184" s="19">
        <f ca="1">OFFSET('Sales, Production, &amp; Other Assu'!AH$54,'Internmediate sheet'!$A89/3,0)*Capacity</f>
        <v>0</v>
      </c>
      <c r="AI184" s="19">
        <f ca="1">OFFSET('Sales, Production, &amp; Other Assu'!AI$54,'Internmediate sheet'!$A89/3,0)*Capacity</f>
        <v>0</v>
      </c>
      <c r="AJ184" s="19">
        <f ca="1">OFFSET('Sales, Production, &amp; Other Assu'!AJ$54,'Internmediate sheet'!$A89/3,0)*Capacity</f>
        <v>0</v>
      </c>
      <c r="AK184" s="19">
        <f ca="1">OFFSET('Sales, Production, &amp; Other Assu'!AK$54,'Internmediate sheet'!$A89/3,0)*Capacity</f>
        <v>0</v>
      </c>
      <c r="AL184" s="19">
        <f ca="1">OFFSET('Sales, Production, &amp; Other Assu'!AL$54,'Internmediate sheet'!$A89/3,0)*Capacity</f>
        <v>0</v>
      </c>
      <c r="AM184" s="19">
        <f ca="1">OFFSET('Sales, Production, &amp; Other Assu'!AM$54,'Internmediate sheet'!$A89/3,0)*Capacity</f>
        <v>0</v>
      </c>
      <c r="AN184" s="19">
        <f ca="1">OFFSET('Sales, Production, &amp; Other Assu'!AN$54,'Internmediate sheet'!$A89/3,0)*Capacity</f>
        <v>0</v>
      </c>
      <c r="AO184" s="19">
        <f ca="1">OFFSET('Sales, Production, &amp; Other Assu'!AO$54,'Internmediate sheet'!$A89/3,0)*Capacity</f>
        <v>0</v>
      </c>
      <c r="AP184" s="434">
        <f ca="1">SUM(AD184:AO184)</f>
        <v>0</v>
      </c>
      <c r="AQ184" s="19">
        <f ca="1">OFFSET('Sales, Production, &amp; Other Assu'!AQ$54,'Internmediate sheet'!$A89/3,0)*Capacity</f>
        <v>0</v>
      </c>
      <c r="AR184" s="19">
        <f ca="1">OFFSET('Sales, Production, &amp; Other Assu'!AR$54,'Internmediate sheet'!$A89/3,0)*Capacity</f>
        <v>0</v>
      </c>
      <c r="AS184" s="19">
        <f ca="1">OFFSET('Sales, Production, &amp; Other Assu'!AS$54,'Internmediate sheet'!$A89/3,0)*Capacity</f>
        <v>0</v>
      </c>
      <c r="AT184" s="19">
        <f ca="1">OFFSET('Sales, Production, &amp; Other Assu'!AT$54,'Internmediate sheet'!$A89/3,0)*Capacity</f>
        <v>0</v>
      </c>
      <c r="AU184" s="19">
        <f ca="1">OFFSET('Sales, Production, &amp; Other Assu'!AU$54,'Internmediate sheet'!$A89/3,0)*Capacity</f>
        <v>0</v>
      </c>
      <c r="AV184" s="19">
        <f ca="1">OFFSET('Sales, Production, &amp; Other Assu'!AV$54,'Internmediate sheet'!$A89/3,0)*Capacity</f>
        <v>0</v>
      </c>
      <c r="AW184" s="19">
        <f ca="1">OFFSET('Sales, Production, &amp; Other Assu'!AW$54,'Internmediate sheet'!$A89/3,0)*Capacity</f>
        <v>0</v>
      </c>
      <c r="AX184" s="19">
        <f ca="1">OFFSET('Sales, Production, &amp; Other Assu'!AX$54,'Internmediate sheet'!$A89/3,0)*Capacity</f>
        <v>0</v>
      </c>
      <c r="AY184" s="19">
        <f ca="1">OFFSET('Sales, Production, &amp; Other Assu'!AY$54,'Internmediate sheet'!$A89/3,0)*Capacity</f>
        <v>0</v>
      </c>
      <c r="AZ184" s="19">
        <f ca="1">OFFSET('Sales, Production, &amp; Other Assu'!AZ$54,'Internmediate sheet'!$A89/3,0)*Capacity</f>
        <v>0</v>
      </c>
      <c r="BA184" s="19">
        <f ca="1">OFFSET('Sales, Production, &amp; Other Assu'!BA$54,'Internmediate sheet'!$A89/3,0)*Capacity</f>
        <v>0</v>
      </c>
      <c r="BB184" s="19">
        <f ca="1">OFFSET('Sales, Production, &amp; Other Assu'!BB$54,'Internmediate sheet'!$A89/3,0)*Capacity</f>
        <v>0</v>
      </c>
      <c r="BC184" s="434">
        <f ca="1">SUM(AQ184:BB184)</f>
        <v>0</v>
      </c>
      <c r="BD184" s="19">
        <f ca="1">OFFSET('Sales, Production, &amp; Other Assu'!BD$54,'Internmediate sheet'!$A89/3,0)*Capacity</f>
        <v>0</v>
      </c>
      <c r="BE184" s="19">
        <f ca="1">OFFSET('Sales, Production, &amp; Other Assu'!BE$54,'Internmediate sheet'!$A89/3,0)*Capacity</f>
        <v>0</v>
      </c>
      <c r="BF184" s="19">
        <f ca="1">OFFSET('Sales, Production, &amp; Other Assu'!BF$54,'Internmediate sheet'!$A89/3,0)*Capacity</f>
        <v>0</v>
      </c>
      <c r="BG184" s="19">
        <f ca="1">OFFSET('Sales, Production, &amp; Other Assu'!BG$54,'Internmediate sheet'!$A89/3,0)*Capacity</f>
        <v>0</v>
      </c>
      <c r="BH184" s="19">
        <f ca="1">OFFSET('Sales, Production, &amp; Other Assu'!BH$54,'Internmediate sheet'!$A89/3,0)*Capacity</f>
        <v>0</v>
      </c>
      <c r="BI184" s="19">
        <f ca="1">OFFSET('Sales, Production, &amp; Other Assu'!BI$54,'Internmediate sheet'!$A89/3,0)*Capacity</f>
        <v>0</v>
      </c>
      <c r="BJ184" s="19">
        <f ca="1">OFFSET('Sales, Production, &amp; Other Assu'!BJ$54,'Internmediate sheet'!$A89/3,0)*Capacity</f>
        <v>0</v>
      </c>
      <c r="BK184" s="19">
        <f ca="1">OFFSET('Sales, Production, &amp; Other Assu'!BK$54,'Internmediate sheet'!$A89/3,0)*Capacity</f>
        <v>0</v>
      </c>
      <c r="BL184" s="19">
        <f ca="1">OFFSET('Sales, Production, &amp; Other Assu'!BL$54,'Internmediate sheet'!$A89/3,0)*Capacity</f>
        <v>0</v>
      </c>
      <c r="BM184" s="19">
        <f ca="1">OFFSET('Sales, Production, &amp; Other Assu'!BM$54,'Internmediate sheet'!$A89/3,0)*Capacity</f>
        <v>0</v>
      </c>
      <c r="BN184" s="19">
        <f ca="1">OFFSET('Sales, Production, &amp; Other Assu'!BN$54,'Internmediate sheet'!$A89/3,0)*Capacity</f>
        <v>0</v>
      </c>
      <c r="BO184" s="19">
        <f ca="1">OFFSET('Sales, Production, &amp; Other Assu'!BO$54,'Internmediate sheet'!$A89/3,0)*Capacity</f>
        <v>0</v>
      </c>
      <c r="BP184" s="434">
        <f ca="1">SUM(BD184:BO184)</f>
        <v>0</v>
      </c>
      <c r="BQ184" s="19">
        <f ca="1">OFFSET('Sales, Production, &amp; Other Assu'!BQ$54,'Internmediate sheet'!$A89/3,0)*Capacity</f>
        <v>0</v>
      </c>
      <c r="BR184" s="19">
        <f ca="1">OFFSET('Sales, Production, &amp; Other Assu'!BR$54,'Internmediate sheet'!$A89/3,0)*Capacity</f>
        <v>0</v>
      </c>
      <c r="BS184" s="19">
        <f ca="1">OFFSET('Sales, Production, &amp; Other Assu'!BS$54,'Internmediate sheet'!$A89/3,0)*Capacity</f>
        <v>0</v>
      </c>
      <c r="BT184" s="19">
        <f ca="1">OFFSET('Sales, Production, &amp; Other Assu'!BT$54,'Internmediate sheet'!$A89/3,0)*Capacity</f>
        <v>0</v>
      </c>
      <c r="BU184" s="19">
        <f ca="1">OFFSET('Sales, Production, &amp; Other Assu'!BU$54,'Internmediate sheet'!$A89/3,0)*Capacity</f>
        <v>0</v>
      </c>
      <c r="BV184" s="19">
        <f ca="1">OFFSET('Sales, Production, &amp; Other Assu'!BV$54,'Internmediate sheet'!$A89/3,0)*Capacity</f>
        <v>0</v>
      </c>
      <c r="BW184" s="19">
        <f ca="1">OFFSET('Sales, Production, &amp; Other Assu'!BW$54,'Internmediate sheet'!$A89/3,0)*Capacity</f>
        <v>0</v>
      </c>
      <c r="BX184" s="19">
        <f ca="1">OFFSET('Sales, Production, &amp; Other Assu'!BX$54,'Internmediate sheet'!$A89/3,0)*Capacity</f>
        <v>0</v>
      </c>
      <c r="BY184" s="19">
        <f ca="1">OFFSET('Sales, Production, &amp; Other Assu'!BY$54,'Internmediate sheet'!$A89/3,0)*Capacity</f>
        <v>0</v>
      </c>
      <c r="BZ184" s="19">
        <f ca="1">OFFSET('Sales, Production, &amp; Other Assu'!BZ$54,'Internmediate sheet'!$A89/3,0)*Capacity</f>
        <v>0</v>
      </c>
      <c r="CA184" s="19">
        <f ca="1">OFFSET('Sales, Production, &amp; Other Assu'!CA$54,'Internmediate sheet'!$A89/3,0)*Capacity</f>
        <v>0</v>
      </c>
      <c r="CB184" s="19">
        <f ca="1">OFFSET('Sales, Production, &amp; Other Assu'!CB$54,'Internmediate sheet'!$A89/3,0)*Capacity</f>
        <v>0</v>
      </c>
      <c r="CC184" s="434">
        <f ca="1">SUM(BQ184:CB184)</f>
        <v>0</v>
      </c>
      <c r="CD184" s="19">
        <f ca="1">OFFSET('Sales, Production, &amp; Other Assu'!CD$54,'Internmediate sheet'!$A89/3,0)*Capacity</f>
        <v>0</v>
      </c>
      <c r="CE184" s="19">
        <f ca="1">OFFSET('Sales, Production, &amp; Other Assu'!CE$54,'Internmediate sheet'!$A89/3,0)*Capacity</f>
        <v>0</v>
      </c>
      <c r="CF184" s="19">
        <f ca="1">OFFSET('Sales, Production, &amp; Other Assu'!CF$54,'Internmediate sheet'!$A89/3,0)*Capacity</f>
        <v>0</v>
      </c>
      <c r="CG184" s="19">
        <f ca="1">OFFSET('Sales, Production, &amp; Other Assu'!CG$54,'Internmediate sheet'!$A89/3,0)*Capacity</f>
        <v>0</v>
      </c>
      <c r="CH184" s="19">
        <f ca="1">OFFSET('Sales, Production, &amp; Other Assu'!CH$54,'Internmediate sheet'!$A89/3,0)*Capacity</f>
        <v>0</v>
      </c>
      <c r="CI184" s="19">
        <f ca="1">OFFSET('Sales, Production, &amp; Other Assu'!CI$54,'Internmediate sheet'!$A89/3,0)*Capacity</f>
        <v>0</v>
      </c>
      <c r="CJ184" s="19">
        <f ca="1">OFFSET('Sales, Production, &amp; Other Assu'!CJ$54,'Internmediate sheet'!$A89/3,0)*Capacity</f>
        <v>0</v>
      </c>
      <c r="CK184" s="19">
        <f ca="1">OFFSET('Sales, Production, &amp; Other Assu'!CK$54,'Internmediate sheet'!$A89/3,0)*Capacity</f>
        <v>0</v>
      </c>
      <c r="CL184" s="19">
        <f ca="1">OFFSET('Sales, Production, &amp; Other Assu'!CL$54,'Internmediate sheet'!$A89/3,0)*Capacity</f>
        <v>0</v>
      </c>
      <c r="CM184" s="19">
        <f ca="1">OFFSET('Sales, Production, &amp; Other Assu'!CM$54,'Internmediate sheet'!$A89/3,0)*Capacity</f>
        <v>0</v>
      </c>
      <c r="CN184" s="19">
        <f ca="1">OFFSET('Sales, Production, &amp; Other Assu'!CN$54,'Internmediate sheet'!$A89/3,0)*Capacity</f>
        <v>0</v>
      </c>
      <c r="CO184" s="19">
        <f ca="1">OFFSET('Sales, Production, &amp; Other Assu'!CO$54,'Internmediate sheet'!$A89/3,0)*Capacity</f>
        <v>0</v>
      </c>
      <c r="CP184" s="434">
        <f ca="1">SUM(CD184:CO184)</f>
        <v>0</v>
      </c>
    </row>
    <row r="185" spans="1:94" ht="20.100000000000001" hidden="1" customHeight="1">
      <c r="A185" s="793"/>
      <c r="B185" s="9" t="s">
        <v>614</v>
      </c>
      <c r="C185" s="10">
        <f ca="1">OFFSET('BEP. &amp; Summary Results'!$C$6,'Internmediate sheet'!A86/3,0)</f>
        <v>0</v>
      </c>
      <c r="D185" s="9">
        <f t="shared" ref="D185" ca="1" si="5183">C185</f>
        <v>0</v>
      </c>
      <c r="E185" s="9">
        <f t="shared" ref="E185" ca="1" si="5184">D185</f>
        <v>0</v>
      </c>
      <c r="F185" s="9">
        <f t="shared" ref="F185" ca="1" si="5185">E185</f>
        <v>0</v>
      </c>
      <c r="G185" s="9">
        <f t="shared" ref="G185" ca="1" si="5186">F185</f>
        <v>0</v>
      </c>
      <c r="H185" s="9">
        <f t="shared" ref="H185" ca="1" si="5187">G185</f>
        <v>0</v>
      </c>
      <c r="I185" s="9">
        <f t="shared" ref="I185" ca="1" si="5188">H185</f>
        <v>0</v>
      </c>
      <c r="J185" s="9">
        <f t="shared" ref="J185" ca="1" si="5189">I185</f>
        <v>0</v>
      </c>
      <c r="K185" s="9">
        <f t="shared" ref="K185" ca="1" si="5190">J185</f>
        <v>0</v>
      </c>
      <c r="L185" s="9">
        <f t="shared" ref="L185" ca="1" si="5191">K185</f>
        <v>0</v>
      </c>
      <c r="M185" s="9">
        <f t="shared" ref="M185" ca="1" si="5192">L185</f>
        <v>0</v>
      </c>
      <c r="N185" s="9">
        <f t="shared" ref="N185" ca="1" si="5193">M185</f>
        <v>0</v>
      </c>
      <c r="O185" s="9">
        <f t="shared" ref="O185" ca="1" si="5194">N185</f>
        <v>0</v>
      </c>
      <c r="P185" s="435">
        <f t="shared" ref="P185" ca="1" si="5195">O185</f>
        <v>0</v>
      </c>
      <c r="Q185" s="9">
        <f t="shared" ref="Q185" ca="1" si="5196">P185</f>
        <v>0</v>
      </c>
      <c r="R185" s="9">
        <f t="shared" ref="R185" ca="1" si="5197">Q185</f>
        <v>0</v>
      </c>
      <c r="S185" s="9">
        <f t="shared" ref="S185" ca="1" si="5198">R185</f>
        <v>0</v>
      </c>
      <c r="T185" s="9">
        <f t="shared" ref="T185" ca="1" si="5199">S185</f>
        <v>0</v>
      </c>
      <c r="U185" s="9">
        <f t="shared" ref="U185" ca="1" si="5200">T185</f>
        <v>0</v>
      </c>
      <c r="V185" s="9">
        <f t="shared" ref="V185" ca="1" si="5201">U185</f>
        <v>0</v>
      </c>
      <c r="W185" s="9">
        <f t="shared" ref="W185" ca="1" si="5202">V185</f>
        <v>0</v>
      </c>
      <c r="X185" s="9">
        <f t="shared" ref="X185" ca="1" si="5203">W185</f>
        <v>0</v>
      </c>
      <c r="Y185" s="9">
        <f t="shared" ref="Y185" ca="1" si="5204">X185</f>
        <v>0</v>
      </c>
      <c r="Z185" s="9">
        <f t="shared" ref="Z185" ca="1" si="5205">Y185</f>
        <v>0</v>
      </c>
      <c r="AA185" s="9">
        <f t="shared" ref="AA185" ca="1" si="5206">Z185</f>
        <v>0</v>
      </c>
      <c r="AB185" s="9">
        <f t="shared" ref="AB185" ca="1" si="5207">AA185</f>
        <v>0</v>
      </c>
      <c r="AC185" s="435">
        <f t="shared" ref="AC185" ca="1" si="5208">AB185</f>
        <v>0</v>
      </c>
      <c r="AD185" s="9">
        <f t="shared" ref="AD185" ca="1" si="5209">AC185</f>
        <v>0</v>
      </c>
      <c r="AE185" s="9">
        <f t="shared" ref="AE185" ca="1" si="5210">AD185</f>
        <v>0</v>
      </c>
      <c r="AF185" s="9">
        <f t="shared" ref="AF185" ca="1" si="5211">AE185</f>
        <v>0</v>
      </c>
      <c r="AG185" s="9">
        <f t="shared" ref="AG185" ca="1" si="5212">AF185</f>
        <v>0</v>
      </c>
      <c r="AH185" s="9">
        <f t="shared" ref="AH185" ca="1" si="5213">AG185</f>
        <v>0</v>
      </c>
      <c r="AI185" s="9">
        <f t="shared" ref="AI185" ca="1" si="5214">AH185</f>
        <v>0</v>
      </c>
      <c r="AJ185" s="9">
        <f t="shared" ref="AJ185" ca="1" si="5215">AI185</f>
        <v>0</v>
      </c>
      <c r="AK185" s="9">
        <f t="shared" ref="AK185" ca="1" si="5216">AJ185</f>
        <v>0</v>
      </c>
      <c r="AL185" s="9">
        <f t="shared" ref="AL185" ca="1" si="5217">AK185</f>
        <v>0</v>
      </c>
      <c r="AM185" s="9">
        <f t="shared" ref="AM185" ca="1" si="5218">AL185</f>
        <v>0</v>
      </c>
      <c r="AN185" s="9">
        <f t="shared" ref="AN185" ca="1" si="5219">AM185</f>
        <v>0</v>
      </c>
      <c r="AO185" s="9">
        <f t="shared" ref="AO185" ca="1" si="5220">AN185</f>
        <v>0</v>
      </c>
      <c r="AP185" s="435">
        <f t="shared" ref="AP185" ca="1" si="5221">AO185</f>
        <v>0</v>
      </c>
      <c r="AQ185" s="9">
        <f ca="1">AP185</f>
        <v>0</v>
      </c>
      <c r="AR185" s="9">
        <f t="shared" ref="AR185" ca="1" si="5222">AQ185</f>
        <v>0</v>
      </c>
      <c r="AS185" s="9">
        <f t="shared" ref="AS185" ca="1" si="5223">AR185</f>
        <v>0</v>
      </c>
      <c r="AT185" s="9">
        <f t="shared" ref="AT185" ca="1" si="5224">AS185</f>
        <v>0</v>
      </c>
      <c r="AU185" s="9">
        <f t="shared" ref="AU185" ca="1" si="5225">AT185</f>
        <v>0</v>
      </c>
      <c r="AV185" s="9">
        <f t="shared" ref="AV185" ca="1" si="5226">AU185</f>
        <v>0</v>
      </c>
      <c r="AW185" s="9">
        <f t="shared" ref="AW185" ca="1" si="5227">AV185</f>
        <v>0</v>
      </c>
      <c r="AX185" s="9">
        <f t="shared" ref="AX185" ca="1" si="5228">AW185</f>
        <v>0</v>
      </c>
      <c r="AY185" s="9">
        <f t="shared" ref="AY185" ca="1" si="5229">AX185</f>
        <v>0</v>
      </c>
      <c r="AZ185" s="9">
        <f t="shared" ref="AZ185" ca="1" si="5230">AY185</f>
        <v>0</v>
      </c>
      <c r="BA185" s="9">
        <f t="shared" ref="BA185" ca="1" si="5231">AZ185</f>
        <v>0</v>
      </c>
      <c r="BB185" s="9">
        <f t="shared" ref="BB185" ca="1" si="5232">BA185</f>
        <v>0</v>
      </c>
      <c r="BC185" s="435">
        <f t="shared" ref="BC185" ca="1" si="5233">BB185</f>
        <v>0</v>
      </c>
      <c r="BD185" s="9">
        <f t="shared" ref="BD185" ca="1" si="5234">BC185</f>
        <v>0</v>
      </c>
      <c r="BE185" s="9">
        <f t="shared" ref="BE185" ca="1" si="5235">BD185</f>
        <v>0</v>
      </c>
      <c r="BF185" s="9">
        <f t="shared" ref="BF185" ca="1" si="5236">BE185</f>
        <v>0</v>
      </c>
      <c r="BG185" s="9">
        <f t="shared" ref="BG185" ca="1" si="5237">BF185</f>
        <v>0</v>
      </c>
      <c r="BH185" s="9">
        <f t="shared" ref="BH185" ca="1" si="5238">BG185</f>
        <v>0</v>
      </c>
      <c r="BI185" s="9">
        <f t="shared" ref="BI185" ca="1" si="5239">BH185</f>
        <v>0</v>
      </c>
      <c r="BJ185" s="9">
        <f t="shared" ref="BJ185" ca="1" si="5240">BI185</f>
        <v>0</v>
      </c>
      <c r="BK185" s="9">
        <f t="shared" ref="BK185" ca="1" si="5241">BJ185</f>
        <v>0</v>
      </c>
      <c r="BL185" s="9">
        <f t="shared" ref="BL185" ca="1" si="5242">BK185</f>
        <v>0</v>
      </c>
      <c r="BM185" s="9">
        <f t="shared" ref="BM185" ca="1" si="5243">BL185</f>
        <v>0</v>
      </c>
      <c r="BN185" s="9">
        <f t="shared" ref="BN185" ca="1" si="5244">BM185</f>
        <v>0</v>
      </c>
      <c r="BO185" s="9">
        <f t="shared" ref="BO185" ca="1" si="5245">BN185</f>
        <v>0</v>
      </c>
      <c r="BP185" s="435">
        <f t="shared" ref="BP185" ca="1" si="5246">BO185</f>
        <v>0</v>
      </c>
      <c r="BQ185" s="9">
        <f t="shared" ref="BQ185" ca="1" si="5247">BP185</f>
        <v>0</v>
      </c>
      <c r="BR185" s="9">
        <f t="shared" ref="BR185" ca="1" si="5248">BQ185</f>
        <v>0</v>
      </c>
      <c r="BS185" s="9">
        <f t="shared" ref="BS185" ca="1" si="5249">BR185</f>
        <v>0</v>
      </c>
      <c r="BT185" s="9">
        <f t="shared" ref="BT185" ca="1" si="5250">BS185</f>
        <v>0</v>
      </c>
      <c r="BU185" s="9">
        <f t="shared" ref="BU185" ca="1" si="5251">BT185</f>
        <v>0</v>
      </c>
      <c r="BV185" s="9">
        <f t="shared" ref="BV185" ca="1" si="5252">BU185</f>
        <v>0</v>
      </c>
      <c r="BW185" s="9">
        <f t="shared" ref="BW185" ca="1" si="5253">BV185</f>
        <v>0</v>
      </c>
      <c r="BX185" s="9">
        <f t="shared" ref="BX185" ca="1" si="5254">BW185</f>
        <v>0</v>
      </c>
      <c r="BY185" s="9">
        <f t="shared" ref="BY185" ca="1" si="5255">BX185</f>
        <v>0</v>
      </c>
      <c r="BZ185" s="9">
        <f t="shared" ref="BZ185" ca="1" si="5256">BY185</f>
        <v>0</v>
      </c>
      <c r="CA185" s="9">
        <f t="shared" ref="CA185" ca="1" si="5257">BZ185</f>
        <v>0</v>
      </c>
      <c r="CB185" s="9">
        <f t="shared" ref="CB185" ca="1" si="5258">CA185</f>
        <v>0</v>
      </c>
      <c r="CC185" s="435">
        <f t="shared" ref="CC185" ca="1" si="5259">CB185</f>
        <v>0</v>
      </c>
      <c r="CD185" s="9">
        <f t="shared" ref="CD185" ca="1" si="5260">CC185</f>
        <v>0</v>
      </c>
      <c r="CE185" s="9">
        <f t="shared" ref="CE185" ca="1" si="5261">CD185</f>
        <v>0</v>
      </c>
      <c r="CF185" s="9">
        <f t="shared" ref="CF185" ca="1" si="5262">CE185</f>
        <v>0</v>
      </c>
      <c r="CG185" s="9">
        <f t="shared" ref="CG185" ca="1" si="5263">CF185</f>
        <v>0</v>
      </c>
      <c r="CH185" s="9">
        <f t="shared" ref="CH185" ca="1" si="5264">CG185</f>
        <v>0</v>
      </c>
      <c r="CI185" s="9">
        <f t="shared" ref="CI185" ca="1" si="5265">CH185</f>
        <v>0</v>
      </c>
      <c r="CJ185" s="9">
        <f t="shared" ref="CJ185" ca="1" si="5266">CI185</f>
        <v>0</v>
      </c>
      <c r="CK185" s="9">
        <f t="shared" ref="CK185" ca="1" si="5267">CJ185</f>
        <v>0</v>
      </c>
      <c r="CL185" s="9">
        <f t="shared" ref="CL185" ca="1" si="5268">CK185</f>
        <v>0</v>
      </c>
      <c r="CM185" s="9">
        <f t="shared" ref="CM185" ca="1" si="5269">CL185</f>
        <v>0</v>
      </c>
      <c r="CN185" s="9">
        <f t="shared" ref="CN185" ca="1" si="5270">CM185</f>
        <v>0</v>
      </c>
      <c r="CO185" s="9">
        <f t="shared" ref="CO185" ca="1" si="5271">CN185</f>
        <v>0</v>
      </c>
      <c r="CP185" s="435">
        <f t="shared" ref="CP185" ca="1" si="5272">CO185</f>
        <v>0</v>
      </c>
    </row>
    <row r="186" spans="1:94" ht="20.100000000000001" hidden="1" customHeight="1">
      <c r="A186" s="794"/>
      <c r="B186" s="255" t="s">
        <v>615</v>
      </c>
      <c r="C186" s="256">
        <f t="shared" ref="C186:O186" ca="1" si="5273">C184*C185</f>
        <v>0</v>
      </c>
      <c r="D186" s="255">
        <f t="shared" ca="1" si="5273"/>
        <v>0</v>
      </c>
      <c r="E186" s="255">
        <f t="shared" ca="1" si="5273"/>
        <v>0</v>
      </c>
      <c r="F186" s="255">
        <f t="shared" ca="1" si="5273"/>
        <v>0</v>
      </c>
      <c r="G186" s="255">
        <f t="shared" ca="1" si="5273"/>
        <v>0</v>
      </c>
      <c r="H186" s="255">
        <f t="shared" ca="1" si="5273"/>
        <v>0</v>
      </c>
      <c r="I186" s="255">
        <f t="shared" ca="1" si="5273"/>
        <v>0</v>
      </c>
      <c r="J186" s="255">
        <f t="shared" ca="1" si="5273"/>
        <v>0</v>
      </c>
      <c r="K186" s="255">
        <f t="shared" ca="1" si="5273"/>
        <v>0</v>
      </c>
      <c r="L186" s="255">
        <f t="shared" ca="1" si="5273"/>
        <v>0</v>
      </c>
      <c r="M186" s="255">
        <f t="shared" ca="1" si="5273"/>
        <v>0</v>
      </c>
      <c r="N186" s="255">
        <f t="shared" ca="1" si="5273"/>
        <v>0</v>
      </c>
      <c r="O186" s="255">
        <f t="shared" ca="1" si="5273"/>
        <v>0</v>
      </c>
      <c r="P186" s="434">
        <f ca="1">SUM(D186:O186)</f>
        <v>0</v>
      </c>
      <c r="Q186" s="255">
        <f t="shared" ref="Q186:AB186" ca="1" si="5274">Q184*Q185</f>
        <v>0</v>
      </c>
      <c r="R186" s="255">
        <f t="shared" ca="1" si="5274"/>
        <v>0</v>
      </c>
      <c r="S186" s="255">
        <f t="shared" ca="1" si="5274"/>
        <v>0</v>
      </c>
      <c r="T186" s="255">
        <f t="shared" ca="1" si="5274"/>
        <v>0</v>
      </c>
      <c r="U186" s="255">
        <f t="shared" ca="1" si="5274"/>
        <v>0</v>
      </c>
      <c r="V186" s="255">
        <f t="shared" ca="1" si="5274"/>
        <v>0</v>
      </c>
      <c r="W186" s="255">
        <f t="shared" ca="1" si="5274"/>
        <v>0</v>
      </c>
      <c r="X186" s="255">
        <f t="shared" ca="1" si="5274"/>
        <v>0</v>
      </c>
      <c r="Y186" s="255">
        <f t="shared" ca="1" si="5274"/>
        <v>0</v>
      </c>
      <c r="Z186" s="255">
        <f t="shared" ca="1" si="5274"/>
        <v>0</v>
      </c>
      <c r="AA186" s="255">
        <f t="shared" ca="1" si="5274"/>
        <v>0</v>
      </c>
      <c r="AB186" s="255">
        <f t="shared" ca="1" si="5274"/>
        <v>0</v>
      </c>
      <c r="AC186" s="434">
        <f ca="1">SUM(Q186:AB186)</f>
        <v>0</v>
      </c>
      <c r="AD186" s="255">
        <f t="shared" ref="AD186:AO186" ca="1" si="5275">AD184*AD185</f>
        <v>0</v>
      </c>
      <c r="AE186" s="255">
        <f t="shared" ca="1" si="5275"/>
        <v>0</v>
      </c>
      <c r="AF186" s="255">
        <f t="shared" ca="1" si="5275"/>
        <v>0</v>
      </c>
      <c r="AG186" s="255">
        <f t="shared" ca="1" si="5275"/>
        <v>0</v>
      </c>
      <c r="AH186" s="255">
        <f t="shared" ca="1" si="5275"/>
        <v>0</v>
      </c>
      <c r="AI186" s="255">
        <f t="shared" ca="1" si="5275"/>
        <v>0</v>
      </c>
      <c r="AJ186" s="255">
        <f t="shared" ca="1" si="5275"/>
        <v>0</v>
      </c>
      <c r="AK186" s="255">
        <f t="shared" ca="1" si="5275"/>
        <v>0</v>
      </c>
      <c r="AL186" s="255">
        <f t="shared" ca="1" si="5275"/>
        <v>0</v>
      </c>
      <c r="AM186" s="255">
        <f t="shared" ca="1" si="5275"/>
        <v>0</v>
      </c>
      <c r="AN186" s="255">
        <f t="shared" ca="1" si="5275"/>
        <v>0</v>
      </c>
      <c r="AO186" s="255">
        <f t="shared" ca="1" si="5275"/>
        <v>0</v>
      </c>
      <c r="AP186" s="434">
        <f ca="1">SUM(AD186:AO186)</f>
        <v>0</v>
      </c>
      <c r="AQ186" s="255">
        <f t="shared" ref="AQ186:BB186" ca="1" si="5276">AQ184*AQ185</f>
        <v>0</v>
      </c>
      <c r="AR186" s="255">
        <f t="shared" ca="1" si="5276"/>
        <v>0</v>
      </c>
      <c r="AS186" s="255">
        <f t="shared" ca="1" si="5276"/>
        <v>0</v>
      </c>
      <c r="AT186" s="255">
        <f t="shared" ca="1" si="5276"/>
        <v>0</v>
      </c>
      <c r="AU186" s="255">
        <f t="shared" ca="1" si="5276"/>
        <v>0</v>
      </c>
      <c r="AV186" s="255">
        <f t="shared" ca="1" si="5276"/>
        <v>0</v>
      </c>
      <c r="AW186" s="255">
        <f t="shared" ca="1" si="5276"/>
        <v>0</v>
      </c>
      <c r="AX186" s="255">
        <f t="shared" ca="1" si="5276"/>
        <v>0</v>
      </c>
      <c r="AY186" s="255">
        <f t="shared" ca="1" si="5276"/>
        <v>0</v>
      </c>
      <c r="AZ186" s="255">
        <f t="shared" ca="1" si="5276"/>
        <v>0</v>
      </c>
      <c r="BA186" s="255">
        <f t="shared" ca="1" si="5276"/>
        <v>0</v>
      </c>
      <c r="BB186" s="255">
        <f t="shared" ca="1" si="5276"/>
        <v>0</v>
      </c>
      <c r="BC186" s="434">
        <f ca="1">SUM(AQ186:BB186)</f>
        <v>0</v>
      </c>
      <c r="BD186" s="255">
        <f t="shared" ref="BD186:BO186" ca="1" si="5277">BD184*BD185</f>
        <v>0</v>
      </c>
      <c r="BE186" s="255">
        <f t="shared" ca="1" si="5277"/>
        <v>0</v>
      </c>
      <c r="BF186" s="255">
        <f t="shared" ca="1" si="5277"/>
        <v>0</v>
      </c>
      <c r="BG186" s="255">
        <f t="shared" ca="1" si="5277"/>
        <v>0</v>
      </c>
      <c r="BH186" s="255">
        <f t="shared" ca="1" si="5277"/>
        <v>0</v>
      </c>
      <c r="BI186" s="255">
        <f t="shared" ca="1" si="5277"/>
        <v>0</v>
      </c>
      <c r="BJ186" s="255">
        <f t="shared" ca="1" si="5277"/>
        <v>0</v>
      </c>
      <c r="BK186" s="255">
        <f t="shared" ca="1" si="5277"/>
        <v>0</v>
      </c>
      <c r="BL186" s="255">
        <f t="shared" ca="1" si="5277"/>
        <v>0</v>
      </c>
      <c r="BM186" s="255">
        <f t="shared" ca="1" si="5277"/>
        <v>0</v>
      </c>
      <c r="BN186" s="255">
        <f t="shared" ca="1" si="5277"/>
        <v>0</v>
      </c>
      <c r="BO186" s="255">
        <f t="shared" ca="1" si="5277"/>
        <v>0</v>
      </c>
      <c r="BP186" s="434">
        <f ca="1">SUM(BD186:BO186)</f>
        <v>0</v>
      </c>
      <c r="BQ186" s="255">
        <f t="shared" ref="BQ186:CB186" ca="1" si="5278">BQ184*BQ185</f>
        <v>0</v>
      </c>
      <c r="BR186" s="255">
        <f t="shared" ca="1" si="5278"/>
        <v>0</v>
      </c>
      <c r="BS186" s="255">
        <f t="shared" ca="1" si="5278"/>
        <v>0</v>
      </c>
      <c r="BT186" s="255">
        <f t="shared" ca="1" si="5278"/>
        <v>0</v>
      </c>
      <c r="BU186" s="255">
        <f t="shared" ca="1" si="5278"/>
        <v>0</v>
      </c>
      <c r="BV186" s="255">
        <f t="shared" ca="1" si="5278"/>
        <v>0</v>
      </c>
      <c r="BW186" s="255">
        <f t="shared" ca="1" si="5278"/>
        <v>0</v>
      </c>
      <c r="BX186" s="255">
        <f t="shared" ca="1" si="5278"/>
        <v>0</v>
      </c>
      <c r="BY186" s="255">
        <f t="shared" ca="1" si="5278"/>
        <v>0</v>
      </c>
      <c r="BZ186" s="255">
        <f t="shared" ca="1" si="5278"/>
        <v>0</v>
      </c>
      <c r="CA186" s="255">
        <f t="shared" ca="1" si="5278"/>
        <v>0</v>
      </c>
      <c r="CB186" s="255">
        <f t="shared" ca="1" si="5278"/>
        <v>0</v>
      </c>
      <c r="CC186" s="434">
        <f ca="1">SUM(BQ186:CB186)</f>
        <v>0</v>
      </c>
      <c r="CD186" s="255">
        <f t="shared" ref="CD186:CO186" ca="1" si="5279">CD184*CD185</f>
        <v>0</v>
      </c>
      <c r="CE186" s="255">
        <f t="shared" ca="1" si="5279"/>
        <v>0</v>
      </c>
      <c r="CF186" s="255">
        <f t="shared" ca="1" si="5279"/>
        <v>0</v>
      </c>
      <c r="CG186" s="255">
        <f t="shared" ca="1" si="5279"/>
        <v>0</v>
      </c>
      <c r="CH186" s="255">
        <f t="shared" ca="1" si="5279"/>
        <v>0</v>
      </c>
      <c r="CI186" s="255">
        <f t="shared" ca="1" si="5279"/>
        <v>0</v>
      </c>
      <c r="CJ186" s="255">
        <f t="shared" ca="1" si="5279"/>
        <v>0</v>
      </c>
      <c r="CK186" s="255">
        <f t="shared" ca="1" si="5279"/>
        <v>0</v>
      </c>
      <c r="CL186" s="255">
        <f t="shared" ca="1" si="5279"/>
        <v>0</v>
      </c>
      <c r="CM186" s="255">
        <f t="shared" ca="1" si="5279"/>
        <v>0</v>
      </c>
      <c r="CN186" s="255">
        <f t="shared" ca="1" si="5279"/>
        <v>0</v>
      </c>
      <c r="CO186" s="255">
        <f t="shared" ca="1" si="5279"/>
        <v>0</v>
      </c>
      <c r="CP186" s="434">
        <f ca="1">SUM(CD186:CO186)</f>
        <v>0</v>
      </c>
    </row>
    <row r="187" spans="1:94" ht="20.100000000000001" hidden="1" customHeight="1">
      <c r="A187" s="792">
        <f ca="1">OFFSET('Summary. Assumptions. Inputs'!$A$45,'Internmediate sheet'!A92/3,0)</f>
        <v>0</v>
      </c>
      <c r="B187" s="19" t="s">
        <v>613</v>
      </c>
      <c r="C187" s="20">
        <f ca="1">OFFSET('Sales, Production, &amp; Other Assu'!C$54,'Internmediate sheet'!$A92/3,0)*Capacity</f>
        <v>0</v>
      </c>
      <c r="D187" s="19">
        <f ca="1">OFFSET('Sales, Production, &amp; Other Assu'!D$54,'Internmediate sheet'!$A92/3,0)*Capacity</f>
        <v>0</v>
      </c>
      <c r="E187" s="19">
        <f ca="1">OFFSET('Sales, Production, &amp; Other Assu'!E$54,'Internmediate sheet'!$A92/3,0)*Capacity</f>
        <v>0</v>
      </c>
      <c r="F187" s="19">
        <f ca="1">OFFSET('Sales, Production, &amp; Other Assu'!F$54,'Internmediate sheet'!$A92/3,0)*Capacity</f>
        <v>0</v>
      </c>
      <c r="G187" s="19">
        <f ca="1">OFFSET('Sales, Production, &amp; Other Assu'!G$54,'Internmediate sheet'!$A92/3,0)*Capacity</f>
        <v>0</v>
      </c>
      <c r="H187" s="19">
        <f ca="1">OFFSET('Sales, Production, &amp; Other Assu'!H$54,'Internmediate sheet'!$A92/3,0)*Capacity</f>
        <v>0</v>
      </c>
      <c r="I187" s="19">
        <f ca="1">OFFSET('Sales, Production, &amp; Other Assu'!I$54,'Internmediate sheet'!$A92/3,0)*Capacity</f>
        <v>0</v>
      </c>
      <c r="J187" s="19">
        <f ca="1">OFFSET('Sales, Production, &amp; Other Assu'!J$54,'Internmediate sheet'!$A92/3,0)*Capacity</f>
        <v>0</v>
      </c>
      <c r="K187" s="19">
        <f ca="1">OFFSET('Sales, Production, &amp; Other Assu'!K$54,'Internmediate sheet'!$A92/3,0)*Capacity</f>
        <v>0</v>
      </c>
      <c r="L187" s="19">
        <f ca="1">OFFSET('Sales, Production, &amp; Other Assu'!L$54,'Internmediate sheet'!$A92/3,0)*Capacity</f>
        <v>0</v>
      </c>
      <c r="M187" s="19">
        <f ca="1">OFFSET('Sales, Production, &amp; Other Assu'!M$54,'Internmediate sheet'!$A92/3,0)*Capacity</f>
        <v>0</v>
      </c>
      <c r="N187" s="19">
        <f ca="1">OFFSET('Sales, Production, &amp; Other Assu'!N$54,'Internmediate sheet'!$A92/3,0)*Capacity</f>
        <v>0</v>
      </c>
      <c r="O187" s="19"/>
      <c r="P187" s="254"/>
      <c r="Q187" s="19">
        <f ca="1">OFFSET('Sales, Production, &amp; Other Assu'!Q$54,'Internmediate sheet'!$A92/3,0)*Capacity</f>
        <v>0</v>
      </c>
      <c r="R187" s="19">
        <f ca="1">OFFSET('Sales, Production, &amp; Other Assu'!R$54,'Internmediate sheet'!$A92/3,0)*Capacity</f>
        <v>0</v>
      </c>
      <c r="S187" s="19">
        <f ca="1">OFFSET('Sales, Production, &amp; Other Assu'!S$54,'Internmediate sheet'!$A92/3,0)*Capacity</f>
        <v>0</v>
      </c>
      <c r="T187" s="19">
        <f ca="1">OFFSET('Sales, Production, &amp; Other Assu'!T$54,'Internmediate sheet'!$A92/3,0)*Capacity</f>
        <v>0</v>
      </c>
      <c r="U187" s="19">
        <f ca="1">OFFSET('Sales, Production, &amp; Other Assu'!U$54,'Internmediate sheet'!$A92/3,0)*Capacity</f>
        <v>0</v>
      </c>
      <c r="V187" s="19">
        <f ca="1">OFFSET('Sales, Production, &amp; Other Assu'!V$54,'Internmediate sheet'!$A92/3,0)*Capacity</f>
        <v>0</v>
      </c>
      <c r="W187" s="19">
        <f ca="1">OFFSET('Sales, Production, &amp; Other Assu'!W$54,'Internmediate sheet'!$A92/3,0)*Capacity</f>
        <v>0</v>
      </c>
      <c r="X187" s="19">
        <f ca="1">OFFSET('Sales, Production, &amp; Other Assu'!X$54,'Internmediate sheet'!$A92/3,0)*Capacity</f>
        <v>0</v>
      </c>
      <c r="Y187" s="19">
        <f ca="1">OFFSET('Sales, Production, &amp; Other Assu'!Y$54,'Internmediate sheet'!$A92/3,0)*Capacity</f>
        <v>0</v>
      </c>
      <c r="Z187" s="19">
        <f ca="1">OFFSET('Sales, Production, &amp; Other Assu'!Z$54,'Internmediate sheet'!$A92/3,0)*Capacity</f>
        <v>0</v>
      </c>
      <c r="AA187" s="19">
        <f ca="1">OFFSET('Sales, Production, &amp; Other Assu'!AA$54,'Internmediate sheet'!$A92/3,0)*Capacity</f>
        <v>0</v>
      </c>
      <c r="AB187" s="19"/>
      <c r="AC187" s="254"/>
      <c r="AD187" s="19"/>
      <c r="AE187" s="19"/>
      <c r="AF187" s="19"/>
      <c r="AG187" s="19"/>
      <c r="AH187" s="19"/>
      <c r="AI187" s="19"/>
      <c r="AJ187" s="19"/>
      <c r="AK187" s="19"/>
      <c r="AL187" s="19"/>
      <c r="AM187" s="19"/>
      <c r="AN187" s="19"/>
      <c r="AO187" s="19"/>
      <c r="AP187" s="254"/>
      <c r="AQ187" s="19"/>
      <c r="AR187" s="19"/>
      <c r="AS187" s="19"/>
      <c r="AT187" s="19"/>
      <c r="AU187" s="19"/>
      <c r="AV187" s="19"/>
      <c r="AW187" s="19"/>
      <c r="AX187" s="19"/>
      <c r="AY187" s="19"/>
      <c r="AZ187" s="19"/>
      <c r="BA187" s="19"/>
      <c r="BB187" s="19"/>
      <c r="BC187" s="254"/>
      <c r="BD187" s="19"/>
      <c r="BE187" s="19"/>
      <c r="BF187" s="19"/>
      <c r="BG187" s="19"/>
      <c r="BH187" s="19"/>
      <c r="BI187" s="19"/>
      <c r="BJ187" s="19"/>
      <c r="BK187" s="19"/>
      <c r="BL187" s="19"/>
      <c r="BM187" s="19"/>
      <c r="BN187" s="19"/>
      <c r="BO187" s="19"/>
      <c r="BP187" s="254"/>
      <c r="BQ187" s="19"/>
      <c r="BR187" s="19"/>
      <c r="BS187" s="19"/>
      <c r="BT187" s="19"/>
      <c r="BU187" s="19"/>
      <c r="BV187" s="19"/>
      <c r="BW187" s="19"/>
      <c r="BX187" s="19"/>
      <c r="BY187" s="19"/>
      <c r="BZ187" s="19"/>
      <c r="CA187" s="19"/>
      <c r="CB187" s="19"/>
      <c r="CC187" s="254"/>
      <c r="CD187" s="19"/>
      <c r="CE187" s="19"/>
      <c r="CF187" s="19"/>
      <c r="CG187" s="19"/>
      <c r="CH187" s="19"/>
      <c r="CI187" s="19"/>
      <c r="CJ187" s="19"/>
      <c r="CK187" s="19"/>
      <c r="CL187" s="19"/>
      <c r="CM187" s="19"/>
      <c r="CN187" s="19"/>
      <c r="CO187" s="19"/>
      <c r="CP187" s="254"/>
    </row>
    <row r="188" spans="1:94" ht="20.100000000000001" hidden="1" customHeight="1">
      <c r="A188" s="793"/>
      <c r="B188" s="9" t="s">
        <v>614</v>
      </c>
      <c r="C188" s="10">
        <f ca="1">OFFSET('BEP. &amp; Summary Results'!$C$6,'Internmediate sheet'!A89/3,0)</f>
        <v>0</v>
      </c>
      <c r="D188" s="9">
        <f t="shared" ref="D188" ca="1" si="5280">C188</f>
        <v>0</v>
      </c>
      <c r="E188" s="9">
        <f t="shared" ref="E188" ca="1" si="5281">D188</f>
        <v>0</v>
      </c>
      <c r="F188" s="9">
        <f t="shared" ref="F188" ca="1" si="5282">E188</f>
        <v>0</v>
      </c>
      <c r="G188" s="9">
        <f t="shared" ref="G188" ca="1" si="5283">F188</f>
        <v>0</v>
      </c>
      <c r="H188" s="9">
        <f t="shared" ref="H188" ca="1" si="5284">G188</f>
        <v>0</v>
      </c>
      <c r="I188" s="9">
        <f t="shared" ref="I188" ca="1" si="5285">H188</f>
        <v>0</v>
      </c>
      <c r="J188" s="9">
        <f t="shared" ref="J188" ca="1" si="5286">I188</f>
        <v>0</v>
      </c>
      <c r="K188" s="9">
        <f t="shared" ref="K188" ca="1" si="5287">J188</f>
        <v>0</v>
      </c>
      <c r="L188" s="9">
        <f t="shared" ref="L188" ca="1" si="5288">K188</f>
        <v>0</v>
      </c>
      <c r="M188" s="9">
        <f t="shared" ref="M188" ca="1" si="5289">L188</f>
        <v>0</v>
      </c>
      <c r="N188" s="9">
        <f t="shared" ref="N188" ca="1" si="5290">M188</f>
        <v>0</v>
      </c>
      <c r="O188" s="9"/>
      <c r="P188" s="21"/>
      <c r="Q188" s="9">
        <f t="shared" ref="Q188" si="5291">P188</f>
        <v>0</v>
      </c>
      <c r="R188" s="9">
        <f t="shared" ref="R188" si="5292">Q188</f>
        <v>0</v>
      </c>
      <c r="S188" s="9">
        <f t="shared" ref="S188" si="5293">R188</f>
        <v>0</v>
      </c>
      <c r="T188" s="9">
        <f t="shared" ref="T188" si="5294">S188</f>
        <v>0</v>
      </c>
      <c r="U188" s="9">
        <f t="shared" ref="U188" si="5295">T188</f>
        <v>0</v>
      </c>
      <c r="V188" s="9">
        <f t="shared" ref="V188" si="5296">U188</f>
        <v>0</v>
      </c>
      <c r="W188" s="9">
        <f t="shared" ref="W188" si="5297">V188</f>
        <v>0</v>
      </c>
      <c r="X188" s="9">
        <f t="shared" ref="X188" si="5298">W188</f>
        <v>0</v>
      </c>
      <c r="Y188" s="9">
        <f t="shared" ref="Y188" si="5299">X188</f>
        <v>0</v>
      </c>
      <c r="Z188" s="9">
        <f t="shared" ref="Z188" si="5300">Y188</f>
        <v>0</v>
      </c>
      <c r="AA188" s="9">
        <f t="shared" ref="AA188" si="5301">Z188</f>
        <v>0</v>
      </c>
      <c r="AB188" s="9"/>
      <c r="AC188" s="21"/>
      <c r="AD188" s="9"/>
      <c r="AE188" s="9"/>
      <c r="AF188" s="9"/>
      <c r="AG188" s="9"/>
      <c r="AH188" s="9"/>
      <c r="AI188" s="9"/>
      <c r="AJ188" s="9"/>
      <c r="AK188" s="9"/>
      <c r="AL188" s="9"/>
      <c r="AM188" s="9"/>
      <c r="AN188" s="9"/>
      <c r="AO188" s="9"/>
      <c r="AP188" s="21"/>
      <c r="AQ188" s="9"/>
      <c r="AR188" s="9"/>
      <c r="AS188" s="9"/>
      <c r="AT188" s="9"/>
      <c r="AU188" s="9"/>
      <c r="AV188" s="9"/>
      <c r="AW188" s="9"/>
      <c r="AX188" s="9"/>
      <c r="AY188" s="9"/>
      <c r="AZ188" s="9"/>
      <c r="BA188" s="9"/>
      <c r="BB188" s="9"/>
      <c r="BC188" s="21"/>
      <c r="BD188" s="9"/>
      <c r="BE188" s="9"/>
      <c r="BF188" s="9"/>
      <c r="BG188" s="9"/>
      <c r="BH188" s="9"/>
      <c r="BI188" s="9"/>
      <c r="BJ188" s="9"/>
      <c r="BK188" s="9"/>
      <c r="BL188" s="9"/>
      <c r="BM188" s="9"/>
      <c r="BN188" s="9"/>
      <c r="BO188" s="9"/>
      <c r="BP188" s="21"/>
      <c r="BQ188" s="9"/>
      <c r="BR188" s="9"/>
      <c r="BS188" s="9"/>
      <c r="BT188" s="9"/>
      <c r="BU188" s="9"/>
      <c r="BV188" s="9"/>
      <c r="BW188" s="9"/>
      <c r="BX188" s="9"/>
      <c r="BY188" s="9"/>
      <c r="BZ188" s="9"/>
      <c r="CA188" s="9"/>
      <c r="CB188" s="9"/>
      <c r="CC188" s="21"/>
      <c r="CD188" s="9"/>
      <c r="CE188" s="9"/>
      <c r="CF188" s="9"/>
      <c r="CG188" s="9"/>
      <c r="CH188" s="9"/>
      <c r="CI188" s="9"/>
      <c r="CJ188" s="9"/>
      <c r="CK188" s="9"/>
      <c r="CL188" s="9"/>
      <c r="CM188" s="9"/>
      <c r="CN188" s="9"/>
      <c r="CO188" s="9"/>
      <c r="CP188" s="21"/>
    </row>
    <row r="189" spans="1:94" ht="20.100000000000001" hidden="1" customHeight="1">
      <c r="A189" s="794"/>
      <c r="B189" s="255" t="s">
        <v>615</v>
      </c>
      <c r="C189" s="256">
        <f t="shared" ref="C189:N189" ca="1" si="5302">C187*C188</f>
        <v>0</v>
      </c>
      <c r="D189" s="255">
        <f t="shared" ca="1" si="5302"/>
        <v>0</v>
      </c>
      <c r="E189" s="255">
        <f t="shared" ca="1" si="5302"/>
        <v>0</v>
      </c>
      <c r="F189" s="255">
        <f t="shared" ca="1" si="5302"/>
        <v>0</v>
      </c>
      <c r="G189" s="255">
        <f t="shared" ca="1" si="5302"/>
        <v>0</v>
      </c>
      <c r="H189" s="255">
        <f t="shared" ca="1" si="5302"/>
        <v>0</v>
      </c>
      <c r="I189" s="255">
        <f t="shared" ca="1" si="5302"/>
        <v>0</v>
      </c>
      <c r="J189" s="255">
        <f t="shared" ca="1" si="5302"/>
        <v>0</v>
      </c>
      <c r="K189" s="255">
        <f t="shared" ca="1" si="5302"/>
        <v>0</v>
      </c>
      <c r="L189" s="255">
        <f t="shared" ca="1" si="5302"/>
        <v>0</v>
      </c>
      <c r="M189" s="255">
        <f t="shared" ca="1" si="5302"/>
        <v>0</v>
      </c>
      <c r="N189" s="255">
        <f t="shared" ca="1" si="5302"/>
        <v>0</v>
      </c>
      <c r="O189" s="255"/>
      <c r="P189" s="254"/>
      <c r="Q189" s="255">
        <f t="shared" ref="Q189:AA189" ca="1" si="5303">Q187*Q188</f>
        <v>0</v>
      </c>
      <c r="R189" s="255">
        <f t="shared" ca="1" si="5303"/>
        <v>0</v>
      </c>
      <c r="S189" s="255">
        <f t="shared" ca="1" si="5303"/>
        <v>0</v>
      </c>
      <c r="T189" s="255">
        <f t="shared" ca="1" si="5303"/>
        <v>0</v>
      </c>
      <c r="U189" s="255">
        <f t="shared" ca="1" si="5303"/>
        <v>0</v>
      </c>
      <c r="V189" s="255">
        <f t="shared" ca="1" si="5303"/>
        <v>0</v>
      </c>
      <c r="W189" s="255">
        <f t="shared" ca="1" si="5303"/>
        <v>0</v>
      </c>
      <c r="X189" s="255">
        <f t="shared" ca="1" si="5303"/>
        <v>0</v>
      </c>
      <c r="Y189" s="255">
        <f t="shared" ca="1" si="5303"/>
        <v>0</v>
      </c>
      <c r="Z189" s="255">
        <f t="shared" ca="1" si="5303"/>
        <v>0</v>
      </c>
      <c r="AA189" s="255">
        <f t="shared" ca="1" si="5303"/>
        <v>0</v>
      </c>
      <c r="AB189" s="255"/>
      <c r="AC189" s="254"/>
      <c r="AD189" s="255"/>
      <c r="AE189" s="255"/>
      <c r="AF189" s="255"/>
      <c r="AG189" s="255"/>
      <c r="AH189" s="255"/>
      <c r="AI189" s="255"/>
      <c r="AJ189" s="255"/>
      <c r="AK189" s="255"/>
      <c r="AL189" s="255"/>
      <c r="AM189" s="255"/>
      <c r="AN189" s="255"/>
      <c r="AO189" s="255"/>
      <c r="AP189" s="254"/>
      <c r="AQ189" s="255"/>
      <c r="AR189" s="255"/>
      <c r="AS189" s="255"/>
      <c r="AT189" s="255"/>
      <c r="AU189" s="255"/>
      <c r="AV189" s="255"/>
      <c r="AW189" s="255"/>
      <c r="AX189" s="255"/>
      <c r="AY189" s="255"/>
      <c r="AZ189" s="255"/>
      <c r="BA189" s="255"/>
      <c r="BB189" s="255"/>
      <c r="BC189" s="254"/>
      <c r="BD189" s="255"/>
      <c r="BE189" s="255"/>
      <c r="BF189" s="255"/>
      <c r="BG189" s="255"/>
      <c r="BH189" s="255"/>
      <c r="BI189" s="255"/>
      <c r="BJ189" s="255"/>
      <c r="BK189" s="255"/>
      <c r="BL189" s="255"/>
      <c r="BM189" s="255"/>
      <c r="BN189" s="255"/>
      <c r="BO189" s="255"/>
      <c r="BP189" s="254"/>
      <c r="BQ189" s="255"/>
      <c r="BR189" s="255"/>
      <c r="BS189" s="255"/>
      <c r="BT189" s="255"/>
      <c r="BU189" s="255"/>
      <c r="BV189" s="255"/>
      <c r="BW189" s="255"/>
      <c r="BX189" s="255"/>
      <c r="BY189" s="255"/>
      <c r="BZ189" s="255"/>
      <c r="CA189" s="255"/>
      <c r="CB189" s="255"/>
      <c r="CC189" s="254"/>
      <c r="CD189" s="255"/>
      <c r="CE189" s="255"/>
      <c r="CF189" s="255"/>
      <c r="CG189" s="255"/>
      <c r="CH189" s="255"/>
      <c r="CI189" s="255"/>
      <c r="CJ189" s="255"/>
      <c r="CK189" s="255"/>
      <c r="CL189" s="255"/>
      <c r="CM189" s="255"/>
      <c r="CN189" s="255"/>
      <c r="CO189" s="255"/>
      <c r="CP189" s="254"/>
    </row>
    <row r="190" spans="1:94" ht="24.95" customHeight="1" thickBot="1">
      <c r="A190" s="797" t="s">
        <v>616</v>
      </c>
      <c r="B190" s="797"/>
      <c r="C190" s="257">
        <f ca="1">SUMIF($B$100:$B$189,"Total Item Production Cost",C100:C189)</f>
        <v>462030.15599999996</v>
      </c>
      <c r="D190" s="257">
        <f ca="1">SUMIF($B$100:$B$189,"Total Item Production Cost",D100:D189)</f>
        <v>462030.15599999996</v>
      </c>
      <c r="E190" s="257">
        <f t="shared" ref="E190:P190" ca="1" si="5304">SUMIF($B$100:$B$189,"Total Item Production Cost",E100:E189)</f>
        <v>462030.15599999996</v>
      </c>
      <c r="F190" s="257">
        <f t="shared" ca="1" si="5304"/>
        <v>462030.15599999996</v>
      </c>
      <c r="G190" s="257">
        <f t="shared" ca="1" si="5304"/>
        <v>462030.15599999996</v>
      </c>
      <c r="H190" s="257">
        <f t="shared" ca="1" si="5304"/>
        <v>462030.15599999996</v>
      </c>
      <c r="I190" s="257">
        <f t="shared" ca="1" si="5304"/>
        <v>462030.15599999996</v>
      </c>
      <c r="J190" s="257">
        <f t="shared" ca="1" si="5304"/>
        <v>462030.15599999996</v>
      </c>
      <c r="K190" s="257">
        <f t="shared" ca="1" si="5304"/>
        <v>462030.15599999996</v>
      </c>
      <c r="L190" s="257">
        <f t="shared" ca="1" si="5304"/>
        <v>462030.15599999996</v>
      </c>
      <c r="M190" s="257">
        <f t="shared" ca="1" si="5304"/>
        <v>462030.15599999996</v>
      </c>
      <c r="N190" s="257">
        <f t="shared" ca="1" si="5304"/>
        <v>462030.15599999996</v>
      </c>
      <c r="O190" s="257">
        <f ca="1">SUMIF($B$100:$B$189,"Total Item Production Cost",O100:O189)</f>
        <v>462030.15599999996</v>
      </c>
      <c r="P190" s="257">
        <f t="shared" ca="1" si="5304"/>
        <v>5544361.8719999995</v>
      </c>
      <c r="Q190" s="257">
        <f ca="1">SUMIF($B$100:$B$189,"Total Item Production Cost",Q100:Q189)</f>
        <v>538727.16189599992</v>
      </c>
      <c r="R190" s="257">
        <f t="shared" ref="R190:AA190" ca="1" si="5305">SUMIF($B$100:$B$189,"Total Item Production Cost",R100:R189)</f>
        <v>538727.16189599992</v>
      </c>
      <c r="S190" s="257">
        <f t="shared" ca="1" si="5305"/>
        <v>538727.16189599992</v>
      </c>
      <c r="T190" s="257">
        <f t="shared" ca="1" si="5305"/>
        <v>538727.16189599992</v>
      </c>
      <c r="U190" s="257">
        <f t="shared" ca="1" si="5305"/>
        <v>538727.16189599992</v>
      </c>
      <c r="V190" s="257">
        <f t="shared" ca="1" si="5305"/>
        <v>538727.16189599992</v>
      </c>
      <c r="W190" s="257">
        <f t="shared" ca="1" si="5305"/>
        <v>538727.16189599992</v>
      </c>
      <c r="X190" s="257">
        <f t="shared" ca="1" si="5305"/>
        <v>538727.16189599992</v>
      </c>
      <c r="Y190" s="257">
        <f t="shared" ca="1" si="5305"/>
        <v>538727.16189599992</v>
      </c>
      <c r="Z190" s="257">
        <f t="shared" ca="1" si="5305"/>
        <v>538727.16189599992</v>
      </c>
      <c r="AA190" s="257">
        <f t="shared" ca="1" si="5305"/>
        <v>538727.16189599992</v>
      </c>
      <c r="AB190" s="257">
        <f ca="1">SUMIF($B$100:$B$189,"Total Item Production Cost",AB100:AB189)</f>
        <v>538727.16189599992</v>
      </c>
      <c r="AC190" s="257">
        <f t="shared" ref="AC190" ca="1" si="5306">SUMIF($B$100:$B$189,"Total Item Production Cost",AC100:AC189)</f>
        <v>6464725.942751999</v>
      </c>
      <c r="AD190" s="257">
        <f ca="1">SUMIF($B$100:$B$189,"Total Item Production Cost",AD100:AD189)</f>
        <v>622970.66033999994</v>
      </c>
      <c r="AE190" s="257">
        <f t="shared" ref="AE190:AN190" ca="1" si="5307">SUMIF($B$100:$B$189,"Total Item Production Cost",AE100:AE189)</f>
        <v>622970.66033999994</v>
      </c>
      <c r="AF190" s="257">
        <f t="shared" ca="1" si="5307"/>
        <v>622970.66033999994</v>
      </c>
      <c r="AG190" s="257">
        <f t="shared" ca="1" si="5307"/>
        <v>622970.66033999994</v>
      </c>
      <c r="AH190" s="257">
        <f t="shared" ca="1" si="5307"/>
        <v>622970.66033999994</v>
      </c>
      <c r="AI190" s="257">
        <f t="shared" ca="1" si="5307"/>
        <v>622970.66033999994</v>
      </c>
      <c r="AJ190" s="257">
        <f t="shared" ca="1" si="5307"/>
        <v>622970.66033999994</v>
      </c>
      <c r="AK190" s="257">
        <f t="shared" ca="1" si="5307"/>
        <v>622970.66033999994</v>
      </c>
      <c r="AL190" s="257">
        <f t="shared" ca="1" si="5307"/>
        <v>622970.66033999994</v>
      </c>
      <c r="AM190" s="257">
        <f t="shared" ca="1" si="5307"/>
        <v>622970.66033999994</v>
      </c>
      <c r="AN190" s="257">
        <f t="shared" ca="1" si="5307"/>
        <v>622970.66033999994</v>
      </c>
      <c r="AO190" s="257">
        <f ca="1">SUMIF($B$100:$B$189,"Total Item Production Cost",AO100:AO189)</f>
        <v>622970.66033999994</v>
      </c>
      <c r="AP190" s="257">
        <f t="shared" ref="AP190" ca="1" si="5308">SUMIF($B$100:$B$189,"Total Item Production Cost",AP100:AP189)</f>
        <v>7475647.9240799975</v>
      </c>
      <c r="AQ190" s="257">
        <f ca="1">SUMIF($B$100:$B$189,"Total Item Production Cost",AQ100:AQ189)</f>
        <v>715376.6915399998</v>
      </c>
      <c r="AR190" s="257">
        <f t="shared" ref="AR190:BA190" ca="1" si="5309">SUMIF($B$100:$B$189,"Total Item Production Cost",AR100:AR189)</f>
        <v>715376.6915399998</v>
      </c>
      <c r="AS190" s="257">
        <f t="shared" ca="1" si="5309"/>
        <v>715376.6915399998</v>
      </c>
      <c r="AT190" s="257">
        <f t="shared" ca="1" si="5309"/>
        <v>715376.6915399998</v>
      </c>
      <c r="AU190" s="257">
        <f t="shared" ca="1" si="5309"/>
        <v>715376.6915399998</v>
      </c>
      <c r="AV190" s="257">
        <f t="shared" ca="1" si="5309"/>
        <v>715376.6915399998</v>
      </c>
      <c r="AW190" s="257">
        <f t="shared" ca="1" si="5309"/>
        <v>715376.6915399998</v>
      </c>
      <c r="AX190" s="257">
        <f t="shared" ca="1" si="5309"/>
        <v>715376.6915399998</v>
      </c>
      <c r="AY190" s="257">
        <f t="shared" ca="1" si="5309"/>
        <v>715376.6915399998</v>
      </c>
      <c r="AZ190" s="257">
        <f t="shared" ca="1" si="5309"/>
        <v>715376.6915399998</v>
      </c>
      <c r="BA190" s="257">
        <f t="shared" ca="1" si="5309"/>
        <v>715376.6915399998</v>
      </c>
      <c r="BB190" s="257">
        <f ca="1">SUMIF($B$100:$B$189,"Total Item Production Cost",BB100:BB189)</f>
        <v>715376.6915399998</v>
      </c>
      <c r="BC190" s="257">
        <f t="shared" ref="BC190" ca="1" si="5310">SUMIF($B$100:$B$189,"Total Item Production Cost",BC100:BC189)</f>
        <v>8584520.2984799985</v>
      </c>
      <c r="BD190" s="257">
        <f ca="1">SUMIF($B$100:$B$189,"Total Item Production Cost",BD100:BD189)</f>
        <v>816622.89972479979</v>
      </c>
      <c r="BE190" s="257">
        <f t="shared" ref="BE190:BN190" ca="1" si="5311">SUMIF($B$100:$B$189,"Total Item Production Cost",BE100:BE189)</f>
        <v>816622.89972479979</v>
      </c>
      <c r="BF190" s="257">
        <f t="shared" ca="1" si="5311"/>
        <v>816622.89972479979</v>
      </c>
      <c r="BG190" s="257">
        <f t="shared" ca="1" si="5311"/>
        <v>816622.89972479979</v>
      </c>
      <c r="BH190" s="257">
        <f t="shared" ca="1" si="5311"/>
        <v>816622.89972479979</v>
      </c>
      <c r="BI190" s="257">
        <f t="shared" ca="1" si="5311"/>
        <v>816622.89972479979</v>
      </c>
      <c r="BJ190" s="257">
        <f t="shared" ca="1" si="5311"/>
        <v>816622.89972479979</v>
      </c>
      <c r="BK190" s="257">
        <f t="shared" ca="1" si="5311"/>
        <v>816622.89972479979</v>
      </c>
      <c r="BL190" s="257">
        <f t="shared" ca="1" si="5311"/>
        <v>816622.89972479979</v>
      </c>
      <c r="BM190" s="257">
        <f t="shared" ca="1" si="5311"/>
        <v>816622.89972479979</v>
      </c>
      <c r="BN190" s="257">
        <f t="shared" ca="1" si="5311"/>
        <v>816622.89972479979</v>
      </c>
      <c r="BO190" s="257">
        <f ca="1">SUMIF($B$100:$B$189,"Total Item Production Cost",BO100:BO189)</f>
        <v>816622.89972479979</v>
      </c>
      <c r="BP190" s="257">
        <f t="shared" ref="BP190" ca="1" si="5312">SUMIF($B$100:$B$189,"Total Item Production Cost",BP100:BP189)</f>
        <v>9799474.796697598</v>
      </c>
      <c r="BQ190" s="257">
        <f ca="1">SUMIF($B$100:$B$189,"Total Item Production Cost",BQ100:BQ189)</f>
        <v>927448.53314399975</v>
      </c>
      <c r="BR190" s="257">
        <f t="shared" ref="BR190:CA190" ca="1" si="5313">SUMIF($B$100:$B$189,"Total Item Production Cost",BR100:BR189)</f>
        <v>927448.53314399975</v>
      </c>
      <c r="BS190" s="257">
        <f t="shared" ca="1" si="5313"/>
        <v>927448.53314399975</v>
      </c>
      <c r="BT190" s="257">
        <f t="shared" ca="1" si="5313"/>
        <v>927448.53314399975</v>
      </c>
      <c r="BU190" s="257">
        <f t="shared" ca="1" si="5313"/>
        <v>927448.53314399975</v>
      </c>
      <c r="BV190" s="257">
        <f t="shared" ca="1" si="5313"/>
        <v>927448.53314399975</v>
      </c>
      <c r="BW190" s="257">
        <f t="shared" ca="1" si="5313"/>
        <v>927448.53314399975</v>
      </c>
      <c r="BX190" s="257">
        <f t="shared" ca="1" si="5313"/>
        <v>927448.53314399975</v>
      </c>
      <c r="BY190" s="257">
        <f t="shared" ca="1" si="5313"/>
        <v>927448.53314399975</v>
      </c>
      <c r="BZ190" s="257">
        <f t="shared" ca="1" si="5313"/>
        <v>927448.53314399975</v>
      </c>
      <c r="CA190" s="257">
        <f t="shared" ca="1" si="5313"/>
        <v>927448.53314399975</v>
      </c>
      <c r="CB190" s="257">
        <f ca="1">SUMIF($B$100:$B$189,"Total Item Production Cost",CB100:CB189)</f>
        <v>927448.53314399975</v>
      </c>
      <c r="CC190" s="257">
        <f t="shared" ref="CC190" ca="1" si="5314">SUMIF($B$100:$B$189,"Total Item Production Cost",CC100:CC189)</f>
        <v>11129382.397727996</v>
      </c>
      <c r="CD190" s="257">
        <f ca="1">SUMIF($B$100:$B$189,"Total Item Production Cost",CD100:CD189)</f>
        <v>983107.76593679981</v>
      </c>
      <c r="CE190" s="257">
        <f t="shared" ref="CE190:CN190" ca="1" si="5315">SUMIF($B$100:$B$189,"Total Item Production Cost",CE100:CE189)</f>
        <v>983107.76593679981</v>
      </c>
      <c r="CF190" s="257">
        <f t="shared" ca="1" si="5315"/>
        <v>983107.76593679981</v>
      </c>
      <c r="CG190" s="257">
        <f t="shared" ca="1" si="5315"/>
        <v>983107.76593679981</v>
      </c>
      <c r="CH190" s="257">
        <f t="shared" ca="1" si="5315"/>
        <v>983107.76593679981</v>
      </c>
      <c r="CI190" s="257">
        <f t="shared" ca="1" si="5315"/>
        <v>983107.76593679981</v>
      </c>
      <c r="CJ190" s="257">
        <f t="shared" ca="1" si="5315"/>
        <v>983107.76593679981</v>
      </c>
      <c r="CK190" s="257">
        <f t="shared" ca="1" si="5315"/>
        <v>983107.76593679981</v>
      </c>
      <c r="CL190" s="257">
        <f t="shared" ca="1" si="5315"/>
        <v>983107.76593679981</v>
      </c>
      <c r="CM190" s="257">
        <f t="shared" ca="1" si="5315"/>
        <v>983107.76593679981</v>
      </c>
      <c r="CN190" s="257">
        <f t="shared" ca="1" si="5315"/>
        <v>983107.76593679981</v>
      </c>
      <c r="CO190" s="257">
        <f ca="1">SUMIF($B$100:$B$189,"Total Item Production Cost",CO100:CO189)</f>
        <v>983107.76593679981</v>
      </c>
      <c r="CP190" s="257">
        <f t="shared" ref="CP190" ca="1" si="5316">SUMIF($B$100:$B$189,"Total Item Production Cost",CP100:CP189)</f>
        <v>11797293.191241601</v>
      </c>
    </row>
    <row r="191" spans="1:94" ht="15.75" thickTop="1"/>
  </sheetData>
  <sheetProtection formatCells="0" formatColumns="0" formatRows="0" insertColumns="0" insertRows="0"/>
  <autoFilter ref="A5:CP17" xr:uid="{128FD5D5-A8FB-43D0-AEE4-97400FC18BB5}"/>
  <mergeCells count="62">
    <mergeCell ref="A100:A102"/>
    <mergeCell ref="A6:A8"/>
    <mergeCell ref="A190:B190"/>
    <mergeCell ref="A96:B96"/>
    <mergeCell ref="A103:A105"/>
    <mergeCell ref="A139:A141"/>
    <mergeCell ref="A9:A11"/>
    <mergeCell ref="A12:A14"/>
    <mergeCell ref="A15:A17"/>
    <mergeCell ref="A18:A20"/>
    <mergeCell ref="A21:A23"/>
    <mergeCell ref="A24:A26"/>
    <mergeCell ref="A27:A29"/>
    <mergeCell ref="A30:A32"/>
    <mergeCell ref="A33:A35"/>
    <mergeCell ref="A36:A38"/>
    <mergeCell ref="A106:A108"/>
    <mergeCell ref="A109:A111"/>
    <mergeCell ref="A39:A41"/>
    <mergeCell ref="A42:A44"/>
    <mergeCell ref="A45:A47"/>
    <mergeCell ref="A48:A50"/>
    <mergeCell ref="A51:A53"/>
    <mergeCell ref="A54:A56"/>
    <mergeCell ref="A57:A59"/>
    <mergeCell ref="A60:A62"/>
    <mergeCell ref="A63:A65"/>
    <mergeCell ref="A66:A68"/>
    <mergeCell ref="A69:A71"/>
    <mergeCell ref="A87:A89"/>
    <mergeCell ref="A90:A92"/>
    <mergeCell ref="A93:A95"/>
    <mergeCell ref="A112:A114"/>
    <mergeCell ref="A115:A117"/>
    <mergeCell ref="A118:A120"/>
    <mergeCell ref="A121:A123"/>
    <mergeCell ref="A124:A126"/>
    <mergeCell ref="A160:A162"/>
    <mergeCell ref="A163:A165"/>
    <mergeCell ref="A166:A168"/>
    <mergeCell ref="A169:A171"/>
    <mergeCell ref="A172:A174"/>
    <mergeCell ref="A145:A147"/>
    <mergeCell ref="A148:A150"/>
    <mergeCell ref="A151:A153"/>
    <mergeCell ref="A154:A156"/>
    <mergeCell ref="A157:A159"/>
    <mergeCell ref="A127:A129"/>
    <mergeCell ref="A130:A132"/>
    <mergeCell ref="A136:A138"/>
    <mergeCell ref="A133:A135"/>
    <mergeCell ref="A142:A144"/>
    <mergeCell ref="A175:A177"/>
    <mergeCell ref="A178:A180"/>
    <mergeCell ref="A181:A183"/>
    <mergeCell ref="A184:A186"/>
    <mergeCell ref="A187:A189"/>
    <mergeCell ref="A72:A74"/>
    <mergeCell ref="A75:A77"/>
    <mergeCell ref="A78:A80"/>
    <mergeCell ref="A81:A83"/>
    <mergeCell ref="A84:A86"/>
  </mergeCells>
  <phoneticPr fontId="10" type="noConversion"/>
  <printOptions horizontalCentered="1"/>
  <pageMargins left="0.9055118110236221" right="0.70866141732283472" top="0.74803149606299213" bottom="0.74803149606299213" header="0.31496062992125984" footer="0.31496062992125984"/>
  <pageSetup paperSize="9" scale="24" fitToHeight="0" orientation="portrait" errors="blank" r:id="rId1"/>
  <headerFooter>
    <oddFooter>&amp;L&amp;"-,Bold Italic"&amp;8&amp;K01+027Developed By: MAIUMAS Consulting
Hani Omar Skaik&amp;C&amp;A&amp;R&amp;D / &amp;T</oddFooter>
  </headerFooter>
  <rowBreaks count="2" manualBreakCount="2">
    <brk id="96" max="16383" man="1"/>
    <brk id="203" max="16383" man="1"/>
  </rowBreaks>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F05FB-BAAD-4F89-8097-F0443396C918}">
  <sheetPr codeName="Sheet10">
    <tabColor rgb="FF92D050"/>
    <pageSetUpPr fitToPage="1"/>
  </sheetPr>
  <dimension ref="A1:L131"/>
  <sheetViews>
    <sheetView showZeros="0" zoomScale="85" zoomScaleNormal="85" workbookViewId="0">
      <selection activeCell="C10" sqref="C10"/>
    </sheetView>
  </sheetViews>
  <sheetFormatPr defaultColWidth="9.33203125" defaultRowHeight="15"/>
  <cols>
    <col min="1" max="1" width="49" style="1" customWidth="1"/>
    <col min="2" max="2" width="13.6640625" style="1" customWidth="1"/>
    <col min="3" max="3" width="19" style="1" customWidth="1"/>
    <col min="4" max="4" width="17.33203125" style="1" customWidth="1"/>
    <col min="5" max="5" width="8.6640625" style="1" bestFit="1" customWidth="1"/>
    <col min="6" max="6" width="12.88671875" style="1" customWidth="1"/>
    <col min="7" max="8" width="13.77734375" style="640" customWidth="1"/>
    <col min="9" max="10" width="13.77734375" style="1" customWidth="1"/>
    <col min="11" max="11" width="34.77734375" style="1" customWidth="1"/>
    <col min="12" max="16384" width="9.33203125" style="1"/>
  </cols>
  <sheetData>
    <row r="1" spans="1:12" ht="26.25">
      <c r="A1" s="803" t="str">
        <f>'Summary. Assumptions. Inputs'!A2:G2</f>
        <v>Al Bawader for Greenhouse Plastics</v>
      </c>
      <c r="B1" s="803"/>
      <c r="C1" s="803"/>
      <c r="D1" s="803"/>
      <c r="E1" s="803"/>
      <c r="F1" s="803"/>
      <c r="G1" s="803"/>
      <c r="H1" s="803"/>
      <c r="I1" s="803"/>
      <c r="J1" s="803"/>
      <c r="K1" s="803"/>
    </row>
    <row r="2" spans="1:12" ht="23.25">
      <c r="A2" s="801" t="s">
        <v>216</v>
      </c>
      <c r="B2" s="801"/>
      <c r="C2" s="801"/>
      <c r="D2" s="802"/>
      <c r="E2" s="802"/>
      <c r="F2" s="802"/>
      <c r="G2" s="802"/>
      <c r="H2" s="802"/>
      <c r="I2" s="802"/>
      <c r="J2" s="802"/>
      <c r="K2" s="802"/>
    </row>
    <row r="3" spans="1:12" ht="20.25">
      <c r="A3" s="774" t="str">
        <f>CONCATENATE("Currecy"," ",'Summary. Assumptions. Inputs'!$J$7)</f>
        <v>Currecy USD</v>
      </c>
      <c r="B3" s="774"/>
      <c r="C3" s="774"/>
      <c r="D3" s="774"/>
      <c r="E3" s="774"/>
      <c r="F3" s="774"/>
      <c r="G3" s="774"/>
      <c r="H3" s="774"/>
      <c r="I3" s="774"/>
      <c r="J3" s="774"/>
      <c r="K3" s="774"/>
      <c r="L3" s="128"/>
    </row>
    <row r="4" spans="1:12" s="131" customFormat="1" ht="44.25" customHeight="1">
      <c r="A4" s="129" t="s">
        <v>462</v>
      </c>
      <c r="B4" s="130" t="s">
        <v>463</v>
      </c>
      <c r="C4" s="130" t="s">
        <v>464</v>
      </c>
      <c r="D4" s="130" t="s">
        <v>252</v>
      </c>
      <c r="E4" s="130" t="s">
        <v>465</v>
      </c>
      <c r="F4" s="130" t="s">
        <v>466</v>
      </c>
      <c r="G4" s="638" t="s">
        <v>467</v>
      </c>
      <c r="H4" s="638" t="s">
        <v>468</v>
      </c>
      <c r="I4" s="130" t="s">
        <v>469</v>
      </c>
      <c r="J4" s="130" t="s">
        <v>470</v>
      </c>
      <c r="K4" s="130" t="s">
        <v>471</v>
      </c>
    </row>
    <row r="5" spans="1:12" s="131" customFormat="1" ht="20.100000000000001" customHeight="1">
      <c r="A5" s="473" t="s">
        <v>472</v>
      </c>
      <c r="B5" s="294"/>
      <c r="C5" s="294"/>
      <c r="D5" s="293"/>
      <c r="E5" s="406"/>
      <c r="F5" s="406"/>
      <c r="G5" s="639">
        <f>Table5[[#This Row],[Cost in ILS]]*Table5[[#This Row],[Quantity]]</f>
        <v>0</v>
      </c>
      <c r="H5" s="639">
        <f>Table5[[#This Row],[Total Cost in ILS]]/FX_RATE</f>
        <v>0</v>
      </c>
      <c r="I5" s="300"/>
      <c r="J5" s="299">
        <f>Table5[[#This Row],[Total Cost in study Currency]]*Table5[[#This Row],[Depreciation Rate]]</f>
        <v>0</v>
      </c>
      <c r="K5" s="1"/>
    </row>
    <row r="6" spans="1:12" s="131" customFormat="1" ht="20.100000000000001" customHeight="1">
      <c r="A6" s="637" t="s">
        <v>473</v>
      </c>
      <c r="B6" s="294" t="s">
        <v>228</v>
      </c>
      <c r="C6" s="294" t="s">
        <v>473</v>
      </c>
      <c r="D6" s="295"/>
      <c r="E6" s="643">
        <v>6300</v>
      </c>
      <c r="F6" s="686">
        <f>200*3.2</f>
        <v>640</v>
      </c>
      <c r="G6" s="639">
        <f>Table5[[#This Row],[Cost in ILS]]*Table5[[#This Row],[Quantity]]</f>
        <v>4032000</v>
      </c>
      <c r="H6" s="639">
        <f>Table5[[#This Row],[Total Cost in ILS]]/FX_RATE</f>
        <v>1260000</v>
      </c>
      <c r="I6" s="300"/>
      <c r="J6" s="299">
        <f>Table5[[#This Row],[Total Cost in study Currency]]*Table5[[#This Row],[Depreciation Rate]]</f>
        <v>0</v>
      </c>
      <c r="K6" s="1"/>
    </row>
    <row r="7" spans="1:12" s="131" customFormat="1" ht="20.100000000000001" customHeight="1">
      <c r="A7" s="637" t="s">
        <v>474</v>
      </c>
      <c r="B7" s="294" t="s">
        <v>228</v>
      </c>
      <c r="C7" s="294" t="s">
        <v>475</v>
      </c>
      <c r="D7" s="293"/>
      <c r="E7" s="406">
        <v>1</v>
      </c>
      <c r="F7" s="239">
        <v>2240000</v>
      </c>
      <c r="G7" s="639">
        <f>Table5[[#This Row],[Cost in ILS]]*Table5[[#This Row],[Quantity]]</f>
        <v>2240000</v>
      </c>
      <c r="H7" s="639">
        <f>Table5[[#This Row],[Total Cost in ILS]]/FX_RATE</f>
        <v>700000</v>
      </c>
      <c r="I7" s="300">
        <v>0.1</v>
      </c>
      <c r="J7" s="299">
        <f>Table5[[#This Row],[Total Cost in study Currency]]*Table5[[#This Row],[Depreciation Rate]]</f>
        <v>70000</v>
      </c>
      <c r="K7" s="1"/>
    </row>
    <row r="8" spans="1:12" s="131" customFormat="1" ht="20.100000000000001" customHeight="1">
      <c r="A8" s="637" t="s">
        <v>476</v>
      </c>
      <c r="B8" s="294" t="s">
        <v>228</v>
      </c>
      <c r="C8" s="294" t="s">
        <v>477</v>
      </c>
      <c r="D8" s="293"/>
      <c r="E8" s="406">
        <v>1</v>
      </c>
      <c r="F8" s="239">
        <v>480000</v>
      </c>
      <c r="G8" s="639">
        <f>Table5[[#This Row],[Cost in ILS]]*Table5[[#This Row],[Quantity]]</f>
        <v>480000</v>
      </c>
      <c r="H8" s="639">
        <f>Table5[[#This Row],[Total Cost in ILS]]/FX_RATE</f>
        <v>150000</v>
      </c>
      <c r="I8" s="300">
        <v>0.1</v>
      </c>
      <c r="J8" s="299">
        <f>Table5[[#This Row],[Total Cost in study Currency]]*Table5[[#This Row],[Depreciation Rate]]</f>
        <v>15000</v>
      </c>
      <c r="K8" s="1"/>
    </row>
    <row r="9" spans="1:12" s="131" customFormat="1" ht="20.100000000000001" customHeight="1">
      <c r="A9" s="637" t="s">
        <v>478</v>
      </c>
      <c r="B9" s="294" t="s">
        <v>228</v>
      </c>
      <c r="C9" s="294" t="s">
        <v>477</v>
      </c>
      <c r="D9" s="293"/>
      <c r="E9" s="406">
        <v>1</v>
      </c>
      <c r="F9" s="239">
        <v>64000</v>
      </c>
      <c r="G9" s="639">
        <f>Table5[[#This Row],[Cost in ILS]]*Table5[[#This Row],[Quantity]]</f>
        <v>64000</v>
      </c>
      <c r="H9" s="639">
        <f>Table5[[#This Row],[Total Cost in ILS]]/FX_RATE</f>
        <v>20000</v>
      </c>
      <c r="I9" s="300">
        <v>0.1</v>
      </c>
      <c r="J9" s="299">
        <f>Table5[[#This Row],[Total Cost in study Currency]]*Table5[[#This Row],[Depreciation Rate]]</f>
        <v>2000</v>
      </c>
      <c r="K9" s="1"/>
    </row>
    <row r="10" spans="1:12" s="131" customFormat="1" ht="20.100000000000001" customHeight="1">
      <c r="A10" s="637" t="s">
        <v>479</v>
      </c>
      <c r="B10" s="294" t="s">
        <v>228</v>
      </c>
      <c r="C10" s="294" t="s">
        <v>477</v>
      </c>
      <c r="D10" s="293"/>
      <c r="E10" s="406">
        <v>1</v>
      </c>
      <c r="F10" s="239">
        <v>1280000</v>
      </c>
      <c r="G10" s="639">
        <f>Table5[[#This Row],[Cost in ILS]]*Table5[[#This Row],[Quantity]]</f>
        <v>1280000</v>
      </c>
      <c r="H10" s="639">
        <f>Table5[[#This Row],[Total Cost in ILS]]/FX_RATE</f>
        <v>400000</v>
      </c>
      <c r="I10" s="300">
        <v>0.05</v>
      </c>
      <c r="J10" s="299">
        <f>Table5[[#This Row],[Total Cost in study Currency]]*Table5[[#This Row],[Depreciation Rate]]</f>
        <v>20000</v>
      </c>
      <c r="K10" s="1"/>
    </row>
    <row r="11" spans="1:12" s="131" customFormat="1" ht="20.100000000000001" customHeight="1">
      <c r="A11" s="293"/>
      <c r="B11" s="294"/>
      <c r="C11" s="294"/>
      <c r="D11" s="295"/>
      <c r="E11" s="643"/>
      <c r="F11" s="239"/>
      <c r="G11" s="639">
        <f>Table5[[#This Row],[Cost in ILS]]*Table5[[#This Row],[Quantity]]</f>
        <v>0</v>
      </c>
      <c r="H11" s="639">
        <f>Table5[[#This Row],[Total Cost in ILS]]/FX_RATE</f>
        <v>0</v>
      </c>
      <c r="I11" s="300"/>
      <c r="J11" s="299">
        <f>Table5[[#This Row],[Total Cost in study Currency]]*Table5[[#This Row],[Depreciation Rate]]</f>
        <v>0</v>
      </c>
      <c r="K11" s="1"/>
    </row>
    <row r="12" spans="1:12" s="131" customFormat="1" ht="20.100000000000001" customHeight="1">
      <c r="A12" s="473" t="s">
        <v>480</v>
      </c>
      <c r="B12" s="294"/>
      <c r="C12" s="294"/>
      <c r="D12" s="293"/>
      <c r="E12" s="406"/>
      <c r="F12" s="239"/>
      <c r="G12" s="639">
        <f>Table5[[#This Row],[Cost in ILS]]*Table5[[#This Row],[Quantity]]</f>
        <v>0</v>
      </c>
      <c r="H12" s="639">
        <f>Table5[[#This Row],[Total Cost in ILS]]/FX_RATE</f>
        <v>0</v>
      </c>
      <c r="I12" s="300"/>
      <c r="J12" s="299">
        <f>Table5[[#This Row],[Total Cost in study Currency]]*Table5[[#This Row],[Depreciation Rate]]</f>
        <v>0</v>
      </c>
      <c r="K12" s="1"/>
    </row>
    <row r="13" spans="1:12" ht="20.100000000000001" customHeight="1">
      <c r="A13" s="637" t="s">
        <v>481</v>
      </c>
      <c r="B13" s="294" t="s">
        <v>482</v>
      </c>
      <c r="C13" s="294" t="s">
        <v>483</v>
      </c>
      <c r="D13" s="293"/>
      <c r="E13" s="406">
        <v>1</v>
      </c>
      <c r="F13" s="239">
        <v>14682624</v>
      </c>
      <c r="G13" s="639">
        <f>Table5[[#This Row],[Cost in ILS]]*Table5[[#This Row],[Quantity]]</f>
        <v>14682624</v>
      </c>
      <c r="H13" s="639">
        <f>Table5[[#This Row],[Total Cost in ILS]]/FX_RATE</f>
        <v>4588320</v>
      </c>
      <c r="I13" s="300">
        <v>0.1</v>
      </c>
      <c r="J13" s="299">
        <f>Table5[[#This Row],[Total Cost in study Currency]]*Table5[[#This Row],[Depreciation Rate]]</f>
        <v>458832</v>
      </c>
    </row>
    <row r="14" spans="1:12" ht="20.100000000000001" customHeight="1">
      <c r="A14" s="637" t="s">
        <v>484</v>
      </c>
      <c r="B14" s="294" t="s">
        <v>228</v>
      </c>
      <c r="C14" s="294" t="s">
        <v>483</v>
      </c>
      <c r="D14" s="293"/>
      <c r="E14" s="406">
        <v>1</v>
      </c>
      <c r="F14" s="239">
        <v>193600</v>
      </c>
      <c r="G14" s="639">
        <f>Table5[[#This Row],[Cost in ILS]]*Table5[[#This Row],[Quantity]]</f>
        <v>193600</v>
      </c>
      <c r="H14" s="639">
        <f>Table5[[#This Row],[Total Cost in ILS]]/FX_RATE</f>
        <v>60500</v>
      </c>
      <c r="I14" s="300">
        <v>0.1</v>
      </c>
      <c r="J14" s="299">
        <f>Table5[[#This Row],[Total Cost in study Currency]]*Table5[[#This Row],[Depreciation Rate]]</f>
        <v>6050</v>
      </c>
    </row>
    <row r="15" spans="1:12" ht="20.100000000000001" customHeight="1">
      <c r="A15" s="637" t="s">
        <v>485</v>
      </c>
      <c r="B15" s="294" t="s">
        <v>228</v>
      </c>
      <c r="C15" s="294" t="s">
        <v>483</v>
      </c>
      <c r="D15" s="293"/>
      <c r="E15" s="406">
        <v>1</v>
      </c>
      <c r="F15" s="239">
        <v>154880</v>
      </c>
      <c r="G15" s="639">
        <f>Table5[[#This Row],[Cost in ILS]]*Table5[[#This Row],[Quantity]]</f>
        <v>154880</v>
      </c>
      <c r="H15" s="639">
        <f>Table5[[#This Row],[Total Cost in ILS]]/FX_RATE</f>
        <v>48400</v>
      </c>
      <c r="I15" s="300">
        <v>0.1</v>
      </c>
      <c r="J15" s="299">
        <f>Table5[[#This Row],[Total Cost in study Currency]]*Table5[[#This Row],[Depreciation Rate]]</f>
        <v>4840</v>
      </c>
    </row>
    <row r="16" spans="1:12" ht="20.100000000000001" customHeight="1">
      <c r="A16" s="637" t="s">
        <v>486</v>
      </c>
      <c r="B16" s="294" t="s">
        <v>228</v>
      </c>
      <c r="C16" s="294" t="s">
        <v>483</v>
      </c>
      <c r="D16" s="293"/>
      <c r="E16" s="406">
        <v>1</v>
      </c>
      <c r="F16" s="239">
        <v>193600</v>
      </c>
      <c r="G16" s="639">
        <f>Table5[[#This Row],[Cost in ILS]]*Table5[[#This Row],[Quantity]]</f>
        <v>193600</v>
      </c>
      <c r="H16" s="639">
        <f>Table5[[#This Row],[Total Cost in ILS]]/FX_RATE</f>
        <v>60500</v>
      </c>
      <c r="I16" s="300">
        <v>0.1</v>
      </c>
      <c r="J16" s="299">
        <f>Table5[[#This Row],[Total Cost in study Currency]]*Table5[[#This Row],[Depreciation Rate]]</f>
        <v>6050</v>
      </c>
    </row>
    <row r="17" spans="1:10" ht="20.100000000000001" customHeight="1">
      <c r="A17" s="637" t="s">
        <v>487</v>
      </c>
      <c r="B17" s="294" t="s">
        <v>228</v>
      </c>
      <c r="C17" s="294" t="s">
        <v>483</v>
      </c>
      <c r="D17" s="293"/>
      <c r="E17" s="406">
        <v>1</v>
      </c>
      <c r="F17" s="239">
        <v>193600</v>
      </c>
      <c r="G17" s="639">
        <f>Table5[[#This Row],[Cost in ILS]]*Table5[[#This Row],[Quantity]]</f>
        <v>193600</v>
      </c>
      <c r="H17" s="639">
        <f>Table5[[#This Row],[Total Cost in ILS]]/FX_RATE</f>
        <v>60500</v>
      </c>
      <c r="I17" s="300">
        <v>0.1</v>
      </c>
      <c r="J17" s="299">
        <f>Table5[[#This Row],[Total Cost in study Currency]]*Table5[[#This Row],[Depreciation Rate]]</f>
        <v>6050</v>
      </c>
    </row>
    <row r="18" spans="1:10" ht="20.100000000000001" customHeight="1">
      <c r="A18" s="637" t="s">
        <v>488</v>
      </c>
      <c r="B18" s="294" t="s">
        <v>228</v>
      </c>
      <c r="C18" s="294" t="s">
        <v>483</v>
      </c>
      <c r="D18" s="293"/>
      <c r="E18" s="406">
        <v>1</v>
      </c>
      <c r="F18" s="239">
        <v>77440</v>
      </c>
      <c r="G18" s="639">
        <f>Table5[[#This Row],[Cost in ILS]]*Table5[[#This Row],[Quantity]]</f>
        <v>77440</v>
      </c>
      <c r="H18" s="639">
        <f>Table5[[#This Row],[Total Cost in ILS]]/FX_RATE</f>
        <v>24200</v>
      </c>
      <c r="I18" s="300">
        <v>0.1</v>
      </c>
      <c r="J18" s="299">
        <f>Table5[[#This Row],[Total Cost in study Currency]]*Table5[[#This Row],[Depreciation Rate]]</f>
        <v>2420</v>
      </c>
    </row>
    <row r="19" spans="1:10" ht="20.100000000000001" customHeight="1">
      <c r="A19" s="637" t="s">
        <v>489</v>
      </c>
      <c r="B19" s="294" t="s">
        <v>228</v>
      </c>
      <c r="C19" s="294" t="s">
        <v>483</v>
      </c>
      <c r="D19" s="293"/>
      <c r="E19" s="406">
        <v>1</v>
      </c>
      <c r="F19" s="239">
        <v>232320</v>
      </c>
      <c r="G19" s="639">
        <f>Table5[[#This Row],[Cost in ILS]]*Table5[[#This Row],[Quantity]]</f>
        <v>232320</v>
      </c>
      <c r="H19" s="639">
        <f>Table5[[#This Row],[Total Cost in ILS]]/FX_RATE</f>
        <v>72600</v>
      </c>
      <c r="I19" s="300">
        <v>0.1</v>
      </c>
      <c r="J19" s="299">
        <f>Table5[[#This Row],[Total Cost in study Currency]]*Table5[[#This Row],[Depreciation Rate]]</f>
        <v>7260</v>
      </c>
    </row>
    <row r="20" spans="1:10" ht="20.100000000000001" customHeight="1">
      <c r="A20" s="637" t="s">
        <v>490</v>
      </c>
      <c r="B20" s="294" t="s">
        <v>228</v>
      </c>
      <c r="C20" s="294" t="s">
        <v>483</v>
      </c>
      <c r="D20" s="293"/>
      <c r="E20" s="406">
        <v>1</v>
      </c>
      <c r="F20" s="239">
        <v>387200</v>
      </c>
      <c r="G20" s="639">
        <f>Table5[[#This Row],[Cost in ILS]]*Table5[[#This Row],[Quantity]]</f>
        <v>387200</v>
      </c>
      <c r="H20" s="639">
        <f>Table5[[#This Row],[Total Cost in ILS]]/FX_RATE</f>
        <v>121000</v>
      </c>
      <c r="I20" s="300">
        <v>0.1</v>
      </c>
      <c r="J20" s="299">
        <f>Table5[[#This Row],[Total Cost in study Currency]]*Table5[[#This Row],[Depreciation Rate]]</f>
        <v>12100</v>
      </c>
    </row>
    <row r="21" spans="1:10" ht="20.100000000000001" customHeight="1">
      <c r="A21" s="637" t="s">
        <v>491</v>
      </c>
      <c r="B21" s="294" t="s">
        <v>228</v>
      </c>
      <c r="C21" s="294" t="s">
        <v>483</v>
      </c>
      <c r="D21" s="293"/>
      <c r="E21" s="406">
        <v>1</v>
      </c>
      <c r="F21" s="239">
        <v>193600</v>
      </c>
      <c r="G21" s="639">
        <f>Table5[[#This Row],[Cost in ILS]]*Table5[[#This Row],[Quantity]]</f>
        <v>193600</v>
      </c>
      <c r="H21" s="639">
        <f>Table5[[#This Row],[Total Cost in ILS]]/FX_RATE</f>
        <v>60500</v>
      </c>
      <c r="I21" s="300">
        <v>0.1</v>
      </c>
      <c r="J21" s="299">
        <f>Table5[[#This Row],[Total Cost in study Currency]]*Table5[[#This Row],[Depreciation Rate]]</f>
        <v>6050</v>
      </c>
    </row>
    <row r="22" spans="1:10" ht="20.100000000000001" customHeight="1">
      <c r="A22" s="637" t="s">
        <v>492</v>
      </c>
      <c r="B22" s="294" t="s">
        <v>228</v>
      </c>
      <c r="C22" s="294" t="s">
        <v>483</v>
      </c>
      <c r="D22" s="293"/>
      <c r="E22" s="406">
        <v>1</v>
      </c>
      <c r="F22" s="239">
        <v>1056000</v>
      </c>
      <c r="G22" s="639">
        <f>Table5[[#This Row],[Cost in ILS]]*Table5[[#This Row],[Quantity]]</f>
        <v>1056000</v>
      </c>
      <c r="H22" s="639">
        <f>Table5[[#This Row],[Total Cost in ILS]]/FX_RATE</f>
        <v>330000</v>
      </c>
      <c r="I22" s="300">
        <v>0.1</v>
      </c>
      <c r="J22" s="299">
        <f>Table5[[#This Row],[Total Cost in study Currency]]*Table5[[#This Row],[Depreciation Rate]]</f>
        <v>33000</v>
      </c>
    </row>
    <row r="23" spans="1:10" ht="20.100000000000001" customHeight="1">
      <c r="A23" s="293"/>
      <c r="B23" s="294"/>
      <c r="C23" s="294"/>
      <c r="D23" s="295"/>
      <c r="E23" s="643"/>
      <c r="F23" s="239"/>
      <c r="G23" s="639">
        <f>Table5[[#This Row],[Cost in ILS]]*Table5[[#This Row],[Quantity]]</f>
        <v>0</v>
      </c>
      <c r="H23" s="639">
        <f>Table5[[#This Row],[Total Cost in ILS]]/FX_RATE</f>
        <v>0</v>
      </c>
      <c r="I23" s="300"/>
      <c r="J23" s="299">
        <f>Table5[[#This Row],[Total Cost in study Currency]]*Table5[[#This Row],[Depreciation Rate]]</f>
        <v>0</v>
      </c>
    </row>
    <row r="24" spans="1:10" ht="20.100000000000001" customHeight="1">
      <c r="A24" s="474" t="s">
        <v>493</v>
      </c>
      <c r="B24" s="294"/>
      <c r="C24" s="294"/>
      <c r="D24" s="297"/>
      <c r="E24" s="422"/>
      <c r="F24" s="239"/>
      <c r="G24" s="639">
        <f>Table5[[#This Row],[Cost in ILS]]*Table5[[#This Row],[Quantity]]</f>
        <v>0</v>
      </c>
      <c r="H24" s="639">
        <f>Table5[[#This Row],[Total Cost in ILS]]/FX_RATE</f>
        <v>0</v>
      </c>
      <c r="I24" s="300"/>
      <c r="J24" s="299">
        <f>Table5[[#This Row],[Total Cost in study Currency]]*Table5[[#This Row],[Depreciation Rate]]</f>
        <v>0</v>
      </c>
    </row>
    <row r="25" spans="1:10" ht="20.100000000000001" customHeight="1">
      <c r="A25" s="637" t="s">
        <v>494</v>
      </c>
      <c r="B25" s="294" t="s">
        <v>228</v>
      </c>
      <c r="C25" s="294" t="s">
        <v>493</v>
      </c>
      <c r="D25" s="297" t="s">
        <v>495</v>
      </c>
      <c r="E25" s="406">
        <v>1</v>
      </c>
      <c r="F25" s="239">
        <v>77440</v>
      </c>
      <c r="G25" s="639">
        <f>Table5[[#This Row],[Cost in ILS]]*Table5[[#This Row],[Quantity]]</f>
        <v>77440</v>
      </c>
      <c r="H25" s="639">
        <f>Table5[[#This Row],[Total Cost in ILS]]/FX_RATE</f>
        <v>24200</v>
      </c>
      <c r="I25" s="300">
        <v>0.2</v>
      </c>
      <c r="J25" s="299">
        <f>Table5[[#This Row],[Total Cost in study Currency]]*Table5[[#This Row],[Depreciation Rate]]</f>
        <v>4840</v>
      </c>
    </row>
    <row r="26" spans="1:10" ht="20.100000000000001" customHeight="1">
      <c r="A26" s="637" t="s">
        <v>496</v>
      </c>
      <c r="B26" s="294" t="s">
        <v>228</v>
      </c>
      <c r="C26" s="294" t="s">
        <v>493</v>
      </c>
      <c r="D26" s="297" t="s">
        <v>495</v>
      </c>
      <c r="E26" s="406">
        <v>1</v>
      </c>
      <c r="F26" s="239">
        <v>96800</v>
      </c>
      <c r="G26" s="639">
        <f>Table5[[#This Row],[Cost in ILS]]*Table5[[#This Row],[Quantity]]</f>
        <v>96800</v>
      </c>
      <c r="H26" s="639">
        <f>Table5[[#This Row],[Total Cost in ILS]]/FX_RATE</f>
        <v>30250</v>
      </c>
      <c r="I26" s="300">
        <v>0.2</v>
      </c>
      <c r="J26" s="299">
        <f>Table5[[#This Row],[Total Cost in study Currency]]*Table5[[#This Row],[Depreciation Rate]]</f>
        <v>6050</v>
      </c>
    </row>
    <row r="27" spans="1:10" ht="18.75" customHeight="1">
      <c r="A27" s="474"/>
      <c r="B27" s="294"/>
      <c r="C27" s="294"/>
      <c r="D27" s="297"/>
      <c r="E27" s="406"/>
      <c r="F27" s="239"/>
      <c r="G27" s="639">
        <f>Table5[[#This Row],[Cost in ILS]]*Table5[[#This Row],[Quantity]]</f>
        <v>0</v>
      </c>
      <c r="H27" s="639">
        <f>Table5[[#This Row],[Total Cost in ILS]]/FX_RATE</f>
        <v>0</v>
      </c>
      <c r="I27" s="300"/>
      <c r="J27" s="299">
        <f>Table5[[#This Row],[Total Cost in study Currency]]*Table5[[#This Row],[Depreciation Rate]]</f>
        <v>0</v>
      </c>
    </row>
    <row r="28" spans="1:10" ht="18.75" customHeight="1">
      <c r="A28" s="474" t="s">
        <v>497</v>
      </c>
      <c r="B28" s="294"/>
      <c r="C28" s="294"/>
      <c r="D28" s="297"/>
      <c r="E28" s="406"/>
      <c r="F28" s="239"/>
      <c r="G28" s="639">
        <f>Table5[[#This Row],[Cost in ILS]]*Table5[[#This Row],[Quantity]]</f>
        <v>0</v>
      </c>
      <c r="H28" s="639">
        <f>Table5[[#This Row],[Total Cost in ILS]]/FX_RATE</f>
        <v>0</v>
      </c>
      <c r="I28" s="300"/>
      <c r="J28" s="299">
        <f>Table5[[#This Row],[Total Cost in study Currency]]*Table5[[#This Row],[Depreciation Rate]]</f>
        <v>0</v>
      </c>
    </row>
    <row r="29" spans="1:10" ht="18.75" customHeight="1">
      <c r="A29" s="637" t="s">
        <v>498</v>
      </c>
      <c r="B29" s="294" t="s">
        <v>228</v>
      </c>
      <c r="C29" s="294" t="s">
        <v>499</v>
      </c>
      <c r="D29" s="297"/>
      <c r="E29" s="406">
        <v>1</v>
      </c>
      <c r="F29" s="239">
        <v>135520</v>
      </c>
      <c r="G29" s="639">
        <f>Table5[[#This Row],[Cost in ILS]]*Table5[[#This Row],[Quantity]]</f>
        <v>135520</v>
      </c>
      <c r="H29" s="639">
        <f>Table5[[#This Row],[Total Cost in ILS]]/FX_RATE</f>
        <v>42350</v>
      </c>
      <c r="I29" s="300">
        <v>0.15</v>
      </c>
      <c r="J29" s="299">
        <f>Table5[[#This Row],[Total Cost in study Currency]]*Table5[[#This Row],[Depreciation Rate]]</f>
        <v>6352.5</v>
      </c>
    </row>
    <row r="30" spans="1:10" ht="18.75" customHeight="1">
      <c r="A30" s="474"/>
      <c r="B30" s="294"/>
      <c r="C30" s="294"/>
      <c r="D30" s="297"/>
      <c r="E30" s="406"/>
      <c r="F30" s="239"/>
      <c r="G30" s="639">
        <f>Table5[[#This Row],[Cost in ILS]]*Table5[[#This Row],[Quantity]]</f>
        <v>0</v>
      </c>
      <c r="H30" s="639">
        <f>Table5[[#This Row],[Total Cost in ILS]]/FX_RATE</f>
        <v>0</v>
      </c>
      <c r="I30" s="300"/>
      <c r="J30" s="299">
        <f>Table5[[#This Row],[Total Cost in study Currency]]*Table5[[#This Row],[Depreciation Rate]]</f>
        <v>0</v>
      </c>
    </row>
    <row r="31" spans="1:10" ht="20.100000000000001" customHeight="1">
      <c r="A31" s="474" t="s">
        <v>500</v>
      </c>
      <c r="B31" s="294"/>
      <c r="C31" s="294"/>
      <c r="D31" s="297"/>
      <c r="E31" s="406"/>
      <c r="F31" s="239"/>
      <c r="G31" s="639">
        <f>Table5[[#This Row],[Cost in ILS]]*Table5[[#This Row],[Quantity]]</f>
        <v>0</v>
      </c>
      <c r="H31" s="639">
        <f>Table5[[#This Row],[Total Cost in ILS]]/FX_RATE</f>
        <v>0</v>
      </c>
      <c r="I31" s="300"/>
      <c r="J31" s="299">
        <f>Table5[[#This Row],[Total Cost in study Currency]]*Table5[[#This Row],[Depreciation Rate]]</f>
        <v>0</v>
      </c>
    </row>
    <row r="32" spans="1:10" ht="20.100000000000001" customHeight="1">
      <c r="A32" s="637" t="s">
        <v>501</v>
      </c>
      <c r="B32" s="294" t="s">
        <v>228</v>
      </c>
      <c r="C32" s="294" t="s">
        <v>502</v>
      </c>
      <c r="D32" s="297" t="s">
        <v>495</v>
      </c>
      <c r="E32" s="406">
        <v>1</v>
      </c>
      <c r="F32" s="239">
        <v>193600</v>
      </c>
      <c r="G32" s="639">
        <f>Table5[[#This Row],[Cost in ILS]]*Table5[[#This Row],[Quantity]]</f>
        <v>193600</v>
      </c>
      <c r="H32" s="639">
        <f>Table5[[#This Row],[Total Cost in ILS]]/FX_RATE</f>
        <v>60500</v>
      </c>
      <c r="I32" s="300">
        <v>0.2</v>
      </c>
      <c r="J32" s="299">
        <f>Table5[[#This Row],[Total Cost in study Currency]]*Table5[[#This Row],[Depreciation Rate]]</f>
        <v>12100</v>
      </c>
    </row>
    <row r="33" spans="1:11" ht="20.100000000000001" customHeight="1">
      <c r="A33" s="637" t="s">
        <v>503</v>
      </c>
      <c r="B33" s="294" t="s">
        <v>228</v>
      </c>
      <c r="C33" s="294" t="s">
        <v>502</v>
      </c>
      <c r="D33" s="297" t="s">
        <v>495</v>
      </c>
      <c r="E33" s="406">
        <v>1</v>
      </c>
      <c r="F33" s="239">
        <v>774400</v>
      </c>
      <c r="G33" s="639">
        <f>Table5[[#This Row],[Cost in ILS]]*Table5[[#This Row],[Quantity]]</f>
        <v>774400</v>
      </c>
      <c r="H33" s="639">
        <f>Table5[[#This Row],[Total Cost in ILS]]/FX_RATE</f>
        <v>242000</v>
      </c>
      <c r="I33" s="300">
        <v>0.2</v>
      </c>
      <c r="J33" s="299">
        <f>Table5[[#This Row],[Total Cost in study Currency]]*Table5[[#This Row],[Depreciation Rate]]</f>
        <v>48400</v>
      </c>
    </row>
    <row r="34" spans="1:11" ht="20.100000000000001" customHeight="1">
      <c r="A34" s="474"/>
      <c r="B34" s="294"/>
      <c r="C34" s="294"/>
      <c r="D34" s="297"/>
      <c r="E34" s="406"/>
      <c r="F34" s="239"/>
      <c r="G34" s="639">
        <f>Table5[[#This Row],[Cost in ILS]]*Table5[[#This Row],[Quantity]]</f>
        <v>0</v>
      </c>
      <c r="H34" s="639">
        <f>Table5[[#This Row],[Total Cost in ILS]]/FX_RATE</f>
        <v>0</v>
      </c>
      <c r="I34" s="300"/>
      <c r="J34" s="299">
        <f>Table5[[#This Row],[Total Cost in study Currency]]*Table5[[#This Row],[Depreciation Rate]]</f>
        <v>0</v>
      </c>
    </row>
    <row r="35" spans="1:11" ht="20.100000000000001" customHeight="1">
      <c r="A35" s="474" t="s">
        <v>504</v>
      </c>
      <c r="B35" s="294"/>
      <c r="C35" s="294"/>
      <c r="D35" s="297"/>
      <c r="E35" s="406"/>
      <c r="F35" s="239"/>
      <c r="G35" s="639">
        <f>Table5[[#This Row],[Cost in ILS]]*Table5[[#This Row],[Quantity]]</f>
        <v>0</v>
      </c>
      <c r="H35" s="639">
        <f>Table5[[#This Row],[Total Cost in ILS]]/FX_RATE</f>
        <v>0</v>
      </c>
      <c r="I35" s="300"/>
      <c r="J35" s="299">
        <f>Table5[[#This Row],[Total Cost in study Currency]]*Table5[[#This Row],[Depreciation Rate]]</f>
        <v>0</v>
      </c>
    </row>
    <row r="36" spans="1:11" ht="20.100000000000001" customHeight="1">
      <c r="A36" s="637" t="s">
        <v>505</v>
      </c>
      <c r="B36" s="294" t="s">
        <v>228</v>
      </c>
      <c r="C36" s="294" t="s">
        <v>477</v>
      </c>
      <c r="D36" s="297" t="s">
        <v>495</v>
      </c>
      <c r="E36" s="406">
        <v>1</v>
      </c>
      <c r="F36" s="239">
        <v>193600</v>
      </c>
      <c r="G36" s="639">
        <f>Table5[[#This Row],[Cost in ILS]]*Table5[[#This Row],[Quantity]]</f>
        <v>193600</v>
      </c>
      <c r="H36" s="639">
        <f>Table5[[#This Row],[Total Cost in ILS]]/FX_RATE</f>
        <v>60500</v>
      </c>
      <c r="I36" s="300">
        <v>0.15</v>
      </c>
      <c r="J36" s="299">
        <f>Table5[[#This Row],[Total Cost in study Currency]]*Table5[[#This Row],[Depreciation Rate]]</f>
        <v>9075</v>
      </c>
    </row>
    <row r="37" spans="1:11" ht="20.100000000000001" customHeight="1">
      <c r="A37" s="296"/>
      <c r="B37" s="294"/>
      <c r="C37" s="294"/>
      <c r="D37" s="297"/>
      <c r="E37" s="422"/>
      <c r="F37" s="239"/>
      <c r="G37" s="639">
        <f>Table5[[#This Row],[Cost in ILS]]*Table5[[#This Row],[Quantity]]</f>
        <v>0</v>
      </c>
      <c r="H37" s="639">
        <f>Table5[[#This Row],[Total Cost in ILS]]/FX_RATE</f>
        <v>0</v>
      </c>
      <c r="I37" s="300"/>
      <c r="J37" s="299">
        <f>Table5[[#This Row],[Total Cost in study Currency]]*Table5[[#This Row],[Depreciation Rate]]</f>
        <v>0</v>
      </c>
    </row>
    <row r="38" spans="1:11">
      <c r="A38" s="57" t="s">
        <v>110</v>
      </c>
      <c r="B38" s="57"/>
      <c r="C38" s="57"/>
      <c r="G38" s="640">
        <f>SUBTOTAL(109,Table5[Total Cost in ILS])</f>
        <v>26932224</v>
      </c>
      <c r="H38" s="640">
        <f>SUBTOTAL(109,Table5[Total Cost in study Currency])</f>
        <v>8416320</v>
      </c>
      <c r="J38" s="1">
        <f>SUBTOTAL(109,Table5[Annual Depreciation])</f>
        <v>736469.5</v>
      </c>
    </row>
    <row r="39" spans="1:11" ht="16.5" thickBot="1">
      <c r="B39" s="225" t="s">
        <v>132</v>
      </c>
      <c r="C39" s="225"/>
    </row>
    <row r="40" spans="1:11" ht="31.5" thickTop="1" thickBot="1">
      <c r="B40" s="226" t="s">
        <v>463</v>
      </c>
      <c r="C40" s="228"/>
      <c r="D40"/>
      <c r="E40"/>
      <c r="F40"/>
      <c r="G40" s="641" t="s">
        <v>506</v>
      </c>
      <c r="H40" s="641" t="s">
        <v>507</v>
      </c>
      <c r="I40"/>
      <c r="J40" s="226" t="s">
        <v>470</v>
      </c>
    </row>
    <row r="41" spans="1:11" ht="15.75">
      <c r="B41" s="224" t="s">
        <v>228</v>
      </c>
      <c r="C41" s="224"/>
      <c r="F41" s="478">
        <f>H41/$H$44</f>
        <v>0.45483061480552073</v>
      </c>
      <c r="G41" s="640">
        <f>SUMIF(Table5[Source of Finance],B41,Table5[Total Cost in ILS])</f>
        <v>12249600</v>
      </c>
      <c r="H41" s="640">
        <f>SUMIF(Table5[Source of Finance],B41,Table5[Total Cost in study Currency])</f>
        <v>3828000</v>
      </c>
      <c r="J41" s="1">
        <f>SUMIF(Table5[Source of Finance],B41,Table5[Annual Depreciation])</f>
        <v>277637.5</v>
      </c>
    </row>
    <row r="42" spans="1:11" ht="15.75">
      <c r="B42" s="224" t="s">
        <v>482</v>
      </c>
      <c r="C42" s="224"/>
      <c r="F42" s="478">
        <f>H42/$H$44</f>
        <v>0.54516938519447933</v>
      </c>
      <c r="G42" s="640">
        <f>SUMIF(Table5[Source of Finance],B42,Table5[Total Cost in ILS])</f>
        <v>14682624</v>
      </c>
      <c r="H42" s="640">
        <f>SUMIF(Table5[Source of Finance],B42,Table5[Total Cost in study Currency])</f>
        <v>4588320</v>
      </c>
      <c r="J42" s="1">
        <f>SUMIF(Table5[Source of Finance],B42,Table5[Annual Depreciation])</f>
        <v>458832</v>
      </c>
    </row>
    <row r="43" spans="1:11" ht="15.75">
      <c r="B43" s="224" t="s">
        <v>508</v>
      </c>
      <c r="C43" s="224"/>
      <c r="F43" s="478">
        <f t="shared" ref="F43" si="0">H43/$H$44</f>
        <v>0</v>
      </c>
      <c r="G43" s="640">
        <f>SUMIF(Table5[Source of Finance],B43,Table5[Total Cost in ILS])</f>
        <v>0</v>
      </c>
      <c r="H43" s="640">
        <f>SUMIF(Table5[Source of Finance],B43,Table5[Total Cost in study Currency])</f>
        <v>0</v>
      </c>
      <c r="J43" s="1">
        <f>SUMIF(Table5[Source of Finance],B43,Table5[Annual Depreciation])</f>
        <v>0</v>
      </c>
    </row>
    <row r="44" spans="1:11" ht="15.75" thickBot="1">
      <c r="G44" s="642">
        <f>SUM(G41:G43)</f>
        <v>26932224</v>
      </c>
      <c r="H44" s="642">
        <f>SUM(H41:H43)</f>
        <v>8416320</v>
      </c>
      <c r="J44" s="227">
        <f>SUM(J41:J43)</f>
        <v>736469.5</v>
      </c>
    </row>
    <row r="45" spans="1:11" ht="15.75" thickTop="1"/>
    <row r="46" spans="1:11" ht="26.25">
      <c r="A46" s="800" t="str">
        <f>'Scenario Analysis'!A5</f>
        <v>Scenario 2</v>
      </c>
      <c r="B46" s="800"/>
      <c r="C46" s="800"/>
      <c r="D46" s="800"/>
      <c r="E46" s="800"/>
      <c r="F46" s="800"/>
      <c r="G46" s="800"/>
      <c r="H46" s="800"/>
      <c r="I46" s="800"/>
      <c r="J46" s="800"/>
      <c r="K46" s="800"/>
    </row>
    <row r="47" spans="1:11" ht="20.25">
      <c r="A47" s="774" t="str">
        <f>CONCATENATE("Currecy"," ",'Summary. Assumptions. Inputs'!$J$7)</f>
        <v>Currecy USD</v>
      </c>
      <c r="B47" s="774"/>
      <c r="C47" s="774"/>
      <c r="D47" s="774"/>
      <c r="E47" s="774"/>
      <c r="F47" s="774"/>
      <c r="G47" s="774"/>
      <c r="H47" s="774"/>
      <c r="I47" s="774"/>
      <c r="J47" s="774"/>
      <c r="K47" s="774"/>
    </row>
    <row r="48" spans="1:11" ht="45">
      <c r="A48" s="129" t="s">
        <v>462</v>
      </c>
      <c r="B48" s="130" t="s">
        <v>463</v>
      </c>
      <c r="C48" s="130" t="s">
        <v>464</v>
      </c>
      <c r="D48" s="130" t="s">
        <v>252</v>
      </c>
      <c r="E48" s="130" t="s">
        <v>465</v>
      </c>
      <c r="F48" s="130" t="s">
        <v>466</v>
      </c>
      <c r="G48" s="638" t="s">
        <v>467</v>
      </c>
      <c r="H48" s="638" t="s">
        <v>468</v>
      </c>
      <c r="I48" s="130" t="s">
        <v>469</v>
      </c>
      <c r="J48" s="130" t="s">
        <v>470</v>
      </c>
      <c r="K48" s="130" t="s">
        <v>471</v>
      </c>
    </row>
    <row r="49" spans="1:10" ht="15.75">
      <c r="A49" s="473" t="str">
        <f>A5</f>
        <v>Construction:</v>
      </c>
      <c r="B49" s="294"/>
      <c r="C49" s="294"/>
      <c r="D49" s="295"/>
      <c r="E49" s="422"/>
      <c r="F49" s="239"/>
      <c r="G49" s="639">
        <v>0</v>
      </c>
      <c r="H49" s="639">
        <f>Table514[[#This Row],[Total Cost in ILS]]/FX_RATE</f>
        <v>0</v>
      </c>
      <c r="I49" s="300"/>
      <c r="J49" s="299">
        <f>Table514[[#This Row],[Total Cost in study Currency]]*Table514[[#This Row],[Depreciation Rate]]</f>
        <v>0</v>
      </c>
    </row>
    <row r="50" spans="1:10" ht="15.75">
      <c r="A50" s="637" t="str">
        <f t="shared" ref="A50:A80" si="1">A7</f>
        <v>Building construction- Barracks</v>
      </c>
      <c r="B50" s="294" t="s">
        <v>228</v>
      </c>
      <c r="C50" s="294" t="s">
        <v>475</v>
      </c>
      <c r="D50" s="293"/>
      <c r="E50" s="406">
        <v>1</v>
      </c>
      <c r="F50" s="239">
        <v>2240000</v>
      </c>
      <c r="G50" s="639">
        <f>Table514[[#This Row],[Quantity]]*Table514[[#This Row],[Cost in ILS]]</f>
        <v>2240000</v>
      </c>
      <c r="H50" s="639">
        <f>Table514[[#This Row],[Total Cost in ILS]]/FX_RATE</f>
        <v>700000</v>
      </c>
      <c r="I50" s="300"/>
      <c r="J50" s="299">
        <f>Table514[[#This Row],[Total Cost in study Currency]]*Table514[[#This Row],[Depreciation Rate]]</f>
        <v>0</v>
      </c>
    </row>
    <row r="51" spans="1:10" ht="15.75">
      <c r="A51" s="637" t="str">
        <f t="shared" si="1"/>
        <v>Fire system</v>
      </c>
      <c r="B51" s="294" t="s">
        <v>228</v>
      </c>
      <c r="C51" s="294" t="s">
        <v>477</v>
      </c>
      <c r="D51" s="293"/>
      <c r="E51" s="406">
        <v>1</v>
      </c>
      <c r="F51" s="239">
        <v>480000</v>
      </c>
      <c r="G51" s="639">
        <f>Table514[[#This Row],[Quantity]]*Table514[[#This Row],[Cost in ILS]]</f>
        <v>480000</v>
      </c>
      <c r="H51" s="639">
        <f>Table514[[#This Row],[Total Cost in ILS]]/FX_RATE</f>
        <v>150000</v>
      </c>
      <c r="I51" s="300"/>
      <c r="J51" s="299">
        <f>Table514[[#This Row],[Total Cost in study Currency]]*Table514[[#This Row],[Depreciation Rate]]</f>
        <v>0</v>
      </c>
    </row>
    <row r="52" spans="1:10" ht="15.75">
      <c r="A52" s="637" t="str">
        <f t="shared" si="1"/>
        <v>Lighting system</v>
      </c>
      <c r="B52" s="294" t="s">
        <v>228</v>
      </c>
      <c r="C52" s="294" t="s">
        <v>477</v>
      </c>
      <c r="D52" s="293"/>
      <c r="E52" s="406">
        <v>1</v>
      </c>
      <c r="F52" s="239">
        <v>64000</v>
      </c>
      <c r="G52" s="639">
        <f>Table514[[#This Row],[Quantity]]*Table514[[#This Row],[Cost in ILS]]</f>
        <v>64000</v>
      </c>
      <c r="H52" s="639">
        <f>Table514[[#This Row],[Total Cost in ILS]]/FX_RATE</f>
        <v>20000</v>
      </c>
      <c r="I52" s="300"/>
      <c r="J52" s="299">
        <f>Table514[[#This Row],[Total Cost in study Currency]]*Table514[[#This Row],[Depreciation Rate]]</f>
        <v>0</v>
      </c>
    </row>
    <row r="53" spans="1:10" ht="15.75">
      <c r="A53" s="637" t="str">
        <f t="shared" si="1"/>
        <v>Solar System (0.5 Mega)</v>
      </c>
      <c r="B53" s="294" t="s">
        <v>228</v>
      </c>
      <c r="C53" s="294" t="s">
        <v>477</v>
      </c>
      <c r="D53" s="293"/>
      <c r="E53" s="406">
        <v>1</v>
      </c>
      <c r="F53" s="239">
        <v>1280000</v>
      </c>
      <c r="G53" s="639">
        <f>Table514[[#This Row],[Quantity]]*Table514[[#This Row],[Cost in ILS]]</f>
        <v>1280000</v>
      </c>
      <c r="H53" s="639">
        <f>Table514[[#This Row],[Total Cost in ILS]]/FX_RATE</f>
        <v>400000</v>
      </c>
      <c r="I53" s="300"/>
      <c r="J53" s="299">
        <f>Table514[[#This Row],[Total Cost in study Currency]]*Table514[[#This Row],[Depreciation Rate]]</f>
        <v>0</v>
      </c>
    </row>
    <row r="54" spans="1:10" ht="15.75">
      <c r="A54" s="293">
        <f t="shared" si="1"/>
        <v>0</v>
      </c>
      <c r="B54" s="294"/>
      <c r="C54" s="294"/>
      <c r="D54" s="295"/>
      <c r="E54" s="643"/>
      <c r="F54" s="239"/>
      <c r="G54" s="639">
        <f>Table514[[#This Row],[Quantity]]*Table514[[#This Row],[Cost in ILS]]</f>
        <v>0</v>
      </c>
      <c r="H54" s="639">
        <f>Table514[[#This Row],[Total Cost in ILS]]/FX_RATE</f>
        <v>0</v>
      </c>
      <c r="I54" s="300"/>
      <c r="J54" s="299">
        <f>Table514[[#This Row],[Total Cost in study Currency]]*Table514[[#This Row],[Depreciation Rate]]</f>
        <v>0</v>
      </c>
    </row>
    <row r="55" spans="1:10" ht="15.75">
      <c r="A55" s="473" t="str">
        <f t="shared" si="1"/>
        <v>Production Line and Equipment:</v>
      </c>
      <c r="B55" s="294"/>
      <c r="C55" s="294"/>
      <c r="D55" s="293"/>
      <c r="E55" s="406"/>
      <c r="F55" s="239"/>
      <c r="G55" s="639">
        <f>Table514[[#This Row],[Quantity]]*Table514[[#This Row],[Cost in ILS]]</f>
        <v>0</v>
      </c>
      <c r="H55" s="639">
        <f>Table514[[#This Row],[Total Cost in ILS]]/FX_RATE</f>
        <v>0</v>
      </c>
      <c r="I55" s="300"/>
      <c r="J55" s="299">
        <f>Table514[[#This Row],[Total Cost in study Currency]]*Table514[[#This Row],[Depreciation Rate]]</f>
        <v>0</v>
      </c>
    </row>
    <row r="56" spans="1:10" ht="15.75">
      <c r="A56" s="637" t="str">
        <f t="shared" si="1"/>
        <v>Production Line</v>
      </c>
      <c r="B56" s="294" t="s">
        <v>228</v>
      </c>
      <c r="C56" s="294" t="s">
        <v>483</v>
      </c>
      <c r="D56" s="293"/>
      <c r="E56" s="406">
        <v>1</v>
      </c>
      <c r="F56" s="239">
        <v>14682624</v>
      </c>
      <c r="G56" s="639">
        <f>Table514[[#This Row],[Quantity]]*Table514[[#This Row],[Cost in ILS]]</f>
        <v>14682624</v>
      </c>
      <c r="H56" s="639">
        <f>Table514[[#This Row],[Total Cost in ILS]]/FX_RATE</f>
        <v>4588320</v>
      </c>
      <c r="I56" s="300"/>
      <c r="J56" s="299">
        <f>Table514[[#This Row],[Total Cost in study Currency]]*Table514[[#This Row],[Depreciation Rate]]</f>
        <v>0</v>
      </c>
    </row>
    <row r="57" spans="1:10" ht="15.75">
      <c r="A57" s="637" t="str">
        <f t="shared" si="1"/>
        <v>Shipping and Taxes</v>
      </c>
      <c r="B57" s="294" t="s">
        <v>228</v>
      </c>
      <c r="C57" s="294" t="s">
        <v>483</v>
      </c>
      <c r="D57" s="293"/>
      <c r="E57" s="406">
        <v>1</v>
      </c>
      <c r="F57" s="239">
        <v>193600</v>
      </c>
      <c r="G57" s="639">
        <f>Table514[[#This Row],[Quantity]]*Table514[[#This Row],[Cost in ILS]]</f>
        <v>193600</v>
      </c>
      <c r="H57" s="639">
        <f>Table514[[#This Row],[Total Cost in ILS]]/FX_RATE</f>
        <v>60500</v>
      </c>
      <c r="I57" s="300"/>
      <c r="J57" s="299">
        <f>Table514[[#This Row],[Total Cost in study Currency]]*Table514[[#This Row],[Depreciation Rate]]</f>
        <v>0</v>
      </c>
    </row>
    <row r="58" spans="1:10" ht="15.75">
      <c r="A58" s="637" t="str">
        <f t="shared" si="1"/>
        <v>Reel Lifting and handling</v>
      </c>
      <c r="B58" s="294" t="s">
        <v>228</v>
      </c>
      <c r="C58" s="294" t="s">
        <v>483</v>
      </c>
      <c r="D58" s="293"/>
      <c r="E58" s="406">
        <v>1</v>
      </c>
      <c r="F58" s="239">
        <v>154880</v>
      </c>
      <c r="G58" s="639">
        <f>Table514[[#This Row],[Quantity]]*Table514[[#This Row],[Cost in ILS]]</f>
        <v>154880</v>
      </c>
      <c r="H58" s="639">
        <f>Table514[[#This Row],[Total Cost in ILS]]/FX_RATE</f>
        <v>48400</v>
      </c>
      <c r="I58" s="300"/>
      <c r="J58" s="299">
        <f>Table514[[#This Row],[Total Cost in study Currency]]*Table514[[#This Row],[Depreciation Rate]]</f>
        <v>0</v>
      </c>
    </row>
    <row r="59" spans="1:10" ht="15.75">
      <c r="A59" s="637" t="str">
        <f t="shared" si="1"/>
        <v>Raw material containers and silos</v>
      </c>
      <c r="B59" s="294" t="s">
        <v>228</v>
      </c>
      <c r="C59" s="294" t="s">
        <v>483</v>
      </c>
      <c r="D59" s="293"/>
      <c r="E59" s="406">
        <v>1</v>
      </c>
      <c r="F59" s="239">
        <v>193600</v>
      </c>
      <c r="G59" s="639">
        <f>Table514[[#This Row],[Quantity]]*Table514[[#This Row],[Cost in ILS]]</f>
        <v>193600</v>
      </c>
      <c r="H59" s="639">
        <f>Table514[[#This Row],[Total Cost in ILS]]/FX_RATE</f>
        <v>60500</v>
      </c>
      <c r="I59" s="300"/>
      <c r="J59" s="299">
        <f>Table514[[#This Row],[Total Cost in study Currency]]*Table514[[#This Row],[Depreciation Rate]]</f>
        <v>0</v>
      </c>
    </row>
    <row r="60" spans="1:10" ht="15.75">
      <c r="A60" s="637" t="str">
        <f t="shared" si="1"/>
        <v>Installation: Assembly and wiring</v>
      </c>
      <c r="B60" s="294" t="s">
        <v>228</v>
      </c>
      <c r="C60" s="294" t="s">
        <v>483</v>
      </c>
      <c r="D60" s="293"/>
      <c r="E60" s="406">
        <v>1</v>
      </c>
      <c r="F60" s="239">
        <v>193600</v>
      </c>
      <c r="G60" s="639">
        <f>Table514[[#This Row],[Quantity]]*Table514[[#This Row],[Cost in ILS]]</f>
        <v>193600</v>
      </c>
      <c r="H60" s="639">
        <f>Table514[[#This Row],[Total Cost in ILS]]/FX_RATE</f>
        <v>60500</v>
      </c>
      <c r="I60" s="300"/>
      <c r="J60" s="299">
        <f>Table514[[#This Row],[Total Cost in study Currency]]*Table514[[#This Row],[Depreciation Rate]]</f>
        <v>0</v>
      </c>
    </row>
    <row r="61" spans="1:10" ht="15.75">
      <c r="A61" s="637" t="str">
        <f t="shared" si="1"/>
        <v>Software and electrical infrastructure</v>
      </c>
      <c r="B61" s="294" t="s">
        <v>228</v>
      </c>
      <c r="C61" s="294" t="s">
        <v>483</v>
      </c>
      <c r="D61" s="293"/>
      <c r="E61" s="406">
        <v>1</v>
      </c>
      <c r="F61" s="239">
        <v>77440</v>
      </c>
      <c r="G61" s="639">
        <f>Table514[[#This Row],[Quantity]]*Table514[[#This Row],[Cost in ILS]]</f>
        <v>77440</v>
      </c>
      <c r="H61" s="639">
        <f>Table514[[#This Row],[Total Cost in ILS]]/FX_RATE</f>
        <v>24200</v>
      </c>
      <c r="I61" s="300"/>
      <c r="J61" s="299">
        <f>Table514[[#This Row],[Total Cost in study Currency]]*Table514[[#This Row],[Depreciation Rate]]</f>
        <v>0</v>
      </c>
    </row>
    <row r="62" spans="1:10" ht="15.75">
      <c r="A62" s="637" t="str">
        <f t="shared" si="1"/>
        <v>Compressor and compressed airliners</v>
      </c>
      <c r="B62" s="294" t="s">
        <v>228</v>
      </c>
      <c r="C62" s="294" t="s">
        <v>483</v>
      </c>
      <c r="D62" s="293"/>
      <c r="E62" s="406">
        <v>1</v>
      </c>
      <c r="F62" s="239">
        <v>232320</v>
      </c>
      <c r="G62" s="639">
        <f>Table514[[#This Row],[Quantity]]*Table514[[#This Row],[Cost in ILS]]</f>
        <v>232320</v>
      </c>
      <c r="H62" s="639">
        <f>Table514[[#This Row],[Total Cost in ILS]]/FX_RATE</f>
        <v>72600</v>
      </c>
      <c r="I62" s="300"/>
      <c r="J62" s="299">
        <f>Table514[[#This Row],[Total Cost in study Currency]]*Table514[[#This Row],[Depreciation Rate]]</f>
        <v>0</v>
      </c>
    </row>
    <row r="63" spans="1:10" ht="15.75">
      <c r="A63" s="637" t="str">
        <f t="shared" si="1"/>
        <v>Water and air cooling system</v>
      </c>
      <c r="B63" s="294" t="s">
        <v>228</v>
      </c>
      <c r="C63" s="294" t="s">
        <v>483</v>
      </c>
      <c r="D63" s="293"/>
      <c r="E63" s="406">
        <v>1</v>
      </c>
      <c r="F63" s="239">
        <v>387200</v>
      </c>
      <c r="G63" s="639">
        <f>Table514[[#This Row],[Quantity]]*Table514[[#This Row],[Cost in ILS]]</f>
        <v>387200</v>
      </c>
      <c r="H63" s="639">
        <f>Table514[[#This Row],[Total Cost in ILS]]/FX_RATE</f>
        <v>121000</v>
      </c>
      <c r="I63" s="300"/>
      <c r="J63" s="299">
        <f>Table514[[#This Row],[Total Cost in study Currency]]*Table514[[#This Row],[Depreciation Rate]]</f>
        <v>0</v>
      </c>
    </row>
    <row r="64" spans="1:10" ht="15.75">
      <c r="A64" s="637" t="str">
        <f t="shared" si="1"/>
        <v>Power Generator</v>
      </c>
      <c r="B64" s="294" t="s">
        <v>228</v>
      </c>
      <c r="C64" s="294" t="s">
        <v>483</v>
      </c>
      <c r="D64" s="293"/>
      <c r="E64" s="406">
        <v>1</v>
      </c>
      <c r="F64" s="239">
        <v>193600</v>
      </c>
      <c r="G64" s="639">
        <f>Table514[[#This Row],[Quantity]]*Table514[[#This Row],[Cost in ILS]]</f>
        <v>193600</v>
      </c>
      <c r="H64" s="639">
        <f>Table514[[#This Row],[Total Cost in ILS]]/FX_RATE</f>
        <v>60500</v>
      </c>
      <c r="I64" s="300"/>
      <c r="J64" s="299">
        <f>Table514[[#This Row],[Total Cost in study Currency]]*Table514[[#This Row],[Depreciation Rate]]</f>
        <v>0</v>
      </c>
    </row>
    <row r="65" spans="1:10" ht="15.75">
      <c r="A65" s="637" t="str">
        <f t="shared" si="1"/>
        <v>Recycling Production Line (Including washing and palletizing…etc.)</v>
      </c>
      <c r="B65" s="294" t="s">
        <v>228</v>
      </c>
      <c r="C65" s="294" t="s">
        <v>483</v>
      </c>
      <c r="D65" s="293"/>
      <c r="E65" s="406">
        <v>1</v>
      </c>
      <c r="F65" s="239">
        <v>1056000</v>
      </c>
      <c r="G65" s="639">
        <f>Table514[[#This Row],[Quantity]]*Table514[[#This Row],[Cost in ILS]]</f>
        <v>1056000</v>
      </c>
      <c r="H65" s="639">
        <f>Table514[[#This Row],[Total Cost in ILS]]/FX_RATE</f>
        <v>330000</v>
      </c>
      <c r="I65" s="300"/>
      <c r="J65" s="299">
        <f>Table514[[#This Row],[Total Cost in study Currency]]*Table514[[#This Row],[Depreciation Rate]]</f>
        <v>0</v>
      </c>
    </row>
    <row r="66" spans="1:10" ht="15.75">
      <c r="A66" s="293">
        <f t="shared" si="1"/>
        <v>0</v>
      </c>
      <c r="B66" s="294"/>
      <c r="C66" s="294"/>
      <c r="D66" s="295"/>
      <c r="E66" s="643"/>
      <c r="F66" s="239"/>
      <c r="G66" s="639">
        <f>Table514[[#This Row],[Quantity]]*Table514[[#This Row],[Cost in ILS]]</f>
        <v>0</v>
      </c>
      <c r="H66" s="639">
        <f>Table514[[#This Row],[Total Cost in ILS]]/FX_RATE</f>
        <v>0</v>
      </c>
      <c r="I66" s="300"/>
      <c r="J66" s="299">
        <f>Table514[[#This Row],[Total Cost in study Currency]]*Table514[[#This Row],[Depreciation Rate]]</f>
        <v>0</v>
      </c>
    </row>
    <row r="67" spans="1:10" ht="15.75">
      <c r="A67" s="474" t="str">
        <f t="shared" si="1"/>
        <v>Furniture</v>
      </c>
      <c r="B67" s="294"/>
      <c r="C67" s="294"/>
      <c r="D67" s="297"/>
      <c r="E67" s="422"/>
      <c r="F67" s="239"/>
      <c r="G67" s="639">
        <f>Table514[[#This Row],[Quantity]]*Table514[[#This Row],[Cost in ILS]]</f>
        <v>0</v>
      </c>
      <c r="H67" s="639">
        <f>Table514[[#This Row],[Total Cost in ILS]]/FX_RATE</f>
        <v>0</v>
      </c>
      <c r="I67" s="300"/>
      <c r="J67" s="299">
        <f>Table514[[#This Row],[Total Cost in study Currency]]*Table514[[#This Row],[Depreciation Rate]]</f>
        <v>0</v>
      </c>
    </row>
    <row r="68" spans="1:10" ht="15.75">
      <c r="A68" s="637" t="str">
        <f t="shared" si="1"/>
        <v>Administrative Offices</v>
      </c>
      <c r="B68" s="294" t="s">
        <v>228</v>
      </c>
      <c r="C68" s="294" t="s">
        <v>493</v>
      </c>
      <c r="D68" s="297" t="s">
        <v>495</v>
      </c>
      <c r="E68" s="406">
        <v>1</v>
      </c>
      <c r="F68" s="239">
        <v>77440</v>
      </c>
      <c r="G68" s="639">
        <f>Table514[[#This Row],[Quantity]]*Table514[[#This Row],[Cost in ILS]]</f>
        <v>77440</v>
      </c>
      <c r="H68" s="639">
        <f>Table514[[#This Row],[Total Cost in ILS]]/FX_RATE</f>
        <v>24200</v>
      </c>
      <c r="I68" s="300"/>
      <c r="J68" s="299">
        <f>Table514[[#This Row],[Total Cost in study Currency]]*Table514[[#This Row],[Depreciation Rate]]</f>
        <v>0</v>
      </c>
    </row>
    <row r="69" spans="1:10" ht="15.75">
      <c r="A69" s="637" t="str">
        <f t="shared" si="1"/>
        <v>Computers and Accessories</v>
      </c>
      <c r="B69" s="294" t="s">
        <v>228</v>
      </c>
      <c r="C69" s="294" t="s">
        <v>493</v>
      </c>
      <c r="D69" s="297" t="s">
        <v>495</v>
      </c>
      <c r="E69" s="406">
        <v>1</v>
      </c>
      <c r="F69" s="239">
        <v>96800</v>
      </c>
      <c r="G69" s="639">
        <f>Table514[[#This Row],[Quantity]]*Table514[[#This Row],[Cost in ILS]]</f>
        <v>96800</v>
      </c>
      <c r="H69" s="639">
        <f>Table514[[#This Row],[Total Cost in ILS]]/FX_RATE</f>
        <v>30250</v>
      </c>
      <c r="I69" s="300"/>
      <c r="J69" s="299">
        <f>Table514[[#This Row],[Total Cost in study Currency]]*Table514[[#This Row],[Depreciation Rate]]</f>
        <v>0</v>
      </c>
    </row>
    <row r="70" spans="1:10" ht="15.75">
      <c r="A70" s="474">
        <f t="shared" si="1"/>
        <v>0</v>
      </c>
      <c r="B70" s="294"/>
      <c r="C70" s="294"/>
      <c r="D70" s="297"/>
      <c r="E70" s="406"/>
      <c r="F70" s="239"/>
      <c r="G70" s="639">
        <f>Table514[[#This Row],[Quantity]]*Table514[[#This Row],[Cost in ILS]]</f>
        <v>0</v>
      </c>
      <c r="H70" s="639">
        <f>Table514[[#This Row],[Total Cost in ILS]]/FX_RATE</f>
        <v>0</v>
      </c>
      <c r="I70" s="300"/>
      <c r="J70" s="299">
        <f>Table514[[#This Row],[Total Cost in study Currency]]*Table514[[#This Row],[Depreciation Rate]]</f>
        <v>0</v>
      </c>
    </row>
    <row r="71" spans="1:10" ht="15.75">
      <c r="A71" s="474" t="str">
        <f t="shared" si="1"/>
        <v>Labs</v>
      </c>
      <c r="B71" s="294"/>
      <c r="C71" s="294"/>
      <c r="D71" s="297"/>
      <c r="E71" s="406"/>
      <c r="F71" s="239"/>
      <c r="G71" s="639">
        <f>Table514[[#This Row],[Quantity]]*Table514[[#This Row],[Cost in ILS]]</f>
        <v>0</v>
      </c>
      <c r="H71" s="639">
        <f>Table514[[#This Row],[Total Cost in ILS]]/FX_RATE</f>
        <v>0</v>
      </c>
      <c r="I71" s="300"/>
      <c r="J71" s="299">
        <f>Table514[[#This Row],[Total Cost in study Currency]]*Table514[[#This Row],[Depreciation Rate]]</f>
        <v>0</v>
      </c>
    </row>
    <row r="72" spans="1:10" ht="15.75">
      <c r="A72" s="637" t="str">
        <f t="shared" si="1"/>
        <v>Inspection Lab</v>
      </c>
      <c r="B72" s="294" t="s">
        <v>228</v>
      </c>
      <c r="C72" s="294" t="s">
        <v>499</v>
      </c>
      <c r="D72" s="297"/>
      <c r="E72" s="406">
        <v>1</v>
      </c>
      <c r="F72" s="239">
        <v>135520</v>
      </c>
      <c r="G72" s="639">
        <f>Table514[[#This Row],[Quantity]]*Table514[[#This Row],[Cost in ILS]]</f>
        <v>135520</v>
      </c>
      <c r="H72" s="639">
        <f>Table514[[#This Row],[Total Cost in ILS]]/FX_RATE</f>
        <v>42350</v>
      </c>
      <c r="I72" s="300"/>
      <c r="J72" s="299">
        <f>Table514[[#This Row],[Total Cost in study Currency]]*Table514[[#This Row],[Depreciation Rate]]</f>
        <v>0</v>
      </c>
    </row>
    <row r="73" spans="1:10" ht="15.75">
      <c r="A73" s="474">
        <f t="shared" si="1"/>
        <v>0</v>
      </c>
      <c r="B73" s="294"/>
      <c r="C73" s="294"/>
      <c r="D73" s="297"/>
      <c r="E73" s="406"/>
      <c r="F73" s="239"/>
      <c r="G73" s="639">
        <f>Table514[[#This Row],[Quantity]]*Table514[[#This Row],[Cost in ILS]]</f>
        <v>0</v>
      </c>
      <c r="H73" s="639">
        <f>Table514[[#This Row],[Total Cost in ILS]]/FX_RATE</f>
        <v>0</v>
      </c>
      <c r="I73" s="300"/>
      <c r="J73" s="299">
        <f>Table514[[#This Row],[Total Cost in study Currency]]*Table514[[#This Row],[Depreciation Rate]]</f>
        <v>0</v>
      </c>
    </row>
    <row r="74" spans="1:10" ht="15.75">
      <c r="A74" s="474" t="str">
        <f t="shared" si="1"/>
        <v xml:space="preserve">Cars and Trucks </v>
      </c>
      <c r="B74" s="294"/>
      <c r="C74" s="294"/>
      <c r="D74" s="297"/>
      <c r="E74" s="406"/>
      <c r="F74" s="239"/>
      <c r="G74" s="639">
        <f>Table514[[#This Row],[Quantity]]*Table514[[#This Row],[Cost in ILS]]</f>
        <v>0</v>
      </c>
      <c r="H74" s="639">
        <f>Table514[[#This Row],[Total Cost in ILS]]/FX_RATE</f>
        <v>0</v>
      </c>
      <c r="I74" s="300"/>
      <c r="J74" s="299">
        <f>Table514[[#This Row],[Total Cost in study Currency]]*Table514[[#This Row],[Depreciation Rate]]</f>
        <v>0</v>
      </c>
    </row>
    <row r="75" spans="1:10" ht="15.75">
      <c r="A75" s="637" t="str">
        <f t="shared" si="1"/>
        <v>Forklifts</v>
      </c>
      <c r="B75" s="294" t="s">
        <v>228</v>
      </c>
      <c r="C75" s="294" t="s">
        <v>502</v>
      </c>
      <c r="D75" s="297" t="s">
        <v>495</v>
      </c>
      <c r="E75" s="406">
        <v>1</v>
      </c>
      <c r="F75" s="239">
        <v>193600</v>
      </c>
      <c r="G75" s="639">
        <f>Table514[[#This Row],[Quantity]]*Table514[[#This Row],[Cost in ILS]]</f>
        <v>193600</v>
      </c>
      <c r="H75" s="639">
        <f>Table514[[#This Row],[Total Cost in ILS]]/FX_RATE</f>
        <v>60500</v>
      </c>
      <c r="I75" s="300"/>
      <c r="J75" s="299">
        <f>Table514[[#This Row],[Total Cost in study Currency]]*Table514[[#This Row],[Depreciation Rate]]</f>
        <v>0</v>
      </c>
    </row>
    <row r="76" spans="1:10" ht="15.75">
      <c r="A76" s="637" t="str">
        <f t="shared" si="1"/>
        <v>Cars</v>
      </c>
      <c r="B76" s="294" t="s">
        <v>228</v>
      </c>
      <c r="C76" s="294" t="s">
        <v>502</v>
      </c>
      <c r="D76" s="297" t="s">
        <v>495</v>
      </c>
      <c r="E76" s="406">
        <v>1</v>
      </c>
      <c r="F76" s="239">
        <v>774400</v>
      </c>
      <c r="G76" s="639">
        <f>Table514[[#This Row],[Quantity]]*Table514[[#This Row],[Cost in ILS]]</f>
        <v>774400</v>
      </c>
      <c r="H76" s="639">
        <f>Table514[[#This Row],[Total Cost in ILS]]/FX_RATE</f>
        <v>242000</v>
      </c>
      <c r="I76" s="300"/>
      <c r="J76" s="299">
        <f>Table514[[#This Row],[Total Cost in study Currency]]*Table514[[#This Row],[Depreciation Rate]]</f>
        <v>0</v>
      </c>
    </row>
    <row r="77" spans="1:10" ht="15.75">
      <c r="A77" s="474">
        <f t="shared" si="1"/>
        <v>0</v>
      </c>
      <c r="B77" s="294"/>
      <c r="C77" s="294"/>
      <c r="D77" s="297"/>
      <c r="E77" s="406"/>
      <c r="F77" s="239"/>
      <c r="G77" s="639">
        <f>Table514[[#This Row],[Quantity]]*Table514[[#This Row],[Cost in ILS]]</f>
        <v>0</v>
      </c>
      <c r="H77" s="639">
        <f>Table514[[#This Row],[Total Cost in ILS]]/FX_RATE</f>
        <v>0</v>
      </c>
      <c r="I77" s="300"/>
      <c r="J77" s="299">
        <f>Table514[[#This Row],[Total Cost in study Currency]]*Table514[[#This Row],[Depreciation Rate]]</f>
        <v>0</v>
      </c>
    </row>
    <row r="78" spans="1:10" ht="15.75">
      <c r="A78" s="474" t="str">
        <f t="shared" si="1"/>
        <v>Miscellaneous Tools</v>
      </c>
      <c r="B78" s="294"/>
      <c r="C78" s="294"/>
      <c r="D78" s="297"/>
      <c r="E78" s="406"/>
      <c r="F78" s="239"/>
      <c r="G78" s="639">
        <f>Table514[[#This Row],[Quantity]]*Table514[[#This Row],[Cost in ILS]]</f>
        <v>0</v>
      </c>
      <c r="H78" s="639">
        <f>Table514[[#This Row],[Total Cost in ILS]]/FX_RATE</f>
        <v>0</v>
      </c>
      <c r="I78" s="300"/>
      <c r="J78" s="299">
        <f>Table514[[#This Row],[Total Cost in study Currency]]*Table514[[#This Row],[Depreciation Rate]]</f>
        <v>0</v>
      </c>
    </row>
    <row r="79" spans="1:10" ht="15.75">
      <c r="A79" s="637" t="str">
        <f t="shared" si="1"/>
        <v>Other Miscellaneous</v>
      </c>
      <c r="B79" s="294" t="s">
        <v>228</v>
      </c>
      <c r="C79" s="294" t="s">
        <v>477</v>
      </c>
      <c r="D79" s="297" t="s">
        <v>495</v>
      </c>
      <c r="E79" s="406">
        <v>1</v>
      </c>
      <c r="F79" s="239">
        <v>193600</v>
      </c>
      <c r="G79" s="639">
        <f>Table514[[#This Row],[Quantity]]*Table514[[#This Row],[Cost in ILS]]</f>
        <v>193600</v>
      </c>
      <c r="H79" s="639">
        <f>Table514[[#This Row],[Total Cost in ILS]]/FX_RATE</f>
        <v>60500</v>
      </c>
      <c r="I79" s="300"/>
      <c r="J79" s="299">
        <f>Table514[[#This Row],[Total Cost in study Currency]]*Table514[[#This Row],[Depreciation Rate]]</f>
        <v>0</v>
      </c>
    </row>
    <row r="80" spans="1:10" ht="15.75">
      <c r="A80" s="296">
        <f t="shared" si="1"/>
        <v>0</v>
      </c>
      <c r="B80" s="294"/>
      <c r="C80" s="294"/>
      <c r="D80" s="295"/>
      <c r="E80" s="631"/>
      <c r="F80" s="632"/>
      <c r="G80" s="639">
        <f>Table514[[#This Row],[Quantity]]*Table514[[#This Row],[Cost in ILS]]</f>
        <v>0</v>
      </c>
      <c r="H80" s="639">
        <f>Table514[[#This Row],[Total Cost in ILS]]/FX_RATE</f>
        <v>0</v>
      </c>
      <c r="I80" s="300"/>
      <c r="J80" s="299">
        <f>Table514[[#This Row],[Total Cost in study Currency]]*Table514[[#This Row],[Depreciation Rate]]</f>
        <v>0</v>
      </c>
    </row>
    <row r="81" spans="1:11" ht="15.75">
      <c r="A81" s="637" t="s">
        <v>110</v>
      </c>
      <c r="B81" s="57"/>
      <c r="C81" s="57"/>
      <c r="G81" s="640">
        <f>SUBTOTAL(109,Table514[Total Cost in ILS])</f>
        <v>22900224</v>
      </c>
      <c r="H81" s="640">
        <f>SUBTOTAL(109,Table514[Total Cost in study Currency])</f>
        <v>7156320</v>
      </c>
      <c r="J81" s="1">
        <f>SUBTOTAL(109,Table514[Annual Depreciation])</f>
        <v>0</v>
      </c>
    </row>
    <row r="82" spans="1:11" ht="16.5" thickBot="1">
      <c r="B82" s="225" t="s">
        <v>132</v>
      </c>
      <c r="C82" s="225"/>
    </row>
    <row r="83" spans="1:11" ht="31.5" thickTop="1" thickBot="1">
      <c r="B83" s="226" t="s">
        <v>463</v>
      </c>
      <c r="C83" s="228"/>
      <c r="D83"/>
      <c r="E83"/>
      <c r="F83"/>
      <c r="G83" s="641" t="s">
        <v>506</v>
      </c>
      <c r="H83" s="641" t="s">
        <v>507</v>
      </c>
      <c r="I83"/>
      <c r="J83" s="226" t="s">
        <v>470</v>
      </c>
    </row>
    <row r="84" spans="1:11" ht="15.75">
      <c r="B84" s="224" t="s">
        <v>228</v>
      </c>
      <c r="C84" s="224"/>
      <c r="G84" s="640">
        <f>SUMIF(Table514[Source of Finance],B84,Table514[Total Cost in ILS])</f>
        <v>22900224</v>
      </c>
      <c r="H84" s="640">
        <f>SUMIF(Table514[Source of Finance],B84,Table514[Total Cost in study Currency])</f>
        <v>7156320</v>
      </c>
      <c r="J84" s="1">
        <f>SUMIF(Table514[Source of Finance],B84,Table514[Annual Depreciation])</f>
        <v>0</v>
      </c>
    </row>
    <row r="85" spans="1:11" ht="15.75">
      <c r="B85" s="224" t="s">
        <v>482</v>
      </c>
      <c r="C85" s="224"/>
      <c r="G85" s="640">
        <f>SUMIF(Table514[Source of Finance],B85,Table514[Total Cost in ILS])</f>
        <v>0</v>
      </c>
      <c r="H85" s="640">
        <f>SUMIF(Table514[Source of Finance],B85,Table514[Total Cost in study Currency])</f>
        <v>0</v>
      </c>
      <c r="J85" s="1">
        <f>SUMIF(Table514[Source of Finance],B85,Table514[Annual Depreciation])</f>
        <v>0</v>
      </c>
    </row>
    <row r="86" spans="1:11" ht="15.75">
      <c r="B86" s="224" t="s">
        <v>508</v>
      </c>
      <c r="C86" s="224"/>
      <c r="G86" s="640">
        <f>SUMIF(Table514[Source of Finance],B86,Table514[Total Cost in ILS])</f>
        <v>0</v>
      </c>
      <c r="H86" s="640">
        <f>SUMIF(Table514[Source of Finance],B86,Table514[Total Cost in study Currency])</f>
        <v>0</v>
      </c>
      <c r="J86" s="1">
        <f>SUMIF(Table514[Source of Finance],B86,Table514[Annual Depreciation])</f>
        <v>0</v>
      </c>
    </row>
    <row r="87" spans="1:11" ht="15.75" thickBot="1">
      <c r="G87" s="642">
        <f>SUM(G84:G86)</f>
        <v>22900224</v>
      </c>
      <c r="H87" s="642">
        <f>SUM(H84:H86)</f>
        <v>7156320</v>
      </c>
      <c r="J87" s="227">
        <f>SUM(J84:J86)</f>
        <v>0</v>
      </c>
    </row>
    <row r="88" spans="1:11" ht="15.75" thickTop="1"/>
    <row r="89" spans="1:11" ht="26.25">
      <c r="A89" s="800" t="str">
        <f>'Scenario Analysis'!A6</f>
        <v>Scenario 3</v>
      </c>
      <c r="B89" s="800"/>
      <c r="C89" s="800"/>
      <c r="D89" s="800"/>
      <c r="E89" s="800"/>
      <c r="F89" s="800"/>
      <c r="G89" s="800"/>
      <c r="H89" s="800"/>
      <c r="I89" s="800"/>
      <c r="J89" s="800"/>
      <c r="K89" s="800"/>
    </row>
    <row r="90" spans="1:11" ht="20.25">
      <c r="A90" s="774" t="str">
        <f>CONCATENATE("Currecy"," ",'Summary. Assumptions. Inputs'!$J$7)</f>
        <v>Currecy USD</v>
      </c>
      <c r="B90" s="774"/>
      <c r="C90" s="774"/>
      <c r="D90" s="774"/>
      <c r="E90" s="774"/>
      <c r="F90" s="774"/>
      <c r="G90" s="774"/>
      <c r="H90" s="774"/>
      <c r="I90" s="774"/>
      <c r="J90" s="774"/>
      <c r="K90" s="774"/>
    </row>
    <row r="91" spans="1:11" ht="45">
      <c r="A91" s="129" t="s">
        <v>462</v>
      </c>
      <c r="B91" s="130" t="s">
        <v>463</v>
      </c>
      <c r="C91" s="130" t="s">
        <v>464</v>
      </c>
      <c r="D91" s="130" t="s">
        <v>252</v>
      </c>
      <c r="E91" s="130" t="s">
        <v>465</v>
      </c>
      <c r="F91" s="130" t="s">
        <v>466</v>
      </c>
      <c r="G91" s="638" t="s">
        <v>467</v>
      </c>
      <c r="H91" s="638" t="s">
        <v>468</v>
      </c>
      <c r="I91" s="130" t="s">
        <v>469</v>
      </c>
      <c r="J91" s="130" t="s">
        <v>470</v>
      </c>
      <c r="K91" s="130" t="s">
        <v>471</v>
      </c>
    </row>
    <row r="92" spans="1:11" ht="15.75">
      <c r="A92" s="473" t="str">
        <f>A5</f>
        <v>Construction:</v>
      </c>
      <c r="B92" s="294"/>
      <c r="C92" s="294"/>
      <c r="D92" s="293"/>
      <c r="E92" s="406"/>
      <c r="F92" s="406"/>
      <c r="G92" s="639">
        <f>Table51419[[#This Row],[Quantity]]*Table51419[[#This Row],[Cost in ILS]]</f>
        <v>0</v>
      </c>
      <c r="H92" s="639">
        <f>Table51419[[#This Row],[Total Cost in ILS]]/FX_RATE</f>
        <v>0</v>
      </c>
      <c r="I92" s="407"/>
      <c r="J92" s="299">
        <f>Table51419[[#This Row],[Total Cost in study Currency]]*Table51419[[#This Row],[Depreciation Rate]]</f>
        <v>0</v>
      </c>
    </row>
    <row r="93" spans="1:11" ht="15.75">
      <c r="A93" s="637" t="str">
        <f t="shared" ref="A93:A122" si="2">A7</f>
        <v>Building construction- Barracks</v>
      </c>
      <c r="B93" s="294" t="s">
        <v>228</v>
      </c>
      <c r="C93" s="294" t="s">
        <v>475</v>
      </c>
      <c r="D93" s="293"/>
      <c r="E93" s="406">
        <v>1</v>
      </c>
      <c r="F93" s="239">
        <v>2240000</v>
      </c>
      <c r="G93" s="639">
        <f>Table51419[[#This Row],[Quantity]]*Table51419[[#This Row],[Cost in ILS]]</f>
        <v>2240000</v>
      </c>
      <c r="H93" s="639">
        <f>Table51419[[#This Row],[Total Cost in ILS]]/FX_RATE</f>
        <v>700000</v>
      </c>
      <c r="I93" s="407"/>
      <c r="J93" s="299">
        <f>Table51419[[#This Row],[Total Cost in study Currency]]*Table51419[[#This Row],[Depreciation Rate]]</f>
        <v>0</v>
      </c>
    </row>
    <row r="94" spans="1:11" ht="15.75">
      <c r="A94" s="637" t="str">
        <f t="shared" si="2"/>
        <v>Fire system</v>
      </c>
      <c r="B94" s="294" t="s">
        <v>228</v>
      </c>
      <c r="C94" s="294" t="s">
        <v>477</v>
      </c>
      <c r="D94" s="293"/>
      <c r="E94" s="406">
        <v>1</v>
      </c>
      <c r="F94" s="239">
        <v>480000</v>
      </c>
      <c r="G94" s="639">
        <f>Table51419[[#This Row],[Quantity]]*Table51419[[#This Row],[Cost in ILS]]</f>
        <v>480000</v>
      </c>
      <c r="H94" s="639">
        <f>Table51419[[#This Row],[Total Cost in ILS]]/FX_RATE</f>
        <v>150000</v>
      </c>
      <c r="I94" s="407"/>
      <c r="J94" s="299">
        <f>Table51419[[#This Row],[Total Cost in study Currency]]*Table51419[[#This Row],[Depreciation Rate]]</f>
        <v>0</v>
      </c>
    </row>
    <row r="95" spans="1:11" ht="15.75">
      <c r="A95" s="637" t="str">
        <f t="shared" si="2"/>
        <v>Lighting system</v>
      </c>
      <c r="B95" s="294" t="s">
        <v>228</v>
      </c>
      <c r="C95" s="294" t="s">
        <v>477</v>
      </c>
      <c r="D95" s="293"/>
      <c r="E95" s="406">
        <v>1</v>
      </c>
      <c r="F95" s="239">
        <v>64000</v>
      </c>
      <c r="G95" s="639">
        <f>Table51419[[#This Row],[Quantity]]*Table51419[[#This Row],[Cost in ILS]]</f>
        <v>64000</v>
      </c>
      <c r="H95" s="639">
        <f>Table51419[[#This Row],[Total Cost in ILS]]/FX_RATE</f>
        <v>20000</v>
      </c>
      <c r="I95" s="407"/>
      <c r="J95" s="299">
        <f>Table51419[[#This Row],[Total Cost in study Currency]]*Table51419[[#This Row],[Depreciation Rate]]</f>
        <v>0</v>
      </c>
    </row>
    <row r="96" spans="1:11" ht="15.75">
      <c r="A96" s="637" t="str">
        <f t="shared" si="2"/>
        <v>Solar System (0.5 Mega)</v>
      </c>
      <c r="B96" s="294" t="s">
        <v>228</v>
      </c>
      <c r="C96" s="294" t="s">
        <v>477</v>
      </c>
      <c r="D96" s="293"/>
      <c r="E96" s="406">
        <v>1</v>
      </c>
      <c r="F96" s="239">
        <v>1280000</v>
      </c>
      <c r="G96" s="639">
        <f>Table51419[[#This Row],[Quantity]]*Table51419[[#This Row],[Cost in ILS]]</f>
        <v>1280000</v>
      </c>
      <c r="H96" s="639">
        <f>Table51419[[#This Row],[Total Cost in ILS]]/FX_RATE</f>
        <v>400000</v>
      </c>
      <c r="I96" s="407"/>
      <c r="J96" s="299">
        <f>Table51419[[#This Row],[Total Cost in study Currency]]*Table51419[[#This Row],[Depreciation Rate]]</f>
        <v>0</v>
      </c>
    </row>
    <row r="97" spans="1:10" ht="15.75">
      <c r="A97" s="293">
        <f t="shared" si="2"/>
        <v>0</v>
      </c>
      <c r="B97" s="294"/>
      <c r="C97" s="294"/>
      <c r="D97" s="295"/>
      <c r="E97" s="643"/>
      <c r="F97" s="239"/>
      <c r="G97" s="639">
        <f>Table51419[[#This Row],[Quantity]]*Table51419[[#This Row],[Cost in ILS]]</f>
        <v>0</v>
      </c>
      <c r="H97" s="639">
        <f>Table51419[[#This Row],[Total Cost in ILS]]/FX_RATE</f>
        <v>0</v>
      </c>
      <c r="I97" s="407"/>
      <c r="J97" s="299">
        <f>Table51419[[#This Row],[Total Cost in study Currency]]*Table51419[[#This Row],[Depreciation Rate]]</f>
        <v>0</v>
      </c>
    </row>
    <row r="98" spans="1:10" ht="15.75">
      <c r="A98" s="473" t="str">
        <f t="shared" si="2"/>
        <v>Production Line and Equipment:</v>
      </c>
      <c r="B98" s="294"/>
      <c r="C98" s="294"/>
      <c r="D98" s="293"/>
      <c r="E98" s="406"/>
      <c r="F98" s="239"/>
      <c r="G98" s="639">
        <f>Table51419[[#This Row],[Quantity]]*Table51419[[#This Row],[Cost in ILS]]</f>
        <v>0</v>
      </c>
      <c r="H98" s="639">
        <f>Table51419[[#This Row],[Total Cost in ILS]]/FX_RATE</f>
        <v>0</v>
      </c>
      <c r="I98" s="407"/>
      <c r="J98" s="299">
        <f>Table51419[[#This Row],[Total Cost in study Currency]]*Table51419[[#This Row],[Depreciation Rate]]</f>
        <v>0</v>
      </c>
    </row>
    <row r="99" spans="1:10" ht="15.75">
      <c r="A99" s="637" t="str">
        <f t="shared" si="2"/>
        <v>Production Line</v>
      </c>
      <c r="B99" s="294" t="s">
        <v>228</v>
      </c>
      <c r="C99" s="294" t="s">
        <v>483</v>
      </c>
      <c r="D99" s="293"/>
      <c r="E99" s="406">
        <v>1</v>
      </c>
      <c r="F99" s="239">
        <v>14682624</v>
      </c>
      <c r="G99" s="639">
        <f>Table51419[[#This Row],[Quantity]]*Table51419[[#This Row],[Cost in ILS]]</f>
        <v>14682624</v>
      </c>
      <c r="H99" s="639">
        <f>Table51419[[#This Row],[Total Cost in ILS]]/FX_RATE</f>
        <v>4588320</v>
      </c>
      <c r="I99" s="407"/>
      <c r="J99" s="299">
        <f>Table51419[[#This Row],[Total Cost in study Currency]]*Table51419[[#This Row],[Depreciation Rate]]</f>
        <v>0</v>
      </c>
    </row>
    <row r="100" spans="1:10" ht="15.75">
      <c r="A100" s="637" t="str">
        <f t="shared" si="2"/>
        <v>Shipping and Taxes</v>
      </c>
      <c r="B100" s="294" t="s">
        <v>228</v>
      </c>
      <c r="C100" s="294" t="s">
        <v>483</v>
      </c>
      <c r="D100" s="293"/>
      <c r="E100" s="406">
        <v>1</v>
      </c>
      <c r="F100" s="239">
        <v>193600</v>
      </c>
      <c r="G100" s="639">
        <f>Table51419[[#This Row],[Quantity]]*Table51419[[#This Row],[Cost in ILS]]</f>
        <v>193600</v>
      </c>
      <c r="H100" s="639">
        <f>Table51419[[#This Row],[Total Cost in ILS]]/FX_RATE</f>
        <v>60500</v>
      </c>
      <c r="I100" s="300">
        <f>I15</f>
        <v>0.1</v>
      </c>
      <c r="J100" s="299">
        <f>Table51419[[#This Row],[Total Cost in study Currency]]*Table51419[[#This Row],[Depreciation Rate]]</f>
        <v>6050</v>
      </c>
    </row>
    <row r="101" spans="1:10" ht="15.75">
      <c r="A101" s="637" t="str">
        <f t="shared" si="2"/>
        <v>Reel Lifting and handling</v>
      </c>
      <c r="B101" s="294" t="s">
        <v>228</v>
      </c>
      <c r="C101" s="294" t="s">
        <v>483</v>
      </c>
      <c r="D101" s="293"/>
      <c r="E101" s="406">
        <v>1</v>
      </c>
      <c r="F101" s="239">
        <v>154880</v>
      </c>
      <c r="G101" s="639">
        <f>Table51419[[#This Row],[Quantity]]*Table51419[[#This Row],[Cost in ILS]]</f>
        <v>154880</v>
      </c>
      <c r="H101" s="639">
        <f>Table51419[[#This Row],[Total Cost in ILS]]/FX_RATE</f>
        <v>48400</v>
      </c>
      <c r="I101" s="300">
        <f>I15</f>
        <v>0.1</v>
      </c>
      <c r="J101" s="299">
        <f>Table51419[[#This Row],[Total Cost in study Currency]]*Table51419[[#This Row],[Depreciation Rate]]</f>
        <v>4840</v>
      </c>
    </row>
    <row r="102" spans="1:10" ht="15.75">
      <c r="A102" s="637" t="str">
        <f t="shared" si="2"/>
        <v>Raw material containers and silos</v>
      </c>
      <c r="B102" s="294" t="s">
        <v>228</v>
      </c>
      <c r="C102" s="294" t="s">
        <v>483</v>
      </c>
      <c r="D102" s="293"/>
      <c r="E102" s="406">
        <v>1</v>
      </c>
      <c r="F102" s="239">
        <v>193600</v>
      </c>
      <c r="G102" s="639">
        <f>Table51419[[#This Row],[Quantity]]*Table51419[[#This Row],[Cost in ILS]]</f>
        <v>193600</v>
      </c>
      <c r="H102" s="639">
        <f>Table51419[[#This Row],[Total Cost in ILS]]/FX_RATE</f>
        <v>60500</v>
      </c>
      <c r="I102" s="300">
        <f>I15</f>
        <v>0.1</v>
      </c>
      <c r="J102" s="299">
        <f>Table51419[[#This Row],[Total Cost in study Currency]]*Table51419[[#This Row],[Depreciation Rate]]</f>
        <v>6050</v>
      </c>
    </row>
    <row r="103" spans="1:10" ht="15.75">
      <c r="A103" s="637" t="str">
        <f t="shared" si="2"/>
        <v>Installation: Assembly and wiring</v>
      </c>
      <c r="B103" s="294" t="s">
        <v>228</v>
      </c>
      <c r="C103" s="294" t="s">
        <v>483</v>
      </c>
      <c r="D103" s="293"/>
      <c r="E103" s="406">
        <v>1</v>
      </c>
      <c r="F103" s="239">
        <v>193600</v>
      </c>
      <c r="G103" s="639">
        <f>Table51419[[#This Row],[Quantity]]*Table51419[[#This Row],[Cost in ILS]]</f>
        <v>193600</v>
      </c>
      <c r="H103" s="639">
        <f>Table51419[[#This Row],[Total Cost in ILS]]/FX_RATE</f>
        <v>60500</v>
      </c>
      <c r="I103" s="407"/>
      <c r="J103" s="299">
        <f>Table51419[[#This Row],[Total Cost in study Currency]]*Table51419[[#This Row],[Depreciation Rate]]</f>
        <v>0</v>
      </c>
    </row>
    <row r="104" spans="1:10" ht="15.75">
      <c r="A104" s="637" t="str">
        <f t="shared" si="2"/>
        <v>Software and electrical infrastructure</v>
      </c>
      <c r="B104" s="294" t="s">
        <v>228</v>
      </c>
      <c r="C104" s="294" t="s">
        <v>483</v>
      </c>
      <c r="D104" s="293"/>
      <c r="E104" s="406">
        <v>1</v>
      </c>
      <c r="F104" s="239">
        <v>77440</v>
      </c>
      <c r="G104" s="639">
        <f>Table51419[[#This Row],[Quantity]]*Table51419[[#This Row],[Cost in ILS]]</f>
        <v>77440</v>
      </c>
      <c r="H104" s="639">
        <f>Table51419[[#This Row],[Total Cost in ILS]]/FX_RATE</f>
        <v>24200</v>
      </c>
      <c r="I104" s="407"/>
      <c r="J104" s="299">
        <f>Table51419[[#This Row],[Total Cost in study Currency]]*Table51419[[#This Row],[Depreciation Rate]]</f>
        <v>0</v>
      </c>
    </row>
    <row r="105" spans="1:10" ht="15.75">
      <c r="A105" s="637" t="str">
        <f t="shared" si="2"/>
        <v>Compressor and compressed airliners</v>
      </c>
      <c r="B105" s="294" t="s">
        <v>228</v>
      </c>
      <c r="C105" s="294" t="s">
        <v>483</v>
      </c>
      <c r="D105" s="293"/>
      <c r="E105" s="406">
        <v>1</v>
      </c>
      <c r="F105" s="239">
        <v>232320</v>
      </c>
      <c r="G105" s="639">
        <f>Table51419[[#This Row],[Quantity]]*Table51419[[#This Row],[Cost in ILS]]</f>
        <v>232320</v>
      </c>
      <c r="H105" s="639">
        <f>Table51419[[#This Row],[Total Cost in ILS]]/FX_RATE</f>
        <v>72600</v>
      </c>
      <c r="I105" s="407"/>
      <c r="J105" s="299">
        <f>Table51419[[#This Row],[Total Cost in study Currency]]*Table51419[[#This Row],[Depreciation Rate]]</f>
        <v>0</v>
      </c>
    </row>
    <row r="106" spans="1:10" ht="15.75">
      <c r="A106" s="637" t="str">
        <f t="shared" si="2"/>
        <v>Water and air cooling system</v>
      </c>
      <c r="B106" s="294" t="s">
        <v>228</v>
      </c>
      <c r="C106" s="294" t="s">
        <v>483</v>
      </c>
      <c r="D106" s="293"/>
      <c r="E106" s="406">
        <v>1</v>
      </c>
      <c r="F106" s="239">
        <v>387200</v>
      </c>
      <c r="G106" s="639">
        <f>Table51419[[#This Row],[Quantity]]*Table51419[[#This Row],[Cost in ILS]]</f>
        <v>387200</v>
      </c>
      <c r="H106" s="639">
        <f>Table51419[[#This Row],[Total Cost in ILS]]/FX_RATE</f>
        <v>121000</v>
      </c>
      <c r="I106" s="407"/>
      <c r="J106" s="299">
        <f>Table51419[[#This Row],[Total Cost in study Currency]]*Table51419[[#This Row],[Depreciation Rate]]</f>
        <v>0</v>
      </c>
    </row>
    <row r="107" spans="1:10" ht="15.75">
      <c r="A107" s="637" t="str">
        <f t="shared" si="2"/>
        <v>Power Generator</v>
      </c>
      <c r="B107" s="294" t="s">
        <v>228</v>
      </c>
      <c r="C107" s="294" t="s">
        <v>483</v>
      </c>
      <c r="D107" s="293"/>
      <c r="E107" s="406">
        <v>1</v>
      </c>
      <c r="F107" s="239">
        <v>193600</v>
      </c>
      <c r="G107" s="639">
        <f>Table51419[[#This Row],[Quantity]]*Table51419[[#This Row],[Cost in ILS]]</f>
        <v>193600</v>
      </c>
      <c r="H107" s="639">
        <f>Table51419[[#This Row],[Total Cost in ILS]]/FX_RATE</f>
        <v>60500</v>
      </c>
      <c r="I107" s="407"/>
      <c r="J107" s="299">
        <f>Table51419[[#This Row],[Total Cost in study Currency]]*Table51419[[#This Row],[Depreciation Rate]]</f>
        <v>0</v>
      </c>
    </row>
    <row r="108" spans="1:10" ht="15.75">
      <c r="A108" s="637" t="str">
        <f t="shared" si="2"/>
        <v>Recycling Production Line (Including washing and palletizing…etc.)</v>
      </c>
      <c r="B108" s="294" t="s">
        <v>228</v>
      </c>
      <c r="C108" s="294" t="s">
        <v>483</v>
      </c>
      <c r="D108" s="293"/>
      <c r="E108" s="406">
        <v>1</v>
      </c>
      <c r="F108" s="239">
        <v>1056000</v>
      </c>
      <c r="G108" s="639">
        <f>Table51419[[#This Row],[Quantity]]*Table51419[[#This Row],[Cost in ILS]]</f>
        <v>1056000</v>
      </c>
      <c r="H108" s="639">
        <f>Table51419[[#This Row],[Total Cost in ILS]]/FX_RATE</f>
        <v>330000</v>
      </c>
      <c r="I108" s="407"/>
      <c r="J108" s="299">
        <f>Table51419[[#This Row],[Total Cost in study Currency]]*Table51419[[#This Row],[Depreciation Rate]]</f>
        <v>0</v>
      </c>
    </row>
    <row r="109" spans="1:10" ht="15.75">
      <c r="A109" s="293">
        <f t="shared" si="2"/>
        <v>0</v>
      </c>
      <c r="B109" s="294"/>
      <c r="C109" s="294"/>
      <c r="D109" s="295"/>
      <c r="E109" s="643"/>
      <c r="F109" s="239"/>
      <c r="G109" s="639">
        <f>Table51419[[#This Row],[Quantity]]*Table51419[[#This Row],[Cost in ILS]]</f>
        <v>0</v>
      </c>
      <c r="H109" s="639">
        <f>Table51419[[#This Row],[Total Cost in ILS]]/FX_RATE</f>
        <v>0</v>
      </c>
      <c r="I109" s="407"/>
      <c r="J109" s="299">
        <f>Table51419[[#This Row],[Total Cost in study Currency]]*Table51419[[#This Row],[Depreciation Rate]]</f>
        <v>0</v>
      </c>
    </row>
    <row r="110" spans="1:10" ht="15.75">
      <c r="A110" s="474" t="str">
        <f t="shared" si="2"/>
        <v>Furniture</v>
      </c>
      <c r="B110" s="294"/>
      <c r="C110" s="294"/>
      <c r="D110" s="297"/>
      <c r="E110" s="422"/>
      <c r="F110" s="239"/>
      <c r="G110" s="639">
        <f>Table51419[[#This Row],[Quantity]]*Table51419[[#This Row],[Cost in ILS]]</f>
        <v>0</v>
      </c>
      <c r="H110" s="639">
        <f>Table51419[[#This Row],[Total Cost in ILS]]/FX_RATE</f>
        <v>0</v>
      </c>
      <c r="I110" s="407"/>
      <c r="J110" s="299">
        <f>Table51419[[#This Row],[Total Cost in study Currency]]*Table51419[[#This Row],[Depreciation Rate]]</f>
        <v>0</v>
      </c>
    </row>
    <row r="111" spans="1:10" ht="15.75">
      <c r="A111" s="637" t="str">
        <f t="shared" si="2"/>
        <v>Administrative Offices</v>
      </c>
      <c r="B111" s="294" t="s">
        <v>228</v>
      </c>
      <c r="C111" s="294" t="s">
        <v>493</v>
      </c>
      <c r="D111" s="297" t="s">
        <v>495</v>
      </c>
      <c r="E111" s="406">
        <v>1</v>
      </c>
      <c r="F111" s="239">
        <v>77440</v>
      </c>
      <c r="G111" s="639">
        <f>Table51419[[#This Row],[Quantity]]*Table51419[[#This Row],[Cost in ILS]]</f>
        <v>77440</v>
      </c>
      <c r="H111" s="639">
        <f>Table51419[[#This Row],[Total Cost in ILS]]/FX_RATE</f>
        <v>24200</v>
      </c>
      <c r="I111" s="407"/>
      <c r="J111" s="299">
        <f>Table51419[[#This Row],[Total Cost in study Currency]]*Table51419[[#This Row],[Depreciation Rate]]</f>
        <v>0</v>
      </c>
    </row>
    <row r="112" spans="1:10" ht="15.75">
      <c r="A112" s="637" t="str">
        <f t="shared" si="2"/>
        <v>Computers and Accessories</v>
      </c>
      <c r="B112" s="294" t="s">
        <v>228</v>
      </c>
      <c r="C112" s="294" t="s">
        <v>493</v>
      </c>
      <c r="D112" s="297" t="s">
        <v>495</v>
      </c>
      <c r="E112" s="406">
        <v>1</v>
      </c>
      <c r="F112" s="239">
        <v>96800</v>
      </c>
      <c r="G112" s="639">
        <f>Table51419[[#This Row],[Quantity]]*Table51419[[#This Row],[Cost in ILS]]</f>
        <v>96800</v>
      </c>
      <c r="H112" s="639">
        <f>Table51419[[#This Row],[Total Cost in ILS]]/FX_RATE</f>
        <v>30250</v>
      </c>
      <c r="I112" s="407"/>
      <c r="J112" s="299">
        <f>Table51419[[#This Row],[Total Cost in study Currency]]*Table51419[[#This Row],[Depreciation Rate]]</f>
        <v>0</v>
      </c>
    </row>
    <row r="113" spans="1:10" ht="15.75">
      <c r="A113" s="474">
        <f t="shared" si="2"/>
        <v>0</v>
      </c>
      <c r="B113" s="294"/>
      <c r="C113" s="294"/>
      <c r="D113" s="297"/>
      <c r="E113" s="406"/>
      <c r="F113" s="239"/>
      <c r="G113" s="639">
        <f>Table51419[[#This Row],[Quantity]]*Table51419[[#This Row],[Cost in ILS]]</f>
        <v>0</v>
      </c>
      <c r="H113" s="639">
        <f>Table51419[[#This Row],[Total Cost in ILS]]/FX_RATE</f>
        <v>0</v>
      </c>
      <c r="I113" s="407"/>
      <c r="J113" s="299">
        <f>Table51419[[#This Row],[Total Cost in study Currency]]*Table51419[[#This Row],[Depreciation Rate]]</f>
        <v>0</v>
      </c>
    </row>
    <row r="114" spans="1:10" ht="15.75">
      <c r="A114" s="474" t="str">
        <f t="shared" si="2"/>
        <v>Labs</v>
      </c>
      <c r="B114" s="294"/>
      <c r="C114" s="294"/>
      <c r="D114" s="297"/>
      <c r="E114" s="406"/>
      <c r="F114" s="239"/>
      <c r="G114" s="639">
        <f>Table51419[[#This Row],[Quantity]]*Table51419[[#This Row],[Cost in ILS]]</f>
        <v>0</v>
      </c>
      <c r="H114" s="639">
        <f>Table51419[[#This Row],[Total Cost in ILS]]/FX_RATE</f>
        <v>0</v>
      </c>
      <c r="I114" s="407"/>
      <c r="J114" s="299">
        <f>Table51419[[#This Row],[Total Cost in study Currency]]*Table51419[[#This Row],[Depreciation Rate]]</f>
        <v>0</v>
      </c>
    </row>
    <row r="115" spans="1:10" ht="15.75">
      <c r="A115" s="637" t="str">
        <f t="shared" si="2"/>
        <v>Inspection Lab</v>
      </c>
      <c r="B115" s="294" t="s">
        <v>228</v>
      </c>
      <c r="C115" s="294" t="s">
        <v>499</v>
      </c>
      <c r="D115" s="297"/>
      <c r="E115" s="406">
        <v>1</v>
      </c>
      <c r="F115" s="239">
        <v>135520</v>
      </c>
      <c r="G115" s="639">
        <f>Table51419[[#This Row],[Quantity]]*Table51419[[#This Row],[Cost in ILS]]</f>
        <v>135520</v>
      </c>
      <c r="H115" s="639">
        <f>Table51419[[#This Row],[Total Cost in ILS]]/FX_RATE</f>
        <v>42350</v>
      </c>
      <c r="I115" s="407"/>
      <c r="J115" s="299">
        <f>Table51419[[#This Row],[Total Cost in study Currency]]*Table51419[[#This Row],[Depreciation Rate]]</f>
        <v>0</v>
      </c>
    </row>
    <row r="116" spans="1:10" ht="15.75">
      <c r="A116" s="474">
        <f t="shared" si="2"/>
        <v>0</v>
      </c>
      <c r="B116" s="294"/>
      <c r="C116" s="294"/>
      <c r="D116" s="297"/>
      <c r="E116" s="406"/>
      <c r="F116" s="239"/>
      <c r="G116" s="639">
        <f>Table51419[[#This Row],[Quantity]]*Table51419[[#This Row],[Cost in ILS]]</f>
        <v>0</v>
      </c>
      <c r="H116" s="639">
        <f>Table51419[[#This Row],[Total Cost in ILS]]/FX_RATE</f>
        <v>0</v>
      </c>
      <c r="I116" s="407"/>
      <c r="J116" s="299">
        <f>Table51419[[#This Row],[Total Cost in study Currency]]*Table51419[[#This Row],[Depreciation Rate]]</f>
        <v>0</v>
      </c>
    </row>
    <row r="117" spans="1:10" ht="15.75">
      <c r="A117" s="474" t="str">
        <f t="shared" si="2"/>
        <v xml:space="preserve">Cars and Trucks </v>
      </c>
      <c r="B117" s="294"/>
      <c r="C117" s="294"/>
      <c r="D117" s="297"/>
      <c r="E117" s="406"/>
      <c r="F117" s="239"/>
      <c r="G117" s="639">
        <f>Table51419[[#This Row],[Quantity]]*Table51419[[#This Row],[Cost in ILS]]</f>
        <v>0</v>
      </c>
      <c r="H117" s="639">
        <f>Table51419[[#This Row],[Total Cost in ILS]]/FX_RATE</f>
        <v>0</v>
      </c>
      <c r="I117" s="407"/>
      <c r="J117" s="299">
        <f>Table51419[[#This Row],[Total Cost in study Currency]]*Table51419[[#This Row],[Depreciation Rate]]</f>
        <v>0</v>
      </c>
    </row>
    <row r="118" spans="1:10" ht="15.75">
      <c r="A118" s="637" t="str">
        <f t="shared" si="2"/>
        <v>Forklifts</v>
      </c>
      <c r="B118" s="294" t="s">
        <v>228</v>
      </c>
      <c r="C118" s="294" t="s">
        <v>502</v>
      </c>
      <c r="D118" s="297" t="s">
        <v>495</v>
      </c>
      <c r="E118" s="406">
        <v>1</v>
      </c>
      <c r="F118" s="239">
        <v>193600</v>
      </c>
      <c r="G118" s="639">
        <f>Table51419[[#This Row],[Quantity]]*Table51419[[#This Row],[Cost in ILS]]</f>
        <v>193600</v>
      </c>
      <c r="H118" s="639">
        <f>Table51419[[#This Row],[Total Cost in ILS]]/FX_RATE</f>
        <v>60500</v>
      </c>
      <c r="I118" s="407"/>
      <c r="J118" s="299">
        <f>Table51419[[#This Row],[Total Cost in study Currency]]*Table51419[[#This Row],[Depreciation Rate]]</f>
        <v>0</v>
      </c>
    </row>
    <row r="119" spans="1:10" ht="15.75">
      <c r="A119" s="637" t="str">
        <f t="shared" si="2"/>
        <v>Cars</v>
      </c>
      <c r="B119" s="294" t="s">
        <v>228</v>
      </c>
      <c r="C119" s="294" t="s">
        <v>502</v>
      </c>
      <c r="D119" s="297" t="s">
        <v>495</v>
      </c>
      <c r="E119" s="406">
        <v>1</v>
      </c>
      <c r="F119" s="239">
        <v>774400</v>
      </c>
      <c r="G119" s="639">
        <f>Table51419[[#This Row],[Quantity]]*Table51419[[#This Row],[Cost in ILS]]</f>
        <v>774400</v>
      </c>
      <c r="H119" s="639">
        <f>Table51419[[#This Row],[Total Cost in ILS]]/FX_RATE</f>
        <v>242000</v>
      </c>
      <c r="I119" s="407"/>
      <c r="J119" s="299">
        <f>Table51419[[#This Row],[Total Cost in study Currency]]*Table51419[[#This Row],[Depreciation Rate]]</f>
        <v>0</v>
      </c>
    </row>
    <row r="120" spans="1:10" ht="15.75">
      <c r="A120" s="474">
        <f t="shared" si="2"/>
        <v>0</v>
      </c>
      <c r="B120" s="294"/>
      <c r="C120" s="294"/>
      <c r="D120" s="297"/>
      <c r="E120" s="406"/>
      <c r="F120" s="239"/>
      <c r="G120" s="639">
        <f>Table51419[[#This Row],[Quantity]]*Table51419[[#This Row],[Cost in ILS]]</f>
        <v>0</v>
      </c>
      <c r="H120" s="639">
        <f>Table51419[[#This Row],[Total Cost in ILS]]/FX_RATE</f>
        <v>0</v>
      </c>
      <c r="I120" s="407"/>
      <c r="J120" s="299">
        <f>Table51419[[#This Row],[Total Cost in study Currency]]*Table51419[[#This Row],[Depreciation Rate]]</f>
        <v>0</v>
      </c>
    </row>
    <row r="121" spans="1:10" ht="15.75">
      <c r="A121" s="474" t="str">
        <f t="shared" si="2"/>
        <v>Miscellaneous Tools</v>
      </c>
      <c r="B121" s="294"/>
      <c r="C121" s="294"/>
      <c r="D121" s="297"/>
      <c r="E121" s="406"/>
      <c r="F121" s="239"/>
      <c r="G121" s="639">
        <f>Table51419[[#This Row],[Quantity]]*Table51419[[#This Row],[Cost in ILS]]</f>
        <v>0</v>
      </c>
      <c r="H121" s="639">
        <f>Table51419[[#This Row],[Total Cost in ILS]]/FX_RATE</f>
        <v>0</v>
      </c>
      <c r="I121" s="407"/>
      <c r="J121" s="299">
        <f>Table51419[[#This Row],[Total Cost in study Currency]]*Table51419[[#This Row],[Depreciation Rate]]</f>
        <v>0</v>
      </c>
    </row>
    <row r="122" spans="1:10" ht="15.75">
      <c r="A122" s="637" t="str">
        <f t="shared" si="2"/>
        <v>Other Miscellaneous</v>
      </c>
      <c r="B122" s="294" t="s">
        <v>228</v>
      </c>
      <c r="C122" s="294" t="s">
        <v>477</v>
      </c>
      <c r="D122" s="297" t="s">
        <v>495</v>
      </c>
      <c r="E122" s="406">
        <v>1</v>
      </c>
      <c r="F122" s="239">
        <v>193600</v>
      </c>
      <c r="G122" s="639">
        <f>Table51419[[#This Row],[Quantity]]*Table51419[[#This Row],[Cost in ILS]]</f>
        <v>193600</v>
      </c>
      <c r="H122" s="639">
        <f>Table51419[[#This Row],[Total Cost in ILS]]/FX_RATE</f>
        <v>60500</v>
      </c>
      <c r="I122" s="407"/>
      <c r="J122" s="299">
        <f>Table51419[[#This Row],[Total Cost in study Currency]]*Table51419[[#This Row],[Depreciation Rate]]</f>
        <v>0</v>
      </c>
    </row>
    <row r="123" spans="1:10" ht="15.75">
      <c r="A123" s="296"/>
      <c r="B123" s="294"/>
      <c r="C123" s="294"/>
      <c r="D123" s="293"/>
      <c r="E123" s="406"/>
      <c r="F123" s="298"/>
      <c r="G123" s="639">
        <f>Table51419[[#This Row],[Quantity]]*Table51419[[#This Row],[Cost in ILS]]</f>
        <v>0</v>
      </c>
      <c r="H123" s="639">
        <f>Table51419[[#This Row],[Total Cost in ILS]]/FX_RATE</f>
        <v>0</v>
      </c>
      <c r="I123" s="407"/>
      <c r="J123" s="299">
        <f>Table51419[[#This Row],[Total Cost in study Currency]]*Table51419[[#This Row],[Depreciation Rate]]</f>
        <v>0</v>
      </c>
    </row>
    <row r="124" spans="1:10">
      <c r="A124" s="57" t="s">
        <v>110</v>
      </c>
      <c r="B124" s="57"/>
      <c r="C124" s="57"/>
      <c r="G124" s="640">
        <f>SUBTOTAL(109,Table51419[Total Cost in ILS])</f>
        <v>22900224</v>
      </c>
      <c r="H124" s="640">
        <f>SUBTOTAL(109,Table51419[Total Cost in study Currency])</f>
        <v>7156320</v>
      </c>
      <c r="J124" s="1">
        <f>SUBTOTAL(109,Table51419[Annual Depreciation])</f>
        <v>16940</v>
      </c>
    </row>
    <row r="125" spans="1:10" ht="16.5" thickBot="1">
      <c r="B125" s="225" t="s">
        <v>132</v>
      </c>
      <c r="C125" s="225"/>
    </row>
    <row r="126" spans="1:10" ht="31.5" thickTop="1" thickBot="1">
      <c r="B126" s="226" t="s">
        <v>463</v>
      </c>
      <c r="C126" s="228"/>
      <c r="D126"/>
      <c r="E126"/>
      <c r="F126"/>
      <c r="G126" s="641" t="s">
        <v>506</v>
      </c>
      <c r="H126" s="641" t="s">
        <v>507</v>
      </c>
      <c r="I126"/>
      <c r="J126" s="226" t="s">
        <v>470</v>
      </c>
    </row>
    <row r="127" spans="1:10" ht="15.75">
      <c r="B127" s="224" t="s">
        <v>228</v>
      </c>
      <c r="C127" s="224"/>
      <c r="G127" s="640">
        <f>SUMIF(Table51419[Source of Finance],B127,Table51419[Total Cost in ILS])</f>
        <v>22900224</v>
      </c>
      <c r="H127" s="640">
        <f>SUMIF(Table51419[Source of Finance],B127,Table51419[Total Cost in study Currency])</f>
        <v>7156320</v>
      </c>
      <c r="J127" s="1">
        <f>SUMIF(Table51419[Source of Finance],B127,Table51419[Annual Depreciation])</f>
        <v>16940</v>
      </c>
    </row>
    <row r="128" spans="1:10" ht="15.75">
      <c r="B128" s="224" t="s">
        <v>482</v>
      </c>
      <c r="C128" s="224"/>
      <c r="G128" s="640">
        <f>SUMIF(Table51419[Source of Finance],B128,Table51419[Total Cost in ILS])</f>
        <v>0</v>
      </c>
      <c r="H128" s="640">
        <f>SUMIF(Table51419[Source of Finance],B128,Table51419[Total Cost in study Currency])</f>
        <v>0</v>
      </c>
      <c r="J128" s="1">
        <f>SUMIF(Table51419[Source of Finance],B128,Table51419[Annual Depreciation])</f>
        <v>0</v>
      </c>
    </row>
    <row r="129" spans="2:10" ht="15.75">
      <c r="B129" s="224" t="s">
        <v>508</v>
      </c>
      <c r="C129" s="224"/>
      <c r="G129" s="640">
        <f>SUMIF(Table51419[Source of Finance],B129,Table51419[Total Cost in ILS])</f>
        <v>0</v>
      </c>
      <c r="H129" s="640">
        <f>SUMIF(Table51419[Source of Finance],B129,Table51419[Total Cost in study Currency])</f>
        <v>0</v>
      </c>
      <c r="J129" s="1">
        <f>SUMIF(Table51419[Source of Finance],B129,Table51419[Annual Depreciation])</f>
        <v>0</v>
      </c>
    </row>
    <row r="130" spans="2:10" ht="15.75" thickBot="1">
      <c r="G130" s="642">
        <f>SUM(G127:G129)</f>
        <v>22900224</v>
      </c>
      <c r="H130" s="642">
        <f>SUM(H127:H129)</f>
        <v>7156320</v>
      </c>
      <c r="J130" s="227">
        <f>SUM(J127:J129)</f>
        <v>16940</v>
      </c>
    </row>
    <row r="131" spans="2:10" ht="15.75" thickTop="1"/>
  </sheetData>
  <sheetProtection formatCells="0" formatColumns="0" formatRows="0" insertColumns="0" insertRows="0" autoFilter="0"/>
  <protectedRanges>
    <protectedRange sqref="I92:I123" name="Range8"/>
    <protectedRange sqref="A49:F49 A80:F80 A50:A79" name="Range5"/>
    <protectedRange sqref="B41:C43 B84:C86 B127:C129 A92:A122 B92:K92 A13:A20 B123 G93:K120 B93:F122 A49:K80 A5:K12 B13:K23 A24:K37" name="Range2"/>
    <protectedRange sqref="G5:G23 A24:G24 A37:G37 F25:G36 E67:F67 F68:F79 E110:F110 F111:F122 B67:D79 B110:D122 A25:D36" name="Range3"/>
    <protectedRange sqref="I49:I80 I5:I37" name="Range4"/>
    <protectedRange sqref="A92:G92 E25:E36 E68:E79 A123:G124 A93:A122 G93:G122 E111:E122 B50:F66 B93:F109 A5:F23" name="Range7"/>
  </protectedRanges>
  <mergeCells count="7">
    <mergeCell ref="A89:K89"/>
    <mergeCell ref="A90:K90"/>
    <mergeCell ref="A2:K2"/>
    <mergeCell ref="A1:K1"/>
    <mergeCell ref="A3:K3"/>
    <mergeCell ref="A47:K47"/>
    <mergeCell ref="A46:K46"/>
  </mergeCells>
  <phoneticPr fontId="49" type="noConversion"/>
  <dataValidations count="2">
    <dataValidation type="list" allowBlank="1" showInputMessage="1" showErrorMessage="1" sqref="B41:C43 B84:C86 B127:C129 B92:B123 B49:B80 B5:B37" xr:uid="{C708B754-975B-41A9-A91A-9ABE19E2ADA0}">
      <formula1>"Equity,Debt,Grant"</formula1>
    </dataValidation>
    <dataValidation type="list" allowBlank="1" showInputMessage="1" showErrorMessage="1" sqref="C5:C37 C49:C80 C92:C123" xr:uid="{13A8D1E3-A6D0-4008-ACA5-149F4A5A7611}">
      <formula1>"Machenary, Equipment, Property, Land,Vehicles,Furniture, Organizational Cost, Research &amp; Develpment "</formula1>
    </dataValidation>
  </dataValidations>
  <printOptions horizontalCentered="1"/>
  <pageMargins left="0.9055118110236221" right="0.70866141732283472" top="0.74803149606299213" bottom="0.74803149606299213" header="0.31496062992125984" footer="0.31496062992125984"/>
  <pageSetup paperSize="9" scale="35" fitToHeight="0" orientation="portrait" errors="blank" r:id="rId1"/>
  <headerFooter>
    <oddFooter>&amp;L&amp;"-,Bold Italic"&amp;8&amp;K01+027Developed By: MAIUMAS Consulting
Hani Omar Skaik&amp;C&amp;A&amp;R&amp;D / &amp;T</oddFooter>
  </headerFooter>
  <drawing r:id="rId2"/>
  <legacyDrawingHF r:id="rId3"/>
  <tableParts count="3">
    <tablePart r:id="rId4"/>
    <tablePart r:id="rId5"/>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20352-D565-47E1-8414-C91D1E87F0B8}">
  <sheetPr codeName="Sheet12">
    <tabColor rgb="FF92D050"/>
    <pageSetUpPr fitToPage="1"/>
  </sheetPr>
  <dimension ref="A1:CX142"/>
  <sheetViews>
    <sheetView showZeros="0" zoomScale="85" zoomScaleNormal="85" zoomScaleSheetLayoutView="98" workbookViewId="0">
      <pane xSplit="1" topLeftCell="B1" activePane="topRight" state="frozen"/>
      <selection activeCell="A14" sqref="A1:CP86 A66:CP86"/>
      <selection pane="topRight" activeCell="A57" sqref="A57"/>
    </sheetView>
  </sheetViews>
  <sheetFormatPr defaultColWidth="8.88671875" defaultRowHeight="18"/>
  <cols>
    <col min="1" max="1" width="35.5546875" style="132" customWidth="1"/>
    <col min="2" max="2" width="18.44140625" style="292" bestFit="1" customWidth="1"/>
    <col min="3" max="3" width="16.6640625" style="132" bestFit="1" customWidth="1"/>
    <col min="4" max="4" width="12.6640625" style="132" bestFit="1" customWidth="1"/>
    <col min="5" max="5" width="16.21875" style="132" bestFit="1" customWidth="1"/>
    <col min="6" max="9" width="13.21875" style="132" bestFit="1" customWidth="1"/>
    <col min="10" max="10" width="12.77734375" style="132" bestFit="1" customWidth="1"/>
    <col min="11" max="11" width="12.44140625" style="132" bestFit="1" customWidth="1"/>
    <col min="12" max="12" width="13" style="132" bestFit="1" customWidth="1"/>
    <col min="13" max="13" width="12.44140625" style="132" bestFit="1" customWidth="1"/>
    <col min="14" max="16" width="12.77734375" style="132" bestFit="1" customWidth="1"/>
    <col min="17" max="17" width="13.21875" style="132" bestFit="1" customWidth="1"/>
    <col min="18" max="18" width="14.44140625" style="132" bestFit="1" customWidth="1"/>
    <col min="19" max="22" width="13.21875" style="132" bestFit="1" customWidth="1"/>
    <col min="23" max="23" width="13" style="132" bestFit="1" customWidth="1"/>
    <col min="24" max="24" width="12.77734375" style="132" bestFit="1" customWidth="1"/>
    <col min="25" max="25" width="13" style="132" bestFit="1" customWidth="1"/>
    <col min="26" max="26" width="12.77734375" style="132" bestFit="1" customWidth="1"/>
    <col min="27" max="29" width="13.21875" style="132" bestFit="1" customWidth="1"/>
    <col min="30" max="30" width="12.77734375" style="132" bestFit="1" customWidth="1"/>
    <col min="31" max="31" width="14.77734375" style="132" bestFit="1" customWidth="1"/>
    <col min="32" max="32" width="14.44140625" style="132" bestFit="1" customWidth="1"/>
    <col min="33" max="33" width="12.77734375" style="132" bestFit="1" customWidth="1"/>
    <col min="34" max="34" width="13" style="132" bestFit="1" customWidth="1"/>
    <col min="35" max="35" width="13" style="132" customWidth="1"/>
    <col min="36" max="39" width="13" style="132" bestFit="1" customWidth="1"/>
    <col min="40" max="43" width="13" style="132" customWidth="1"/>
    <col min="44" max="44" width="14.44140625" style="132" bestFit="1" customWidth="1"/>
    <col min="45" max="45" width="13.21875" style="132" bestFit="1" customWidth="1"/>
    <col min="46" max="46" width="14.21875" style="132" bestFit="1" customWidth="1"/>
    <col min="47" max="48" width="13.21875" style="132" bestFit="1" customWidth="1"/>
    <col min="49" max="49" width="13" style="132" bestFit="1" customWidth="1"/>
    <col min="50" max="50" width="13.21875" style="132" bestFit="1" customWidth="1"/>
    <col min="51" max="51" width="13" style="132" customWidth="1"/>
    <col min="52" max="55" width="13.21875" style="132" bestFit="1" customWidth="1"/>
    <col min="56" max="56" width="13" style="132" customWidth="1"/>
    <col min="57" max="57" width="14.77734375" style="132" bestFit="1" customWidth="1"/>
    <col min="58" max="59" width="13" style="132" bestFit="1" customWidth="1"/>
    <col min="60" max="60" width="14.21875" style="132" bestFit="1" customWidth="1"/>
    <col min="61" max="61" width="13.21875" style="132" bestFit="1" customWidth="1"/>
    <col min="62" max="62" width="13" style="132" bestFit="1" customWidth="1"/>
    <col min="63" max="63" width="13.21875" style="132" bestFit="1" customWidth="1"/>
    <col min="64" max="64" width="13" style="132" bestFit="1" customWidth="1"/>
    <col min="65" max="65" width="13.21875" style="132" bestFit="1" customWidth="1"/>
    <col min="66" max="69" width="13" style="132" bestFit="1" customWidth="1"/>
    <col min="70" max="70" width="14.6640625" style="132" bestFit="1" customWidth="1"/>
    <col min="71" max="73" width="13" style="132" bestFit="1" customWidth="1"/>
    <col min="74" max="74" width="14.6640625" style="132" bestFit="1" customWidth="1"/>
    <col min="75" max="75" width="13.21875" style="132" bestFit="1" customWidth="1"/>
    <col min="76" max="82" width="13" style="132" bestFit="1" customWidth="1"/>
    <col min="83" max="83" width="14.77734375" style="132" bestFit="1" customWidth="1"/>
    <col min="84" max="86" width="13" style="132" bestFit="1" customWidth="1"/>
    <col min="87" max="87" width="13.21875" style="132" bestFit="1" customWidth="1"/>
    <col min="88" max="88" width="14.6640625" style="132" bestFit="1" customWidth="1"/>
    <col min="89" max="89" width="12.77734375" style="132" bestFit="1" customWidth="1"/>
    <col min="90" max="95" width="13" style="132" bestFit="1" customWidth="1"/>
    <col min="96" max="96" width="14.44140625" style="132" bestFit="1" customWidth="1"/>
    <col min="97" max="101" width="13" style="132" bestFit="1" customWidth="1"/>
    <col min="102" max="102" width="14.6640625" style="132" bestFit="1" customWidth="1"/>
    <col min="103" max="16384" width="8.88671875" style="132"/>
  </cols>
  <sheetData>
    <row r="1" spans="1:102" ht="48.75" customHeight="1">
      <c r="A1" s="133"/>
      <c r="B1" s="131"/>
      <c r="C1" s="133"/>
      <c r="D1" s="133"/>
      <c r="E1" s="133"/>
      <c r="F1" s="133"/>
      <c r="G1" s="133"/>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row>
    <row r="2" spans="1:102" s="143" customFormat="1" ht="30" customHeight="1">
      <c r="A2" s="556" t="str">
        <f>'Summary. Assumptions. Inputs'!A2:G2</f>
        <v>Al Bawader for Greenhouse Plastics</v>
      </c>
      <c r="B2" s="650"/>
      <c r="C2" s="556"/>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c r="AK2" s="145"/>
      <c r="AL2" s="145"/>
      <c r="AM2" s="145"/>
      <c r="AN2" s="145"/>
      <c r="AO2" s="145"/>
      <c r="AP2" s="145"/>
      <c r="AQ2" s="145"/>
      <c r="AR2" s="145"/>
      <c r="AS2" s="145"/>
      <c r="AT2" s="145"/>
      <c r="AU2" s="145"/>
      <c r="AV2" s="145"/>
      <c r="AW2" s="145"/>
      <c r="AX2" s="145"/>
      <c r="AY2" s="145"/>
      <c r="AZ2" s="145"/>
      <c r="BA2" s="145"/>
      <c r="BB2" s="145"/>
      <c r="BC2" s="145"/>
      <c r="BD2" s="145"/>
      <c r="BE2" s="145"/>
      <c r="BF2" s="145"/>
      <c r="BG2" s="145"/>
      <c r="BH2" s="145"/>
      <c r="BI2" s="145"/>
      <c r="BJ2" s="145"/>
      <c r="BK2" s="145"/>
      <c r="BL2" s="145"/>
      <c r="BM2" s="145"/>
      <c r="BN2" s="145"/>
      <c r="BO2" s="145"/>
      <c r="BP2" s="145"/>
      <c r="BQ2" s="145"/>
      <c r="BR2" s="145"/>
      <c r="BS2" s="145"/>
      <c r="BT2" s="145"/>
      <c r="BU2" s="145"/>
      <c r="BV2" s="145"/>
      <c r="BW2" s="145"/>
      <c r="BX2" s="145"/>
      <c r="BY2" s="145"/>
      <c r="BZ2" s="145"/>
      <c r="CA2" s="145"/>
      <c r="CB2" s="145"/>
      <c r="CC2" s="145"/>
      <c r="CD2" s="145"/>
      <c r="CE2" s="145"/>
      <c r="CF2" s="145"/>
      <c r="CG2" s="145"/>
      <c r="CH2" s="145"/>
      <c r="CI2" s="145"/>
      <c r="CJ2" s="145"/>
      <c r="CK2" s="145"/>
      <c r="CL2" s="145"/>
      <c r="CM2" s="145"/>
      <c r="CN2" s="145"/>
      <c r="CO2" s="145"/>
      <c r="CP2" s="145"/>
      <c r="CQ2" s="145"/>
      <c r="CR2" s="145"/>
      <c r="CS2" s="145"/>
      <c r="CT2" s="145"/>
      <c r="CU2" s="145"/>
      <c r="CV2" s="145"/>
      <c r="CW2" s="145"/>
      <c r="CX2" s="145"/>
    </row>
    <row r="3" spans="1:102" s="133" customFormat="1" ht="24.95" customHeight="1" thickBot="1">
      <c r="A3" s="282" t="s">
        <v>509</v>
      </c>
      <c r="B3" s="282"/>
      <c r="C3" s="282"/>
      <c r="D3" s="282"/>
    </row>
    <row r="4" spans="1:102" s="145" customFormat="1" ht="30" customHeight="1" thickTop="1" thickBot="1">
      <c r="A4" s="144" t="str">
        <f>CONCATENATE("Currency:"," ",'Summary. Assumptions. Inputs'!$J$7)</f>
        <v>Currency: USD</v>
      </c>
      <c r="B4" s="651"/>
      <c r="C4" s="144"/>
      <c r="D4" s="144"/>
      <c r="E4" s="144"/>
      <c r="F4" s="144"/>
      <c r="G4" s="144"/>
      <c r="H4" s="144"/>
      <c r="I4" s="144"/>
    </row>
    <row r="5" spans="1:102" s="131" customFormat="1" ht="70.5" customHeight="1" thickBot="1">
      <c r="A5" s="288" t="s">
        <v>462</v>
      </c>
      <c r="B5" s="290" t="s">
        <v>510</v>
      </c>
      <c r="C5" s="290" t="s">
        <v>511</v>
      </c>
      <c r="D5" s="290" t="s">
        <v>512</v>
      </c>
      <c r="E5" s="291" t="str">
        <f>'Sales Volume, Cost of Productio'!C5</f>
        <v>Pre-Operation</v>
      </c>
      <c r="F5" s="290" t="s">
        <v>347</v>
      </c>
      <c r="G5" s="290" t="s">
        <v>348</v>
      </c>
      <c r="H5" s="290" t="s">
        <v>349</v>
      </c>
      <c r="I5" s="290" t="s">
        <v>350</v>
      </c>
      <c r="J5" s="290" t="s">
        <v>351</v>
      </c>
      <c r="K5" s="290" t="s">
        <v>352</v>
      </c>
      <c r="L5" s="290" t="s">
        <v>353</v>
      </c>
      <c r="M5" s="290" t="s">
        <v>354</v>
      </c>
      <c r="N5" s="290" t="s">
        <v>355</v>
      </c>
      <c r="O5" s="290" t="s">
        <v>356</v>
      </c>
      <c r="P5" s="290" t="s">
        <v>357</v>
      </c>
      <c r="Q5" s="290" t="s">
        <v>358</v>
      </c>
      <c r="R5" s="290" t="s">
        <v>359</v>
      </c>
      <c r="S5" s="290" t="s">
        <v>513</v>
      </c>
      <c r="T5" s="290" t="s">
        <v>360</v>
      </c>
      <c r="U5" s="290" t="s">
        <v>361</v>
      </c>
      <c r="V5" s="290" t="s">
        <v>362</v>
      </c>
      <c r="W5" s="290" t="s">
        <v>363</v>
      </c>
      <c r="X5" s="290" t="s">
        <v>364</v>
      </c>
      <c r="Y5" s="290" t="s">
        <v>365</v>
      </c>
      <c r="Z5" s="290" t="s">
        <v>366</v>
      </c>
      <c r="AA5" s="290" t="s">
        <v>367</v>
      </c>
      <c r="AB5" s="290" t="s">
        <v>368</v>
      </c>
      <c r="AC5" s="290" t="s">
        <v>369</v>
      </c>
      <c r="AD5" s="290" t="s">
        <v>370</v>
      </c>
      <c r="AE5" s="290" t="s">
        <v>371</v>
      </c>
      <c r="AF5" s="290" t="s">
        <v>372</v>
      </c>
      <c r="AG5" s="290" t="s">
        <v>514</v>
      </c>
      <c r="AH5" s="290" t="s">
        <v>373</v>
      </c>
      <c r="AI5" s="290" t="s">
        <v>374</v>
      </c>
      <c r="AJ5" s="290" t="s">
        <v>375</v>
      </c>
      <c r="AK5" s="290" t="s">
        <v>376</v>
      </c>
      <c r="AL5" s="290" t="s">
        <v>377</v>
      </c>
      <c r="AM5" s="290" t="s">
        <v>378</v>
      </c>
      <c r="AN5" s="290" t="s">
        <v>379</v>
      </c>
      <c r="AO5" s="290" t="s">
        <v>380</v>
      </c>
      <c r="AP5" s="290" t="s">
        <v>381</v>
      </c>
      <c r="AQ5" s="290" t="s">
        <v>382</v>
      </c>
      <c r="AR5" s="290" t="s">
        <v>383</v>
      </c>
      <c r="AS5" s="290" t="s">
        <v>384</v>
      </c>
      <c r="AT5" s="290" t="s">
        <v>385</v>
      </c>
      <c r="AU5" s="290" t="s">
        <v>515</v>
      </c>
      <c r="AV5" s="290" t="s">
        <v>386</v>
      </c>
      <c r="AW5" s="290" t="s">
        <v>387</v>
      </c>
      <c r="AX5" s="290" t="s">
        <v>388</v>
      </c>
      <c r="AY5" s="290" t="s">
        <v>389</v>
      </c>
      <c r="AZ5" s="290" t="s">
        <v>390</v>
      </c>
      <c r="BA5" s="290" t="s">
        <v>391</v>
      </c>
      <c r="BB5" s="290" t="s">
        <v>392</v>
      </c>
      <c r="BC5" s="290" t="s">
        <v>393</v>
      </c>
      <c r="BD5" s="290" t="s">
        <v>394</v>
      </c>
      <c r="BE5" s="290" t="s">
        <v>395</v>
      </c>
      <c r="BF5" s="290" t="s">
        <v>396</v>
      </c>
      <c r="BG5" s="290" t="s">
        <v>397</v>
      </c>
      <c r="BH5" s="290" t="s">
        <v>398</v>
      </c>
      <c r="BI5" s="290" t="s">
        <v>516</v>
      </c>
      <c r="BJ5" s="290" t="s">
        <v>399</v>
      </c>
      <c r="BK5" s="290" t="s">
        <v>400</v>
      </c>
      <c r="BL5" s="290" t="s">
        <v>401</v>
      </c>
      <c r="BM5" s="290" t="s">
        <v>402</v>
      </c>
      <c r="BN5" s="290" t="s">
        <v>403</v>
      </c>
      <c r="BO5" s="290" t="s">
        <v>404</v>
      </c>
      <c r="BP5" s="290" t="s">
        <v>405</v>
      </c>
      <c r="BQ5" s="290" t="s">
        <v>406</v>
      </c>
      <c r="BR5" s="290" t="s">
        <v>407</v>
      </c>
      <c r="BS5" s="290" t="s">
        <v>408</v>
      </c>
      <c r="BT5" s="290" t="s">
        <v>409</v>
      </c>
      <c r="BU5" s="290" t="s">
        <v>410</v>
      </c>
      <c r="BV5" s="290" t="s">
        <v>411</v>
      </c>
      <c r="BW5" s="290" t="s">
        <v>517</v>
      </c>
      <c r="BX5" s="290" t="s">
        <v>412</v>
      </c>
      <c r="BY5" s="290" t="s">
        <v>413</v>
      </c>
      <c r="BZ5" s="290" t="s">
        <v>414</v>
      </c>
      <c r="CA5" s="290" t="s">
        <v>415</v>
      </c>
      <c r="CB5" s="290" t="s">
        <v>416</v>
      </c>
      <c r="CC5" s="290" t="s">
        <v>417</v>
      </c>
      <c r="CD5" s="290" t="s">
        <v>418</v>
      </c>
      <c r="CE5" s="290" t="s">
        <v>419</v>
      </c>
      <c r="CF5" s="290" t="s">
        <v>420</v>
      </c>
      <c r="CG5" s="290" t="s">
        <v>421</v>
      </c>
      <c r="CH5" s="290" t="s">
        <v>422</v>
      </c>
      <c r="CI5" s="290" t="s">
        <v>423</v>
      </c>
      <c r="CJ5" s="290" t="s">
        <v>424</v>
      </c>
      <c r="CK5" s="290" t="s">
        <v>518</v>
      </c>
      <c r="CL5" s="290" t="s">
        <v>425</v>
      </c>
      <c r="CM5" s="290" t="s">
        <v>426</v>
      </c>
      <c r="CN5" s="290" t="s">
        <v>427</v>
      </c>
      <c r="CO5" s="290" t="s">
        <v>428</v>
      </c>
      <c r="CP5" s="290" t="s">
        <v>429</v>
      </c>
      <c r="CQ5" s="290" t="s">
        <v>430</v>
      </c>
      <c r="CR5" s="290" t="s">
        <v>431</v>
      </c>
      <c r="CS5" s="290" t="s">
        <v>432</v>
      </c>
      <c r="CT5" s="290" t="s">
        <v>433</v>
      </c>
      <c r="CU5" s="290" t="s">
        <v>434</v>
      </c>
      <c r="CV5" s="290" t="s">
        <v>435</v>
      </c>
      <c r="CW5" s="290" t="s">
        <v>436</v>
      </c>
      <c r="CX5" s="290" t="s">
        <v>437</v>
      </c>
    </row>
    <row r="6" spans="1:102" s="133" customFormat="1" ht="15" customHeight="1">
      <c r="A6" s="645" t="s">
        <v>519</v>
      </c>
      <c r="B6" s="652"/>
      <c r="C6" s="240"/>
      <c r="D6" s="133">
        <f t="shared" ref="D6:D28" si="0">PRODUCT(B6:C6)/FX_RATE</f>
        <v>0</v>
      </c>
      <c r="E6" s="134"/>
      <c r="F6" s="135">
        <f t="shared" ref="F6:Q15" si="1">$D6</f>
        <v>0</v>
      </c>
      <c r="G6" s="135">
        <f t="shared" si="1"/>
        <v>0</v>
      </c>
      <c r="H6" s="135">
        <f t="shared" si="1"/>
        <v>0</v>
      </c>
      <c r="I6" s="135">
        <f t="shared" si="1"/>
        <v>0</v>
      </c>
      <c r="J6" s="135">
        <f t="shared" si="1"/>
        <v>0</v>
      </c>
      <c r="K6" s="135">
        <f t="shared" si="1"/>
        <v>0</v>
      </c>
      <c r="L6" s="135">
        <f t="shared" si="1"/>
        <v>0</v>
      </c>
      <c r="M6" s="135">
        <f t="shared" si="1"/>
        <v>0</v>
      </c>
      <c r="N6" s="135">
        <f t="shared" si="1"/>
        <v>0</v>
      </c>
      <c r="O6" s="135">
        <f t="shared" si="1"/>
        <v>0</v>
      </c>
      <c r="P6" s="135">
        <f t="shared" si="1"/>
        <v>0</v>
      </c>
      <c r="Q6" s="135">
        <f t="shared" si="1"/>
        <v>0</v>
      </c>
      <c r="R6" s="136">
        <f>SUM(F6:Q6)</f>
        <v>0</v>
      </c>
      <c r="S6" s="240"/>
      <c r="T6" s="135">
        <f t="shared" ref="T6:AE18" si="2">$S6*$C6/FX_RATE</f>
        <v>0</v>
      </c>
      <c r="U6" s="135">
        <f t="shared" si="2"/>
        <v>0</v>
      </c>
      <c r="V6" s="135">
        <f t="shared" si="2"/>
        <v>0</v>
      </c>
      <c r="W6" s="135">
        <f t="shared" si="2"/>
        <v>0</v>
      </c>
      <c r="X6" s="135">
        <f t="shared" si="2"/>
        <v>0</v>
      </c>
      <c r="Y6" s="135">
        <f t="shared" si="2"/>
        <v>0</v>
      </c>
      <c r="Z6" s="135">
        <f t="shared" si="2"/>
        <v>0</v>
      </c>
      <c r="AA6" s="135">
        <f t="shared" si="2"/>
        <v>0</v>
      </c>
      <c r="AB6" s="135">
        <f t="shared" si="2"/>
        <v>0</v>
      </c>
      <c r="AC6" s="135">
        <f t="shared" si="2"/>
        <v>0</v>
      </c>
      <c r="AD6" s="135">
        <f t="shared" si="2"/>
        <v>0</v>
      </c>
      <c r="AE6" s="135">
        <f t="shared" si="2"/>
        <v>0</v>
      </c>
      <c r="AF6" s="136">
        <f>SUM(T6:AE6)</f>
        <v>0</v>
      </c>
      <c r="AG6" s="240"/>
      <c r="AH6" s="135">
        <f t="shared" ref="AH6:AS18" si="3">$AG6*$C6/FX_RATE</f>
        <v>0</v>
      </c>
      <c r="AI6" s="135">
        <f t="shared" si="3"/>
        <v>0</v>
      </c>
      <c r="AJ6" s="135">
        <f t="shared" si="3"/>
        <v>0</v>
      </c>
      <c r="AK6" s="135">
        <f t="shared" si="3"/>
        <v>0</v>
      </c>
      <c r="AL6" s="135">
        <f t="shared" si="3"/>
        <v>0</v>
      </c>
      <c r="AM6" s="135">
        <f t="shared" si="3"/>
        <v>0</v>
      </c>
      <c r="AN6" s="135">
        <f t="shared" si="3"/>
        <v>0</v>
      </c>
      <c r="AO6" s="135">
        <f t="shared" si="3"/>
        <v>0</v>
      </c>
      <c r="AP6" s="135">
        <f t="shared" si="3"/>
        <v>0</v>
      </c>
      <c r="AQ6" s="135">
        <f t="shared" si="3"/>
        <v>0</v>
      </c>
      <c r="AR6" s="135">
        <f t="shared" si="3"/>
        <v>0</v>
      </c>
      <c r="AS6" s="135">
        <f t="shared" si="3"/>
        <v>0</v>
      </c>
      <c r="AT6" s="136">
        <f>SUM(AH6:AS6)</f>
        <v>0</v>
      </c>
      <c r="AU6" s="240"/>
      <c r="AV6" s="135">
        <f t="shared" ref="AV6:BG18" si="4">$AU6*$C6/FX_RATE</f>
        <v>0</v>
      </c>
      <c r="AW6" s="135">
        <f t="shared" si="4"/>
        <v>0</v>
      </c>
      <c r="AX6" s="135">
        <f t="shared" si="4"/>
        <v>0</v>
      </c>
      <c r="AY6" s="135">
        <f t="shared" si="4"/>
        <v>0</v>
      </c>
      <c r="AZ6" s="135">
        <f t="shared" si="4"/>
        <v>0</v>
      </c>
      <c r="BA6" s="135">
        <f t="shared" si="4"/>
        <v>0</v>
      </c>
      <c r="BB6" s="135">
        <f t="shared" si="4"/>
        <v>0</v>
      </c>
      <c r="BC6" s="135">
        <f t="shared" si="4"/>
        <v>0</v>
      </c>
      <c r="BD6" s="135">
        <f t="shared" si="4"/>
        <v>0</v>
      </c>
      <c r="BE6" s="135">
        <f t="shared" si="4"/>
        <v>0</v>
      </c>
      <c r="BF6" s="135">
        <f t="shared" si="4"/>
        <v>0</v>
      </c>
      <c r="BG6" s="135">
        <f t="shared" si="4"/>
        <v>0</v>
      </c>
      <c r="BH6" s="136">
        <f>SUM(AV6:BG6)</f>
        <v>0</v>
      </c>
      <c r="BI6" s="240"/>
      <c r="BJ6" s="135">
        <f t="shared" ref="BJ6:BU18" si="5">$BI6*$C6/FX_RATE</f>
        <v>0</v>
      </c>
      <c r="BK6" s="135">
        <f t="shared" si="5"/>
        <v>0</v>
      </c>
      <c r="BL6" s="135">
        <f t="shared" si="5"/>
        <v>0</v>
      </c>
      <c r="BM6" s="135">
        <f t="shared" si="5"/>
        <v>0</v>
      </c>
      <c r="BN6" s="135">
        <f t="shared" si="5"/>
        <v>0</v>
      </c>
      <c r="BO6" s="135">
        <f t="shared" si="5"/>
        <v>0</v>
      </c>
      <c r="BP6" s="135">
        <f t="shared" si="5"/>
        <v>0</v>
      </c>
      <c r="BQ6" s="135">
        <f t="shared" si="5"/>
        <v>0</v>
      </c>
      <c r="BR6" s="135">
        <f t="shared" si="5"/>
        <v>0</v>
      </c>
      <c r="BS6" s="135">
        <f t="shared" si="5"/>
        <v>0</v>
      </c>
      <c r="BT6" s="135">
        <f t="shared" si="5"/>
        <v>0</v>
      </c>
      <c r="BU6" s="135">
        <f t="shared" si="5"/>
        <v>0</v>
      </c>
      <c r="BV6" s="136">
        <f>SUM(BJ6:BU6)</f>
        <v>0</v>
      </c>
      <c r="BW6" s="240"/>
      <c r="BX6" s="135">
        <f t="shared" ref="BX6:CI18" si="6">$BW6*$C6/FX_RATE</f>
        <v>0</v>
      </c>
      <c r="BY6" s="135">
        <f t="shared" si="6"/>
        <v>0</v>
      </c>
      <c r="BZ6" s="135">
        <f t="shared" si="6"/>
        <v>0</v>
      </c>
      <c r="CA6" s="135">
        <f t="shared" si="6"/>
        <v>0</v>
      </c>
      <c r="CB6" s="135">
        <f t="shared" si="6"/>
        <v>0</v>
      </c>
      <c r="CC6" s="135">
        <f t="shared" si="6"/>
        <v>0</v>
      </c>
      <c r="CD6" s="135">
        <f t="shared" si="6"/>
        <v>0</v>
      </c>
      <c r="CE6" s="135">
        <f t="shared" si="6"/>
        <v>0</v>
      </c>
      <c r="CF6" s="135">
        <f t="shared" si="6"/>
        <v>0</v>
      </c>
      <c r="CG6" s="135">
        <f t="shared" si="6"/>
        <v>0</v>
      </c>
      <c r="CH6" s="135">
        <f t="shared" si="6"/>
        <v>0</v>
      </c>
      <c r="CI6" s="135">
        <f t="shared" si="6"/>
        <v>0</v>
      </c>
      <c r="CJ6" s="136">
        <f>SUM(BX6:CI6)</f>
        <v>0</v>
      </c>
      <c r="CK6" s="240"/>
      <c r="CL6" s="135">
        <f t="shared" ref="CL6:CW18" si="7">$CK6*$C6/FX_RATE</f>
        <v>0</v>
      </c>
      <c r="CM6" s="135">
        <f t="shared" si="7"/>
        <v>0</v>
      </c>
      <c r="CN6" s="135">
        <f t="shared" si="7"/>
        <v>0</v>
      </c>
      <c r="CO6" s="135">
        <f t="shared" si="7"/>
        <v>0</v>
      </c>
      <c r="CP6" s="135">
        <f t="shared" si="7"/>
        <v>0</v>
      </c>
      <c r="CQ6" s="135">
        <f t="shared" si="7"/>
        <v>0</v>
      </c>
      <c r="CR6" s="135">
        <f t="shared" si="7"/>
        <v>0</v>
      </c>
      <c r="CS6" s="135">
        <f t="shared" si="7"/>
        <v>0</v>
      </c>
      <c r="CT6" s="135">
        <f t="shared" si="7"/>
        <v>0</v>
      </c>
      <c r="CU6" s="135">
        <f t="shared" si="7"/>
        <v>0</v>
      </c>
      <c r="CV6" s="135">
        <f t="shared" si="7"/>
        <v>0</v>
      </c>
      <c r="CW6" s="135">
        <f t="shared" si="7"/>
        <v>0</v>
      </c>
      <c r="CX6" s="136">
        <f>SUM(CL6:CW6)</f>
        <v>0</v>
      </c>
    </row>
    <row r="7" spans="1:102" s="133" customFormat="1" ht="15" customHeight="1">
      <c r="A7" s="644" t="s">
        <v>520</v>
      </c>
      <c r="B7" s="652">
        <v>1</v>
      </c>
      <c r="C7" s="240">
        <v>11200</v>
      </c>
      <c r="D7" s="133">
        <f t="shared" si="0"/>
        <v>3500</v>
      </c>
      <c r="E7" s="134"/>
      <c r="F7" s="135">
        <f t="shared" si="1"/>
        <v>3500</v>
      </c>
      <c r="G7" s="135">
        <f t="shared" si="1"/>
        <v>3500</v>
      </c>
      <c r="H7" s="135">
        <f t="shared" si="1"/>
        <v>3500</v>
      </c>
      <c r="I7" s="135">
        <f t="shared" si="1"/>
        <v>3500</v>
      </c>
      <c r="J7" s="135">
        <f t="shared" si="1"/>
        <v>3500</v>
      </c>
      <c r="K7" s="135">
        <f t="shared" si="1"/>
        <v>3500</v>
      </c>
      <c r="L7" s="135">
        <f t="shared" si="1"/>
        <v>3500</v>
      </c>
      <c r="M7" s="135">
        <f t="shared" si="1"/>
        <v>3500</v>
      </c>
      <c r="N7" s="135">
        <f t="shared" si="1"/>
        <v>3500</v>
      </c>
      <c r="O7" s="135">
        <f t="shared" si="1"/>
        <v>3500</v>
      </c>
      <c r="P7" s="135">
        <f t="shared" si="1"/>
        <v>3500</v>
      </c>
      <c r="Q7" s="135">
        <f t="shared" si="1"/>
        <v>3500</v>
      </c>
      <c r="R7" s="136">
        <f t="shared" ref="R7:R28" si="8">SUM(F7:Q7)</f>
        <v>42000</v>
      </c>
      <c r="S7" s="240"/>
      <c r="T7" s="135">
        <f t="shared" si="2"/>
        <v>0</v>
      </c>
      <c r="U7" s="135">
        <f t="shared" si="2"/>
        <v>0</v>
      </c>
      <c r="V7" s="135">
        <f t="shared" si="2"/>
        <v>0</v>
      </c>
      <c r="W7" s="135">
        <f t="shared" si="2"/>
        <v>0</v>
      </c>
      <c r="X7" s="135">
        <f t="shared" si="2"/>
        <v>0</v>
      </c>
      <c r="Y7" s="135">
        <f t="shared" si="2"/>
        <v>0</v>
      </c>
      <c r="Z7" s="135">
        <f t="shared" si="2"/>
        <v>0</v>
      </c>
      <c r="AA7" s="135">
        <f t="shared" si="2"/>
        <v>0</v>
      </c>
      <c r="AB7" s="135">
        <f t="shared" si="2"/>
        <v>0</v>
      </c>
      <c r="AC7" s="135">
        <f t="shared" si="2"/>
        <v>0</v>
      </c>
      <c r="AD7" s="135">
        <f t="shared" si="2"/>
        <v>0</v>
      </c>
      <c r="AE7" s="135">
        <f t="shared" si="2"/>
        <v>0</v>
      </c>
      <c r="AF7" s="136">
        <f t="shared" ref="AF7:AF28" si="9">SUM(T7:AE7)</f>
        <v>0</v>
      </c>
      <c r="AG7" s="240"/>
      <c r="AH7" s="135">
        <f t="shared" si="3"/>
        <v>0</v>
      </c>
      <c r="AI7" s="135">
        <f t="shared" si="3"/>
        <v>0</v>
      </c>
      <c r="AJ7" s="135">
        <f t="shared" si="3"/>
        <v>0</v>
      </c>
      <c r="AK7" s="135">
        <f t="shared" si="3"/>
        <v>0</v>
      </c>
      <c r="AL7" s="135">
        <f t="shared" si="3"/>
        <v>0</v>
      </c>
      <c r="AM7" s="135">
        <f t="shared" si="3"/>
        <v>0</v>
      </c>
      <c r="AN7" s="135">
        <f t="shared" si="3"/>
        <v>0</v>
      </c>
      <c r="AO7" s="135">
        <f t="shared" si="3"/>
        <v>0</v>
      </c>
      <c r="AP7" s="135">
        <f t="shared" si="3"/>
        <v>0</v>
      </c>
      <c r="AQ7" s="135">
        <f t="shared" si="3"/>
        <v>0</v>
      </c>
      <c r="AR7" s="135">
        <f t="shared" si="3"/>
        <v>0</v>
      </c>
      <c r="AS7" s="135">
        <f t="shared" si="3"/>
        <v>0</v>
      </c>
      <c r="AT7" s="136">
        <f t="shared" ref="AT7:AT28" si="10">SUM(AH7:AS7)</f>
        <v>0</v>
      </c>
      <c r="AU7" s="240"/>
      <c r="AV7" s="135">
        <f t="shared" si="4"/>
        <v>0</v>
      </c>
      <c r="AW7" s="135">
        <f t="shared" si="4"/>
        <v>0</v>
      </c>
      <c r="AX7" s="135">
        <f t="shared" si="4"/>
        <v>0</v>
      </c>
      <c r="AY7" s="135">
        <f t="shared" si="4"/>
        <v>0</v>
      </c>
      <c r="AZ7" s="135">
        <f t="shared" si="4"/>
        <v>0</v>
      </c>
      <c r="BA7" s="135">
        <f t="shared" si="4"/>
        <v>0</v>
      </c>
      <c r="BB7" s="135">
        <f t="shared" si="4"/>
        <v>0</v>
      </c>
      <c r="BC7" s="135">
        <f t="shared" si="4"/>
        <v>0</v>
      </c>
      <c r="BD7" s="135">
        <f t="shared" si="4"/>
        <v>0</v>
      </c>
      <c r="BE7" s="135">
        <f t="shared" si="4"/>
        <v>0</v>
      </c>
      <c r="BF7" s="135">
        <f t="shared" si="4"/>
        <v>0</v>
      </c>
      <c r="BG7" s="135">
        <f t="shared" si="4"/>
        <v>0</v>
      </c>
      <c r="BH7" s="136">
        <f t="shared" ref="BH7:BH28" si="11">SUM(AV7:BG7)</f>
        <v>0</v>
      </c>
      <c r="BI7" s="240"/>
      <c r="BJ7" s="135">
        <f t="shared" si="5"/>
        <v>0</v>
      </c>
      <c r="BK7" s="135">
        <f t="shared" si="5"/>
        <v>0</v>
      </c>
      <c r="BL7" s="135">
        <f t="shared" si="5"/>
        <v>0</v>
      </c>
      <c r="BM7" s="135">
        <f t="shared" si="5"/>
        <v>0</v>
      </c>
      <c r="BN7" s="135">
        <f t="shared" si="5"/>
        <v>0</v>
      </c>
      <c r="BO7" s="135">
        <f t="shared" si="5"/>
        <v>0</v>
      </c>
      <c r="BP7" s="135">
        <f t="shared" si="5"/>
        <v>0</v>
      </c>
      <c r="BQ7" s="135">
        <f t="shared" si="5"/>
        <v>0</v>
      </c>
      <c r="BR7" s="135">
        <f t="shared" si="5"/>
        <v>0</v>
      </c>
      <c r="BS7" s="135">
        <f t="shared" si="5"/>
        <v>0</v>
      </c>
      <c r="BT7" s="135">
        <f t="shared" si="5"/>
        <v>0</v>
      </c>
      <c r="BU7" s="135">
        <f t="shared" si="5"/>
        <v>0</v>
      </c>
      <c r="BV7" s="136">
        <f t="shared" ref="BV7:BV28" si="12">SUM(BJ7:BU7)</f>
        <v>0</v>
      </c>
      <c r="BW7" s="240"/>
      <c r="BX7" s="135">
        <f t="shared" si="6"/>
        <v>0</v>
      </c>
      <c r="BY7" s="135">
        <f t="shared" si="6"/>
        <v>0</v>
      </c>
      <c r="BZ7" s="135">
        <f t="shared" si="6"/>
        <v>0</v>
      </c>
      <c r="CA7" s="135">
        <f t="shared" si="6"/>
        <v>0</v>
      </c>
      <c r="CB7" s="135">
        <f t="shared" si="6"/>
        <v>0</v>
      </c>
      <c r="CC7" s="135">
        <f t="shared" si="6"/>
        <v>0</v>
      </c>
      <c r="CD7" s="135">
        <f t="shared" si="6"/>
        <v>0</v>
      </c>
      <c r="CE7" s="135">
        <f t="shared" si="6"/>
        <v>0</v>
      </c>
      <c r="CF7" s="135">
        <f t="shared" si="6"/>
        <v>0</v>
      </c>
      <c r="CG7" s="135">
        <f t="shared" si="6"/>
        <v>0</v>
      </c>
      <c r="CH7" s="135">
        <f t="shared" si="6"/>
        <v>0</v>
      </c>
      <c r="CI7" s="135">
        <f t="shared" si="6"/>
        <v>0</v>
      </c>
      <c r="CJ7" s="136">
        <f t="shared" ref="CJ7:CJ28" si="13">SUM(BX7:CI7)</f>
        <v>0</v>
      </c>
      <c r="CK7" s="240"/>
      <c r="CL7" s="135">
        <f t="shared" si="7"/>
        <v>0</v>
      </c>
      <c r="CM7" s="135">
        <f t="shared" si="7"/>
        <v>0</v>
      </c>
      <c r="CN7" s="135">
        <f t="shared" si="7"/>
        <v>0</v>
      </c>
      <c r="CO7" s="135">
        <f t="shared" si="7"/>
        <v>0</v>
      </c>
      <c r="CP7" s="135">
        <f t="shared" si="7"/>
        <v>0</v>
      </c>
      <c r="CQ7" s="135">
        <f t="shared" si="7"/>
        <v>0</v>
      </c>
      <c r="CR7" s="135">
        <f t="shared" si="7"/>
        <v>0</v>
      </c>
      <c r="CS7" s="135">
        <f t="shared" si="7"/>
        <v>0</v>
      </c>
      <c r="CT7" s="135">
        <f t="shared" si="7"/>
        <v>0</v>
      </c>
      <c r="CU7" s="135">
        <f t="shared" si="7"/>
        <v>0</v>
      </c>
      <c r="CV7" s="135">
        <f t="shared" si="7"/>
        <v>0</v>
      </c>
      <c r="CW7" s="135">
        <f t="shared" si="7"/>
        <v>0</v>
      </c>
      <c r="CX7" s="136">
        <f t="shared" ref="CX7:CX28" si="14">SUM(CL7:CW7)</f>
        <v>0</v>
      </c>
    </row>
    <row r="8" spans="1:102" s="133" customFormat="1" ht="15" customHeight="1">
      <c r="A8" s="644" t="s">
        <v>521</v>
      </c>
      <c r="B8" s="652">
        <v>1</v>
      </c>
      <c r="C8" s="240">
        <v>1920</v>
      </c>
      <c r="D8" s="133">
        <f t="shared" si="0"/>
        <v>600</v>
      </c>
      <c r="E8" s="134"/>
      <c r="F8" s="135">
        <f t="shared" si="1"/>
        <v>600</v>
      </c>
      <c r="G8" s="135">
        <f t="shared" si="1"/>
        <v>600</v>
      </c>
      <c r="H8" s="135">
        <f t="shared" si="1"/>
        <v>600</v>
      </c>
      <c r="I8" s="135">
        <f t="shared" si="1"/>
        <v>600</v>
      </c>
      <c r="J8" s="135">
        <f t="shared" si="1"/>
        <v>600</v>
      </c>
      <c r="K8" s="135">
        <f t="shared" si="1"/>
        <v>600</v>
      </c>
      <c r="L8" s="135">
        <f t="shared" si="1"/>
        <v>600</v>
      </c>
      <c r="M8" s="135">
        <f t="shared" si="1"/>
        <v>600</v>
      </c>
      <c r="N8" s="135">
        <f t="shared" si="1"/>
        <v>600</v>
      </c>
      <c r="O8" s="135">
        <f t="shared" si="1"/>
        <v>600</v>
      </c>
      <c r="P8" s="135">
        <f t="shared" si="1"/>
        <v>600</v>
      </c>
      <c r="Q8" s="135">
        <f t="shared" si="1"/>
        <v>600</v>
      </c>
      <c r="R8" s="136">
        <f t="shared" si="8"/>
        <v>7200</v>
      </c>
      <c r="S8" s="240"/>
      <c r="T8" s="135">
        <f t="shared" si="2"/>
        <v>0</v>
      </c>
      <c r="U8" s="135">
        <f t="shared" si="2"/>
        <v>0</v>
      </c>
      <c r="V8" s="135">
        <f t="shared" si="2"/>
        <v>0</v>
      </c>
      <c r="W8" s="135">
        <f t="shared" si="2"/>
        <v>0</v>
      </c>
      <c r="X8" s="135">
        <f t="shared" si="2"/>
        <v>0</v>
      </c>
      <c r="Y8" s="135">
        <f t="shared" si="2"/>
        <v>0</v>
      </c>
      <c r="Z8" s="135">
        <f t="shared" si="2"/>
        <v>0</v>
      </c>
      <c r="AA8" s="135">
        <f t="shared" si="2"/>
        <v>0</v>
      </c>
      <c r="AB8" s="135">
        <f t="shared" si="2"/>
        <v>0</v>
      </c>
      <c r="AC8" s="135">
        <f t="shared" si="2"/>
        <v>0</v>
      </c>
      <c r="AD8" s="135">
        <f t="shared" si="2"/>
        <v>0</v>
      </c>
      <c r="AE8" s="135">
        <f t="shared" si="2"/>
        <v>0</v>
      </c>
      <c r="AF8" s="136">
        <f t="shared" si="9"/>
        <v>0</v>
      </c>
      <c r="AG8" s="240"/>
      <c r="AH8" s="135">
        <f t="shared" si="3"/>
        <v>0</v>
      </c>
      <c r="AI8" s="135">
        <f t="shared" si="3"/>
        <v>0</v>
      </c>
      <c r="AJ8" s="135">
        <f t="shared" si="3"/>
        <v>0</v>
      </c>
      <c r="AK8" s="135">
        <f t="shared" si="3"/>
        <v>0</v>
      </c>
      <c r="AL8" s="135">
        <f t="shared" si="3"/>
        <v>0</v>
      </c>
      <c r="AM8" s="135">
        <f t="shared" si="3"/>
        <v>0</v>
      </c>
      <c r="AN8" s="135">
        <f t="shared" si="3"/>
        <v>0</v>
      </c>
      <c r="AO8" s="135">
        <f t="shared" si="3"/>
        <v>0</v>
      </c>
      <c r="AP8" s="135">
        <f t="shared" si="3"/>
        <v>0</v>
      </c>
      <c r="AQ8" s="135">
        <f t="shared" si="3"/>
        <v>0</v>
      </c>
      <c r="AR8" s="135">
        <f t="shared" si="3"/>
        <v>0</v>
      </c>
      <c r="AS8" s="135">
        <f t="shared" si="3"/>
        <v>0</v>
      </c>
      <c r="AT8" s="136">
        <f t="shared" si="10"/>
        <v>0</v>
      </c>
      <c r="AU8" s="240"/>
      <c r="AV8" s="135">
        <f t="shared" si="4"/>
        <v>0</v>
      </c>
      <c r="AW8" s="135">
        <f t="shared" si="4"/>
        <v>0</v>
      </c>
      <c r="AX8" s="135">
        <f t="shared" si="4"/>
        <v>0</v>
      </c>
      <c r="AY8" s="135">
        <f t="shared" si="4"/>
        <v>0</v>
      </c>
      <c r="AZ8" s="135">
        <f t="shared" si="4"/>
        <v>0</v>
      </c>
      <c r="BA8" s="135">
        <f t="shared" si="4"/>
        <v>0</v>
      </c>
      <c r="BB8" s="135">
        <f t="shared" si="4"/>
        <v>0</v>
      </c>
      <c r="BC8" s="135">
        <f t="shared" si="4"/>
        <v>0</v>
      </c>
      <c r="BD8" s="135">
        <f t="shared" si="4"/>
        <v>0</v>
      </c>
      <c r="BE8" s="135">
        <f t="shared" si="4"/>
        <v>0</v>
      </c>
      <c r="BF8" s="135">
        <f t="shared" si="4"/>
        <v>0</v>
      </c>
      <c r="BG8" s="135">
        <f t="shared" si="4"/>
        <v>0</v>
      </c>
      <c r="BH8" s="136">
        <f t="shared" si="11"/>
        <v>0</v>
      </c>
      <c r="BI8" s="240"/>
      <c r="BJ8" s="135">
        <f t="shared" si="5"/>
        <v>0</v>
      </c>
      <c r="BK8" s="135">
        <f t="shared" si="5"/>
        <v>0</v>
      </c>
      <c r="BL8" s="135">
        <f t="shared" si="5"/>
        <v>0</v>
      </c>
      <c r="BM8" s="135">
        <f t="shared" si="5"/>
        <v>0</v>
      </c>
      <c r="BN8" s="135">
        <f t="shared" si="5"/>
        <v>0</v>
      </c>
      <c r="BO8" s="135">
        <f t="shared" si="5"/>
        <v>0</v>
      </c>
      <c r="BP8" s="135">
        <f t="shared" si="5"/>
        <v>0</v>
      </c>
      <c r="BQ8" s="135">
        <f t="shared" si="5"/>
        <v>0</v>
      </c>
      <c r="BR8" s="135">
        <f t="shared" si="5"/>
        <v>0</v>
      </c>
      <c r="BS8" s="135">
        <f t="shared" si="5"/>
        <v>0</v>
      </c>
      <c r="BT8" s="135">
        <f t="shared" si="5"/>
        <v>0</v>
      </c>
      <c r="BU8" s="135">
        <f t="shared" si="5"/>
        <v>0</v>
      </c>
      <c r="BV8" s="136">
        <f t="shared" si="12"/>
        <v>0</v>
      </c>
      <c r="BW8" s="240"/>
      <c r="BX8" s="135">
        <f t="shared" si="6"/>
        <v>0</v>
      </c>
      <c r="BY8" s="135">
        <f t="shared" si="6"/>
        <v>0</v>
      </c>
      <c r="BZ8" s="135">
        <f t="shared" si="6"/>
        <v>0</v>
      </c>
      <c r="CA8" s="135">
        <f t="shared" si="6"/>
        <v>0</v>
      </c>
      <c r="CB8" s="135">
        <f t="shared" si="6"/>
        <v>0</v>
      </c>
      <c r="CC8" s="135">
        <f t="shared" si="6"/>
        <v>0</v>
      </c>
      <c r="CD8" s="135">
        <f t="shared" si="6"/>
        <v>0</v>
      </c>
      <c r="CE8" s="135">
        <f t="shared" si="6"/>
        <v>0</v>
      </c>
      <c r="CF8" s="135">
        <f t="shared" si="6"/>
        <v>0</v>
      </c>
      <c r="CG8" s="135">
        <f t="shared" si="6"/>
        <v>0</v>
      </c>
      <c r="CH8" s="135">
        <f t="shared" si="6"/>
        <v>0</v>
      </c>
      <c r="CI8" s="135">
        <f t="shared" si="6"/>
        <v>0</v>
      </c>
      <c r="CJ8" s="136">
        <f t="shared" si="13"/>
        <v>0</v>
      </c>
      <c r="CK8" s="240"/>
      <c r="CL8" s="135">
        <f t="shared" si="7"/>
        <v>0</v>
      </c>
      <c r="CM8" s="135">
        <f t="shared" si="7"/>
        <v>0</v>
      </c>
      <c r="CN8" s="135">
        <f t="shared" si="7"/>
        <v>0</v>
      </c>
      <c r="CO8" s="135">
        <f t="shared" si="7"/>
        <v>0</v>
      </c>
      <c r="CP8" s="135">
        <f t="shared" si="7"/>
        <v>0</v>
      </c>
      <c r="CQ8" s="135">
        <f t="shared" si="7"/>
        <v>0</v>
      </c>
      <c r="CR8" s="135">
        <f t="shared" si="7"/>
        <v>0</v>
      </c>
      <c r="CS8" s="135">
        <f t="shared" si="7"/>
        <v>0</v>
      </c>
      <c r="CT8" s="135">
        <f t="shared" si="7"/>
        <v>0</v>
      </c>
      <c r="CU8" s="135">
        <f t="shared" si="7"/>
        <v>0</v>
      </c>
      <c r="CV8" s="135">
        <f t="shared" si="7"/>
        <v>0</v>
      </c>
      <c r="CW8" s="135">
        <f t="shared" si="7"/>
        <v>0</v>
      </c>
      <c r="CX8" s="136">
        <f t="shared" si="14"/>
        <v>0</v>
      </c>
    </row>
    <row r="9" spans="1:102" s="133" customFormat="1" ht="15" customHeight="1">
      <c r="A9" s="645" t="s">
        <v>522</v>
      </c>
      <c r="B9" s="652"/>
      <c r="C9" s="240"/>
      <c r="D9" s="133">
        <f t="shared" si="0"/>
        <v>0</v>
      </c>
      <c r="E9" s="134"/>
      <c r="F9" s="135">
        <f t="shared" si="1"/>
        <v>0</v>
      </c>
      <c r="G9" s="135">
        <f t="shared" si="1"/>
        <v>0</v>
      </c>
      <c r="H9" s="135">
        <f t="shared" si="1"/>
        <v>0</v>
      </c>
      <c r="I9" s="135">
        <f t="shared" si="1"/>
        <v>0</v>
      </c>
      <c r="J9" s="135">
        <f t="shared" si="1"/>
        <v>0</v>
      </c>
      <c r="K9" s="135">
        <f t="shared" si="1"/>
        <v>0</v>
      </c>
      <c r="L9" s="135">
        <f t="shared" si="1"/>
        <v>0</v>
      </c>
      <c r="M9" s="135">
        <f t="shared" si="1"/>
        <v>0</v>
      </c>
      <c r="N9" s="135">
        <f t="shared" si="1"/>
        <v>0</v>
      </c>
      <c r="O9" s="135">
        <f t="shared" si="1"/>
        <v>0</v>
      </c>
      <c r="P9" s="135">
        <f t="shared" si="1"/>
        <v>0</v>
      </c>
      <c r="Q9" s="135">
        <f t="shared" si="1"/>
        <v>0</v>
      </c>
      <c r="R9" s="136">
        <f t="shared" si="8"/>
        <v>0</v>
      </c>
      <c r="S9" s="240"/>
      <c r="T9" s="135">
        <f t="shared" si="2"/>
        <v>0</v>
      </c>
      <c r="U9" s="135">
        <f t="shared" si="2"/>
        <v>0</v>
      </c>
      <c r="V9" s="135">
        <f t="shared" si="2"/>
        <v>0</v>
      </c>
      <c r="W9" s="135">
        <f t="shared" si="2"/>
        <v>0</v>
      </c>
      <c r="X9" s="135">
        <f t="shared" si="2"/>
        <v>0</v>
      </c>
      <c r="Y9" s="135">
        <f t="shared" si="2"/>
        <v>0</v>
      </c>
      <c r="Z9" s="135">
        <f t="shared" si="2"/>
        <v>0</v>
      </c>
      <c r="AA9" s="135">
        <f t="shared" si="2"/>
        <v>0</v>
      </c>
      <c r="AB9" s="135">
        <f t="shared" si="2"/>
        <v>0</v>
      </c>
      <c r="AC9" s="135">
        <f t="shared" si="2"/>
        <v>0</v>
      </c>
      <c r="AD9" s="135">
        <f t="shared" si="2"/>
        <v>0</v>
      </c>
      <c r="AE9" s="135">
        <f t="shared" si="2"/>
        <v>0</v>
      </c>
      <c r="AF9" s="136">
        <f t="shared" si="9"/>
        <v>0</v>
      </c>
      <c r="AG9" s="240"/>
      <c r="AH9" s="135">
        <f t="shared" si="3"/>
        <v>0</v>
      </c>
      <c r="AI9" s="135">
        <f t="shared" si="3"/>
        <v>0</v>
      </c>
      <c r="AJ9" s="135">
        <f t="shared" si="3"/>
        <v>0</v>
      </c>
      <c r="AK9" s="135">
        <f t="shared" si="3"/>
        <v>0</v>
      </c>
      <c r="AL9" s="135">
        <f t="shared" si="3"/>
        <v>0</v>
      </c>
      <c r="AM9" s="135">
        <f t="shared" si="3"/>
        <v>0</v>
      </c>
      <c r="AN9" s="135">
        <f t="shared" si="3"/>
        <v>0</v>
      </c>
      <c r="AO9" s="135">
        <f t="shared" si="3"/>
        <v>0</v>
      </c>
      <c r="AP9" s="135">
        <f t="shared" si="3"/>
        <v>0</v>
      </c>
      <c r="AQ9" s="135">
        <f t="shared" si="3"/>
        <v>0</v>
      </c>
      <c r="AR9" s="135">
        <f t="shared" si="3"/>
        <v>0</v>
      </c>
      <c r="AS9" s="135">
        <f t="shared" si="3"/>
        <v>0</v>
      </c>
      <c r="AT9" s="136">
        <f t="shared" si="10"/>
        <v>0</v>
      </c>
      <c r="AU9" s="240"/>
      <c r="AV9" s="135">
        <f t="shared" si="4"/>
        <v>0</v>
      </c>
      <c r="AW9" s="135">
        <f t="shared" si="4"/>
        <v>0</v>
      </c>
      <c r="AX9" s="135">
        <f t="shared" si="4"/>
        <v>0</v>
      </c>
      <c r="AY9" s="135">
        <f t="shared" si="4"/>
        <v>0</v>
      </c>
      <c r="AZ9" s="135">
        <f t="shared" si="4"/>
        <v>0</v>
      </c>
      <c r="BA9" s="135">
        <f t="shared" si="4"/>
        <v>0</v>
      </c>
      <c r="BB9" s="135">
        <f t="shared" si="4"/>
        <v>0</v>
      </c>
      <c r="BC9" s="135">
        <f t="shared" si="4"/>
        <v>0</v>
      </c>
      <c r="BD9" s="135">
        <f t="shared" si="4"/>
        <v>0</v>
      </c>
      <c r="BE9" s="135">
        <f t="shared" si="4"/>
        <v>0</v>
      </c>
      <c r="BF9" s="135">
        <f t="shared" si="4"/>
        <v>0</v>
      </c>
      <c r="BG9" s="135">
        <f t="shared" si="4"/>
        <v>0</v>
      </c>
      <c r="BH9" s="136">
        <f t="shared" si="11"/>
        <v>0</v>
      </c>
      <c r="BI9" s="240"/>
      <c r="BJ9" s="135">
        <f t="shared" si="5"/>
        <v>0</v>
      </c>
      <c r="BK9" s="135">
        <f t="shared" si="5"/>
        <v>0</v>
      </c>
      <c r="BL9" s="135">
        <f t="shared" si="5"/>
        <v>0</v>
      </c>
      <c r="BM9" s="135">
        <f t="shared" si="5"/>
        <v>0</v>
      </c>
      <c r="BN9" s="135">
        <f t="shared" si="5"/>
        <v>0</v>
      </c>
      <c r="BO9" s="135">
        <f t="shared" si="5"/>
        <v>0</v>
      </c>
      <c r="BP9" s="135">
        <f t="shared" si="5"/>
        <v>0</v>
      </c>
      <c r="BQ9" s="135">
        <f t="shared" si="5"/>
        <v>0</v>
      </c>
      <c r="BR9" s="135">
        <f t="shared" si="5"/>
        <v>0</v>
      </c>
      <c r="BS9" s="135">
        <f t="shared" si="5"/>
        <v>0</v>
      </c>
      <c r="BT9" s="135">
        <f t="shared" si="5"/>
        <v>0</v>
      </c>
      <c r="BU9" s="135">
        <f t="shared" si="5"/>
        <v>0</v>
      </c>
      <c r="BV9" s="136">
        <f t="shared" si="12"/>
        <v>0</v>
      </c>
      <c r="BW9" s="240"/>
      <c r="BX9" s="135">
        <f t="shared" si="6"/>
        <v>0</v>
      </c>
      <c r="BY9" s="135">
        <f t="shared" si="6"/>
        <v>0</v>
      </c>
      <c r="BZ9" s="135">
        <f t="shared" si="6"/>
        <v>0</v>
      </c>
      <c r="CA9" s="135">
        <f t="shared" si="6"/>
        <v>0</v>
      </c>
      <c r="CB9" s="135">
        <f t="shared" si="6"/>
        <v>0</v>
      </c>
      <c r="CC9" s="135">
        <f t="shared" si="6"/>
        <v>0</v>
      </c>
      <c r="CD9" s="135">
        <f t="shared" si="6"/>
        <v>0</v>
      </c>
      <c r="CE9" s="135">
        <f t="shared" si="6"/>
        <v>0</v>
      </c>
      <c r="CF9" s="135">
        <f t="shared" si="6"/>
        <v>0</v>
      </c>
      <c r="CG9" s="135">
        <f t="shared" si="6"/>
        <v>0</v>
      </c>
      <c r="CH9" s="135">
        <f t="shared" si="6"/>
        <v>0</v>
      </c>
      <c r="CI9" s="135">
        <f t="shared" si="6"/>
        <v>0</v>
      </c>
      <c r="CJ9" s="136">
        <f t="shared" si="13"/>
        <v>0</v>
      </c>
      <c r="CK9" s="240"/>
      <c r="CL9" s="135">
        <f t="shared" si="7"/>
        <v>0</v>
      </c>
      <c r="CM9" s="135">
        <f t="shared" si="7"/>
        <v>0</v>
      </c>
      <c r="CN9" s="135">
        <f t="shared" si="7"/>
        <v>0</v>
      </c>
      <c r="CO9" s="135">
        <f t="shared" si="7"/>
        <v>0</v>
      </c>
      <c r="CP9" s="135">
        <f t="shared" si="7"/>
        <v>0</v>
      </c>
      <c r="CQ9" s="135">
        <f t="shared" si="7"/>
        <v>0</v>
      </c>
      <c r="CR9" s="135">
        <f t="shared" si="7"/>
        <v>0</v>
      </c>
      <c r="CS9" s="135">
        <f t="shared" si="7"/>
        <v>0</v>
      </c>
      <c r="CT9" s="135">
        <f t="shared" si="7"/>
        <v>0</v>
      </c>
      <c r="CU9" s="135">
        <f t="shared" si="7"/>
        <v>0</v>
      </c>
      <c r="CV9" s="135">
        <f t="shared" si="7"/>
        <v>0</v>
      </c>
      <c r="CW9" s="135">
        <f t="shared" si="7"/>
        <v>0</v>
      </c>
      <c r="CX9" s="136">
        <f t="shared" si="14"/>
        <v>0</v>
      </c>
    </row>
    <row r="10" spans="1:102" s="133" customFormat="1" ht="15" customHeight="1">
      <c r="A10" s="644" t="s">
        <v>523</v>
      </c>
      <c r="B10" s="652">
        <v>1</v>
      </c>
      <c r="C10" s="240">
        <v>6400</v>
      </c>
      <c r="D10" s="133">
        <f t="shared" si="0"/>
        <v>2000</v>
      </c>
      <c r="E10" s="134"/>
      <c r="F10" s="135">
        <f t="shared" si="1"/>
        <v>2000</v>
      </c>
      <c r="G10" s="135">
        <f t="shared" si="1"/>
        <v>2000</v>
      </c>
      <c r="H10" s="135">
        <f t="shared" si="1"/>
        <v>2000</v>
      </c>
      <c r="I10" s="135">
        <f t="shared" si="1"/>
        <v>2000</v>
      </c>
      <c r="J10" s="135">
        <f t="shared" si="1"/>
        <v>2000</v>
      </c>
      <c r="K10" s="135">
        <f t="shared" si="1"/>
        <v>2000</v>
      </c>
      <c r="L10" s="135">
        <f t="shared" si="1"/>
        <v>2000</v>
      </c>
      <c r="M10" s="135">
        <f t="shared" si="1"/>
        <v>2000</v>
      </c>
      <c r="N10" s="135">
        <f t="shared" si="1"/>
        <v>2000</v>
      </c>
      <c r="O10" s="135">
        <f t="shared" si="1"/>
        <v>2000</v>
      </c>
      <c r="P10" s="135">
        <f t="shared" si="1"/>
        <v>2000</v>
      </c>
      <c r="Q10" s="135">
        <f t="shared" si="1"/>
        <v>2000</v>
      </c>
      <c r="R10" s="136">
        <f t="shared" si="8"/>
        <v>24000</v>
      </c>
      <c r="S10" s="240"/>
      <c r="T10" s="135">
        <f t="shared" si="2"/>
        <v>0</v>
      </c>
      <c r="U10" s="135">
        <f t="shared" si="2"/>
        <v>0</v>
      </c>
      <c r="V10" s="135">
        <f t="shared" si="2"/>
        <v>0</v>
      </c>
      <c r="W10" s="135">
        <f t="shared" si="2"/>
        <v>0</v>
      </c>
      <c r="X10" s="135">
        <f t="shared" si="2"/>
        <v>0</v>
      </c>
      <c r="Y10" s="135">
        <f t="shared" si="2"/>
        <v>0</v>
      </c>
      <c r="Z10" s="135">
        <f t="shared" si="2"/>
        <v>0</v>
      </c>
      <c r="AA10" s="135">
        <f t="shared" si="2"/>
        <v>0</v>
      </c>
      <c r="AB10" s="135">
        <f t="shared" si="2"/>
        <v>0</v>
      </c>
      <c r="AC10" s="135">
        <f t="shared" si="2"/>
        <v>0</v>
      </c>
      <c r="AD10" s="135">
        <f t="shared" si="2"/>
        <v>0</v>
      </c>
      <c r="AE10" s="135">
        <f t="shared" si="2"/>
        <v>0</v>
      </c>
      <c r="AF10" s="136">
        <f t="shared" si="9"/>
        <v>0</v>
      </c>
      <c r="AG10" s="240"/>
      <c r="AH10" s="135">
        <f t="shared" si="3"/>
        <v>0</v>
      </c>
      <c r="AI10" s="135">
        <f t="shared" si="3"/>
        <v>0</v>
      </c>
      <c r="AJ10" s="135">
        <f t="shared" si="3"/>
        <v>0</v>
      </c>
      <c r="AK10" s="135">
        <f t="shared" si="3"/>
        <v>0</v>
      </c>
      <c r="AL10" s="135">
        <f t="shared" si="3"/>
        <v>0</v>
      </c>
      <c r="AM10" s="135">
        <f t="shared" si="3"/>
        <v>0</v>
      </c>
      <c r="AN10" s="135">
        <f t="shared" si="3"/>
        <v>0</v>
      </c>
      <c r="AO10" s="135">
        <f t="shared" si="3"/>
        <v>0</v>
      </c>
      <c r="AP10" s="135">
        <f t="shared" si="3"/>
        <v>0</v>
      </c>
      <c r="AQ10" s="135">
        <f t="shared" si="3"/>
        <v>0</v>
      </c>
      <c r="AR10" s="135">
        <f t="shared" si="3"/>
        <v>0</v>
      </c>
      <c r="AS10" s="135">
        <f t="shared" si="3"/>
        <v>0</v>
      </c>
      <c r="AT10" s="136">
        <f t="shared" si="10"/>
        <v>0</v>
      </c>
      <c r="AU10" s="240"/>
      <c r="AV10" s="135">
        <f t="shared" si="4"/>
        <v>0</v>
      </c>
      <c r="AW10" s="135">
        <f t="shared" si="4"/>
        <v>0</v>
      </c>
      <c r="AX10" s="135">
        <f t="shared" si="4"/>
        <v>0</v>
      </c>
      <c r="AY10" s="135">
        <f t="shared" si="4"/>
        <v>0</v>
      </c>
      <c r="AZ10" s="135">
        <f t="shared" si="4"/>
        <v>0</v>
      </c>
      <c r="BA10" s="135">
        <f t="shared" si="4"/>
        <v>0</v>
      </c>
      <c r="BB10" s="135">
        <f t="shared" si="4"/>
        <v>0</v>
      </c>
      <c r="BC10" s="135">
        <f t="shared" si="4"/>
        <v>0</v>
      </c>
      <c r="BD10" s="135">
        <f t="shared" si="4"/>
        <v>0</v>
      </c>
      <c r="BE10" s="135">
        <f t="shared" si="4"/>
        <v>0</v>
      </c>
      <c r="BF10" s="135">
        <f t="shared" si="4"/>
        <v>0</v>
      </c>
      <c r="BG10" s="135">
        <f t="shared" si="4"/>
        <v>0</v>
      </c>
      <c r="BH10" s="136">
        <f t="shared" si="11"/>
        <v>0</v>
      </c>
      <c r="BI10" s="240"/>
      <c r="BJ10" s="135">
        <f t="shared" si="5"/>
        <v>0</v>
      </c>
      <c r="BK10" s="135">
        <f t="shared" si="5"/>
        <v>0</v>
      </c>
      <c r="BL10" s="135">
        <f t="shared" si="5"/>
        <v>0</v>
      </c>
      <c r="BM10" s="135">
        <f t="shared" si="5"/>
        <v>0</v>
      </c>
      <c r="BN10" s="135">
        <f t="shared" si="5"/>
        <v>0</v>
      </c>
      <c r="BO10" s="135">
        <f t="shared" si="5"/>
        <v>0</v>
      </c>
      <c r="BP10" s="135">
        <f t="shared" si="5"/>
        <v>0</v>
      </c>
      <c r="BQ10" s="135">
        <f t="shared" si="5"/>
        <v>0</v>
      </c>
      <c r="BR10" s="135">
        <f t="shared" si="5"/>
        <v>0</v>
      </c>
      <c r="BS10" s="135">
        <f t="shared" si="5"/>
        <v>0</v>
      </c>
      <c r="BT10" s="135">
        <f t="shared" si="5"/>
        <v>0</v>
      </c>
      <c r="BU10" s="135">
        <f t="shared" si="5"/>
        <v>0</v>
      </c>
      <c r="BV10" s="136">
        <f t="shared" si="12"/>
        <v>0</v>
      </c>
      <c r="BW10" s="240"/>
      <c r="BX10" s="135">
        <f t="shared" si="6"/>
        <v>0</v>
      </c>
      <c r="BY10" s="135">
        <f t="shared" si="6"/>
        <v>0</v>
      </c>
      <c r="BZ10" s="135">
        <f t="shared" si="6"/>
        <v>0</v>
      </c>
      <c r="CA10" s="135">
        <f t="shared" si="6"/>
        <v>0</v>
      </c>
      <c r="CB10" s="135">
        <f t="shared" si="6"/>
        <v>0</v>
      </c>
      <c r="CC10" s="135">
        <f t="shared" si="6"/>
        <v>0</v>
      </c>
      <c r="CD10" s="135">
        <f t="shared" si="6"/>
        <v>0</v>
      </c>
      <c r="CE10" s="135">
        <f t="shared" si="6"/>
        <v>0</v>
      </c>
      <c r="CF10" s="135">
        <f t="shared" si="6"/>
        <v>0</v>
      </c>
      <c r="CG10" s="135">
        <f t="shared" si="6"/>
        <v>0</v>
      </c>
      <c r="CH10" s="135">
        <f t="shared" si="6"/>
        <v>0</v>
      </c>
      <c r="CI10" s="135">
        <f t="shared" si="6"/>
        <v>0</v>
      </c>
      <c r="CJ10" s="136">
        <f t="shared" si="13"/>
        <v>0</v>
      </c>
      <c r="CK10" s="240"/>
      <c r="CL10" s="135">
        <f t="shared" si="7"/>
        <v>0</v>
      </c>
      <c r="CM10" s="135">
        <f t="shared" si="7"/>
        <v>0</v>
      </c>
      <c r="CN10" s="135">
        <f t="shared" si="7"/>
        <v>0</v>
      </c>
      <c r="CO10" s="135">
        <f t="shared" si="7"/>
        <v>0</v>
      </c>
      <c r="CP10" s="135">
        <f t="shared" si="7"/>
        <v>0</v>
      </c>
      <c r="CQ10" s="135">
        <f t="shared" si="7"/>
        <v>0</v>
      </c>
      <c r="CR10" s="135">
        <f t="shared" si="7"/>
        <v>0</v>
      </c>
      <c r="CS10" s="135">
        <f t="shared" si="7"/>
        <v>0</v>
      </c>
      <c r="CT10" s="135">
        <f t="shared" si="7"/>
        <v>0</v>
      </c>
      <c r="CU10" s="135">
        <f t="shared" si="7"/>
        <v>0</v>
      </c>
      <c r="CV10" s="135">
        <f t="shared" si="7"/>
        <v>0</v>
      </c>
      <c r="CW10" s="135">
        <f t="shared" si="7"/>
        <v>0</v>
      </c>
      <c r="CX10" s="136">
        <f t="shared" si="14"/>
        <v>0</v>
      </c>
    </row>
    <row r="11" spans="1:102" s="133" customFormat="1" ht="15" customHeight="1">
      <c r="A11" s="644" t="s">
        <v>524</v>
      </c>
      <c r="B11" s="652">
        <v>3</v>
      </c>
      <c r="C11" s="240">
        <v>3200</v>
      </c>
      <c r="D11" s="133">
        <f t="shared" si="0"/>
        <v>3000</v>
      </c>
      <c r="E11" s="134"/>
      <c r="F11" s="135">
        <f t="shared" si="1"/>
        <v>3000</v>
      </c>
      <c r="G11" s="135">
        <f t="shared" si="1"/>
        <v>3000</v>
      </c>
      <c r="H11" s="135">
        <f t="shared" si="1"/>
        <v>3000</v>
      </c>
      <c r="I11" s="135">
        <f t="shared" si="1"/>
        <v>3000</v>
      </c>
      <c r="J11" s="135">
        <f t="shared" si="1"/>
        <v>3000</v>
      </c>
      <c r="K11" s="135">
        <f t="shared" si="1"/>
        <v>3000</v>
      </c>
      <c r="L11" s="135">
        <f t="shared" si="1"/>
        <v>3000</v>
      </c>
      <c r="M11" s="135">
        <f t="shared" si="1"/>
        <v>3000</v>
      </c>
      <c r="N11" s="135">
        <f t="shared" si="1"/>
        <v>3000</v>
      </c>
      <c r="O11" s="135">
        <f t="shared" si="1"/>
        <v>3000</v>
      </c>
      <c r="P11" s="135">
        <f t="shared" si="1"/>
        <v>3000</v>
      </c>
      <c r="Q11" s="135">
        <f t="shared" si="1"/>
        <v>3000</v>
      </c>
      <c r="R11" s="136">
        <f t="shared" si="8"/>
        <v>36000</v>
      </c>
      <c r="S11" s="240">
        <v>0</v>
      </c>
      <c r="T11" s="135">
        <f t="shared" si="2"/>
        <v>0</v>
      </c>
      <c r="U11" s="135">
        <f t="shared" si="2"/>
        <v>0</v>
      </c>
      <c r="V11" s="135">
        <f t="shared" si="2"/>
        <v>0</v>
      </c>
      <c r="W11" s="135">
        <f t="shared" si="2"/>
        <v>0</v>
      </c>
      <c r="X11" s="135">
        <f t="shared" si="2"/>
        <v>0</v>
      </c>
      <c r="Y11" s="135">
        <f t="shared" si="2"/>
        <v>0</v>
      </c>
      <c r="Z11" s="135">
        <f t="shared" si="2"/>
        <v>0</v>
      </c>
      <c r="AA11" s="135">
        <f t="shared" si="2"/>
        <v>0</v>
      </c>
      <c r="AB11" s="135">
        <f t="shared" si="2"/>
        <v>0</v>
      </c>
      <c r="AC11" s="135">
        <f t="shared" si="2"/>
        <v>0</v>
      </c>
      <c r="AD11" s="135">
        <f t="shared" si="2"/>
        <v>0</v>
      </c>
      <c r="AE11" s="135">
        <f t="shared" si="2"/>
        <v>0</v>
      </c>
      <c r="AF11" s="136">
        <f t="shared" si="9"/>
        <v>0</v>
      </c>
      <c r="AG11" s="240">
        <v>0</v>
      </c>
      <c r="AH11" s="135">
        <f t="shared" si="3"/>
        <v>0</v>
      </c>
      <c r="AI11" s="135">
        <f t="shared" si="3"/>
        <v>0</v>
      </c>
      <c r="AJ11" s="135">
        <f t="shared" si="3"/>
        <v>0</v>
      </c>
      <c r="AK11" s="135">
        <f t="shared" si="3"/>
        <v>0</v>
      </c>
      <c r="AL11" s="135">
        <f t="shared" si="3"/>
        <v>0</v>
      </c>
      <c r="AM11" s="135">
        <f t="shared" si="3"/>
        <v>0</v>
      </c>
      <c r="AN11" s="135">
        <f t="shared" si="3"/>
        <v>0</v>
      </c>
      <c r="AO11" s="135">
        <f t="shared" si="3"/>
        <v>0</v>
      </c>
      <c r="AP11" s="135">
        <f t="shared" si="3"/>
        <v>0</v>
      </c>
      <c r="AQ11" s="135">
        <f t="shared" si="3"/>
        <v>0</v>
      </c>
      <c r="AR11" s="135">
        <f t="shared" si="3"/>
        <v>0</v>
      </c>
      <c r="AS11" s="135">
        <f t="shared" si="3"/>
        <v>0</v>
      </c>
      <c r="AT11" s="136">
        <f t="shared" si="10"/>
        <v>0</v>
      </c>
      <c r="AU11" s="240">
        <v>0</v>
      </c>
      <c r="AV11" s="135">
        <f t="shared" si="4"/>
        <v>0</v>
      </c>
      <c r="AW11" s="135">
        <f t="shared" si="4"/>
        <v>0</v>
      </c>
      <c r="AX11" s="135">
        <f t="shared" si="4"/>
        <v>0</v>
      </c>
      <c r="AY11" s="135">
        <f t="shared" si="4"/>
        <v>0</v>
      </c>
      <c r="AZ11" s="135">
        <f t="shared" si="4"/>
        <v>0</v>
      </c>
      <c r="BA11" s="135">
        <f t="shared" si="4"/>
        <v>0</v>
      </c>
      <c r="BB11" s="135">
        <f t="shared" si="4"/>
        <v>0</v>
      </c>
      <c r="BC11" s="135">
        <f t="shared" si="4"/>
        <v>0</v>
      </c>
      <c r="BD11" s="135">
        <f t="shared" si="4"/>
        <v>0</v>
      </c>
      <c r="BE11" s="135">
        <f t="shared" si="4"/>
        <v>0</v>
      </c>
      <c r="BF11" s="135">
        <f t="shared" si="4"/>
        <v>0</v>
      </c>
      <c r="BG11" s="135">
        <f t="shared" si="4"/>
        <v>0</v>
      </c>
      <c r="BH11" s="136">
        <f t="shared" si="11"/>
        <v>0</v>
      </c>
      <c r="BI11" s="240">
        <v>0</v>
      </c>
      <c r="BJ11" s="135">
        <f t="shared" si="5"/>
        <v>0</v>
      </c>
      <c r="BK11" s="135">
        <f t="shared" si="5"/>
        <v>0</v>
      </c>
      <c r="BL11" s="135">
        <f t="shared" si="5"/>
        <v>0</v>
      </c>
      <c r="BM11" s="135">
        <f t="shared" si="5"/>
        <v>0</v>
      </c>
      <c r="BN11" s="135">
        <f t="shared" si="5"/>
        <v>0</v>
      </c>
      <c r="BO11" s="135">
        <f t="shared" si="5"/>
        <v>0</v>
      </c>
      <c r="BP11" s="135">
        <f t="shared" si="5"/>
        <v>0</v>
      </c>
      <c r="BQ11" s="135">
        <f t="shared" si="5"/>
        <v>0</v>
      </c>
      <c r="BR11" s="135">
        <f t="shared" si="5"/>
        <v>0</v>
      </c>
      <c r="BS11" s="135">
        <f t="shared" si="5"/>
        <v>0</v>
      </c>
      <c r="BT11" s="135">
        <f t="shared" si="5"/>
        <v>0</v>
      </c>
      <c r="BU11" s="135">
        <f t="shared" si="5"/>
        <v>0</v>
      </c>
      <c r="BV11" s="136">
        <f t="shared" si="12"/>
        <v>0</v>
      </c>
      <c r="BW11" s="240">
        <v>0</v>
      </c>
      <c r="BX11" s="135">
        <f t="shared" si="6"/>
        <v>0</v>
      </c>
      <c r="BY11" s="135">
        <f t="shared" si="6"/>
        <v>0</v>
      </c>
      <c r="BZ11" s="135">
        <f t="shared" si="6"/>
        <v>0</v>
      </c>
      <c r="CA11" s="135">
        <f t="shared" si="6"/>
        <v>0</v>
      </c>
      <c r="CB11" s="135">
        <f t="shared" si="6"/>
        <v>0</v>
      </c>
      <c r="CC11" s="135">
        <f t="shared" si="6"/>
        <v>0</v>
      </c>
      <c r="CD11" s="135">
        <f t="shared" si="6"/>
        <v>0</v>
      </c>
      <c r="CE11" s="135">
        <f t="shared" si="6"/>
        <v>0</v>
      </c>
      <c r="CF11" s="135">
        <f t="shared" si="6"/>
        <v>0</v>
      </c>
      <c r="CG11" s="135">
        <f t="shared" si="6"/>
        <v>0</v>
      </c>
      <c r="CH11" s="135">
        <f t="shared" si="6"/>
        <v>0</v>
      </c>
      <c r="CI11" s="135">
        <f t="shared" si="6"/>
        <v>0</v>
      </c>
      <c r="CJ11" s="136">
        <f t="shared" si="13"/>
        <v>0</v>
      </c>
      <c r="CK11" s="240">
        <v>0</v>
      </c>
      <c r="CL11" s="135">
        <f t="shared" si="7"/>
        <v>0</v>
      </c>
      <c r="CM11" s="135">
        <f t="shared" si="7"/>
        <v>0</v>
      </c>
      <c r="CN11" s="135">
        <f t="shared" si="7"/>
        <v>0</v>
      </c>
      <c r="CO11" s="135">
        <f t="shared" si="7"/>
        <v>0</v>
      </c>
      <c r="CP11" s="135">
        <f t="shared" si="7"/>
        <v>0</v>
      </c>
      <c r="CQ11" s="135">
        <f t="shared" si="7"/>
        <v>0</v>
      </c>
      <c r="CR11" s="135">
        <f t="shared" si="7"/>
        <v>0</v>
      </c>
      <c r="CS11" s="135">
        <f t="shared" si="7"/>
        <v>0</v>
      </c>
      <c r="CT11" s="135">
        <f t="shared" si="7"/>
        <v>0</v>
      </c>
      <c r="CU11" s="135">
        <f t="shared" si="7"/>
        <v>0</v>
      </c>
      <c r="CV11" s="135">
        <f t="shared" si="7"/>
        <v>0</v>
      </c>
      <c r="CW11" s="135">
        <f t="shared" si="7"/>
        <v>0</v>
      </c>
      <c r="CX11" s="136">
        <f t="shared" si="14"/>
        <v>0</v>
      </c>
    </row>
    <row r="12" spans="1:102" s="133" customFormat="1" ht="15" customHeight="1">
      <c r="A12" s="644" t="s">
        <v>525</v>
      </c>
      <c r="B12" s="652">
        <v>1</v>
      </c>
      <c r="C12" s="240">
        <v>4800</v>
      </c>
      <c r="D12" s="133">
        <f t="shared" si="0"/>
        <v>1500</v>
      </c>
      <c r="E12" s="134"/>
      <c r="F12" s="135">
        <f t="shared" si="1"/>
        <v>1500</v>
      </c>
      <c r="G12" s="135">
        <f t="shared" si="1"/>
        <v>1500</v>
      </c>
      <c r="H12" s="135">
        <f t="shared" si="1"/>
        <v>1500</v>
      </c>
      <c r="I12" s="135">
        <f t="shared" si="1"/>
        <v>1500</v>
      </c>
      <c r="J12" s="135">
        <f t="shared" si="1"/>
        <v>1500</v>
      </c>
      <c r="K12" s="135">
        <f t="shared" si="1"/>
        <v>1500</v>
      </c>
      <c r="L12" s="135">
        <f t="shared" si="1"/>
        <v>1500</v>
      </c>
      <c r="M12" s="135">
        <f t="shared" si="1"/>
        <v>1500</v>
      </c>
      <c r="N12" s="135">
        <f t="shared" si="1"/>
        <v>1500</v>
      </c>
      <c r="O12" s="135">
        <f t="shared" si="1"/>
        <v>1500</v>
      </c>
      <c r="P12" s="135">
        <f t="shared" si="1"/>
        <v>1500</v>
      </c>
      <c r="Q12" s="135">
        <f t="shared" si="1"/>
        <v>1500</v>
      </c>
      <c r="R12" s="136">
        <f t="shared" si="8"/>
        <v>18000</v>
      </c>
      <c r="S12" s="240"/>
      <c r="T12" s="135">
        <f t="shared" si="2"/>
        <v>0</v>
      </c>
      <c r="U12" s="135">
        <f t="shared" si="2"/>
        <v>0</v>
      </c>
      <c r="V12" s="135">
        <f t="shared" si="2"/>
        <v>0</v>
      </c>
      <c r="W12" s="135">
        <f t="shared" si="2"/>
        <v>0</v>
      </c>
      <c r="X12" s="135">
        <f t="shared" si="2"/>
        <v>0</v>
      </c>
      <c r="Y12" s="135">
        <f t="shared" si="2"/>
        <v>0</v>
      </c>
      <c r="Z12" s="135">
        <f t="shared" si="2"/>
        <v>0</v>
      </c>
      <c r="AA12" s="135">
        <f t="shared" si="2"/>
        <v>0</v>
      </c>
      <c r="AB12" s="135">
        <f t="shared" si="2"/>
        <v>0</v>
      </c>
      <c r="AC12" s="135">
        <f t="shared" si="2"/>
        <v>0</v>
      </c>
      <c r="AD12" s="135">
        <f t="shared" si="2"/>
        <v>0</v>
      </c>
      <c r="AE12" s="135">
        <f t="shared" si="2"/>
        <v>0</v>
      </c>
      <c r="AF12" s="136">
        <f t="shared" si="9"/>
        <v>0</v>
      </c>
      <c r="AG12" s="240"/>
      <c r="AH12" s="135">
        <f t="shared" si="3"/>
        <v>0</v>
      </c>
      <c r="AI12" s="135">
        <f t="shared" si="3"/>
        <v>0</v>
      </c>
      <c r="AJ12" s="135">
        <f t="shared" si="3"/>
        <v>0</v>
      </c>
      <c r="AK12" s="135">
        <f t="shared" si="3"/>
        <v>0</v>
      </c>
      <c r="AL12" s="135">
        <f t="shared" si="3"/>
        <v>0</v>
      </c>
      <c r="AM12" s="135">
        <f t="shared" si="3"/>
        <v>0</v>
      </c>
      <c r="AN12" s="135">
        <f t="shared" si="3"/>
        <v>0</v>
      </c>
      <c r="AO12" s="135">
        <f t="shared" si="3"/>
        <v>0</v>
      </c>
      <c r="AP12" s="135">
        <f t="shared" si="3"/>
        <v>0</v>
      </c>
      <c r="AQ12" s="135">
        <f t="shared" si="3"/>
        <v>0</v>
      </c>
      <c r="AR12" s="135">
        <f t="shared" si="3"/>
        <v>0</v>
      </c>
      <c r="AS12" s="135">
        <f t="shared" si="3"/>
        <v>0</v>
      </c>
      <c r="AT12" s="136">
        <f t="shared" si="10"/>
        <v>0</v>
      </c>
      <c r="AU12" s="240"/>
      <c r="AV12" s="135">
        <f t="shared" si="4"/>
        <v>0</v>
      </c>
      <c r="AW12" s="135">
        <f t="shared" si="4"/>
        <v>0</v>
      </c>
      <c r="AX12" s="135">
        <f t="shared" si="4"/>
        <v>0</v>
      </c>
      <c r="AY12" s="135">
        <f t="shared" si="4"/>
        <v>0</v>
      </c>
      <c r="AZ12" s="135">
        <f t="shared" si="4"/>
        <v>0</v>
      </c>
      <c r="BA12" s="135">
        <f t="shared" si="4"/>
        <v>0</v>
      </c>
      <c r="BB12" s="135">
        <f t="shared" si="4"/>
        <v>0</v>
      </c>
      <c r="BC12" s="135">
        <f t="shared" si="4"/>
        <v>0</v>
      </c>
      <c r="BD12" s="135">
        <f t="shared" si="4"/>
        <v>0</v>
      </c>
      <c r="BE12" s="135">
        <f t="shared" si="4"/>
        <v>0</v>
      </c>
      <c r="BF12" s="135">
        <f t="shared" si="4"/>
        <v>0</v>
      </c>
      <c r="BG12" s="135">
        <f t="shared" si="4"/>
        <v>0</v>
      </c>
      <c r="BH12" s="136">
        <f t="shared" si="11"/>
        <v>0</v>
      </c>
      <c r="BI12" s="240"/>
      <c r="BJ12" s="135">
        <f t="shared" si="5"/>
        <v>0</v>
      </c>
      <c r="BK12" s="135">
        <f t="shared" si="5"/>
        <v>0</v>
      </c>
      <c r="BL12" s="135">
        <f t="shared" si="5"/>
        <v>0</v>
      </c>
      <c r="BM12" s="135">
        <f t="shared" si="5"/>
        <v>0</v>
      </c>
      <c r="BN12" s="135">
        <f t="shared" si="5"/>
        <v>0</v>
      </c>
      <c r="BO12" s="135">
        <f t="shared" si="5"/>
        <v>0</v>
      </c>
      <c r="BP12" s="135">
        <f t="shared" si="5"/>
        <v>0</v>
      </c>
      <c r="BQ12" s="135">
        <f t="shared" si="5"/>
        <v>0</v>
      </c>
      <c r="BR12" s="135">
        <f t="shared" si="5"/>
        <v>0</v>
      </c>
      <c r="BS12" s="135">
        <f t="shared" si="5"/>
        <v>0</v>
      </c>
      <c r="BT12" s="135">
        <f t="shared" si="5"/>
        <v>0</v>
      </c>
      <c r="BU12" s="135">
        <f t="shared" si="5"/>
        <v>0</v>
      </c>
      <c r="BV12" s="136">
        <f t="shared" si="12"/>
        <v>0</v>
      </c>
      <c r="BW12" s="240"/>
      <c r="BX12" s="135">
        <f t="shared" si="6"/>
        <v>0</v>
      </c>
      <c r="BY12" s="135">
        <f t="shared" si="6"/>
        <v>0</v>
      </c>
      <c r="BZ12" s="135">
        <f t="shared" si="6"/>
        <v>0</v>
      </c>
      <c r="CA12" s="135">
        <f t="shared" si="6"/>
        <v>0</v>
      </c>
      <c r="CB12" s="135">
        <f t="shared" si="6"/>
        <v>0</v>
      </c>
      <c r="CC12" s="135">
        <f t="shared" si="6"/>
        <v>0</v>
      </c>
      <c r="CD12" s="135">
        <f t="shared" si="6"/>
        <v>0</v>
      </c>
      <c r="CE12" s="135">
        <f t="shared" si="6"/>
        <v>0</v>
      </c>
      <c r="CF12" s="135">
        <f t="shared" si="6"/>
        <v>0</v>
      </c>
      <c r="CG12" s="135">
        <f t="shared" si="6"/>
        <v>0</v>
      </c>
      <c r="CH12" s="135">
        <f t="shared" si="6"/>
        <v>0</v>
      </c>
      <c r="CI12" s="135">
        <f t="shared" si="6"/>
        <v>0</v>
      </c>
      <c r="CJ12" s="136">
        <f t="shared" si="13"/>
        <v>0</v>
      </c>
      <c r="CK12" s="240"/>
      <c r="CL12" s="135">
        <f t="shared" si="7"/>
        <v>0</v>
      </c>
      <c r="CM12" s="135">
        <f t="shared" si="7"/>
        <v>0</v>
      </c>
      <c r="CN12" s="135">
        <f t="shared" si="7"/>
        <v>0</v>
      </c>
      <c r="CO12" s="135">
        <f t="shared" si="7"/>
        <v>0</v>
      </c>
      <c r="CP12" s="135">
        <f t="shared" si="7"/>
        <v>0</v>
      </c>
      <c r="CQ12" s="135">
        <f t="shared" si="7"/>
        <v>0</v>
      </c>
      <c r="CR12" s="135">
        <f t="shared" si="7"/>
        <v>0</v>
      </c>
      <c r="CS12" s="135">
        <f t="shared" si="7"/>
        <v>0</v>
      </c>
      <c r="CT12" s="135">
        <f t="shared" si="7"/>
        <v>0</v>
      </c>
      <c r="CU12" s="135">
        <f t="shared" si="7"/>
        <v>0</v>
      </c>
      <c r="CV12" s="135">
        <f t="shared" si="7"/>
        <v>0</v>
      </c>
      <c r="CW12" s="135">
        <f t="shared" si="7"/>
        <v>0</v>
      </c>
      <c r="CX12" s="136">
        <f t="shared" si="14"/>
        <v>0</v>
      </c>
    </row>
    <row r="13" spans="1:102" s="133" customFormat="1" ht="15" customHeight="1">
      <c r="A13" s="645" t="s">
        <v>526</v>
      </c>
      <c r="B13" s="652"/>
      <c r="C13" s="240"/>
      <c r="D13" s="133">
        <f t="shared" si="0"/>
        <v>0</v>
      </c>
      <c r="E13" s="134"/>
      <c r="F13" s="135">
        <f t="shared" si="1"/>
        <v>0</v>
      </c>
      <c r="G13" s="135">
        <f t="shared" si="1"/>
        <v>0</v>
      </c>
      <c r="H13" s="135">
        <f t="shared" si="1"/>
        <v>0</v>
      </c>
      <c r="I13" s="135">
        <f t="shared" si="1"/>
        <v>0</v>
      </c>
      <c r="J13" s="135">
        <f t="shared" si="1"/>
        <v>0</v>
      </c>
      <c r="K13" s="135">
        <f t="shared" si="1"/>
        <v>0</v>
      </c>
      <c r="L13" s="135">
        <f t="shared" si="1"/>
        <v>0</v>
      </c>
      <c r="M13" s="135">
        <f t="shared" si="1"/>
        <v>0</v>
      </c>
      <c r="N13" s="135">
        <f t="shared" si="1"/>
        <v>0</v>
      </c>
      <c r="O13" s="135">
        <f t="shared" si="1"/>
        <v>0</v>
      </c>
      <c r="P13" s="135">
        <f t="shared" si="1"/>
        <v>0</v>
      </c>
      <c r="Q13" s="135">
        <f t="shared" si="1"/>
        <v>0</v>
      </c>
      <c r="R13" s="136">
        <f t="shared" si="8"/>
        <v>0</v>
      </c>
      <c r="S13" s="240"/>
      <c r="T13" s="135">
        <f t="shared" si="2"/>
        <v>0</v>
      </c>
      <c r="U13" s="135">
        <f t="shared" si="2"/>
        <v>0</v>
      </c>
      <c r="V13" s="135">
        <f t="shared" si="2"/>
        <v>0</v>
      </c>
      <c r="W13" s="135">
        <f t="shared" si="2"/>
        <v>0</v>
      </c>
      <c r="X13" s="135">
        <f t="shared" si="2"/>
        <v>0</v>
      </c>
      <c r="Y13" s="135">
        <f t="shared" si="2"/>
        <v>0</v>
      </c>
      <c r="Z13" s="135">
        <f t="shared" si="2"/>
        <v>0</v>
      </c>
      <c r="AA13" s="135">
        <f t="shared" si="2"/>
        <v>0</v>
      </c>
      <c r="AB13" s="135">
        <f t="shared" si="2"/>
        <v>0</v>
      </c>
      <c r="AC13" s="135">
        <f t="shared" si="2"/>
        <v>0</v>
      </c>
      <c r="AD13" s="135">
        <f t="shared" si="2"/>
        <v>0</v>
      </c>
      <c r="AE13" s="135">
        <f t="shared" si="2"/>
        <v>0</v>
      </c>
      <c r="AF13" s="136">
        <f t="shared" si="9"/>
        <v>0</v>
      </c>
      <c r="AG13" s="240"/>
      <c r="AH13" s="135">
        <f t="shared" si="3"/>
        <v>0</v>
      </c>
      <c r="AI13" s="135">
        <f t="shared" si="3"/>
        <v>0</v>
      </c>
      <c r="AJ13" s="135">
        <f t="shared" si="3"/>
        <v>0</v>
      </c>
      <c r="AK13" s="135">
        <f t="shared" si="3"/>
        <v>0</v>
      </c>
      <c r="AL13" s="135">
        <f t="shared" si="3"/>
        <v>0</v>
      </c>
      <c r="AM13" s="135">
        <f t="shared" si="3"/>
        <v>0</v>
      </c>
      <c r="AN13" s="135">
        <f t="shared" si="3"/>
        <v>0</v>
      </c>
      <c r="AO13" s="135">
        <f t="shared" si="3"/>
        <v>0</v>
      </c>
      <c r="AP13" s="135">
        <f t="shared" si="3"/>
        <v>0</v>
      </c>
      <c r="AQ13" s="135">
        <f t="shared" si="3"/>
        <v>0</v>
      </c>
      <c r="AR13" s="135">
        <f t="shared" si="3"/>
        <v>0</v>
      </c>
      <c r="AS13" s="135">
        <f t="shared" si="3"/>
        <v>0</v>
      </c>
      <c r="AT13" s="136">
        <f t="shared" si="10"/>
        <v>0</v>
      </c>
      <c r="AU13" s="240"/>
      <c r="AV13" s="135">
        <f t="shared" si="4"/>
        <v>0</v>
      </c>
      <c r="AW13" s="135">
        <f t="shared" si="4"/>
        <v>0</v>
      </c>
      <c r="AX13" s="135">
        <f t="shared" si="4"/>
        <v>0</v>
      </c>
      <c r="AY13" s="135">
        <f t="shared" si="4"/>
        <v>0</v>
      </c>
      <c r="AZ13" s="135">
        <f t="shared" si="4"/>
        <v>0</v>
      </c>
      <c r="BA13" s="135">
        <f t="shared" si="4"/>
        <v>0</v>
      </c>
      <c r="BB13" s="135">
        <f t="shared" si="4"/>
        <v>0</v>
      </c>
      <c r="BC13" s="135">
        <f t="shared" si="4"/>
        <v>0</v>
      </c>
      <c r="BD13" s="135">
        <f t="shared" si="4"/>
        <v>0</v>
      </c>
      <c r="BE13" s="135">
        <f t="shared" si="4"/>
        <v>0</v>
      </c>
      <c r="BF13" s="135">
        <f t="shared" si="4"/>
        <v>0</v>
      </c>
      <c r="BG13" s="135">
        <f t="shared" si="4"/>
        <v>0</v>
      </c>
      <c r="BH13" s="136">
        <f t="shared" si="11"/>
        <v>0</v>
      </c>
      <c r="BI13" s="240"/>
      <c r="BJ13" s="135">
        <f t="shared" si="5"/>
        <v>0</v>
      </c>
      <c r="BK13" s="135">
        <f t="shared" si="5"/>
        <v>0</v>
      </c>
      <c r="BL13" s="135">
        <f t="shared" si="5"/>
        <v>0</v>
      </c>
      <c r="BM13" s="135">
        <f t="shared" si="5"/>
        <v>0</v>
      </c>
      <c r="BN13" s="135">
        <f t="shared" si="5"/>
        <v>0</v>
      </c>
      <c r="BO13" s="135">
        <f t="shared" si="5"/>
        <v>0</v>
      </c>
      <c r="BP13" s="135">
        <f t="shared" si="5"/>
        <v>0</v>
      </c>
      <c r="BQ13" s="135">
        <f t="shared" si="5"/>
        <v>0</v>
      </c>
      <c r="BR13" s="135">
        <f t="shared" si="5"/>
        <v>0</v>
      </c>
      <c r="BS13" s="135">
        <f t="shared" si="5"/>
        <v>0</v>
      </c>
      <c r="BT13" s="135">
        <f t="shared" si="5"/>
        <v>0</v>
      </c>
      <c r="BU13" s="135">
        <f t="shared" si="5"/>
        <v>0</v>
      </c>
      <c r="BV13" s="136">
        <f t="shared" si="12"/>
        <v>0</v>
      </c>
      <c r="BW13" s="240"/>
      <c r="BX13" s="135">
        <f t="shared" si="6"/>
        <v>0</v>
      </c>
      <c r="BY13" s="135">
        <f t="shared" si="6"/>
        <v>0</v>
      </c>
      <c r="BZ13" s="135">
        <f t="shared" si="6"/>
        <v>0</v>
      </c>
      <c r="CA13" s="135">
        <f t="shared" si="6"/>
        <v>0</v>
      </c>
      <c r="CB13" s="135">
        <f t="shared" si="6"/>
        <v>0</v>
      </c>
      <c r="CC13" s="135">
        <f t="shared" si="6"/>
        <v>0</v>
      </c>
      <c r="CD13" s="135">
        <f t="shared" si="6"/>
        <v>0</v>
      </c>
      <c r="CE13" s="135">
        <f t="shared" si="6"/>
        <v>0</v>
      </c>
      <c r="CF13" s="135">
        <f t="shared" si="6"/>
        <v>0</v>
      </c>
      <c r="CG13" s="135">
        <f t="shared" si="6"/>
        <v>0</v>
      </c>
      <c r="CH13" s="135">
        <f t="shared" si="6"/>
        <v>0</v>
      </c>
      <c r="CI13" s="135">
        <f t="shared" si="6"/>
        <v>0</v>
      </c>
      <c r="CJ13" s="136">
        <f t="shared" si="13"/>
        <v>0</v>
      </c>
      <c r="CK13" s="240"/>
      <c r="CL13" s="135">
        <f t="shared" si="7"/>
        <v>0</v>
      </c>
      <c r="CM13" s="135">
        <f t="shared" si="7"/>
        <v>0</v>
      </c>
      <c r="CN13" s="135">
        <f t="shared" si="7"/>
        <v>0</v>
      </c>
      <c r="CO13" s="135">
        <f t="shared" si="7"/>
        <v>0</v>
      </c>
      <c r="CP13" s="135">
        <f t="shared" si="7"/>
        <v>0</v>
      </c>
      <c r="CQ13" s="135">
        <f t="shared" si="7"/>
        <v>0</v>
      </c>
      <c r="CR13" s="135">
        <f t="shared" si="7"/>
        <v>0</v>
      </c>
      <c r="CS13" s="135">
        <f t="shared" si="7"/>
        <v>0</v>
      </c>
      <c r="CT13" s="135">
        <f t="shared" si="7"/>
        <v>0</v>
      </c>
      <c r="CU13" s="135">
        <f t="shared" si="7"/>
        <v>0</v>
      </c>
      <c r="CV13" s="135">
        <f t="shared" si="7"/>
        <v>0</v>
      </c>
      <c r="CW13" s="135">
        <f t="shared" si="7"/>
        <v>0</v>
      </c>
      <c r="CX13" s="136">
        <f t="shared" si="14"/>
        <v>0</v>
      </c>
    </row>
    <row r="14" spans="1:102" s="133" customFormat="1" ht="15" customHeight="1">
      <c r="A14" s="644" t="s">
        <v>527</v>
      </c>
      <c r="B14" s="652">
        <v>1</v>
      </c>
      <c r="C14" s="240">
        <v>6400</v>
      </c>
      <c r="D14" s="133">
        <f t="shared" si="0"/>
        <v>2000</v>
      </c>
      <c r="E14" s="134"/>
      <c r="F14" s="135">
        <f t="shared" si="1"/>
        <v>2000</v>
      </c>
      <c r="G14" s="135">
        <f t="shared" si="1"/>
        <v>2000</v>
      </c>
      <c r="H14" s="135">
        <f t="shared" si="1"/>
        <v>2000</v>
      </c>
      <c r="I14" s="135">
        <f t="shared" si="1"/>
        <v>2000</v>
      </c>
      <c r="J14" s="135">
        <f t="shared" si="1"/>
        <v>2000</v>
      </c>
      <c r="K14" s="135">
        <f t="shared" si="1"/>
        <v>2000</v>
      </c>
      <c r="L14" s="135">
        <f t="shared" si="1"/>
        <v>2000</v>
      </c>
      <c r="M14" s="135">
        <f t="shared" si="1"/>
        <v>2000</v>
      </c>
      <c r="N14" s="135">
        <f t="shared" si="1"/>
        <v>2000</v>
      </c>
      <c r="O14" s="135">
        <f t="shared" si="1"/>
        <v>2000</v>
      </c>
      <c r="P14" s="135">
        <f t="shared" si="1"/>
        <v>2000</v>
      </c>
      <c r="Q14" s="135">
        <f t="shared" si="1"/>
        <v>2000</v>
      </c>
      <c r="R14" s="136">
        <f t="shared" si="8"/>
        <v>24000</v>
      </c>
      <c r="S14" s="240"/>
      <c r="T14" s="135">
        <f t="shared" si="2"/>
        <v>0</v>
      </c>
      <c r="U14" s="135">
        <f t="shared" si="2"/>
        <v>0</v>
      </c>
      <c r="V14" s="135">
        <f t="shared" si="2"/>
        <v>0</v>
      </c>
      <c r="W14" s="135">
        <f t="shared" si="2"/>
        <v>0</v>
      </c>
      <c r="X14" s="135">
        <f t="shared" si="2"/>
        <v>0</v>
      </c>
      <c r="Y14" s="135">
        <f t="shared" si="2"/>
        <v>0</v>
      </c>
      <c r="Z14" s="135">
        <f t="shared" si="2"/>
        <v>0</v>
      </c>
      <c r="AA14" s="135">
        <f t="shared" si="2"/>
        <v>0</v>
      </c>
      <c r="AB14" s="135">
        <f t="shared" si="2"/>
        <v>0</v>
      </c>
      <c r="AC14" s="135">
        <f t="shared" si="2"/>
        <v>0</v>
      </c>
      <c r="AD14" s="135">
        <f t="shared" si="2"/>
        <v>0</v>
      </c>
      <c r="AE14" s="135">
        <f t="shared" si="2"/>
        <v>0</v>
      </c>
      <c r="AF14" s="136">
        <f t="shared" si="9"/>
        <v>0</v>
      </c>
      <c r="AG14" s="240"/>
      <c r="AH14" s="135">
        <f t="shared" si="3"/>
        <v>0</v>
      </c>
      <c r="AI14" s="135">
        <f t="shared" si="3"/>
        <v>0</v>
      </c>
      <c r="AJ14" s="135">
        <f t="shared" si="3"/>
        <v>0</v>
      </c>
      <c r="AK14" s="135">
        <f t="shared" si="3"/>
        <v>0</v>
      </c>
      <c r="AL14" s="135">
        <f t="shared" si="3"/>
        <v>0</v>
      </c>
      <c r="AM14" s="135">
        <f t="shared" si="3"/>
        <v>0</v>
      </c>
      <c r="AN14" s="135">
        <f t="shared" si="3"/>
        <v>0</v>
      </c>
      <c r="AO14" s="135">
        <f t="shared" si="3"/>
        <v>0</v>
      </c>
      <c r="AP14" s="135">
        <f t="shared" si="3"/>
        <v>0</v>
      </c>
      <c r="AQ14" s="135">
        <f t="shared" si="3"/>
        <v>0</v>
      </c>
      <c r="AR14" s="135">
        <f t="shared" si="3"/>
        <v>0</v>
      </c>
      <c r="AS14" s="135">
        <f t="shared" si="3"/>
        <v>0</v>
      </c>
      <c r="AT14" s="136">
        <f t="shared" si="10"/>
        <v>0</v>
      </c>
      <c r="AU14" s="240"/>
      <c r="AV14" s="135">
        <f t="shared" si="4"/>
        <v>0</v>
      </c>
      <c r="AW14" s="135">
        <f t="shared" si="4"/>
        <v>0</v>
      </c>
      <c r="AX14" s="135">
        <f t="shared" si="4"/>
        <v>0</v>
      </c>
      <c r="AY14" s="135">
        <f t="shared" si="4"/>
        <v>0</v>
      </c>
      <c r="AZ14" s="135">
        <f t="shared" si="4"/>
        <v>0</v>
      </c>
      <c r="BA14" s="135">
        <f t="shared" si="4"/>
        <v>0</v>
      </c>
      <c r="BB14" s="135">
        <f t="shared" si="4"/>
        <v>0</v>
      </c>
      <c r="BC14" s="135">
        <f t="shared" si="4"/>
        <v>0</v>
      </c>
      <c r="BD14" s="135">
        <f t="shared" si="4"/>
        <v>0</v>
      </c>
      <c r="BE14" s="135">
        <f t="shared" si="4"/>
        <v>0</v>
      </c>
      <c r="BF14" s="135">
        <f t="shared" si="4"/>
        <v>0</v>
      </c>
      <c r="BG14" s="135">
        <f t="shared" si="4"/>
        <v>0</v>
      </c>
      <c r="BH14" s="136">
        <f t="shared" si="11"/>
        <v>0</v>
      </c>
      <c r="BI14" s="240"/>
      <c r="BJ14" s="135">
        <f t="shared" si="5"/>
        <v>0</v>
      </c>
      <c r="BK14" s="135">
        <f t="shared" si="5"/>
        <v>0</v>
      </c>
      <c r="BL14" s="135">
        <f t="shared" si="5"/>
        <v>0</v>
      </c>
      <c r="BM14" s="135">
        <f t="shared" si="5"/>
        <v>0</v>
      </c>
      <c r="BN14" s="135">
        <f t="shared" si="5"/>
        <v>0</v>
      </c>
      <c r="BO14" s="135">
        <f t="shared" si="5"/>
        <v>0</v>
      </c>
      <c r="BP14" s="135">
        <f t="shared" si="5"/>
        <v>0</v>
      </c>
      <c r="BQ14" s="135">
        <f t="shared" si="5"/>
        <v>0</v>
      </c>
      <c r="BR14" s="135">
        <f t="shared" si="5"/>
        <v>0</v>
      </c>
      <c r="BS14" s="135">
        <f t="shared" si="5"/>
        <v>0</v>
      </c>
      <c r="BT14" s="135">
        <f t="shared" si="5"/>
        <v>0</v>
      </c>
      <c r="BU14" s="135">
        <f t="shared" si="5"/>
        <v>0</v>
      </c>
      <c r="BV14" s="136">
        <f t="shared" si="12"/>
        <v>0</v>
      </c>
      <c r="BW14" s="240"/>
      <c r="BX14" s="135">
        <f t="shared" si="6"/>
        <v>0</v>
      </c>
      <c r="BY14" s="135">
        <f t="shared" si="6"/>
        <v>0</v>
      </c>
      <c r="BZ14" s="135">
        <f t="shared" si="6"/>
        <v>0</v>
      </c>
      <c r="CA14" s="135">
        <f t="shared" si="6"/>
        <v>0</v>
      </c>
      <c r="CB14" s="135">
        <f t="shared" si="6"/>
        <v>0</v>
      </c>
      <c r="CC14" s="135">
        <f t="shared" si="6"/>
        <v>0</v>
      </c>
      <c r="CD14" s="135">
        <f t="shared" si="6"/>
        <v>0</v>
      </c>
      <c r="CE14" s="135">
        <f t="shared" si="6"/>
        <v>0</v>
      </c>
      <c r="CF14" s="135">
        <f t="shared" si="6"/>
        <v>0</v>
      </c>
      <c r="CG14" s="135">
        <f t="shared" si="6"/>
        <v>0</v>
      </c>
      <c r="CH14" s="135">
        <f t="shared" si="6"/>
        <v>0</v>
      </c>
      <c r="CI14" s="135">
        <f t="shared" si="6"/>
        <v>0</v>
      </c>
      <c r="CJ14" s="136">
        <f t="shared" si="13"/>
        <v>0</v>
      </c>
      <c r="CK14" s="240"/>
      <c r="CL14" s="135">
        <f t="shared" si="7"/>
        <v>0</v>
      </c>
      <c r="CM14" s="135">
        <f t="shared" si="7"/>
        <v>0</v>
      </c>
      <c r="CN14" s="135">
        <f t="shared" si="7"/>
        <v>0</v>
      </c>
      <c r="CO14" s="135">
        <f t="shared" si="7"/>
        <v>0</v>
      </c>
      <c r="CP14" s="135">
        <f t="shared" si="7"/>
        <v>0</v>
      </c>
      <c r="CQ14" s="135">
        <f t="shared" si="7"/>
        <v>0</v>
      </c>
      <c r="CR14" s="135">
        <f t="shared" si="7"/>
        <v>0</v>
      </c>
      <c r="CS14" s="135">
        <f t="shared" si="7"/>
        <v>0</v>
      </c>
      <c r="CT14" s="135">
        <f t="shared" si="7"/>
        <v>0</v>
      </c>
      <c r="CU14" s="135">
        <f t="shared" si="7"/>
        <v>0</v>
      </c>
      <c r="CV14" s="135">
        <f t="shared" si="7"/>
        <v>0</v>
      </c>
      <c r="CW14" s="135">
        <f t="shared" si="7"/>
        <v>0</v>
      </c>
      <c r="CX14" s="136">
        <f t="shared" si="14"/>
        <v>0</v>
      </c>
    </row>
    <row r="15" spans="1:102" s="133" customFormat="1" ht="15" customHeight="1">
      <c r="A15" s="644" t="s">
        <v>528</v>
      </c>
      <c r="B15" s="652">
        <v>1</v>
      </c>
      <c r="C15" s="240">
        <v>6400</v>
      </c>
      <c r="D15" s="133">
        <f t="shared" si="0"/>
        <v>2000</v>
      </c>
      <c r="E15" s="134"/>
      <c r="F15" s="135">
        <f t="shared" si="1"/>
        <v>2000</v>
      </c>
      <c r="G15" s="135">
        <f t="shared" si="1"/>
        <v>2000</v>
      </c>
      <c r="H15" s="135">
        <f t="shared" si="1"/>
        <v>2000</v>
      </c>
      <c r="I15" s="135">
        <f t="shared" ref="F15:Q28" si="15">$D15</f>
        <v>2000</v>
      </c>
      <c r="J15" s="135">
        <f t="shared" si="15"/>
        <v>2000</v>
      </c>
      <c r="K15" s="135">
        <f t="shared" si="15"/>
        <v>2000</v>
      </c>
      <c r="L15" s="135">
        <f t="shared" si="15"/>
        <v>2000</v>
      </c>
      <c r="M15" s="135">
        <f t="shared" si="15"/>
        <v>2000</v>
      </c>
      <c r="N15" s="135">
        <f t="shared" si="15"/>
        <v>2000</v>
      </c>
      <c r="O15" s="135">
        <f t="shared" si="15"/>
        <v>2000</v>
      </c>
      <c r="P15" s="135">
        <f t="shared" si="15"/>
        <v>2000</v>
      </c>
      <c r="Q15" s="135">
        <f t="shared" si="15"/>
        <v>2000</v>
      </c>
      <c r="R15" s="136">
        <f t="shared" si="8"/>
        <v>24000</v>
      </c>
      <c r="S15" s="240"/>
      <c r="T15" s="135">
        <f t="shared" si="2"/>
        <v>0</v>
      </c>
      <c r="U15" s="135">
        <f t="shared" si="2"/>
        <v>0</v>
      </c>
      <c r="V15" s="135">
        <f t="shared" si="2"/>
        <v>0</v>
      </c>
      <c r="W15" s="135">
        <f t="shared" si="2"/>
        <v>0</v>
      </c>
      <c r="X15" s="135">
        <f t="shared" si="2"/>
        <v>0</v>
      </c>
      <c r="Y15" s="135">
        <f t="shared" si="2"/>
        <v>0</v>
      </c>
      <c r="Z15" s="135">
        <f t="shared" si="2"/>
        <v>0</v>
      </c>
      <c r="AA15" s="135">
        <f t="shared" si="2"/>
        <v>0</v>
      </c>
      <c r="AB15" s="135">
        <f t="shared" si="2"/>
        <v>0</v>
      </c>
      <c r="AC15" s="135">
        <f t="shared" si="2"/>
        <v>0</v>
      </c>
      <c r="AD15" s="135">
        <f t="shared" si="2"/>
        <v>0</v>
      </c>
      <c r="AE15" s="135">
        <f t="shared" si="2"/>
        <v>0</v>
      </c>
      <c r="AF15" s="136">
        <f t="shared" si="9"/>
        <v>0</v>
      </c>
      <c r="AG15" s="240"/>
      <c r="AH15" s="135">
        <f t="shared" si="3"/>
        <v>0</v>
      </c>
      <c r="AI15" s="135">
        <f t="shared" si="3"/>
        <v>0</v>
      </c>
      <c r="AJ15" s="135">
        <f t="shared" si="3"/>
        <v>0</v>
      </c>
      <c r="AK15" s="135">
        <f t="shared" si="3"/>
        <v>0</v>
      </c>
      <c r="AL15" s="135">
        <f t="shared" si="3"/>
        <v>0</v>
      </c>
      <c r="AM15" s="135">
        <f t="shared" si="3"/>
        <v>0</v>
      </c>
      <c r="AN15" s="135">
        <f t="shared" si="3"/>
        <v>0</v>
      </c>
      <c r="AO15" s="135">
        <f t="shared" si="3"/>
        <v>0</v>
      </c>
      <c r="AP15" s="135">
        <f t="shared" si="3"/>
        <v>0</v>
      </c>
      <c r="AQ15" s="135">
        <f t="shared" si="3"/>
        <v>0</v>
      </c>
      <c r="AR15" s="135">
        <f t="shared" si="3"/>
        <v>0</v>
      </c>
      <c r="AS15" s="135">
        <f t="shared" si="3"/>
        <v>0</v>
      </c>
      <c r="AT15" s="136">
        <f t="shared" si="10"/>
        <v>0</v>
      </c>
      <c r="AU15" s="240"/>
      <c r="AV15" s="135">
        <f t="shared" si="4"/>
        <v>0</v>
      </c>
      <c r="AW15" s="135">
        <f t="shared" si="4"/>
        <v>0</v>
      </c>
      <c r="AX15" s="135">
        <f t="shared" si="4"/>
        <v>0</v>
      </c>
      <c r="AY15" s="135">
        <f t="shared" si="4"/>
        <v>0</v>
      </c>
      <c r="AZ15" s="135">
        <f t="shared" si="4"/>
        <v>0</v>
      </c>
      <c r="BA15" s="135">
        <f t="shared" si="4"/>
        <v>0</v>
      </c>
      <c r="BB15" s="135">
        <f t="shared" si="4"/>
        <v>0</v>
      </c>
      <c r="BC15" s="135">
        <f t="shared" si="4"/>
        <v>0</v>
      </c>
      <c r="BD15" s="135">
        <f t="shared" si="4"/>
        <v>0</v>
      </c>
      <c r="BE15" s="135">
        <f t="shared" si="4"/>
        <v>0</v>
      </c>
      <c r="BF15" s="135">
        <f t="shared" si="4"/>
        <v>0</v>
      </c>
      <c r="BG15" s="135">
        <f t="shared" si="4"/>
        <v>0</v>
      </c>
      <c r="BH15" s="136">
        <f t="shared" si="11"/>
        <v>0</v>
      </c>
      <c r="BI15" s="240"/>
      <c r="BJ15" s="135">
        <f t="shared" si="5"/>
        <v>0</v>
      </c>
      <c r="BK15" s="135">
        <f t="shared" si="5"/>
        <v>0</v>
      </c>
      <c r="BL15" s="135">
        <f t="shared" si="5"/>
        <v>0</v>
      </c>
      <c r="BM15" s="135">
        <f t="shared" si="5"/>
        <v>0</v>
      </c>
      <c r="BN15" s="135">
        <f t="shared" si="5"/>
        <v>0</v>
      </c>
      <c r="BO15" s="135">
        <f t="shared" si="5"/>
        <v>0</v>
      </c>
      <c r="BP15" s="135">
        <f t="shared" si="5"/>
        <v>0</v>
      </c>
      <c r="BQ15" s="135">
        <f t="shared" si="5"/>
        <v>0</v>
      </c>
      <c r="BR15" s="135">
        <f t="shared" si="5"/>
        <v>0</v>
      </c>
      <c r="BS15" s="135">
        <f t="shared" si="5"/>
        <v>0</v>
      </c>
      <c r="BT15" s="135">
        <f t="shared" si="5"/>
        <v>0</v>
      </c>
      <c r="BU15" s="135">
        <f t="shared" si="5"/>
        <v>0</v>
      </c>
      <c r="BV15" s="136">
        <f t="shared" si="12"/>
        <v>0</v>
      </c>
      <c r="BW15" s="240"/>
      <c r="BX15" s="135">
        <f t="shared" si="6"/>
        <v>0</v>
      </c>
      <c r="BY15" s="135">
        <f t="shared" si="6"/>
        <v>0</v>
      </c>
      <c r="BZ15" s="135">
        <f t="shared" si="6"/>
        <v>0</v>
      </c>
      <c r="CA15" s="135">
        <f t="shared" si="6"/>
        <v>0</v>
      </c>
      <c r="CB15" s="135">
        <f t="shared" si="6"/>
        <v>0</v>
      </c>
      <c r="CC15" s="135">
        <f t="shared" si="6"/>
        <v>0</v>
      </c>
      <c r="CD15" s="135">
        <f t="shared" si="6"/>
        <v>0</v>
      </c>
      <c r="CE15" s="135">
        <f t="shared" si="6"/>
        <v>0</v>
      </c>
      <c r="CF15" s="135">
        <f t="shared" si="6"/>
        <v>0</v>
      </c>
      <c r="CG15" s="135">
        <f t="shared" si="6"/>
        <v>0</v>
      </c>
      <c r="CH15" s="135">
        <f t="shared" si="6"/>
        <v>0</v>
      </c>
      <c r="CI15" s="135">
        <f t="shared" si="6"/>
        <v>0</v>
      </c>
      <c r="CJ15" s="136">
        <f t="shared" si="13"/>
        <v>0</v>
      </c>
      <c r="CK15" s="240"/>
      <c r="CL15" s="135">
        <f t="shared" si="7"/>
        <v>0</v>
      </c>
      <c r="CM15" s="135">
        <f t="shared" si="7"/>
        <v>0</v>
      </c>
      <c r="CN15" s="135">
        <f t="shared" si="7"/>
        <v>0</v>
      </c>
      <c r="CO15" s="135">
        <f t="shared" si="7"/>
        <v>0</v>
      </c>
      <c r="CP15" s="135">
        <f t="shared" si="7"/>
        <v>0</v>
      </c>
      <c r="CQ15" s="135">
        <f t="shared" si="7"/>
        <v>0</v>
      </c>
      <c r="CR15" s="135">
        <f t="shared" si="7"/>
        <v>0</v>
      </c>
      <c r="CS15" s="135">
        <f t="shared" si="7"/>
        <v>0</v>
      </c>
      <c r="CT15" s="135">
        <f t="shared" si="7"/>
        <v>0</v>
      </c>
      <c r="CU15" s="135">
        <f t="shared" si="7"/>
        <v>0</v>
      </c>
      <c r="CV15" s="135">
        <f t="shared" si="7"/>
        <v>0</v>
      </c>
      <c r="CW15" s="135">
        <f t="shared" si="7"/>
        <v>0</v>
      </c>
      <c r="CX15" s="136">
        <f t="shared" si="14"/>
        <v>0</v>
      </c>
    </row>
    <row r="16" spans="1:102" s="133" customFormat="1" ht="15" customHeight="1">
      <c r="A16" s="644" t="s">
        <v>529</v>
      </c>
      <c r="B16" s="652">
        <v>1</v>
      </c>
      <c r="C16" s="240">
        <v>5120</v>
      </c>
      <c r="D16" s="133">
        <f t="shared" si="0"/>
        <v>1600</v>
      </c>
      <c r="E16" s="134"/>
      <c r="F16" s="135">
        <f t="shared" si="15"/>
        <v>1600</v>
      </c>
      <c r="G16" s="135">
        <f t="shared" si="15"/>
        <v>1600</v>
      </c>
      <c r="H16" s="135">
        <f t="shared" si="15"/>
        <v>1600</v>
      </c>
      <c r="I16" s="135">
        <f t="shared" si="15"/>
        <v>1600</v>
      </c>
      <c r="J16" s="135">
        <f t="shared" si="15"/>
        <v>1600</v>
      </c>
      <c r="K16" s="135">
        <f t="shared" si="15"/>
        <v>1600</v>
      </c>
      <c r="L16" s="135">
        <f t="shared" si="15"/>
        <v>1600</v>
      </c>
      <c r="M16" s="135">
        <f t="shared" si="15"/>
        <v>1600</v>
      </c>
      <c r="N16" s="135">
        <f t="shared" si="15"/>
        <v>1600</v>
      </c>
      <c r="O16" s="135">
        <f t="shared" si="15"/>
        <v>1600</v>
      </c>
      <c r="P16" s="135">
        <f t="shared" si="15"/>
        <v>1600</v>
      </c>
      <c r="Q16" s="135">
        <f t="shared" si="15"/>
        <v>1600</v>
      </c>
      <c r="R16" s="136">
        <f t="shared" si="8"/>
        <v>19200</v>
      </c>
      <c r="S16" s="240"/>
      <c r="T16" s="135">
        <f t="shared" si="2"/>
        <v>0</v>
      </c>
      <c r="U16" s="135">
        <f t="shared" si="2"/>
        <v>0</v>
      </c>
      <c r="V16" s="135">
        <f t="shared" si="2"/>
        <v>0</v>
      </c>
      <c r="W16" s="135">
        <f t="shared" si="2"/>
        <v>0</v>
      </c>
      <c r="X16" s="135">
        <f t="shared" si="2"/>
        <v>0</v>
      </c>
      <c r="Y16" s="135">
        <f t="shared" si="2"/>
        <v>0</v>
      </c>
      <c r="Z16" s="135">
        <f t="shared" si="2"/>
        <v>0</v>
      </c>
      <c r="AA16" s="135">
        <f t="shared" si="2"/>
        <v>0</v>
      </c>
      <c r="AB16" s="135">
        <f t="shared" si="2"/>
        <v>0</v>
      </c>
      <c r="AC16" s="135">
        <f t="shared" si="2"/>
        <v>0</v>
      </c>
      <c r="AD16" s="135">
        <f t="shared" si="2"/>
        <v>0</v>
      </c>
      <c r="AE16" s="135">
        <f t="shared" si="2"/>
        <v>0</v>
      </c>
      <c r="AF16" s="136">
        <f t="shared" si="9"/>
        <v>0</v>
      </c>
      <c r="AG16" s="240"/>
      <c r="AH16" s="135">
        <f t="shared" si="3"/>
        <v>0</v>
      </c>
      <c r="AI16" s="135">
        <f t="shared" si="3"/>
        <v>0</v>
      </c>
      <c r="AJ16" s="135">
        <f t="shared" si="3"/>
        <v>0</v>
      </c>
      <c r="AK16" s="135">
        <f t="shared" si="3"/>
        <v>0</v>
      </c>
      <c r="AL16" s="135">
        <f t="shared" si="3"/>
        <v>0</v>
      </c>
      <c r="AM16" s="135">
        <f t="shared" si="3"/>
        <v>0</v>
      </c>
      <c r="AN16" s="135">
        <f t="shared" si="3"/>
        <v>0</v>
      </c>
      <c r="AO16" s="135">
        <f t="shared" si="3"/>
        <v>0</v>
      </c>
      <c r="AP16" s="135">
        <f t="shared" si="3"/>
        <v>0</v>
      </c>
      <c r="AQ16" s="135">
        <f t="shared" si="3"/>
        <v>0</v>
      </c>
      <c r="AR16" s="135">
        <f t="shared" si="3"/>
        <v>0</v>
      </c>
      <c r="AS16" s="135">
        <f t="shared" si="3"/>
        <v>0</v>
      </c>
      <c r="AT16" s="136">
        <f t="shared" si="10"/>
        <v>0</v>
      </c>
      <c r="AU16" s="240"/>
      <c r="AV16" s="135">
        <f t="shared" si="4"/>
        <v>0</v>
      </c>
      <c r="AW16" s="135">
        <f t="shared" si="4"/>
        <v>0</v>
      </c>
      <c r="AX16" s="135">
        <f t="shared" si="4"/>
        <v>0</v>
      </c>
      <c r="AY16" s="135">
        <f t="shared" si="4"/>
        <v>0</v>
      </c>
      <c r="AZ16" s="135">
        <f t="shared" si="4"/>
        <v>0</v>
      </c>
      <c r="BA16" s="135">
        <f t="shared" si="4"/>
        <v>0</v>
      </c>
      <c r="BB16" s="135">
        <f t="shared" si="4"/>
        <v>0</v>
      </c>
      <c r="BC16" s="135">
        <f t="shared" si="4"/>
        <v>0</v>
      </c>
      <c r="BD16" s="135">
        <f t="shared" si="4"/>
        <v>0</v>
      </c>
      <c r="BE16" s="135">
        <f t="shared" si="4"/>
        <v>0</v>
      </c>
      <c r="BF16" s="135">
        <f t="shared" si="4"/>
        <v>0</v>
      </c>
      <c r="BG16" s="135">
        <f t="shared" si="4"/>
        <v>0</v>
      </c>
      <c r="BH16" s="136">
        <f t="shared" si="11"/>
        <v>0</v>
      </c>
      <c r="BI16" s="240"/>
      <c r="BJ16" s="135">
        <f t="shared" si="5"/>
        <v>0</v>
      </c>
      <c r="BK16" s="135">
        <f t="shared" si="5"/>
        <v>0</v>
      </c>
      <c r="BL16" s="135">
        <f t="shared" si="5"/>
        <v>0</v>
      </c>
      <c r="BM16" s="135">
        <f t="shared" si="5"/>
        <v>0</v>
      </c>
      <c r="BN16" s="135">
        <f t="shared" si="5"/>
        <v>0</v>
      </c>
      <c r="BO16" s="135">
        <f t="shared" si="5"/>
        <v>0</v>
      </c>
      <c r="BP16" s="135">
        <f t="shared" si="5"/>
        <v>0</v>
      </c>
      <c r="BQ16" s="135">
        <f t="shared" si="5"/>
        <v>0</v>
      </c>
      <c r="BR16" s="135">
        <f t="shared" si="5"/>
        <v>0</v>
      </c>
      <c r="BS16" s="135">
        <f t="shared" si="5"/>
        <v>0</v>
      </c>
      <c r="BT16" s="135">
        <f t="shared" si="5"/>
        <v>0</v>
      </c>
      <c r="BU16" s="135">
        <f t="shared" si="5"/>
        <v>0</v>
      </c>
      <c r="BV16" s="136">
        <f t="shared" si="12"/>
        <v>0</v>
      </c>
      <c r="BW16" s="240"/>
      <c r="BX16" s="135">
        <f t="shared" si="6"/>
        <v>0</v>
      </c>
      <c r="BY16" s="135">
        <f t="shared" si="6"/>
        <v>0</v>
      </c>
      <c r="BZ16" s="135">
        <f t="shared" si="6"/>
        <v>0</v>
      </c>
      <c r="CA16" s="135">
        <f t="shared" si="6"/>
        <v>0</v>
      </c>
      <c r="CB16" s="135">
        <f t="shared" si="6"/>
        <v>0</v>
      </c>
      <c r="CC16" s="135">
        <f t="shared" si="6"/>
        <v>0</v>
      </c>
      <c r="CD16" s="135">
        <f t="shared" si="6"/>
        <v>0</v>
      </c>
      <c r="CE16" s="135">
        <f t="shared" si="6"/>
        <v>0</v>
      </c>
      <c r="CF16" s="135">
        <f t="shared" si="6"/>
        <v>0</v>
      </c>
      <c r="CG16" s="135">
        <f t="shared" si="6"/>
        <v>0</v>
      </c>
      <c r="CH16" s="135">
        <f t="shared" si="6"/>
        <v>0</v>
      </c>
      <c r="CI16" s="135">
        <f t="shared" si="6"/>
        <v>0</v>
      </c>
      <c r="CJ16" s="136">
        <f t="shared" si="13"/>
        <v>0</v>
      </c>
      <c r="CK16" s="240"/>
      <c r="CL16" s="135">
        <f t="shared" si="7"/>
        <v>0</v>
      </c>
      <c r="CM16" s="135">
        <f t="shared" si="7"/>
        <v>0</v>
      </c>
      <c r="CN16" s="135">
        <f t="shared" si="7"/>
        <v>0</v>
      </c>
      <c r="CO16" s="135">
        <f t="shared" si="7"/>
        <v>0</v>
      </c>
      <c r="CP16" s="135">
        <f t="shared" si="7"/>
        <v>0</v>
      </c>
      <c r="CQ16" s="135">
        <f t="shared" si="7"/>
        <v>0</v>
      </c>
      <c r="CR16" s="135">
        <f t="shared" si="7"/>
        <v>0</v>
      </c>
      <c r="CS16" s="135">
        <f t="shared" si="7"/>
        <v>0</v>
      </c>
      <c r="CT16" s="135">
        <f t="shared" si="7"/>
        <v>0</v>
      </c>
      <c r="CU16" s="135">
        <f t="shared" si="7"/>
        <v>0</v>
      </c>
      <c r="CV16" s="135">
        <f t="shared" si="7"/>
        <v>0</v>
      </c>
      <c r="CW16" s="135">
        <f t="shared" si="7"/>
        <v>0</v>
      </c>
      <c r="CX16" s="136">
        <f t="shared" si="14"/>
        <v>0</v>
      </c>
    </row>
    <row r="17" spans="1:102" s="133" customFormat="1" ht="15" customHeight="1">
      <c r="A17" s="645" t="s">
        <v>530</v>
      </c>
      <c r="B17" s="652"/>
      <c r="C17" s="240"/>
      <c r="D17" s="133">
        <f t="shared" si="0"/>
        <v>0</v>
      </c>
      <c r="E17" s="134"/>
      <c r="F17" s="135">
        <f t="shared" si="15"/>
        <v>0</v>
      </c>
      <c r="G17" s="135">
        <f t="shared" si="15"/>
        <v>0</v>
      </c>
      <c r="H17" s="135">
        <f t="shared" si="15"/>
        <v>0</v>
      </c>
      <c r="I17" s="135">
        <f t="shared" si="15"/>
        <v>0</v>
      </c>
      <c r="J17" s="135">
        <f t="shared" si="15"/>
        <v>0</v>
      </c>
      <c r="K17" s="135">
        <f t="shared" si="15"/>
        <v>0</v>
      </c>
      <c r="L17" s="135">
        <f t="shared" si="15"/>
        <v>0</v>
      </c>
      <c r="M17" s="135">
        <f t="shared" si="15"/>
        <v>0</v>
      </c>
      <c r="N17" s="135">
        <f t="shared" si="15"/>
        <v>0</v>
      </c>
      <c r="O17" s="135">
        <f t="shared" si="15"/>
        <v>0</v>
      </c>
      <c r="P17" s="135">
        <f t="shared" si="15"/>
        <v>0</v>
      </c>
      <c r="Q17" s="135">
        <f t="shared" si="15"/>
        <v>0</v>
      </c>
      <c r="R17" s="136">
        <f t="shared" si="8"/>
        <v>0</v>
      </c>
      <c r="S17" s="240"/>
      <c r="T17" s="135">
        <f t="shared" si="2"/>
        <v>0</v>
      </c>
      <c r="U17" s="135">
        <f t="shared" si="2"/>
        <v>0</v>
      </c>
      <c r="V17" s="135">
        <f t="shared" si="2"/>
        <v>0</v>
      </c>
      <c r="W17" s="135">
        <f t="shared" si="2"/>
        <v>0</v>
      </c>
      <c r="X17" s="135">
        <f t="shared" si="2"/>
        <v>0</v>
      </c>
      <c r="Y17" s="135">
        <f t="shared" si="2"/>
        <v>0</v>
      </c>
      <c r="Z17" s="135">
        <f t="shared" si="2"/>
        <v>0</v>
      </c>
      <c r="AA17" s="135">
        <f t="shared" si="2"/>
        <v>0</v>
      </c>
      <c r="AB17" s="135">
        <f t="shared" si="2"/>
        <v>0</v>
      </c>
      <c r="AC17" s="135">
        <f t="shared" si="2"/>
        <v>0</v>
      </c>
      <c r="AD17" s="135">
        <f t="shared" si="2"/>
        <v>0</v>
      </c>
      <c r="AE17" s="135">
        <f t="shared" si="2"/>
        <v>0</v>
      </c>
      <c r="AF17" s="136">
        <f t="shared" si="9"/>
        <v>0</v>
      </c>
      <c r="AG17" s="240"/>
      <c r="AH17" s="135">
        <f t="shared" si="3"/>
        <v>0</v>
      </c>
      <c r="AI17" s="135">
        <f t="shared" si="3"/>
        <v>0</v>
      </c>
      <c r="AJ17" s="135">
        <f t="shared" si="3"/>
        <v>0</v>
      </c>
      <c r="AK17" s="135">
        <f t="shared" si="3"/>
        <v>0</v>
      </c>
      <c r="AL17" s="135">
        <f t="shared" si="3"/>
        <v>0</v>
      </c>
      <c r="AM17" s="135">
        <f t="shared" si="3"/>
        <v>0</v>
      </c>
      <c r="AN17" s="135">
        <f t="shared" si="3"/>
        <v>0</v>
      </c>
      <c r="AO17" s="135">
        <f t="shared" si="3"/>
        <v>0</v>
      </c>
      <c r="AP17" s="135">
        <f t="shared" si="3"/>
        <v>0</v>
      </c>
      <c r="AQ17" s="135">
        <f t="shared" si="3"/>
        <v>0</v>
      </c>
      <c r="AR17" s="135">
        <f t="shared" si="3"/>
        <v>0</v>
      </c>
      <c r="AS17" s="135">
        <f t="shared" si="3"/>
        <v>0</v>
      </c>
      <c r="AT17" s="136">
        <f t="shared" si="10"/>
        <v>0</v>
      </c>
      <c r="AU17" s="240"/>
      <c r="AV17" s="135">
        <f t="shared" si="4"/>
        <v>0</v>
      </c>
      <c r="AW17" s="135">
        <f t="shared" si="4"/>
        <v>0</v>
      </c>
      <c r="AX17" s="135">
        <f t="shared" si="4"/>
        <v>0</v>
      </c>
      <c r="AY17" s="135">
        <f t="shared" si="4"/>
        <v>0</v>
      </c>
      <c r="AZ17" s="135">
        <f t="shared" si="4"/>
        <v>0</v>
      </c>
      <c r="BA17" s="135">
        <f t="shared" si="4"/>
        <v>0</v>
      </c>
      <c r="BB17" s="135">
        <f t="shared" si="4"/>
        <v>0</v>
      </c>
      <c r="BC17" s="135">
        <f t="shared" si="4"/>
        <v>0</v>
      </c>
      <c r="BD17" s="135">
        <f t="shared" si="4"/>
        <v>0</v>
      </c>
      <c r="BE17" s="135">
        <f t="shared" si="4"/>
        <v>0</v>
      </c>
      <c r="BF17" s="135">
        <f t="shared" si="4"/>
        <v>0</v>
      </c>
      <c r="BG17" s="135">
        <f t="shared" si="4"/>
        <v>0</v>
      </c>
      <c r="BH17" s="136">
        <f t="shared" si="11"/>
        <v>0</v>
      </c>
      <c r="BI17" s="240"/>
      <c r="BJ17" s="135">
        <f t="shared" si="5"/>
        <v>0</v>
      </c>
      <c r="BK17" s="135">
        <f t="shared" si="5"/>
        <v>0</v>
      </c>
      <c r="BL17" s="135">
        <f t="shared" si="5"/>
        <v>0</v>
      </c>
      <c r="BM17" s="135">
        <f t="shared" si="5"/>
        <v>0</v>
      </c>
      <c r="BN17" s="135">
        <f t="shared" si="5"/>
        <v>0</v>
      </c>
      <c r="BO17" s="135">
        <f t="shared" si="5"/>
        <v>0</v>
      </c>
      <c r="BP17" s="135">
        <f t="shared" si="5"/>
        <v>0</v>
      </c>
      <c r="BQ17" s="135">
        <f t="shared" si="5"/>
        <v>0</v>
      </c>
      <c r="BR17" s="135">
        <f t="shared" si="5"/>
        <v>0</v>
      </c>
      <c r="BS17" s="135">
        <f t="shared" si="5"/>
        <v>0</v>
      </c>
      <c r="BT17" s="135">
        <f t="shared" si="5"/>
        <v>0</v>
      </c>
      <c r="BU17" s="135">
        <f t="shared" si="5"/>
        <v>0</v>
      </c>
      <c r="BV17" s="136">
        <f t="shared" si="12"/>
        <v>0</v>
      </c>
      <c r="BW17" s="240"/>
      <c r="BX17" s="135">
        <f t="shared" si="6"/>
        <v>0</v>
      </c>
      <c r="BY17" s="135">
        <f t="shared" si="6"/>
        <v>0</v>
      </c>
      <c r="BZ17" s="135">
        <f t="shared" si="6"/>
        <v>0</v>
      </c>
      <c r="CA17" s="135">
        <f t="shared" si="6"/>
        <v>0</v>
      </c>
      <c r="CB17" s="135">
        <f t="shared" si="6"/>
        <v>0</v>
      </c>
      <c r="CC17" s="135">
        <f t="shared" si="6"/>
        <v>0</v>
      </c>
      <c r="CD17" s="135">
        <f t="shared" si="6"/>
        <v>0</v>
      </c>
      <c r="CE17" s="135">
        <f t="shared" si="6"/>
        <v>0</v>
      </c>
      <c r="CF17" s="135">
        <f t="shared" si="6"/>
        <v>0</v>
      </c>
      <c r="CG17" s="135">
        <f t="shared" si="6"/>
        <v>0</v>
      </c>
      <c r="CH17" s="135">
        <f t="shared" si="6"/>
        <v>0</v>
      </c>
      <c r="CI17" s="135">
        <f t="shared" si="6"/>
        <v>0</v>
      </c>
      <c r="CJ17" s="136">
        <f t="shared" si="13"/>
        <v>0</v>
      </c>
      <c r="CK17" s="240"/>
      <c r="CL17" s="135">
        <f t="shared" si="7"/>
        <v>0</v>
      </c>
      <c r="CM17" s="135">
        <f t="shared" si="7"/>
        <v>0</v>
      </c>
      <c r="CN17" s="135">
        <f t="shared" si="7"/>
        <v>0</v>
      </c>
      <c r="CO17" s="135">
        <f t="shared" si="7"/>
        <v>0</v>
      </c>
      <c r="CP17" s="135">
        <f t="shared" si="7"/>
        <v>0</v>
      </c>
      <c r="CQ17" s="135">
        <f t="shared" si="7"/>
        <v>0</v>
      </c>
      <c r="CR17" s="135">
        <f t="shared" si="7"/>
        <v>0</v>
      </c>
      <c r="CS17" s="135">
        <f t="shared" si="7"/>
        <v>0</v>
      </c>
      <c r="CT17" s="135">
        <f t="shared" si="7"/>
        <v>0</v>
      </c>
      <c r="CU17" s="135">
        <f t="shared" si="7"/>
        <v>0</v>
      </c>
      <c r="CV17" s="135">
        <f t="shared" si="7"/>
        <v>0</v>
      </c>
      <c r="CW17" s="135">
        <f t="shared" si="7"/>
        <v>0</v>
      </c>
      <c r="CX17" s="136">
        <f t="shared" si="14"/>
        <v>0</v>
      </c>
    </row>
    <row r="18" spans="1:102" s="133" customFormat="1" ht="15" customHeight="1">
      <c r="A18" s="644" t="s">
        <v>531</v>
      </c>
      <c r="B18" s="652">
        <v>1</v>
      </c>
      <c r="C18" s="240">
        <v>5440</v>
      </c>
      <c r="D18" s="133">
        <f t="shared" si="0"/>
        <v>1700</v>
      </c>
      <c r="E18" s="134"/>
      <c r="F18" s="135">
        <f t="shared" si="15"/>
        <v>1700</v>
      </c>
      <c r="G18" s="135">
        <f t="shared" si="15"/>
        <v>1700</v>
      </c>
      <c r="H18" s="135">
        <f t="shared" si="15"/>
        <v>1700</v>
      </c>
      <c r="I18" s="135">
        <f t="shared" si="15"/>
        <v>1700</v>
      </c>
      <c r="J18" s="135">
        <f t="shared" si="15"/>
        <v>1700</v>
      </c>
      <c r="K18" s="135">
        <f t="shared" si="15"/>
        <v>1700</v>
      </c>
      <c r="L18" s="135">
        <f t="shared" si="15"/>
        <v>1700</v>
      </c>
      <c r="M18" s="135">
        <f t="shared" si="15"/>
        <v>1700</v>
      </c>
      <c r="N18" s="135">
        <f t="shared" si="15"/>
        <v>1700</v>
      </c>
      <c r="O18" s="135">
        <f t="shared" si="15"/>
        <v>1700</v>
      </c>
      <c r="P18" s="135">
        <f t="shared" si="15"/>
        <v>1700</v>
      </c>
      <c r="Q18" s="135">
        <f t="shared" si="15"/>
        <v>1700</v>
      </c>
      <c r="R18" s="136">
        <f t="shared" si="8"/>
        <v>20400</v>
      </c>
      <c r="S18" s="240">
        <v>0</v>
      </c>
      <c r="T18" s="135">
        <f t="shared" si="2"/>
        <v>0</v>
      </c>
      <c r="U18" s="135">
        <f t="shared" si="2"/>
        <v>0</v>
      </c>
      <c r="V18" s="135">
        <f t="shared" si="2"/>
        <v>0</v>
      </c>
      <c r="W18" s="135">
        <f t="shared" si="2"/>
        <v>0</v>
      </c>
      <c r="X18" s="135">
        <f t="shared" si="2"/>
        <v>0</v>
      </c>
      <c r="Y18" s="135">
        <f t="shared" si="2"/>
        <v>0</v>
      </c>
      <c r="Z18" s="135">
        <f t="shared" si="2"/>
        <v>0</v>
      </c>
      <c r="AA18" s="135">
        <f t="shared" si="2"/>
        <v>0</v>
      </c>
      <c r="AB18" s="135">
        <f t="shared" si="2"/>
        <v>0</v>
      </c>
      <c r="AC18" s="135">
        <f t="shared" si="2"/>
        <v>0</v>
      </c>
      <c r="AD18" s="135">
        <f t="shared" si="2"/>
        <v>0</v>
      </c>
      <c r="AE18" s="135">
        <f t="shared" si="2"/>
        <v>0</v>
      </c>
      <c r="AF18" s="136">
        <f t="shared" si="9"/>
        <v>0</v>
      </c>
      <c r="AG18" s="240">
        <v>0</v>
      </c>
      <c r="AH18" s="135">
        <f t="shared" si="3"/>
        <v>0</v>
      </c>
      <c r="AI18" s="135">
        <f t="shared" si="3"/>
        <v>0</v>
      </c>
      <c r="AJ18" s="135">
        <f t="shared" si="3"/>
        <v>0</v>
      </c>
      <c r="AK18" s="135">
        <f t="shared" si="3"/>
        <v>0</v>
      </c>
      <c r="AL18" s="135">
        <f t="shared" si="3"/>
        <v>0</v>
      </c>
      <c r="AM18" s="135">
        <f t="shared" si="3"/>
        <v>0</v>
      </c>
      <c r="AN18" s="135">
        <f t="shared" si="3"/>
        <v>0</v>
      </c>
      <c r="AO18" s="135">
        <f t="shared" si="3"/>
        <v>0</v>
      </c>
      <c r="AP18" s="135">
        <f t="shared" si="3"/>
        <v>0</v>
      </c>
      <c r="AQ18" s="135">
        <f t="shared" si="3"/>
        <v>0</v>
      </c>
      <c r="AR18" s="135">
        <f t="shared" si="3"/>
        <v>0</v>
      </c>
      <c r="AS18" s="135">
        <f t="shared" si="3"/>
        <v>0</v>
      </c>
      <c r="AT18" s="136">
        <f t="shared" si="10"/>
        <v>0</v>
      </c>
      <c r="AU18" s="240">
        <v>0</v>
      </c>
      <c r="AV18" s="135">
        <f t="shared" si="4"/>
        <v>0</v>
      </c>
      <c r="AW18" s="135">
        <f t="shared" si="4"/>
        <v>0</v>
      </c>
      <c r="AX18" s="135">
        <f t="shared" si="4"/>
        <v>0</v>
      </c>
      <c r="AY18" s="135">
        <f t="shared" si="4"/>
        <v>0</v>
      </c>
      <c r="AZ18" s="135">
        <f t="shared" si="4"/>
        <v>0</v>
      </c>
      <c r="BA18" s="135">
        <f t="shared" si="4"/>
        <v>0</v>
      </c>
      <c r="BB18" s="135">
        <f t="shared" si="4"/>
        <v>0</v>
      </c>
      <c r="BC18" s="135">
        <f t="shared" si="4"/>
        <v>0</v>
      </c>
      <c r="BD18" s="135">
        <f t="shared" si="4"/>
        <v>0</v>
      </c>
      <c r="BE18" s="135">
        <f t="shared" si="4"/>
        <v>0</v>
      </c>
      <c r="BF18" s="135">
        <f t="shared" si="4"/>
        <v>0</v>
      </c>
      <c r="BG18" s="135">
        <f t="shared" si="4"/>
        <v>0</v>
      </c>
      <c r="BH18" s="136">
        <f t="shared" si="11"/>
        <v>0</v>
      </c>
      <c r="BI18" s="240">
        <v>0</v>
      </c>
      <c r="BJ18" s="135">
        <f t="shared" si="5"/>
        <v>0</v>
      </c>
      <c r="BK18" s="135">
        <f t="shared" si="5"/>
        <v>0</v>
      </c>
      <c r="BL18" s="135">
        <f t="shared" si="5"/>
        <v>0</v>
      </c>
      <c r="BM18" s="135">
        <f t="shared" si="5"/>
        <v>0</v>
      </c>
      <c r="BN18" s="135">
        <f t="shared" si="5"/>
        <v>0</v>
      </c>
      <c r="BO18" s="135">
        <f t="shared" si="5"/>
        <v>0</v>
      </c>
      <c r="BP18" s="135">
        <f t="shared" si="5"/>
        <v>0</v>
      </c>
      <c r="BQ18" s="135">
        <f t="shared" si="5"/>
        <v>0</v>
      </c>
      <c r="BR18" s="135">
        <f t="shared" si="5"/>
        <v>0</v>
      </c>
      <c r="BS18" s="135">
        <f t="shared" si="5"/>
        <v>0</v>
      </c>
      <c r="BT18" s="135">
        <f t="shared" si="5"/>
        <v>0</v>
      </c>
      <c r="BU18" s="135">
        <f t="shared" si="5"/>
        <v>0</v>
      </c>
      <c r="BV18" s="136">
        <f t="shared" si="12"/>
        <v>0</v>
      </c>
      <c r="BW18" s="240">
        <v>0</v>
      </c>
      <c r="BX18" s="135">
        <f t="shared" si="6"/>
        <v>0</v>
      </c>
      <c r="BY18" s="135">
        <f t="shared" si="6"/>
        <v>0</v>
      </c>
      <c r="BZ18" s="135">
        <f t="shared" si="6"/>
        <v>0</v>
      </c>
      <c r="CA18" s="135">
        <f t="shared" si="6"/>
        <v>0</v>
      </c>
      <c r="CB18" s="135">
        <f t="shared" si="6"/>
        <v>0</v>
      </c>
      <c r="CC18" s="135">
        <f t="shared" si="6"/>
        <v>0</v>
      </c>
      <c r="CD18" s="135">
        <f t="shared" si="6"/>
        <v>0</v>
      </c>
      <c r="CE18" s="135">
        <f t="shared" si="6"/>
        <v>0</v>
      </c>
      <c r="CF18" s="135">
        <f t="shared" si="6"/>
        <v>0</v>
      </c>
      <c r="CG18" s="135">
        <f t="shared" si="6"/>
        <v>0</v>
      </c>
      <c r="CH18" s="135">
        <f t="shared" si="6"/>
        <v>0</v>
      </c>
      <c r="CI18" s="135">
        <f t="shared" si="6"/>
        <v>0</v>
      </c>
      <c r="CJ18" s="136">
        <f t="shared" si="13"/>
        <v>0</v>
      </c>
      <c r="CK18" s="240">
        <v>0</v>
      </c>
      <c r="CL18" s="135">
        <f t="shared" si="7"/>
        <v>0</v>
      </c>
      <c r="CM18" s="135">
        <f t="shared" si="7"/>
        <v>0</v>
      </c>
      <c r="CN18" s="135">
        <f t="shared" si="7"/>
        <v>0</v>
      </c>
      <c r="CO18" s="135">
        <f t="shared" si="7"/>
        <v>0</v>
      </c>
      <c r="CP18" s="135">
        <f t="shared" si="7"/>
        <v>0</v>
      </c>
      <c r="CQ18" s="135">
        <f t="shared" si="7"/>
        <v>0</v>
      </c>
      <c r="CR18" s="135">
        <f t="shared" si="7"/>
        <v>0</v>
      </c>
      <c r="CS18" s="135">
        <f t="shared" si="7"/>
        <v>0</v>
      </c>
      <c r="CT18" s="135">
        <f t="shared" si="7"/>
        <v>0</v>
      </c>
      <c r="CU18" s="135">
        <f t="shared" si="7"/>
        <v>0</v>
      </c>
      <c r="CV18" s="135">
        <f t="shared" si="7"/>
        <v>0</v>
      </c>
      <c r="CW18" s="135">
        <f t="shared" si="7"/>
        <v>0</v>
      </c>
      <c r="CX18" s="136">
        <f t="shared" si="14"/>
        <v>0</v>
      </c>
    </row>
    <row r="19" spans="1:102" s="133" customFormat="1" ht="15" customHeight="1">
      <c r="A19" s="644" t="s">
        <v>532</v>
      </c>
      <c r="B19" s="652">
        <v>4</v>
      </c>
      <c r="C19" s="240">
        <v>4800</v>
      </c>
      <c r="D19" s="133">
        <f t="shared" si="0"/>
        <v>6000</v>
      </c>
      <c r="E19" s="134"/>
      <c r="F19" s="135">
        <f t="shared" si="15"/>
        <v>6000</v>
      </c>
      <c r="G19" s="135">
        <f t="shared" si="15"/>
        <v>6000</v>
      </c>
      <c r="H19" s="135">
        <f t="shared" si="15"/>
        <v>6000</v>
      </c>
      <c r="I19" s="135">
        <f t="shared" si="15"/>
        <v>6000</v>
      </c>
      <c r="J19" s="135">
        <f t="shared" si="15"/>
        <v>6000</v>
      </c>
      <c r="K19" s="135">
        <f t="shared" si="15"/>
        <v>6000</v>
      </c>
      <c r="L19" s="135">
        <f t="shared" si="15"/>
        <v>6000</v>
      </c>
      <c r="M19" s="135">
        <f t="shared" si="15"/>
        <v>6000</v>
      </c>
      <c r="N19" s="135">
        <f t="shared" si="15"/>
        <v>6000</v>
      </c>
      <c r="O19" s="135">
        <f t="shared" si="15"/>
        <v>6000</v>
      </c>
      <c r="P19" s="135">
        <f t="shared" si="15"/>
        <v>6000</v>
      </c>
      <c r="Q19" s="135">
        <f t="shared" si="15"/>
        <v>6000</v>
      </c>
      <c r="R19" s="136">
        <f t="shared" si="8"/>
        <v>72000</v>
      </c>
      <c r="T19" s="135">
        <f>F19*(1+'Summary. Assumptions. Inputs'!$C$30)</f>
        <v>6300</v>
      </c>
      <c r="U19" s="135">
        <f>G19*(1+'Summary. Assumptions. Inputs'!$C$30)</f>
        <v>6300</v>
      </c>
      <c r="V19" s="135">
        <f>H19*(1+'Summary. Assumptions. Inputs'!$C$30)</f>
        <v>6300</v>
      </c>
      <c r="W19" s="135">
        <f>I19*(1+'Summary. Assumptions. Inputs'!$C$30)</f>
        <v>6300</v>
      </c>
      <c r="X19" s="135">
        <f>J19*(1+'Summary. Assumptions. Inputs'!$C$30)</f>
        <v>6300</v>
      </c>
      <c r="Y19" s="135">
        <f>K19*(1+'Summary. Assumptions. Inputs'!$C$30)</f>
        <v>6300</v>
      </c>
      <c r="Z19" s="135">
        <f>L19*(1+'Summary. Assumptions. Inputs'!$C$30)</f>
        <v>6300</v>
      </c>
      <c r="AA19" s="135">
        <f>M19*(1+'Summary. Assumptions. Inputs'!$C$30)</f>
        <v>6300</v>
      </c>
      <c r="AB19" s="135">
        <f>N19*(1+'Summary. Assumptions. Inputs'!$C$30)</f>
        <v>6300</v>
      </c>
      <c r="AC19" s="135">
        <f>O19*(1+'Summary. Assumptions. Inputs'!$C$30)</f>
        <v>6300</v>
      </c>
      <c r="AD19" s="135">
        <f>P19*(1+'Summary. Assumptions. Inputs'!$C$30)</f>
        <v>6300</v>
      </c>
      <c r="AE19" s="135">
        <f>Q19*(1+'Summary. Assumptions. Inputs'!$C$30)</f>
        <v>6300</v>
      </c>
      <c r="AF19" s="136">
        <f t="shared" si="9"/>
        <v>75600</v>
      </c>
      <c r="AH19" s="135">
        <f>T19*(1+'Summary. Assumptions. Inputs'!$C$30)</f>
        <v>6615</v>
      </c>
      <c r="AI19" s="135">
        <f>U19*(1+'Summary. Assumptions. Inputs'!$C$30)</f>
        <v>6615</v>
      </c>
      <c r="AJ19" s="135">
        <f>V19*(1+'Summary. Assumptions. Inputs'!$C$30)</f>
        <v>6615</v>
      </c>
      <c r="AK19" s="135">
        <f>W19*(1+'Summary. Assumptions. Inputs'!$C$30)</f>
        <v>6615</v>
      </c>
      <c r="AL19" s="135">
        <f>X19*(1+'Summary. Assumptions. Inputs'!$C$30)</f>
        <v>6615</v>
      </c>
      <c r="AM19" s="135">
        <f>Y19*(1+'Summary. Assumptions. Inputs'!$C$30)</f>
        <v>6615</v>
      </c>
      <c r="AN19" s="135">
        <f>Z19*(1+'Summary. Assumptions. Inputs'!$C$30)</f>
        <v>6615</v>
      </c>
      <c r="AO19" s="135">
        <f>AA19*(1+'Summary. Assumptions. Inputs'!$C$30)</f>
        <v>6615</v>
      </c>
      <c r="AP19" s="135">
        <f>AB19*(1+'Summary. Assumptions. Inputs'!$C$30)</f>
        <v>6615</v>
      </c>
      <c r="AQ19" s="135">
        <f>AC19*(1+'Summary. Assumptions. Inputs'!$C$30)</f>
        <v>6615</v>
      </c>
      <c r="AR19" s="135">
        <f>AD19*(1+'Summary. Assumptions. Inputs'!$C$30)</f>
        <v>6615</v>
      </c>
      <c r="AS19" s="135">
        <f>AE19*(1+'Summary. Assumptions. Inputs'!$C$30)</f>
        <v>6615</v>
      </c>
      <c r="AT19" s="136">
        <f t="shared" si="10"/>
        <v>79380</v>
      </c>
      <c r="AV19" s="135">
        <f>AH19*(1+'Summary. Assumptions. Inputs'!$C$30)</f>
        <v>6945.75</v>
      </c>
      <c r="AW19" s="135">
        <f>AI19*(1+'Summary. Assumptions. Inputs'!$C$30)</f>
        <v>6945.75</v>
      </c>
      <c r="AX19" s="135">
        <f>AJ19*(1+'Summary. Assumptions. Inputs'!$C$30)</f>
        <v>6945.75</v>
      </c>
      <c r="AY19" s="135">
        <f>AK19*(1+'Summary. Assumptions. Inputs'!$C$30)</f>
        <v>6945.75</v>
      </c>
      <c r="AZ19" s="135">
        <f>AL19*(1+'Summary. Assumptions. Inputs'!$C$30)</f>
        <v>6945.75</v>
      </c>
      <c r="BA19" s="135">
        <f>AM19*(1+'Summary. Assumptions. Inputs'!$C$30)</f>
        <v>6945.75</v>
      </c>
      <c r="BB19" s="135">
        <f>AN19*(1+'Summary. Assumptions. Inputs'!$C$30)</f>
        <v>6945.75</v>
      </c>
      <c r="BC19" s="135">
        <f>AO19*(1+'Summary. Assumptions. Inputs'!$C$30)</f>
        <v>6945.75</v>
      </c>
      <c r="BD19" s="135">
        <f>AP19*(1+'Summary. Assumptions. Inputs'!$C$30)</f>
        <v>6945.75</v>
      </c>
      <c r="BE19" s="135">
        <f>AQ19*(1+'Summary. Assumptions. Inputs'!$C$30)</f>
        <v>6945.75</v>
      </c>
      <c r="BF19" s="135">
        <f>AR19*(1+'Summary. Assumptions. Inputs'!$C$30)</f>
        <v>6945.75</v>
      </c>
      <c r="BG19" s="135">
        <f>AS19*(1+'Summary. Assumptions. Inputs'!$C$30)</f>
        <v>6945.75</v>
      </c>
      <c r="BH19" s="136">
        <f t="shared" si="11"/>
        <v>83349</v>
      </c>
      <c r="BJ19" s="135">
        <f>AV19*(1+'Summary. Assumptions. Inputs'!$C$30)</f>
        <v>7293.0375000000004</v>
      </c>
      <c r="BK19" s="135">
        <f>AW19*(1+'Summary. Assumptions. Inputs'!$C$30)</f>
        <v>7293.0375000000004</v>
      </c>
      <c r="BL19" s="135">
        <f>AX19*(1+'Summary. Assumptions. Inputs'!$C$30)</f>
        <v>7293.0375000000004</v>
      </c>
      <c r="BM19" s="135">
        <f>AY19*(1+'Summary. Assumptions. Inputs'!$C$30)</f>
        <v>7293.0375000000004</v>
      </c>
      <c r="BN19" s="135">
        <f>AZ19*(1+'Summary. Assumptions. Inputs'!$C$30)</f>
        <v>7293.0375000000004</v>
      </c>
      <c r="BO19" s="135">
        <f>BA19*(1+'Summary. Assumptions. Inputs'!$C$30)</f>
        <v>7293.0375000000004</v>
      </c>
      <c r="BP19" s="135">
        <f>BB19*(1+'Summary. Assumptions. Inputs'!$C$30)</f>
        <v>7293.0375000000004</v>
      </c>
      <c r="BQ19" s="135">
        <f>BC19*(1+'Summary. Assumptions. Inputs'!$C$30)</f>
        <v>7293.0375000000004</v>
      </c>
      <c r="BR19" s="135">
        <f>BD19*(1+'Summary. Assumptions. Inputs'!$C$30)</f>
        <v>7293.0375000000004</v>
      </c>
      <c r="BS19" s="135">
        <f>BE19*(1+'Summary. Assumptions. Inputs'!$C$30)</f>
        <v>7293.0375000000004</v>
      </c>
      <c r="BT19" s="135">
        <f>BF19*(1+'Summary. Assumptions. Inputs'!$C$30)</f>
        <v>7293.0375000000004</v>
      </c>
      <c r="BU19" s="135">
        <f>BG19*(1+'Summary. Assumptions. Inputs'!$C$30)</f>
        <v>7293.0375000000004</v>
      </c>
      <c r="BV19" s="136">
        <f t="shared" si="12"/>
        <v>87516.450000000012</v>
      </c>
      <c r="BX19" s="135">
        <f>BJ19*(1+'Summary. Assumptions. Inputs'!$C$30)</f>
        <v>7657.6893750000008</v>
      </c>
      <c r="BY19" s="135">
        <f>BK19*(1+'Summary. Assumptions. Inputs'!$C$30)</f>
        <v>7657.6893750000008</v>
      </c>
      <c r="BZ19" s="135">
        <f>BL19*(1+'Summary. Assumptions. Inputs'!$C$30)</f>
        <v>7657.6893750000008</v>
      </c>
      <c r="CA19" s="135">
        <f>BM19*(1+'Summary. Assumptions. Inputs'!$C$30)</f>
        <v>7657.6893750000008</v>
      </c>
      <c r="CB19" s="135">
        <f>BN19*(1+'Summary. Assumptions. Inputs'!$C$30)</f>
        <v>7657.6893750000008</v>
      </c>
      <c r="CC19" s="135">
        <f>BO19*(1+'Summary. Assumptions. Inputs'!$C$30)</f>
        <v>7657.6893750000008</v>
      </c>
      <c r="CD19" s="135">
        <f>BP19*(1+'Summary. Assumptions. Inputs'!$C$30)</f>
        <v>7657.6893750000008</v>
      </c>
      <c r="CE19" s="135">
        <f>BQ19*(1+'Summary. Assumptions. Inputs'!$C$30)</f>
        <v>7657.6893750000008</v>
      </c>
      <c r="CF19" s="135">
        <f>BR19*(1+'Summary. Assumptions. Inputs'!$C$30)</f>
        <v>7657.6893750000008</v>
      </c>
      <c r="CG19" s="135">
        <f>BS19*(1+'Summary. Assumptions. Inputs'!$C$30)</f>
        <v>7657.6893750000008</v>
      </c>
      <c r="CH19" s="135">
        <f>BT19*(1+'Summary. Assumptions. Inputs'!$C$30)</f>
        <v>7657.6893750000008</v>
      </c>
      <c r="CI19" s="135">
        <f>BU19*(1+'Summary. Assumptions. Inputs'!$C$30)</f>
        <v>7657.6893750000008</v>
      </c>
      <c r="CJ19" s="136">
        <f t="shared" si="13"/>
        <v>91892.272500000006</v>
      </c>
      <c r="CL19" s="135">
        <f>BX19*(1+'Summary. Assumptions. Inputs'!$C$30)</f>
        <v>8040.5738437500013</v>
      </c>
      <c r="CM19" s="135">
        <f>BY19*(1+'Summary. Assumptions. Inputs'!$C$30)</f>
        <v>8040.5738437500013</v>
      </c>
      <c r="CN19" s="135">
        <f>BZ19*(1+'Summary. Assumptions. Inputs'!$C$30)</f>
        <v>8040.5738437500013</v>
      </c>
      <c r="CO19" s="135">
        <f>CA19*(1+'Summary. Assumptions. Inputs'!$C$30)</f>
        <v>8040.5738437500013</v>
      </c>
      <c r="CP19" s="135">
        <f>CB19*(1+'Summary. Assumptions. Inputs'!$C$30)</f>
        <v>8040.5738437500013</v>
      </c>
      <c r="CQ19" s="135">
        <f>CC19*(1+'Summary. Assumptions. Inputs'!$C$30)</f>
        <v>8040.5738437500013</v>
      </c>
      <c r="CR19" s="135">
        <f>CD19*(1+'Summary. Assumptions. Inputs'!$C$30)</f>
        <v>8040.5738437500013</v>
      </c>
      <c r="CS19" s="135">
        <f>CE19*(1+'Summary. Assumptions. Inputs'!$C$30)</f>
        <v>8040.5738437500013</v>
      </c>
      <c r="CT19" s="135">
        <f>CF19*(1+'Summary. Assumptions. Inputs'!$C$30)</f>
        <v>8040.5738437500013</v>
      </c>
      <c r="CU19" s="135">
        <f>CG19*(1+'Summary. Assumptions. Inputs'!$C$30)</f>
        <v>8040.5738437500013</v>
      </c>
      <c r="CV19" s="135">
        <f>CH19*(1+'Summary. Assumptions. Inputs'!$C$30)</f>
        <v>8040.5738437500013</v>
      </c>
      <c r="CW19" s="135">
        <f>CI19*(1+'Summary. Assumptions. Inputs'!$C$30)</f>
        <v>8040.5738437500013</v>
      </c>
      <c r="CX19" s="136">
        <f t="shared" si="14"/>
        <v>96486.886125000005</v>
      </c>
    </row>
    <row r="20" spans="1:102" s="133" customFormat="1" ht="15" customHeight="1">
      <c r="A20" s="644" t="s">
        <v>533</v>
      </c>
      <c r="B20" s="652">
        <v>1</v>
      </c>
      <c r="C20" s="240">
        <v>4160</v>
      </c>
      <c r="D20" s="133">
        <f t="shared" si="0"/>
        <v>1300</v>
      </c>
      <c r="E20" s="134"/>
      <c r="F20" s="135">
        <f t="shared" si="15"/>
        <v>1300</v>
      </c>
      <c r="G20" s="135">
        <f t="shared" si="15"/>
        <v>1300</v>
      </c>
      <c r="H20" s="135">
        <f t="shared" si="15"/>
        <v>1300</v>
      </c>
      <c r="I20" s="135"/>
      <c r="J20" s="135">
        <f t="shared" si="15"/>
        <v>1300</v>
      </c>
      <c r="K20" s="135">
        <f t="shared" si="15"/>
        <v>1300</v>
      </c>
      <c r="L20" s="135">
        <f t="shared" si="15"/>
        <v>1300</v>
      </c>
      <c r="M20" s="135">
        <f t="shared" si="15"/>
        <v>1300</v>
      </c>
      <c r="N20" s="135">
        <f t="shared" si="15"/>
        <v>1300</v>
      </c>
      <c r="O20" s="135">
        <f t="shared" si="15"/>
        <v>1300</v>
      </c>
      <c r="P20" s="135">
        <f t="shared" si="15"/>
        <v>1300</v>
      </c>
      <c r="Q20" s="135">
        <f t="shared" si="15"/>
        <v>1300</v>
      </c>
      <c r="R20" s="136">
        <f t="shared" si="8"/>
        <v>14300</v>
      </c>
      <c r="T20" s="135">
        <f>F20*(1+'Summary. Assumptions. Inputs'!$C$30)</f>
        <v>1365</v>
      </c>
      <c r="U20" s="135">
        <f>G20*(1+'Summary. Assumptions. Inputs'!$C$30)</f>
        <v>1365</v>
      </c>
      <c r="V20" s="135">
        <f>H20*(1+'Summary. Assumptions. Inputs'!$C$30)</f>
        <v>1365</v>
      </c>
      <c r="W20" s="135">
        <f>I20*(1+'Summary. Assumptions. Inputs'!$C$30)</f>
        <v>0</v>
      </c>
      <c r="X20" s="135">
        <f>J20*(1+'Summary. Assumptions. Inputs'!$C$30)</f>
        <v>1365</v>
      </c>
      <c r="Y20" s="135">
        <f>K20*(1+'Summary. Assumptions. Inputs'!$C$30)</f>
        <v>1365</v>
      </c>
      <c r="Z20" s="135">
        <f>L20*(1+'Summary. Assumptions. Inputs'!$C$30)</f>
        <v>1365</v>
      </c>
      <c r="AA20" s="135">
        <f>M20*(1+'Summary. Assumptions. Inputs'!$C$30)</f>
        <v>1365</v>
      </c>
      <c r="AB20" s="135">
        <f>N20*(1+'Summary. Assumptions. Inputs'!$C$30)</f>
        <v>1365</v>
      </c>
      <c r="AC20" s="135">
        <f>O20*(1+'Summary. Assumptions. Inputs'!$C$30)</f>
        <v>1365</v>
      </c>
      <c r="AD20" s="135">
        <f>P20*(1+'Summary. Assumptions. Inputs'!$C$30)</f>
        <v>1365</v>
      </c>
      <c r="AE20" s="135">
        <f>Q20*(1+'Summary. Assumptions. Inputs'!$C$30)</f>
        <v>1365</v>
      </c>
      <c r="AF20" s="136">
        <f t="shared" si="9"/>
        <v>15015</v>
      </c>
      <c r="AH20" s="135">
        <f>T20*(1+'Summary. Assumptions. Inputs'!$C$30)</f>
        <v>1433.25</v>
      </c>
      <c r="AI20" s="135">
        <f>U20*(1+'Summary. Assumptions. Inputs'!$C$30)</f>
        <v>1433.25</v>
      </c>
      <c r="AJ20" s="135">
        <f>V20*(1+'Summary. Assumptions. Inputs'!$C$30)</f>
        <v>1433.25</v>
      </c>
      <c r="AK20" s="135">
        <f>W20*(1+'Summary. Assumptions. Inputs'!$C$30)</f>
        <v>0</v>
      </c>
      <c r="AL20" s="135">
        <f>X20*(1+'Summary. Assumptions. Inputs'!$C$30)</f>
        <v>1433.25</v>
      </c>
      <c r="AM20" s="135">
        <f>Y20*(1+'Summary. Assumptions. Inputs'!$C$30)</f>
        <v>1433.25</v>
      </c>
      <c r="AN20" s="135">
        <f>Z20*(1+'Summary. Assumptions. Inputs'!$C$30)</f>
        <v>1433.25</v>
      </c>
      <c r="AO20" s="135">
        <f>AA20*(1+'Summary. Assumptions. Inputs'!$C$30)</f>
        <v>1433.25</v>
      </c>
      <c r="AP20" s="135">
        <f>AB20*(1+'Summary. Assumptions. Inputs'!$C$30)</f>
        <v>1433.25</v>
      </c>
      <c r="AQ20" s="135">
        <f>AC20*(1+'Summary. Assumptions. Inputs'!$C$30)</f>
        <v>1433.25</v>
      </c>
      <c r="AR20" s="135">
        <f>AD20*(1+'Summary. Assumptions. Inputs'!$C$30)</f>
        <v>1433.25</v>
      </c>
      <c r="AS20" s="135">
        <f>AE20*(1+'Summary. Assumptions. Inputs'!$C$30)</f>
        <v>1433.25</v>
      </c>
      <c r="AT20" s="136">
        <f t="shared" si="10"/>
        <v>15765.75</v>
      </c>
      <c r="AV20" s="135">
        <f>AH20*(1+'Summary. Assumptions. Inputs'!$C$30)</f>
        <v>1504.9125000000001</v>
      </c>
      <c r="AW20" s="135">
        <f>AI20*(1+'Summary. Assumptions. Inputs'!$C$30)</f>
        <v>1504.9125000000001</v>
      </c>
      <c r="AX20" s="135">
        <f>AJ20*(1+'Summary. Assumptions. Inputs'!$C$30)</f>
        <v>1504.9125000000001</v>
      </c>
      <c r="AY20" s="135">
        <f>AK20*(1+'Summary. Assumptions. Inputs'!$C$30)</f>
        <v>0</v>
      </c>
      <c r="AZ20" s="135">
        <f>AL20*(1+'Summary. Assumptions. Inputs'!$C$30)</f>
        <v>1504.9125000000001</v>
      </c>
      <c r="BA20" s="135">
        <f>AM20*(1+'Summary. Assumptions. Inputs'!$C$30)</f>
        <v>1504.9125000000001</v>
      </c>
      <c r="BB20" s="135">
        <f>AN20*(1+'Summary. Assumptions. Inputs'!$C$30)</f>
        <v>1504.9125000000001</v>
      </c>
      <c r="BC20" s="135">
        <f>AO20*(1+'Summary. Assumptions. Inputs'!$C$30)</f>
        <v>1504.9125000000001</v>
      </c>
      <c r="BD20" s="135">
        <f>AP20*(1+'Summary. Assumptions. Inputs'!$C$30)</f>
        <v>1504.9125000000001</v>
      </c>
      <c r="BE20" s="135">
        <f>AQ20*(1+'Summary. Assumptions. Inputs'!$C$30)</f>
        <v>1504.9125000000001</v>
      </c>
      <c r="BF20" s="135">
        <f>AR20*(1+'Summary. Assumptions. Inputs'!$C$30)</f>
        <v>1504.9125000000001</v>
      </c>
      <c r="BG20" s="135">
        <f>AS20*(1+'Summary. Assumptions. Inputs'!$C$30)</f>
        <v>1504.9125000000001</v>
      </c>
      <c r="BH20" s="136">
        <f t="shared" si="11"/>
        <v>16554.037500000002</v>
      </c>
      <c r="BJ20" s="135">
        <f>AV20*(1+'Summary. Assumptions. Inputs'!$C$30)</f>
        <v>1580.1581250000002</v>
      </c>
      <c r="BK20" s="135">
        <f>AW20*(1+'Summary. Assumptions. Inputs'!$C$30)</f>
        <v>1580.1581250000002</v>
      </c>
      <c r="BL20" s="135">
        <f>AX20*(1+'Summary. Assumptions. Inputs'!$C$30)</f>
        <v>1580.1581250000002</v>
      </c>
      <c r="BM20" s="135">
        <f>AY20*(1+'Summary. Assumptions. Inputs'!$C$30)</f>
        <v>0</v>
      </c>
      <c r="BN20" s="135">
        <f>AZ20*(1+'Summary. Assumptions. Inputs'!$C$30)</f>
        <v>1580.1581250000002</v>
      </c>
      <c r="BO20" s="135">
        <f>BA20*(1+'Summary. Assumptions. Inputs'!$C$30)</f>
        <v>1580.1581250000002</v>
      </c>
      <c r="BP20" s="135">
        <f>BB20*(1+'Summary. Assumptions. Inputs'!$C$30)</f>
        <v>1580.1581250000002</v>
      </c>
      <c r="BQ20" s="135">
        <f>BC20*(1+'Summary. Assumptions. Inputs'!$C$30)</f>
        <v>1580.1581250000002</v>
      </c>
      <c r="BR20" s="135">
        <f>BD20*(1+'Summary. Assumptions. Inputs'!$C$30)</f>
        <v>1580.1581250000002</v>
      </c>
      <c r="BS20" s="135">
        <f>BE20*(1+'Summary. Assumptions. Inputs'!$C$30)</f>
        <v>1580.1581250000002</v>
      </c>
      <c r="BT20" s="135">
        <f>BF20*(1+'Summary. Assumptions. Inputs'!$C$30)</f>
        <v>1580.1581250000002</v>
      </c>
      <c r="BU20" s="135">
        <f>BG20*(1+'Summary. Assumptions. Inputs'!$C$30)</f>
        <v>1580.1581250000002</v>
      </c>
      <c r="BV20" s="136">
        <f t="shared" si="12"/>
        <v>17381.739375000001</v>
      </c>
      <c r="BX20" s="135">
        <f>BJ20*(1+'Summary. Assumptions. Inputs'!$C$30)</f>
        <v>1659.1660312500003</v>
      </c>
      <c r="BY20" s="135">
        <f>BK20*(1+'Summary. Assumptions. Inputs'!$C$30)</f>
        <v>1659.1660312500003</v>
      </c>
      <c r="BZ20" s="135">
        <f>BL20*(1+'Summary. Assumptions. Inputs'!$C$30)</f>
        <v>1659.1660312500003</v>
      </c>
      <c r="CA20" s="135">
        <f>BM20*(1+'Summary. Assumptions. Inputs'!$C$30)</f>
        <v>0</v>
      </c>
      <c r="CB20" s="135">
        <f>BN20*(1+'Summary. Assumptions. Inputs'!$C$30)</f>
        <v>1659.1660312500003</v>
      </c>
      <c r="CC20" s="135">
        <f>BO20*(1+'Summary. Assumptions. Inputs'!$C$30)</f>
        <v>1659.1660312500003</v>
      </c>
      <c r="CD20" s="135">
        <f>BP20*(1+'Summary. Assumptions. Inputs'!$C$30)</f>
        <v>1659.1660312500003</v>
      </c>
      <c r="CE20" s="135">
        <f>BQ20*(1+'Summary. Assumptions. Inputs'!$C$30)</f>
        <v>1659.1660312500003</v>
      </c>
      <c r="CF20" s="135">
        <f>BR20*(1+'Summary. Assumptions. Inputs'!$C$30)</f>
        <v>1659.1660312500003</v>
      </c>
      <c r="CG20" s="135">
        <f>BS20*(1+'Summary. Assumptions. Inputs'!$C$30)</f>
        <v>1659.1660312500003</v>
      </c>
      <c r="CH20" s="135">
        <f>BT20*(1+'Summary. Assumptions. Inputs'!$C$30)</f>
        <v>1659.1660312500003</v>
      </c>
      <c r="CI20" s="135">
        <f>BU20*(1+'Summary. Assumptions. Inputs'!$C$30)</f>
        <v>1659.1660312500003</v>
      </c>
      <c r="CJ20" s="136">
        <f t="shared" si="13"/>
        <v>18250.826343750003</v>
      </c>
      <c r="CL20" s="135">
        <f>BX20*(1+'Summary. Assumptions. Inputs'!$C$30)</f>
        <v>1742.1243328125004</v>
      </c>
      <c r="CM20" s="135">
        <f>BY20*(1+'Summary. Assumptions. Inputs'!$C$30)</f>
        <v>1742.1243328125004</v>
      </c>
      <c r="CN20" s="135">
        <f>BZ20*(1+'Summary. Assumptions. Inputs'!$C$30)</f>
        <v>1742.1243328125004</v>
      </c>
      <c r="CO20" s="135">
        <f>CA20*(1+'Summary. Assumptions. Inputs'!$C$30)</f>
        <v>0</v>
      </c>
      <c r="CP20" s="135">
        <f>CB20*(1+'Summary. Assumptions. Inputs'!$C$30)</f>
        <v>1742.1243328125004</v>
      </c>
      <c r="CQ20" s="135">
        <f>CC20*(1+'Summary. Assumptions. Inputs'!$C$30)</f>
        <v>1742.1243328125004</v>
      </c>
      <c r="CR20" s="135">
        <f>CD20*(1+'Summary. Assumptions. Inputs'!$C$30)</f>
        <v>1742.1243328125004</v>
      </c>
      <c r="CS20" s="135">
        <f>CE20*(1+'Summary. Assumptions. Inputs'!$C$30)</f>
        <v>1742.1243328125004</v>
      </c>
      <c r="CT20" s="135">
        <f>CF20*(1+'Summary. Assumptions. Inputs'!$C$30)</f>
        <v>1742.1243328125004</v>
      </c>
      <c r="CU20" s="135">
        <f>CG20*(1+'Summary. Assumptions. Inputs'!$C$30)</f>
        <v>1742.1243328125004</v>
      </c>
      <c r="CV20" s="135">
        <f>CH20*(1+'Summary. Assumptions. Inputs'!$C$30)</f>
        <v>1742.1243328125004</v>
      </c>
      <c r="CW20" s="135">
        <f>CI20*(1+'Summary. Assumptions. Inputs'!$C$30)</f>
        <v>1742.1243328125004</v>
      </c>
      <c r="CX20" s="136">
        <f t="shared" si="14"/>
        <v>19163.367660937507</v>
      </c>
    </row>
    <row r="21" spans="1:102" s="133" customFormat="1" ht="15" customHeight="1">
      <c r="A21" s="644" t="s">
        <v>534</v>
      </c>
      <c r="B21" s="652">
        <v>24</v>
      </c>
      <c r="C21" s="240">
        <v>2880</v>
      </c>
      <c r="D21" s="133">
        <f t="shared" si="0"/>
        <v>21600</v>
      </c>
      <c r="E21" s="134"/>
      <c r="F21" s="135">
        <f t="shared" si="15"/>
        <v>21600</v>
      </c>
      <c r="G21" s="135">
        <f t="shared" si="15"/>
        <v>21600</v>
      </c>
      <c r="H21" s="135">
        <f t="shared" si="15"/>
        <v>21600</v>
      </c>
      <c r="I21" s="135">
        <f t="shared" si="15"/>
        <v>21600</v>
      </c>
      <c r="J21" s="135">
        <f t="shared" si="15"/>
        <v>21600</v>
      </c>
      <c r="K21" s="135">
        <f t="shared" si="15"/>
        <v>21600</v>
      </c>
      <c r="L21" s="135">
        <f t="shared" si="15"/>
        <v>21600</v>
      </c>
      <c r="M21" s="135">
        <f t="shared" si="15"/>
        <v>21600</v>
      </c>
      <c r="N21" s="135">
        <f t="shared" si="15"/>
        <v>21600</v>
      </c>
      <c r="O21" s="135">
        <f t="shared" si="15"/>
        <v>21600</v>
      </c>
      <c r="P21" s="135">
        <f t="shared" si="15"/>
        <v>21600</v>
      </c>
      <c r="Q21" s="135">
        <f t="shared" si="15"/>
        <v>21600</v>
      </c>
      <c r="R21" s="136">
        <f t="shared" si="8"/>
        <v>259200</v>
      </c>
      <c r="T21" s="135">
        <f>F21*(1+'Summary. Assumptions. Inputs'!$C$30)</f>
        <v>22680</v>
      </c>
      <c r="U21" s="135">
        <f>G21*(1+'Summary. Assumptions. Inputs'!$C$30)</f>
        <v>22680</v>
      </c>
      <c r="V21" s="135">
        <f>H21*(1+'Summary. Assumptions. Inputs'!$C$30)</f>
        <v>22680</v>
      </c>
      <c r="W21" s="135">
        <f>I21*(1+'Summary. Assumptions. Inputs'!$C$30)</f>
        <v>22680</v>
      </c>
      <c r="X21" s="135">
        <f>J21*(1+'Summary. Assumptions. Inputs'!$C$30)</f>
        <v>22680</v>
      </c>
      <c r="Y21" s="135">
        <f>K21*(1+'Summary. Assumptions. Inputs'!$C$30)</f>
        <v>22680</v>
      </c>
      <c r="Z21" s="135">
        <f>L21*(1+'Summary. Assumptions. Inputs'!$C$30)</f>
        <v>22680</v>
      </c>
      <c r="AA21" s="135">
        <f>M21*(1+'Summary. Assumptions. Inputs'!$C$30)</f>
        <v>22680</v>
      </c>
      <c r="AB21" s="135">
        <f>N21*(1+'Summary. Assumptions. Inputs'!$C$30)</f>
        <v>22680</v>
      </c>
      <c r="AC21" s="135">
        <f>O21*(1+'Summary. Assumptions. Inputs'!$C$30)</f>
        <v>22680</v>
      </c>
      <c r="AD21" s="135">
        <f>P21*(1+'Summary. Assumptions. Inputs'!$C$30)</f>
        <v>22680</v>
      </c>
      <c r="AE21" s="135">
        <f>Q21*(1+'Summary. Assumptions. Inputs'!$C$30)</f>
        <v>22680</v>
      </c>
      <c r="AF21" s="136">
        <f t="shared" si="9"/>
        <v>272160</v>
      </c>
      <c r="AH21" s="135">
        <f>T21*(1+'Summary. Assumptions. Inputs'!$C$30)</f>
        <v>23814</v>
      </c>
      <c r="AI21" s="135">
        <f>U21*(1+'Summary. Assumptions. Inputs'!$C$30)</f>
        <v>23814</v>
      </c>
      <c r="AJ21" s="135">
        <f>V21*(1+'Summary. Assumptions. Inputs'!$C$30)</f>
        <v>23814</v>
      </c>
      <c r="AK21" s="135">
        <f>W21*(1+'Summary. Assumptions. Inputs'!$C$30)</f>
        <v>23814</v>
      </c>
      <c r="AL21" s="135">
        <f>X21*(1+'Summary. Assumptions. Inputs'!$C$30)</f>
        <v>23814</v>
      </c>
      <c r="AM21" s="135">
        <f>Y21*(1+'Summary. Assumptions. Inputs'!$C$30)</f>
        <v>23814</v>
      </c>
      <c r="AN21" s="135">
        <f>Z21*(1+'Summary. Assumptions. Inputs'!$C$30)</f>
        <v>23814</v>
      </c>
      <c r="AO21" s="135">
        <f>AA21*(1+'Summary. Assumptions. Inputs'!$C$30)</f>
        <v>23814</v>
      </c>
      <c r="AP21" s="135">
        <f>AB21*(1+'Summary. Assumptions. Inputs'!$C$30)</f>
        <v>23814</v>
      </c>
      <c r="AQ21" s="135">
        <f>AC21*(1+'Summary. Assumptions. Inputs'!$C$30)</f>
        <v>23814</v>
      </c>
      <c r="AR21" s="135">
        <f>AD21*(1+'Summary. Assumptions. Inputs'!$C$30)</f>
        <v>23814</v>
      </c>
      <c r="AS21" s="135">
        <f>AE21*(1+'Summary. Assumptions. Inputs'!$C$30)</f>
        <v>23814</v>
      </c>
      <c r="AT21" s="136">
        <f t="shared" si="10"/>
        <v>285768</v>
      </c>
      <c r="AV21" s="135">
        <f>AH21*(1+'Summary. Assumptions. Inputs'!$C$30)</f>
        <v>25004.7</v>
      </c>
      <c r="AW21" s="135">
        <f>AI21*(1+'Summary. Assumptions. Inputs'!$C$30)</f>
        <v>25004.7</v>
      </c>
      <c r="AX21" s="135">
        <f>AJ21*(1+'Summary. Assumptions. Inputs'!$C$30)</f>
        <v>25004.7</v>
      </c>
      <c r="AY21" s="135">
        <f>AK21*(1+'Summary. Assumptions. Inputs'!$C$30)</f>
        <v>25004.7</v>
      </c>
      <c r="AZ21" s="135">
        <f>AL21*(1+'Summary. Assumptions. Inputs'!$C$30)</f>
        <v>25004.7</v>
      </c>
      <c r="BA21" s="135">
        <f>AM21*(1+'Summary. Assumptions. Inputs'!$C$30)</f>
        <v>25004.7</v>
      </c>
      <c r="BB21" s="135">
        <f>AN21*(1+'Summary. Assumptions. Inputs'!$C$30)</f>
        <v>25004.7</v>
      </c>
      <c r="BC21" s="135">
        <f>AO21*(1+'Summary. Assumptions. Inputs'!$C$30)</f>
        <v>25004.7</v>
      </c>
      <c r="BD21" s="135">
        <f>AP21*(1+'Summary. Assumptions. Inputs'!$C$30)</f>
        <v>25004.7</v>
      </c>
      <c r="BE21" s="135">
        <f>AQ21*(1+'Summary. Assumptions. Inputs'!$C$30)</f>
        <v>25004.7</v>
      </c>
      <c r="BF21" s="135">
        <f>AR21*(1+'Summary. Assumptions. Inputs'!$C$30)</f>
        <v>25004.7</v>
      </c>
      <c r="BG21" s="135">
        <f>AS21*(1+'Summary. Assumptions. Inputs'!$C$30)</f>
        <v>25004.7</v>
      </c>
      <c r="BH21" s="136">
        <f t="shared" si="11"/>
        <v>300056.40000000008</v>
      </c>
      <c r="BJ21" s="135">
        <f>AV21*(1+'Summary. Assumptions. Inputs'!$C$30)</f>
        <v>26254.935000000001</v>
      </c>
      <c r="BK21" s="135">
        <f>AW21*(1+'Summary. Assumptions. Inputs'!$C$30)</f>
        <v>26254.935000000001</v>
      </c>
      <c r="BL21" s="135">
        <f>AX21*(1+'Summary. Assumptions. Inputs'!$C$30)</f>
        <v>26254.935000000001</v>
      </c>
      <c r="BM21" s="135">
        <f>AY21*(1+'Summary. Assumptions. Inputs'!$C$30)</f>
        <v>26254.935000000001</v>
      </c>
      <c r="BN21" s="135">
        <f>AZ21*(1+'Summary. Assumptions. Inputs'!$C$30)</f>
        <v>26254.935000000001</v>
      </c>
      <c r="BO21" s="135">
        <f>BA21*(1+'Summary. Assumptions. Inputs'!$C$30)</f>
        <v>26254.935000000001</v>
      </c>
      <c r="BP21" s="135">
        <f>BB21*(1+'Summary. Assumptions. Inputs'!$C$30)</f>
        <v>26254.935000000001</v>
      </c>
      <c r="BQ21" s="135">
        <f>BC21*(1+'Summary. Assumptions. Inputs'!$C$30)</f>
        <v>26254.935000000001</v>
      </c>
      <c r="BR21" s="135">
        <f>BD21*(1+'Summary. Assumptions. Inputs'!$C$30)</f>
        <v>26254.935000000001</v>
      </c>
      <c r="BS21" s="135">
        <f>BE21*(1+'Summary. Assumptions. Inputs'!$C$30)</f>
        <v>26254.935000000001</v>
      </c>
      <c r="BT21" s="135">
        <f>BF21*(1+'Summary. Assumptions. Inputs'!$C$30)</f>
        <v>26254.935000000001</v>
      </c>
      <c r="BU21" s="135">
        <f>BG21*(1+'Summary. Assumptions. Inputs'!$C$30)</f>
        <v>26254.935000000001</v>
      </c>
      <c r="BV21" s="136">
        <f t="shared" si="12"/>
        <v>315059.22000000003</v>
      </c>
      <c r="BX21" s="135">
        <f>BJ21*(1+'Summary. Assumptions. Inputs'!$C$30)</f>
        <v>27567.681750000003</v>
      </c>
      <c r="BY21" s="135">
        <f>BK21*(1+'Summary. Assumptions. Inputs'!$C$30)</f>
        <v>27567.681750000003</v>
      </c>
      <c r="BZ21" s="135">
        <f>BL21*(1+'Summary. Assumptions. Inputs'!$C$30)</f>
        <v>27567.681750000003</v>
      </c>
      <c r="CA21" s="135">
        <f>BM21*(1+'Summary. Assumptions. Inputs'!$C$30)</f>
        <v>27567.681750000003</v>
      </c>
      <c r="CB21" s="135">
        <f>BN21*(1+'Summary. Assumptions. Inputs'!$C$30)</f>
        <v>27567.681750000003</v>
      </c>
      <c r="CC21" s="135">
        <f>BO21*(1+'Summary. Assumptions. Inputs'!$C$30)</f>
        <v>27567.681750000003</v>
      </c>
      <c r="CD21" s="135">
        <f>BP21*(1+'Summary. Assumptions. Inputs'!$C$30)</f>
        <v>27567.681750000003</v>
      </c>
      <c r="CE21" s="135">
        <f>BQ21*(1+'Summary. Assumptions. Inputs'!$C$30)</f>
        <v>27567.681750000003</v>
      </c>
      <c r="CF21" s="135">
        <f>BR21*(1+'Summary. Assumptions. Inputs'!$C$30)</f>
        <v>27567.681750000003</v>
      </c>
      <c r="CG21" s="135">
        <f>BS21*(1+'Summary. Assumptions. Inputs'!$C$30)</f>
        <v>27567.681750000003</v>
      </c>
      <c r="CH21" s="135">
        <f>BT21*(1+'Summary. Assumptions. Inputs'!$C$30)</f>
        <v>27567.681750000003</v>
      </c>
      <c r="CI21" s="135">
        <f>BU21*(1+'Summary. Assumptions. Inputs'!$C$30)</f>
        <v>27567.681750000003</v>
      </c>
      <c r="CJ21" s="136">
        <f t="shared" si="13"/>
        <v>330812.18099999992</v>
      </c>
      <c r="CL21" s="135">
        <f>BX21*(1+'Summary. Assumptions. Inputs'!$C$30)</f>
        <v>28946.065837500006</v>
      </c>
      <c r="CM21" s="135">
        <f>BY21*(1+'Summary. Assumptions. Inputs'!$C$30)</f>
        <v>28946.065837500006</v>
      </c>
      <c r="CN21" s="135">
        <f>BZ21*(1+'Summary. Assumptions. Inputs'!$C$30)</f>
        <v>28946.065837500006</v>
      </c>
      <c r="CO21" s="135">
        <f>CA21*(1+'Summary. Assumptions. Inputs'!$C$30)</f>
        <v>28946.065837500006</v>
      </c>
      <c r="CP21" s="135">
        <f>CB21*(1+'Summary. Assumptions. Inputs'!$C$30)</f>
        <v>28946.065837500006</v>
      </c>
      <c r="CQ21" s="135">
        <f>CC21*(1+'Summary. Assumptions. Inputs'!$C$30)</f>
        <v>28946.065837500006</v>
      </c>
      <c r="CR21" s="135">
        <f>CD21*(1+'Summary. Assumptions. Inputs'!$C$30)</f>
        <v>28946.065837500006</v>
      </c>
      <c r="CS21" s="135">
        <f>CE21*(1+'Summary. Assumptions. Inputs'!$C$30)</f>
        <v>28946.065837500006</v>
      </c>
      <c r="CT21" s="135">
        <f>CF21*(1+'Summary. Assumptions. Inputs'!$C$30)</f>
        <v>28946.065837500006</v>
      </c>
      <c r="CU21" s="135">
        <f>CG21*(1+'Summary. Assumptions. Inputs'!$C$30)</f>
        <v>28946.065837500006</v>
      </c>
      <c r="CV21" s="135">
        <f>CH21*(1+'Summary. Assumptions. Inputs'!$C$30)</f>
        <v>28946.065837500006</v>
      </c>
      <c r="CW21" s="135">
        <f>CI21*(1+'Summary. Assumptions. Inputs'!$C$30)</f>
        <v>28946.065837500006</v>
      </c>
      <c r="CX21" s="136">
        <f t="shared" si="14"/>
        <v>347352.79005000007</v>
      </c>
    </row>
    <row r="22" spans="1:102" s="133" customFormat="1" ht="15" customHeight="1">
      <c r="A22" s="644" t="s">
        <v>535</v>
      </c>
      <c r="B22" s="652">
        <v>9</v>
      </c>
      <c r="C22" s="240">
        <v>2240</v>
      </c>
      <c r="D22" s="133">
        <f t="shared" si="0"/>
        <v>6300</v>
      </c>
      <c r="E22" s="134"/>
      <c r="F22" s="135">
        <f t="shared" si="15"/>
        <v>6300</v>
      </c>
      <c r="G22" s="135">
        <f t="shared" si="15"/>
        <v>6300</v>
      </c>
      <c r="H22" s="135">
        <f t="shared" si="15"/>
        <v>6300</v>
      </c>
      <c r="I22" s="135">
        <f t="shared" si="15"/>
        <v>6300</v>
      </c>
      <c r="J22" s="135">
        <f t="shared" si="15"/>
        <v>6300</v>
      </c>
      <c r="K22" s="135">
        <f t="shared" si="15"/>
        <v>6300</v>
      </c>
      <c r="L22" s="135">
        <f t="shared" si="15"/>
        <v>6300</v>
      </c>
      <c r="M22" s="135">
        <f t="shared" si="15"/>
        <v>6300</v>
      </c>
      <c r="N22" s="135">
        <f t="shared" si="15"/>
        <v>6300</v>
      </c>
      <c r="O22" s="135">
        <f t="shared" si="15"/>
        <v>6300</v>
      </c>
      <c r="P22" s="135">
        <f t="shared" si="15"/>
        <v>6300</v>
      </c>
      <c r="Q22" s="135">
        <f t="shared" si="15"/>
        <v>6300</v>
      </c>
      <c r="R22" s="136">
        <f t="shared" si="8"/>
        <v>75600</v>
      </c>
      <c r="T22" s="135">
        <f>F22*(1+'Summary. Assumptions. Inputs'!$C$30)</f>
        <v>6615</v>
      </c>
      <c r="U22" s="135">
        <f>G22*(1+'Summary. Assumptions. Inputs'!$C$30)</f>
        <v>6615</v>
      </c>
      <c r="V22" s="135">
        <f>H22*(1+'Summary. Assumptions. Inputs'!$C$30)</f>
        <v>6615</v>
      </c>
      <c r="W22" s="135">
        <f>I22*(1+'Summary. Assumptions. Inputs'!$C$30)</f>
        <v>6615</v>
      </c>
      <c r="X22" s="135">
        <f>J22*(1+'Summary. Assumptions. Inputs'!$C$30)</f>
        <v>6615</v>
      </c>
      <c r="Y22" s="135">
        <f>K22*(1+'Summary. Assumptions. Inputs'!$C$30)</f>
        <v>6615</v>
      </c>
      <c r="Z22" s="135">
        <f>L22*(1+'Summary. Assumptions. Inputs'!$C$30)</f>
        <v>6615</v>
      </c>
      <c r="AA22" s="135">
        <f>M22*(1+'Summary. Assumptions. Inputs'!$C$30)</f>
        <v>6615</v>
      </c>
      <c r="AB22" s="135">
        <f>N22*(1+'Summary. Assumptions. Inputs'!$C$30)</f>
        <v>6615</v>
      </c>
      <c r="AC22" s="135">
        <f>O22*(1+'Summary. Assumptions. Inputs'!$C$30)</f>
        <v>6615</v>
      </c>
      <c r="AD22" s="135">
        <f>P22*(1+'Summary. Assumptions. Inputs'!$C$30)</f>
        <v>6615</v>
      </c>
      <c r="AE22" s="135">
        <f>Q22*(1+'Summary. Assumptions. Inputs'!$C$30)</f>
        <v>6615</v>
      </c>
      <c r="AF22" s="136">
        <f t="shared" si="9"/>
        <v>79380</v>
      </c>
      <c r="AH22" s="135">
        <f>T22*(1+'Summary. Assumptions. Inputs'!$C$30)</f>
        <v>6945.75</v>
      </c>
      <c r="AI22" s="135">
        <f>U22*(1+'Summary. Assumptions. Inputs'!$C$30)</f>
        <v>6945.75</v>
      </c>
      <c r="AJ22" s="135">
        <f>V22*(1+'Summary. Assumptions. Inputs'!$C$30)</f>
        <v>6945.75</v>
      </c>
      <c r="AK22" s="135">
        <f>W22*(1+'Summary. Assumptions. Inputs'!$C$30)</f>
        <v>6945.75</v>
      </c>
      <c r="AL22" s="135">
        <f>X22*(1+'Summary. Assumptions. Inputs'!$C$30)</f>
        <v>6945.75</v>
      </c>
      <c r="AM22" s="135">
        <f>Y22*(1+'Summary. Assumptions. Inputs'!$C$30)</f>
        <v>6945.75</v>
      </c>
      <c r="AN22" s="135">
        <f>Z22*(1+'Summary. Assumptions. Inputs'!$C$30)</f>
        <v>6945.75</v>
      </c>
      <c r="AO22" s="135">
        <f>AA22*(1+'Summary. Assumptions. Inputs'!$C$30)</f>
        <v>6945.75</v>
      </c>
      <c r="AP22" s="135">
        <f>AB22*(1+'Summary. Assumptions. Inputs'!$C$30)</f>
        <v>6945.75</v>
      </c>
      <c r="AQ22" s="135">
        <f>AC22*(1+'Summary. Assumptions. Inputs'!$C$30)</f>
        <v>6945.75</v>
      </c>
      <c r="AR22" s="135">
        <f>AD22*(1+'Summary. Assumptions. Inputs'!$C$30)</f>
        <v>6945.75</v>
      </c>
      <c r="AS22" s="135">
        <f>AE22*(1+'Summary. Assumptions. Inputs'!$C$30)</f>
        <v>6945.75</v>
      </c>
      <c r="AT22" s="136">
        <f t="shared" si="10"/>
        <v>83349</v>
      </c>
      <c r="AV22" s="135">
        <f>AH22*(1+'Summary. Assumptions. Inputs'!$C$30)</f>
        <v>7293.0375000000004</v>
      </c>
      <c r="AW22" s="135">
        <f>AI22*(1+'Summary. Assumptions. Inputs'!$C$30)</f>
        <v>7293.0375000000004</v>
      </c>
      <c r="AX22" s="135">
        <f>AJ22*(1+'Summary. Assumptions. Inputs'!$C$30)</f>
        <v>7293.0375000000004</v>
      </c>
      <c r="AY22" s="135">
        <f>AK22*(1+'Summary. Assumptions. Inputs'!$C$30)</f>
        <v>7293.0375000000004</v>
      </c>
      <c r="AZ22" s="135">
        <f>AL22*(1+'Summary. Assumptions. Inputs'!$C$30)</f>
        <v>7293.0375000000004</v>
      </c>
      <c r="BA22" s="135">
        <f>AM22*(1+'Summary. Assumptions. Inputs'!$C$30)</f>
        <v>7293.0375000000004</v>
      </c>
      <c r="BB22" s="135">
        <f>AN22*(1+'Summary. Assumptions. Inputs'!$C$30)</f>
        <v>7293.0375000000004</v>
      </c>
      <c r="BC22" s="135">
        <f>AO22*(1+'Summary. Assumptions. Inputs'!$C$30)</f>
        <v>7293.0375000000004</v>
      </c>
      <c r="BD22" s="135">
        <f>AP22*(1+'Summary. Assumptions. Inputs'!$C$30)</f>
        <v>7293.0375000000004</v>
      </c>
      <c r="BE22" s="135">
        <f>AQ22*(1+'Summary. Assumptions. Inputs'!$C$30)</f>
        <v>7293.0375000000004</v>
      </c>
      <c r="BF22" s="135">
        <f>AR22*(1+'Summary. Assumptions. Inputs'!$C$30)</f>
        <v>7293.0375000000004</v>
      </c>
      <c r="BG22" s="135">
        <f>AS22*(1+'Summary. Assumptions. Inputs'!$C$30)</f>
        <v>7293.0375000000004</v>
      </c>
      <c r="BH22" s="136">
        <f t="shared" si="11"/>
        <v>87516.450000000012</v>
      </c>
      <c r="BJ22" s="135">
        <f>AV22*(1+'Summary. Assumptions. Inputs'!$C$30)</f>
        <v>7657.6893750000008</v>
      </c>
      <c r="BK22" s="135">
        <f>AW22*(1+'Summary. Assumptions. Inputs'!$C$30)</f>
        <v>7657.6893750000008</v>
      </c>
      <c r="BL22" s="135">
        <f>AX22*(1+'Summary. Assumptions. Inputs'!$C$30)</f>
        <v>7657.6893750000008</v>
      </c>
      <c r="BM22" s="135">
        <f>AY22*(1+'Summary. Assumptions. Inputs'!$C$30)</f>
        <v>7657.6893750000008</v>
      </c>
      <c r="BN22" s="135">
        <f>AZ22*(1+'Summary. Assumptions. Inputs'!$C$30)</f>
        <v>7657.6893750000008</v>
      </c>
      <c r="BO22" s="135">
        <f>BA22*(1+'Summary. Assumptions. Inputs'!$C$30)</f>
        <v>7657.6893750000008</v>
      </c>
      <c r="BP22" s="135">
        <f>BB22*(1+'Summary. Assumptions. Inputs'!$C$30)</f>
        <v>7657.6893750000008</v>
      </c>
      <c r="BQ22" s="135">
        <f>BC22*(1+'Summary. Assumptions. Inputs'!$C$30)</f>
        <v>7657.6893750000008</v>
      </c>
      <c r="BR22" s="135">
        <f>BD22*(1+'Summary. Assumptions. Inputs'!$C$30)</f>
        <v>7657.6893750000008</v>
      </c>
      <c r="BS22" s="135">
        <f>BE22*(1+'Summary. Assumptions. Inputs'!$C$30)</f>
        <v>7657.6893750000008</v>
      </c>
      <c r="BT22" s="135">
        <f>BF22*(1+'Summary. Assumptions. Inputs'!$C$30)</f>
        <v>7657.6893750000008</v>
      </c>
      <c r="BU22" s="135">
        <f>BG22*(1+'Summary. Assumptions. Inputs'!$C$30)</f>
        <v>7657.6893750000008</v>
      </c>
      <c r="BV22" s="136">
        <f t="shared" si="12"/>
        <v>91892.272500000006</v>
      </c>
      <c r="BX22" s="135">
        <f>BJ22*(1+'Summary. Assumptions. Inputs'!$C$30)</f>
        <v>8040.5738437500013</v>
      </c>
      <c r="BY22" s="135">
        <f>BK22*(1+'Summary. Assumptions. Inputs'!$C$30)</f>
        <v>8040.5738437500013</v>
      </c>
      <c r="BZ22" s="135">
        <f>BL22*(1+'Summary. Assumptions. Inputs'!$C$30)</f>
        <v>8040.5738437500013</v>
      </c>
      <c r="CA22" s="135">
        <f>BM22*(1+'Summary. Assumptions. Inputs'!$C$30)</f>
        <v>8040.5738437500013</v>
      </c>
      <c r="CB22" s="135">
        <f>BN22*(1+'Summary. Assumptions. Inputs'!$C$30)</f>
        <v>8040.5738437500013</v>
      </c>
      <c r="CC22" s="135">
        <f>BO22*(1+'Summary. Assumptions. Inputs'!$C$30)</f>
        <v>8040.5738437500013</v>
      </c>
      <c r="CD22" s="135">
        <f>BP22*(1+'Summary. Assumptions. Inputs'!$C$30)</f>
        <v>8040.5738437500013</v>
      </c>
      <c r="CE22" s="135">
        <f>BQ22*(1+'Summary. Assumptions. Inputs'!$C$30)</f>
        <v>8040.5738437500013</v>
      </c>
      <c r="CF22" s="135">
        <f>BR22*(1+'Summary. Assumptions. Inputs'!$C$30)</f>
        <v>8040.5738437500013</v>
      </c>
      <c r="CG22" s="135">
        <f>BS22*(1+'Summary. Assumptions. Inputs'!$C$30)</f>
        <v>8040.5738437500013</v>
      </c>
      <c r="CH22" s="135">
        <f>BT22*(1+'Summary. Assumptions. Inputs'!$C$30)</f>
        <v>8040.5738437500013</v>
      </c>
      <c r="CI22" s="135">
        <f>BU22*(1+'Summary. Assumptions. Inputs'!$C$30)</f>
        <v>8040.5738437500013</v>
      </c>
      <c r="CJ22" s="136">
        <f t="shared" si="13"/>
        <v>96486.886125000005</v>
      </c>
      <c r="CL22" s="135">
        <f>BX22*(1+'Summary. Assumptions. Inputs'!$C$30)</f>
        <v>8442.6025359375017</v>
      </c>
      <c r="CM22" s="135">
        <f>BY22*(1+'Summary. Assumptions. Inputs'!$C$30)</f>
        <v>8442.6025359375017</v>
      </c>
      <c r="CN22" s="135">
        <f>BZ22*(1+'Summary. Assumptions. Inputs'!$C$30)</f>
        <v>8442.6025359375017</v>
      </c>
      <c r="CO22" s="135">
        <f>CA22*(1+'Summary. Assumptions. Inputs'!$C$30)</f>
        <v>8442.6025359375017</v>
      </c>
      <c r="CP22" s="135">
        <f>CB22*(1+'Summary. Assumptions. Inputs'!$C$30)</f>
        <v>8442.6025359375017</v>
      </c>
      <c r="CQ22" s="135">
        <f>CC22*(1+'Summary. Assumptions. Inputs'!$C$30)</f>
        <v>8442.6025359375017</v>
      </c>
      <c r="CR22" s="135">
        <f>CD22*(1+'Summary. Assumptions. Inputs'!$C$30)</f>
        <v>8442.6025359375017</v>
      </c>
      <c r="CS22" s="135">
        <f>CE22*(1+'Summary. Assumptions. Inputs'!$C$30)</f>
        <v>8442.6025359375017</v>
      </c>
      <c r="CT22" s="135">
        <f>CF22*(1+'Summary. Assumptions. Inputs'!$C$30)</f>
        <v>8442.6025359375017</v>
      </c>
      <c r="CU22" s="135">
        <f>CG22*(1+'Summary. Assumptions. Inputs'!$C$30)</f>
        <v>8442.6025359375017</v>
      </c>
      <c r="CV22" s="135">
        <f>CH22*(1+'Summary. Assumptions. Inputs'!$C$30)</f>
        <v>8442.6025359375017</v>
      </c>
      <c r="CW22" s="135">
        <f>CI22*(1+'Summary. Assumptions. Inputs'!$C$30)</f>
        <v>8442.6025359375017</v>
      </c>
      <c r="CX22" s="136">
        <f t="shared" si="14"/>
        <v>101311.23043125005</v>
      </c>
    </row>
    <row r="23" spans="1:102" s="133" customFormat="1" ht="15" customHeight="1">
      <c r="A23" s="644" t="s">
        <v>536</v>
      </c>
      <c r="B23" s="652">
        <v>4</v>
      </c>
      <c r="C23" s="240">
        <v>2240</v>
      </c>
      <c r="D23" s="133">
        <f t="shared" si="0"/>
        <v>2800</v>
      </c>
      <c r="E23" s="134"/>
      <c r="F23" s="135">
        <f t="shared" si="15"/>
        <v>2800</v>
      </c>
      <c r="G23" s="135">
        <f t="shared" si="15"/>
        <v>2800</v>
      </c>
      <c r="H23" s="135">
        <f t="shared" si="15"/>
        <v>2800</v>
      </c>
      <c r="I23" s="135">
        <f t="shared" si="15"/>
        <v>2800</v>
      </c>
      <c r="J23" s="135">
        <f t="shared" si="15"/>
        <v>2800</v>
      </c>
      <c r="K23" s="135">
        <f t="shared" si="15"/>
        <v>2800</v>
      </c>
      <c r="L23" s="135">
        <f t="shared" si="15"/>
        <v>2800</v>
      </c>
      <c r="M23" s="135">
        <f t="shared" si="15"/>
        <v>2800</v>
      </c>
      <c r="N23" s="135">
        <f t="shared" si="15"/>
        <v>2800</v>
      </c>
      <c r="O23" s="135">
        <f t="shared" si="15"/>
        <v>2800</v>
      </c>
      <c r="P23" s="135">
        <f t="shared" si="15"/>
        <v>2800</v>
      </c>
      <c r="Q23" s="135">
        <f t="shared" si="15"/>
        <v>2800</v>
      </c>
      <c r="R23" s="136">
        <f t="shared" si="8"/>
        <v>33600</v>
      </c>
      <c r="T23" s="135">
        <f>F23*(1+'Summary. Assumptions. Inputs'!$C$30)</f>
        <v>2940</v>
      </c>
      <c r="U23" s="135">
        <f>G23*(1+'Summary. Assumptions. Inputs'!$C$30)</f>
        <v>2940</v>
      </c>
      <c r="V23" s="135">
        <f>H23*(1+'Summary. Assumptions. Inputs'!$C$30)</f>
        <v>2940</v>
      </c>
      <c r="W23" s="135">
        <f>I23*(1+'Summary. Assumptions. Inputs'!$C$30)</f>
        <v>2940</v>
      </c>
      <c r="X23" s="135">
        <f>J23*(1+'Summary. Assumptions. Inputs'!$C$30)</f>
        <v>2940</v>
      </c>
      <c r="Y23" s="135">
        <f>K23*(1+'Summary. Assumptions. Inputs'!$C$30)</f>
        <v>2940</v>
      </c>
      <c r="Z23" s="135">
        <f>L23*(1+'Summary. Assumptions. Inputs'!$C$30)</f>
        <v>2940</v>
      </c>
      <c r="AA23" s="135">
        <f>M23*(1+'Summary. Assumptions. Inputs'!$C$30)</f>
        <v>2940</v>
      </c>
      <c r="AB23" s="135">
        <f>N23*(1+'Summary. Assumptions. Inputs'!$C$30)</f>
        <v>2940</v>
      </c>
      <c r="AC23" s="135">
        <f>O23*(1+'Summary. Assumptions. Inputs'!$C$30)</f>
        <v>2940</v>
      </c>
      <c r="AD23" s="135">
        <f>P23*(1+'Summary. Assumptions. Inputs'!$C$30)</f>
        <v>2940</v>
      </c>
      <c r="AE23" s="135">
        <f>Q23*(1+'Summary. Assumptions. Inputs'!$C$30)</f>
        <v>2940</v>
      </c>
      <c r="AF23" s="136">
        <f t="shared" si="9"/>
        <v>35280</v>
      </c>
      <c r="AH23" s="135">
        <f>T23*(1+'Summary. Assumptions. Inputs'!$C$30)</f>
        <v>3087</v>
      </c>
      <c r="AI23" s="135">
        <f>U23*(1+'Summary. Assumptions. Inputs'!$C$30)</f>
        <v>3087</v>
      </c>
      <c r="AJ23" s="135">
        <f>V23*(1+'Summary. Assumptions. Inputs'!$C$30)</f>
        <v>3087</v>
      </c>
      <c r="AK23" s="135">
        <f>W23*(1+'Summary. Assumptions. Inputs'!$C$30)</f>
        <v>3087</v>
      </c>
      <c r="AL23" s="135">
        <f>X23*(1+'Summary. Assumptions. Inputs'!$C$30)</f>
        <v>3087</v>
      </c>
      <c r="AM23" s="135">
        <f>Y23*(1+'Summary. Assumptions. Inputs'!$C$30)</f>
        <v>3087</v>
      </c>
      <c r="AN23" s="135">
        <f>Z23*(1+'Summary. Assumptions. Inputs'!$C$30)</f>
        <v>3087</v>
      </c>
      <c r="AO23" s="135">
        <f>AA23*(1+'Summary. Assumptions. Inputs'!$C$30)</f>
        <v>3087</v>
      </c>
      <c r="AP23" s="135">
        <f>AB23*(1+'Summary. Assumptions. Inputs'!$C$30)</f>
        <v>3087</v>
      </c>
      <c r="AQ23" s="135">
        <f>AC23*(1+'Summary. Assumptions. Inputs'!$C$30)</f>
        <v>3087</v>
      </c>
      <c r="AR23" s="135">
        <f>AD23*(1+'Summary. Assumptions. Inputs'!$C$30)</f>
        <v>3087</v>
      </c>
      <c r="AS23" s="135">
        <f>AE23*(1+'Summary. Assumptions. Inputs'!$C$30)</f>
        <v>3087</v>
      </c>
      <c r="AT23" s="136">
        <f t="shared" si="10"/>
        <v>37044</v>
      </c>
      <c r="AV23" s="135">
        <f>AH23*(1+'Summary. Assumptions. Inputs'!$C$30)</f>
        <v>3241.3500000000004</v>
      </c>
      <c r="AW23" s="135">
        <f>AI23*(1+'Summary. Assumptions. Inputs'!$C$30)</f>
        <v>3241.3500000000004</v>
      </c>
      <c r="AX23" s="135">
        <f>AJ23*(1+'Summary. Assumptions. Inputs'!$C$30)</f>
        <v>3241.3500000000004</v>
      </c>
      <c r="AY23" s="135">
        <f>AK23*(1+'Summary. Assumptions. Inputs'!$C$30)</f>
        <v>3241.3500000000004</v>
      </c>
      <c r="AZ23" s="135">
        <f>AL23*(1+'Summary. Assumptions. Inputs'!$C$30)</f>
        <v>3241.3500000000004</v>
      </c>
      <c r="BA23" s="135">
        <f>AM23*(1+'Summary. Assumptions. Inputs'!$C$30)</f>
        <v>3241.3500000000004</v>
      </c>
      <c r="BB23" s="135">
        <f>AN23*(1+'Summary. Assumptions. Inputs'!$C$30)</f>
        <v>3241.3500000000004</v>
      </c>
      <c r="BC23" s="135">
        <f>AO23*(1+'Summary. Assumptions. Inputs'!$C$30)</f>
        <v>3241.3500000000004</v>
      </c>
      <c r="BD23" s="135">
        <f>AP23*(1+'Summary. Assumptions. Inputs'!$C$30)</f>
        <v>3241.3500000000004</v>
      </c>
      <c r="BE23" s="135">
        <f>AQ23*(1+'Summary. Assumptions. Inputs'!$C$30)</f>
        <v>3241.3500000000004</v>
      </c>
      <c r="BF23" s="135">
        <f>AR23*(1+'Summary. Assumptions. Inputs'!$C$30)</f>
        <v>3241.3500000000004</v>
      </c>
      <c r="BG23" s="135">
        <f>AS23*(1+'Summary. Assumptions. Inputs'!$C$30)</f>
        <v>3241.3500000000004</v>
      </c>
      <c r="BH23" s="136">
        <f t="shared" si="11"/>
        <v>38896.199999999997</v>
      </c>
      <c r="BJ23" s="135">
        <f>AV23*(1+'Summary. Assumptions. Inputs'!$C$30)</f>
        <v>3403.4175000000005</v>
      </c>
      <c r="BK23" s="135">
        <f>AW23*(1+'Summary. Assumptions. Inputs'!$C$30)</f>
        <v>3403.4175000000005</v>
      </c>
      <c r="BL23" s="135">
        <f>AX23*(1+'Summary. Assumptions. Inputs'!$C$30)</f>
        <v>3403.4175000000005</v>
      </c>
      <c r="BM23" s="135">
        <f>AY23*(1+'Summary. Assumptions. Inputs'!$C$30)</f>
        <v>3403.4175000000005</v>
      </c>
      <c r="BN23" s="135">
        <f>AZ23*(1+'Summary. Assumptions. Inputs'!$C$30)</f>
        <v>3403.4175000000005</v>
      </c>
      <c r="BO23" s="135">
        <f>BA23*(1+'Summary. Assumptions. Inputs'!$C$30)</f>
        <v>3403.4175000000005</v>
      </c>
      <c r="BP23" s="135">
        <f>BB23*(1+'Summary. Assumptions. Inputs'!$C$30)</f>
        <v>3403.4175000000005</v>
      </c>
      <c r="BQ23" s="135">
        <f>BC23*(1+'Summary. Assumptions. Inputs'!$C$30)</f>
        <v>3403.4175000000005</v>
      </c>
      <c r="BR23" s="135">
        <f>BD23*(1+'Summary. Assumptions. Inputs'!$C$30)</f>
        <v>3403.4175000000005</v>
      </c>
      <c r="BS23" s="135">
        <f>BE23*(1+'Summary. Assumptions. Inputs'!$C$30)</f>
        <v>3403.4175000000005</v>
      </c>
      <c r="BT23" s="135">
        <f>BF23*(1+'Summary. Assumptions. Inputs'!$C$30)</f>
        <v>3403.4175000000005</v>
      </c>
      <c r="BU23" s="135">
        <f>BG23*(1+'Summary. Assumptions. Inputs'!$C$30)</f>
        <v>3403.4175000000005</v>
      </c>
      <c r="BV23" s="136">
        <f t="shared" si="12"/>
        <v>40841.010000000009</v>
      </c>
      <c r="BX23" s="135">
        <f>BJ23*(1+'Summary. Assumptions. Inputs'!$C$30)</f>
        <v>3573.5883750000007</v>
      </c>
      <c r="BY23" s="135">
        <f>BK23*(1+'Summary. Assumptions. Inputs'!$C$30)</f>
        <v>3573.5883750000007</v>
      </c>
      <c r="BZ23" s="135">
        <f>BL23*(1+'Summary. Assumptions. Inputs'!$C$30)</f>
        <v>3573.5883750000007</v>
      </c>
      <c r="CA23" s="135">
        <f>BM23*(1+'Summary. Assumptions. Inputs'!$C$30)</f>
        <v>3573.5883750000007</v>
      </c>
      <c r="CB23" s="135">
        <f>BN23*(1+'Summary. Assumptions. Inputs'!$C$30)</f>
        <v>3573.5883750000007</v>
      </c>
      <c r="CC23" s="135">
        <f>BO23*(1+'Summary. Assumptions. Inputs'!$C$30)</f>
        <v>3573.5883750000007</v>
      </c>
      <c r="CD23" s="135">
        <f>BP23*(1+'Summary. Assumptions. Inputs'!$C$30)</f>
        <v>3573.5883750000007</v>
      </c>
      <c r="CE23" s="135">
        <f>BQ23*(1+'Summary. Assumptions. Inputs'!$C$30)</f>
        <v>3573.5883750000007</v>
      </c>
      <c r="CF23" s="135">
        <f>BR23*(1+'Summary. Assumptions. Inputs'!$C$30)</f>
        <v>3573.5883750000007</v>
      </c>
      <c r="CG23" s="135">
        <f>BS23*(1+'Summary. Assumptions. Inputs'!$C$30)</f>
        <v>3573.5883750000007</v>
      </c>
      <c r="CH23" s="135">
        <f>BT23*(1+'Summary. Assumptions. Inputs'!$C$30)</f>
        <v>3573.5883750000007</v>
      </c>
      <c r="CI23" s="135">
        <f>BU23*(1+'Summary. Assumptions. Inputs'!$C$30)</f>
        <v>3573.5883750000007</v>
      </c>
      <c r="CJ23" s="136">
        <f t="shared" si="13"/>
        <v>42883.0605</v>
      </c>
      <c r="CL23" s="135">
        <f>BX23*(1+'Summary. Assumptions. Inputs'!$C$30)</f>
        <v>3752.2677937500007</v>
      </c>
      <c r="CM23" s="135">
        <f>BY23*(1+'Summary. Assumptions. Inputs'!$C$30)</f>
        <v>3752.2677937500007</v>
      </c>
      <c r="CN23" s="135">
        <f>BZ23*(1+'Summary. Assumptions. Inputs'!$C$30)</f>
        <v>3752.2677937500007</v>
      </c>
      <c r="CO23" s="135">
        <f>CA23*(1+'Summary. Assumptions. Inputs'!$C$30)</f>
        <v>3752.2677937500007</v>
      </c>
      <c r="CP23" s="135">
        <f>CB23*(1+'Summary. Assumptions. Inputs'!$C$30)</f>
        <v>3752.2677937500007</v>
      </c>
      <c r="CQ23" s="135">
        <f>CC23*(1+'Summary. Assumptions. Inputs'!$C$30)</f>
        <v>3752.2677937500007</v>
      </c>
      <c r="CR23" s="135">
        <f>CD23*(1+'Summary. Assumptions. Inputs'!$C$30)</f>
        <v>3752.2677937500007</v>
      </c>
      <c r="CS23" s="135">
        <f>CE23*(1+'Summary. Assumptions. Inputs'!$C$30)</f>
        <v>3752.2677937500007</v>
      </c>
      <c r="CT23" s="135">
        <f>CF23*(1+'Summary. Assumptions. Inputs'!$C$30)</f>
        <v>3752.2677937500007</v>
      </c>
      <c r="CU23" s="135">
        <f>CG23*(1+'Summary. Assumptions. Inputs'!$C$30)</f>
        <v>3752.2677937500007</v>
      </c>
      <c r="CV23" s="135">
        <f>CH23*(1+'Summary. Assumptions. Inputs'!$C$30)</f>
        <v>3752.2677937500007</v>
      </c>
      <c r="CW23" s="135">
        <f>CI23*(1+'Summary. Assumptions. Inputs'!$C$30)</f>
        <v>3752.2677937500007</v>
      </c>
      <c r="CX23" s="136">
        <f t="shared" si="14"/>
        <v>45027.213524999999</v>
      </c>
    </row>
    <row r="24" spans="1:102" s="133" customFormat="1" ht="15" customHeight="1">
      <c r="A24" s="644" t="s">
        <v>537</v>
      </c>
      <c r="B24" s="652">
        <v>6</v>
      </c>
      <c r="C24" s="240">
        <v>2240</v>
      </c>
      <c r="D24" s="133">
        <f t="shared" si="0"/>
        <v>4200</v>
      </c>
      <c r="E24" s="134"/>
      <c r="F24" s="135">
        <f t="shared" si="15"/>
        <v>4200</v>
      </c>
      <c r="G24" s="135">
        <f t="shared" si="15"/>
        <v>4200</v>
      </c>
      <c r="H24" s="135">
        <f t="shared" si="15"/>
        <v>4200</v>
      </c>
      <c r="I24" s="135">
        <f t="shared" si="15"/>
        <v>4200</v>
      </c>
      <c r="J24" s="135">
        <f t="shared" si="15"/>
        <v>4200</v>
      </c>
      <c r="K24" s="135">
        <f t="shared" si="15"/>
        <v>4200</v>
      </c>
      <c r="L24" s="135">
        <f t="shared" si="15"/>
        <v>4200</v>
      </c>
      <c r="M24" s="135">
        <f t="shared" si="15"/>
        <v>4200</v>
      </c>
      <c r="N24" s="135">
        <f t="shared" si="15"/>
        <v>4200</v>
      </c>
      <c r="O24" s="135">
        <f t="shared" si="15"/>
        <v>4200</v>
      </c>
      <c r="P24" s="135">
        <f t="shared" si="15"/>
        <v>4200</v>
      </c>
      <c r="Q24" s="135">
        <f t="shared" si="15"/>
        <v>4200</v>
      </c>
      <c r="R24" s="136">
        <f t="shared" si="8"/>
        <v>50400</v>
      </c>
      <c r="T24" s="135">
        <f>F24*(1+'Summary. Assumptions. Inputs'!$C$30)</f>
        <v>4410</v>
      </c>
      <c r="U24" s="135">
        <f>G24*(1+'Summary. Assumptions. Inputs'!$C$30)</f>
        <v>4410</v>
      </c>
      <c r="V24" s="135">
        <f>H24*(1+'Summary. Assumptions. Inputs'!$C$30)</f>
        <v>4410</v>
      </c>
      <c r="W24" s="135">
        <f>I24*(1+'Summary. Assumptions. Inputs'!$C$30)</f>
        <v>4410</v>
      </c>
      <c r="X24" s="135">
        <f>J24*(1+'Summary. Assumptions. Inputs'!$C$30)</f>
        <v>4410</v>
      </c>
      <c r="Y24" s="135">
        <f>K24*(1+'Summary. Assumptions. Inputs'!$C$30)</f>
        <v>4410</v>
      </c>
      <c r="Z24" s="135">
        <f>L24*(1+'Summary. Assumptions. Inputs'!$C$30)</f>
        <v>4410</v>
      </c>
      <c r="AA24" s="135">
        <f>M24*(1+'Summary. Assumptions. Inputs'!$C$30)</f>
        <v>4410</v>
      </c>
      <c r="AB24" s="135">
        <f>N24*(1+'Summary. Assumptions. Inputs'!$C$30)</f>
        <v>4410</v>
      </c>
      <c r="AC24" s="135">
        <f>O24*(1+'Summary. Assumptions. Inputs'!$C$30)</f>
        <v>4410</v>
      </c>
      <c r="AD24" s="135">
        <f>P24*(1+'Summary. Assumptions. Inputs'!$C$30)</f>
        <v>4410</v>
      </c>
      <c r="AE24" s="135">
        <f>Q24*(1+'Summary. Assumptions. Inputs'!$C$30)</f>
        <v>4410</v>
      </c>
      <c r="AF24" s="136">
        <f t="shared" si="9"/>
        <v>52920</v>
      </c>
      <c r="AH24" s="135">
        <f>T24*(1+'Summary. Assumptions. Inputs'!$C$30)</f>
        <v>4630.5</v>
      </c>
      <c r="AI24" s="135">
        <f>U24*(1+'Summary. Assumptions. Inputs'!$C$30)</f>
        <v>4630.5</v>
      </c>
      <c r="AJ24" s="135">
        <f>V24*(1+'Summary. Assumptions. Inputs'!$C$30)</f>
        <v>4630.5</v>
      </c>
      <c r="AK24" s="135">
        <f>W24*(1+'Summary. Assumptions. Inputs'!$C$30)</f>
        <v>4630.5</v>
      </c>
      <c r="AL24" s="135">
        <f>X24*(1+'Summary. Assumptions. Inputs'!$C$30)</f>
        <v>4630.5</v>
      </c>
      <c r="AM24" s="135">
        <f>Y24*(1+'Summary. Assumptions. Inputs'!$C$30)</f>
        <v>4630.5</v>
      </c>
      <c r="AN24" s="135">
        <f>Z24*(1+'Summary. Assumptions. Inputs'!$C$30)</f>
        <v>4630.5</v>
      </c>
      <c r="AO24" s="135">
        <f>AA24*(1+'Summary. Assumptions. Inputs'!$C$30)</f>
        <v>4630.5</v>
      </c>
      <c r="AP24" s="135">
        <f>AB24*(1+'Summary. Assumptions. Inputs'!$C$30)</f>
        <v>4630.5</v>
      </c>
      <c r="AQ24" s="135">
        <f>AC24*(1+'Summary. Assumptions. Inputs'!$C$30)</f>
        <v>4630.5</v>
      </c>
      <c r="AR24" s="135">
        <f>AD24*(1+'Summary. Assumptions. Inputs'!$C$30)</f>
        <v>4630.5</v>
      </c>
      <c r="AS24" s="135">
        <f>AE24*(1+'Summary. Assumptions. Inputs'!$C$30)</f>
        <v>4630.5</v>
      </c>
      <c r="AT24" s="136">
        <f t="shared" si="10"/>
        <v>55566</v>
      </c>
      <c r="AV24" s="135">
        <f>AH24*(1+'Summary. Assumptions. Inputs'!$C$30)</f>
        <v>4862.0250000000005</v>
      </c>
      <c r="AW24" s="135">
        <f>AI24*(1+'Summary. Assumptions. Inputs'!$C$30)</f>
        <v>4862.0250000000005</v>
      </c>
      <c r="AX24" s="135">
        <f>AJ24*(1+'Summary. Assumptions. Inputs'!$C$30)</f>
        <v>4862.0250000000005</v>
      </c>
      <c r="AY24" s="135">
        <f>AK24*(1+'Summary. Assumptions. Inputs'!$C$30)</f>
        <v>4862.0250000000005</v>
      </c>
      <c r="AZ24" s="135">
        <f>AL24*(1+'Summary. Assumptions. Inputs'!$C$30)</f>
        <v>4862.0250000000005</v>
      </c>
      <c r="BA24" s="135">
        <f>AM24*(1+'Summary. Assumptions. Inputs'!$C$30)</f>
        <v>4862.0250000000005</v>
      </c>
      <c r="BB24" s="135">
        <f>AN24*(1+'Summary. Assumptions. Inputs'!$C$30)</f>
        <v>4862.0250000000005</v>
      </c>
      <c r="BC24" s="135">
        <f>AO24*(1+'Summary. Assumptions. Inputs'!$C$30)</f>
        <v>4862.0250000000005</v>
      </c>
      <c r="BD24" s="135">
        <f>AP24*(1+'Summary. Assumptions. Inputs'!$C$30)</f>
        <v>4862.0250000000005</v>
      </c>
      <c r="BE24" s="135">
        <f>AQ24*(1+'Summary. Assumptions. Inputs'!$C$30)</f>
        <v>4862.0250000000005</v>
      </c>
      <c r="BF24" s="135">
        <f>AR24*(1+'Summary. Assumptions. Inputs'!$C$30)</f>
        <v>4862.0250000000005</v>
      </c>
      <c r="BG24" s="135">
        <f>AS24*(1+'Summary. Assumptions. Inputs'!$C$30)</f>
        <v>4862.0250000000005</v>
      </c>
      <c r="BH24" s="136">
        <f t="shared" si="11"/>
        <v>58344.30000000001</v>
      </c>
      <c r="BJ24" s="135">
        <f>AV24*(1+'Summary. Assumptions. Inputs'!$C$30)</f>
        <v>5105.1262500000012</v>
      </c>
      <c r="BK24" s="135">
        <f>AW24*(1+'Summary. Assumptions. Inputs'!$C$30)</f>
        <v>5105.1262500000012</v>
      </c>
      <c r="BL24" s="135">
        <f>AX24*(1+'Summary. Assumptions. Inputs'!$C$30)</f>
        <v>5105.1262500000012</v>
      </c>
      <c r="BM24" s="135">
        <f>AY24*(1+'Summary. Assumptions. Inputs'!$C$30)</f>
        <v>5105.1262500000012</v>
      </c>
      <c r="BN24" s="135">
        <f>AZ24*(1+'Summary. Assumptions. Inputs'!$C$30)</f>
        <v>5105.1262500000012</v>
      </c>
      <c r="BO24" s="135">
        <f>BA24*(1+'Summary. Assumptions. Inputs'!$C$30)</f>
        <v>5105.1262500000012</v>
      </c>
      <c r="BP24" s="135">
        <f>BB24*(1+'Summary. Assumptions. Inputs'!$C$30)</f>
        <v>5105.1262500000012</v>
      </c>
      <c r="BQ24" s="135">
        <f>BC24*(1+'Summary. Assumptions. Inputs'!$C$30)</f>
        <v>5105.1262500000012</v>
      </c>
      <c r="BR24" s="135">
        <f>BD24*(1+'Summary. Assumptions. Inputs'!$C$30)</f>
        <v>5105.1262500000012</v>
      </c>
      <c r="BS24" s="135">
        <f>BE24*(1+'Summary. Assumptions. Inputs'!$C$30)</f>
        <v>5105.1262500000012</v>
      </c>
      <c r="BT24" s="135">
        <f>BF24*(1+'Summary. Assumptions. Inputs'!$C$30)</f>
        <v>5105.1262500000012</v>
      </c>
      <c r="BU24" s="135">
        <f>BG24*(1+'Summary. Assumptions. Inputs'!$C$30)</f>
        <v>5105.1262500000012</v>
      </c>
      <c r="BV24" s="136">
        <f t="shared" si="12"/>
        <v>61261.515000000014</v>
      </c>
      <c r="BX24" s="135">
        <f>BJ24*(1+'Summary. Assumptions. Inputs'!$C$30)</f>
        <v>5360.3825625000018</v>
      </c>
      <c r="BY24" s="135">
        <f>BK24*(1+'Summary. Assumptions. Inputs'!$C$30)</f>
        <v>5360.3825625000018</v>
      </c>
      <c r="BZ24" s="135">
        <f>BL24*(1+'Summary. Assumptions. Inputs'!$C$30)</f>
        <v>5360.3825625000018</v>
      </c>
      <c r="CA24" s="135">
        <f>BM24*(1+'Summary. Assumptions. Inputs'!$C$30)</f>
        <v>5360.3825625000018</v>
      </c>
      <c r="CB24" s="135">
        <f>BN24*(1+'Summary. Assumptions. Inputs'!$C$30)</f>
        <v>5360.3825625000018</v>
      </c>
      <c r="CC24" s="135">
        <f>BO24*(1+'Summary. Assumptions. Inputs'!$C$30)</f>
        <v>5360.3825625000018</v>
      </c>
      <c r="CD24" s="135">
        <f>BP24*(1+'Summary. Assumptions. Inputs'!$C$30)</f>
        <v>5360.3825625000018</v>
      </c>
      <c r="CE24" s="135">
        <f>BQ24*(1+'Summary. Assumptions. Inputs'!$C$30)</f>
        <v>5360.3825625000018</v>
      </c>
      <c r="CF24" s="135">
        <f>BR24*(1+'Summary. Assumptions. Inputs'!$C$30)</f>
        <v>5360.3825625000018</v>
      </c>
      <c r="CG24" s="135">
        <f>BS24*(1+'Summary. Assumptions. Inputs'!$C$30)</f>
        <v>5360.3825625000018</v>
      </c>
      <c r="CH24" s="135">
        <f>BT24*(1+'Summary. Assumptions. Inputs'!$C$30)</f>
        <v>5360.3825625000018</v>
      </c>
      <c r="CI24" s="135">
        <f>BU24*(1+'Summary. Assumptions. Inputs'!$C$30)</f>
        <v>5360.3825625000018</v>
      </c>
      <c r="CJ24" s="136">
        <f t="shared" si="13"/>
        <v>64324.590750000025</v>
      </c>
      <c r="CL24" s="135">
        <f>BX24*(1+'Summary. Assumptions. Inputs'!$C$30)</f>
        <v>5628.4016906250017</v>
      </c>
      <c r="CM24" s="135">
        <f>BY24*(1+'Summary. Assumptions. Inputs'!$C$30)</f>
        <v>5628.4016906250017</v>
      </c>
      <c r="CN24" s="135">
        <f>BZ24*(1+'Summary. Assumptions. Inputs'!$C$30)</f>
        <v>5628.4016906250017</v>
      </c>
      <c r="CO24" s="135">
        <f>CA24*(1+'Summary. Assumptions. Inputs'!$C$30)</f>
        <v>5628.4016906250017</v>
      </c>
      <c r="CP24" s="135">
        <f>CB24*(1+'Summary. Assumptions. Inputs'!$C$30)</f>
        <v>5628.4016906250017</v>
      </c>
      <c r="CQ24" s="135">
        <f>CC24*(1+'Summary. Assumptions. Inputs'!$C$30)</f>
        <v>5628.4016906250017</v>
      </c>
      <c r="CR24" s="135">
        <f>CD24*(1+'Summary. Assumptions. Inputs'!$C$30)</f>
        <v>5628.4016906250017</v>
      </c>
      <c r="CS24" s="135">
        <f>CE24*(1+'Summary. Assumptions. Inputs'!$C$30)</f>
        <v>5628.4016906250017</v>
      </c>
      <c r="CT24" s="135">
        <f>CF24*(1+'Summary. Assumptions. Inputs'!$C$30)</f>
        <v>5628.4016906250017</v>
      </c>
      <c r="CU24" s="135">
        <f>CG24*(1+'Summary. Assumptions. Inputs'!$C$30)</f>
        <v>5628.4016906250017</v>
      </c>
      <c r="CV24" s="135">
        <f>CH24*(1+'Summary. Assumptions. Inputs'!$C$30)</f>
        <v>5628.4016906250017</v>
      </c>
      <c r="CW24" s="135">
        <f>CI24*(1+'Summary. Assumptions. Inputs'!$C$30)</f>
        <v>5628.4016906250017</v>
      </c>
      <c r="CX24" s="136">
        <f t="shared" si="14"/>
        <v>67540.820287500028</v>
      </c>
    </row>
    <row r="25" spans="1:102" s="133" customFormat="1" ht="15" customHeight="1">
      <c r="A25" s="645" t="s">
        <v>538</v>
      </c>
      <c r="B25" s="652"/>
      <c r="C25" s="240"/>
      <c r="D25" s="133">
        <f t="shared" si="0"/>
        <v>0</v>
      </c>
      <c r="E25" s="134"/>
      <c r="F25" s="135">
        <f t="shared" si="15"/>
        <v>0</v>
      </c>
      <c r="G25" s="135">
        <f t="shared" si="15"/>
        <v>0</v>
      </c>
      <c r="H25" s="135">
        <f t="shared" si="15"/>
        <v>0</v>
      </c>
      <c r="I25" s="135">
        <f t="shared" si="15"/>
        <v>0</v>
      </c>
      <c r="J25" s="135">
        <f t="shared" si="15"/>
        <v>0</v>
      </c>
      <c r="K25" s="135">
        <f t="shared" si="15"/>
        <v>0</v>
      </c>
      <c r="L25" s="135">
        <f t="shared" si="15"/>
        <v>0</v>
      </c>
      <c r="M25" s="135">
        <f t="shared" si="15"/>
        <v>0</v>
      </c>
      <c r="N25" s="135">
        <f t="shared" si="15"/>
        <v>0</v>
      </c>
      <c r="O25" s="135">
        <f t="shared" si="15"/>
        <v>0</v>
      </c>
      <c r="P25" s="135">
        <f t="shared" si="15"/>
        <v>0</v>
      </c>
      <c r="Q25" s="135">
        <f t="shared" si="15"/>
        <v>0</v>
      </c>
      <c r="R25" s="136">
        <f t="shared" si="8"/>
        <v>0</v>
      </c>
      <c r="T25" s="135">
        <f>F25*(1+'Summary. Assumptions. Inputs'!$C$30)</f>
        <v>0</v>
      </c>
      <c r="U25" s="135">
        <f>G25*(1+'Summary. Assumptions. Inputs'!$C$30)</f>
        <v>0</v>
      </c>
      <c r="V25" s="135">
        <f>H25*(1+'Summary. Assumptions. Inputs'!$C$30)</f>
        <v>0</v>
      </c>
      <c r="W25" s="135">
        <f>I25*(1+'Summary. Assumptions. Inputs'!$C$30)</f>
        <v>0</v>
      </c>
      <c r="X25" s="135">
        <f>J25*(1+'Summary. Assumptions. Inputs'!$C$30)</f>
        <v>0</v>
      </c>
      <c r="Y25" s="135">
        <f>K25*(1+'Summary. Assumptions. Inputs'!$C$30)</f>
        <v>0</v>
      </c>
      <c r="Z25" s="135">
        <f>L25*(1+'Summary. Assumptions. Inputs'!$C$30)</f>
        <v>0</v>
      </c>
      <c r="AA25" s="135">
        <f>M25*(1+'Summary. Assumptions. Inputs'!$C$30)</f>
        <v>0</v>
      </c>
      <c r="AB25" s="135">
        <f>N25*(1+'Summary. Assumptions. Inputs'!$C$30)</f>
        <v>0</v>
      </c>
      <c r="AC25" s="135">
        <f>O25*(1+'Summary. Assumptions. Inputs'!$C$30)</f>
        <v>0</v>
      </c>
      <c r="AD25" s="135">
        <f>P25*(1+'Summary. Assumptions. Inputs'!$C$30)</f>
        <v>0</v>
      </c>
      <c r="AE25" s="135">
        <f>Q25*(1+'Summary. Assumptions. Inputs'!$C$30)</f>
        <v>0</v>
      </c>
      <c r="AF25" s="136">
        <f t="shared" si="9"/>
        <v>0</v>
      </c>
      <c r="AH25" s="135">
        <f>T25*(1+'Summary. Assumptions. Inputs'!$C$30)</f>
        <v>0</v>
      </c>
      <c r="AI25" s="135">
        <f>U25*(1+'Summary. Assumptions. Inputs'!$C$30)</f>
        <v>0</v>
      </c>
      <c r="AJ25" s="135">
        <f>V25*(1+'Summary. Assumptions. Inputs'!$C$30)</f>
        <v>0</v>
      </c>
      <c r="AK25" s="135">
        <f>W25*(1+'Summary. Assumptions. Inputs'!$C$30)</f>
        <v>0</v>
      </c>
      <c r="AL25" s="135">
        <f>X25*(1+'Summary. Assumptions. Inputs'!$C$30)</f>
        <v>0</v>
      </c>
      <c r="AM25" s="135">
        <f>Y25*(1+'Summary. Assumptions. Inputs'!$C$30)</f>
        <v>0</v>
      </c>
      <c r="AN25" s="135">
        <f>Z25*(1+'Summary. Assumptions. Inputs'!$C$30)</f>
        <v>0</v>
      </c>
      <c r="AO25" s="135">
        <f>AA25*(1+'Summary. Assumptions. Inputs'!$C$30)</f>
        <v>0</v>
      </c>
      <c r="AP25" s="135">
        <f>AB25*(1+'Summary. Assumptions. Inputs'!$C$30)</f>
        <v>0</v>
      </c>
      <c r="AQ25" s="135">
        <f>AC25*(1+'Summary. Assumptions. Inputs'!$C$30)</f>
        <v>0</v>
      </c>
      <c r="AR25" s="135">
        <f>AD25*(1+'Summary. Assumptions. Inputs'!$C$30)</f>
        <v>0</v>
      </c>
      <c r="AS25" s="135">
        <f>AE25*(1+'Summary. Assumptions. Inputs'!$C$30)</f>
        <v>0</v>
      </c>
      <c r="AT25" s="136">
        <f t="shared" si="10"/>
        <v>0</v>
      </c>
      <c r="AV25" s="135">
        <f>AH25*(1+'Summary. Assumptions. Inputs'!$C$30)</f>
        <v>0</v>
      </c>
      <c r="AW25" s="135">
        <f>AI25*(1+'Summary. Assumptions. Inputs'!$C$30)</f>
        <v>0</v>
      </c>
      <c r="AX25" s="135">
        <f>AJ25*(1+'Summary. Assumptions. Inputs'!$C$30)</f>
        <v>0</v>
      </c>
      <c r="AY25" s="135">
        <f>AK25*(1+'Summary. Assumptions. Inputs'!$C$30)</f>
        <v>0</v>
      </c>
      <c r="AZ25" s="135">
        <f>AL25*(1+'Summary. Assumptions. Inputs'!$C$30)</f>
        <v>0</v>
      </c>
      <c r="BA25" s="135">
        <f>AM25*(1+'Summary. Assumptions. Inputs'!$C$30)</f>
        <v>0</v>
      </c>
      <c r="BB25" s="135">
        <f>AN25*(1+'Summary. Assumptions. Inputs'!$C$30)</f>
        <v>0</v>
      </c>
      <c r="BC25" s="135">
        <f>AO25*(1+'Summary. Assumptions. Inputs'!$C$30)</f>
        <v>0</v>
      </c>
      <c r="BD25" s="135">
        <f>AP25*(1+'Summary. Assumptions. Inputs'!$C$30)</f>
        <v>0</v>
      </c>
      <c r="BE25" s="135">
        <f>AQ25*(1+'Summary. Assumptions. Inputs'!$C$30)</f>
        <v>0</v>
      </c>
      <c r="BF25" s="135">
        <f>AR25*(1+'Summary. Assumptions. Inputs'!$C$30)</f>
        <v>0</v>
      </c>
      <c r="BG25" s="135">
        <f>AS25*(1+'Summary. Assumptions. Inputs'!$C$30)</f>
        <v>0</v>
      </c>
      <c r="BH25" s="136">
        <f t="shared" si="11"/>
        <v>0</v>
      </c>
      <c r="BJ25" s="135">
        <f>AV25*(1+'Summary. Assumptions. Inputs'!$C$30)</f>
        <v>0</v>
      </c>
      <c r="BK25" s="135">
        <f>AW25*(1+'Summary. Assumptions. Inputs'!$C$30)</f>
        <v>0</v>
      </c>
      <c r="BL25" s="135">
        <f>AX25*(1+'Summary. Assumptions. Inputs'!$C$30)</f>
        <v>0</v>
      </c>
      <c r="BM25" s="135">
        <f>AY25*(1+'Summary. Assumptions. Inputs'!$C$30)</f>
        <v>0</v>
      </c>
      <c r="BN25" s="135">
        <f>AZ25*(1+'Summary. Assumptions. Inputs'!$C$30)</f>
        <v>0</v>
      </c>
      <c r="BO25" s="135">
        <f>BA25*(1+'Summary. Assumptions. Inputs'!$C$30)</f>
        <v>0</v>
      </c>
      <c r="BP25" s="135">
        <f>BB25*(1+'Summary. Assumptions. Inputs'!$C$30)</f>
        <v>0</v>
      </c>
      <c r="BQ25" s="135">
        <f>BC25*(1+'Summary. Assumptions. Inputs'!$C$30)</f>
        <v>0</v>
      </c>
      <c r="BR25" s="135">
        <f>BD25*(1+'Summary. Assumptions. Inputs'!$C$30)</f>
        <v>0</v>
      </c>
      <c r="BS25" s="135">
        <f>BE25*(1+'Summary. Assumptions. Inputs'!$C$30)</f>
        <v>0</v>
      </c>
      <c r="BT25" s="135">
        <f>BF25*(1+'Summary. Assumptions. Inputs'!$C$30)</f>
        <v>0</v>
      </c>
      <c r="BU25" s="135">
        <f>BG25*(1+'Summary. Assumptions. Inputs'!$C$30)</f>
        <v>0</v>
      </c>
      <c r="BV25" s="136">
        <f t="shared" si="12"/>
        <v>0</v>
      </c>
      <c r="BX25" s="135">
        <f>BJ25*(1+'Summary. Assumptions. Inputs'!$C$30)</f>
        <v>0</v>
      </c>
      <c r="BY25" s="135">
        <f>BK25*(1+'Summary. Assumptions. Inputs'!$C$30)</f>
        <v>0</v>
      </c>
      <c r="BZ25" s="135">
        <f>BL25*(1+'Summary. Assumptions. Inputs'!$C$30)</f>
        <v>0</v>
      </c>
      <c r="CA25" s="135">
        <f>BM25*(1+'Summary. Assumptions. Inputs'!$C$30)</f>
        <v>0</v>
      </c>
      <c r="CB25" s="135">
        <f>BN25*(1+'Summary. Assumptions. Inputs'!$C$30)</f>
        <v>0</v>
      </c>
      <c r="CC25" s="135">
        <f>BO25*(1+'Summary. Assumptions. Inputs'!$C$30)</f>
        <v>0</v>
      </c>
      <c r="CD25" s="135">
        <f>BP25*(1+'Summary. Assumptions. Inputs'!$C$30)</f>
        <v>0</v>
      </c>
      <c r="CE25" s="135">
        <f>BQ25*(1+'Summary. Assumptions. Inputs'!$C$30)</f>
        <v>0</v>
      </c>
      <c r="CF25" s="135">
        <f>BR25*(1+'Summary. Assumptions. Inputs'!$C$30)</f>
        <v>0</v>
      </c>
      <c r="CG25" s="135">
        <f>BS25*(1+'Summary. Assumptions. Inputs'!$C$30)</f>
        <v>0</v>
      </c>
      <c r="CH25" s="135">
        <f>BT25*(1+'Summary. Assumptions. Inputs'!$C$30)</f>
        <v>0</v>
      </c>
      <c r="CI25" s="135">
        <f>BU25*(1+'Summary. Assumptions. Inputs'!$C$30)</f>
        <v>0</v>
      </c>
      <c r="CJ25" s="136">
        <f t="shared" si="13"/>
        <v>0</v>
      </c>
      <c r="CL25" s="135">
        <f>BX25*(1+'Summary. Assumptions. Inputs'!$C$30)</f>
        <v>0</v>
      </c>
      <c r="CM25" s="135">
        <f>BY25*(1+'Summary. Assumptions. Inputs'!$C$30)</f>
        <v>0</v>
      </c>
      <c r="CN25" s="135">
        <f>BZ25*(1+'Summary. Assumptions. Inputs'!$C$30)</f>
        <v>0</v>
      </c>
      <c r="CO25" s="135">
        <f>CA25*(1+'Summary. Assumptions. Inputs'!$C$30)</f>
        <v>0</v>
      </c>
      <c r="CP25" s="135">
        <f>CB25*(1+'Summary. Assumptions. Inputs'!$C$30)</f>
        <v>0</v>
      </c>
      <c r="CQ25" s="135">
        <f>CC25*(1+'Summary. Assumptions. Inputs'!$C$30)</f>
        <v>0</v>
      </c>
      <c r="CR25" s="135">
        <f>CD25*(1+'Summary. Assumptions. Inputs'!$C$30)</f>
        <v>0</v>
      </c>
      <c r="CS25" s="135">
        <f>CE25*(1+'Summary. Assumptions. Inputs'!$C$30)</f>
        <v>0</v>
      </c>
      <c r="CT25" s="135">
        <f>CF25*(1+'Summary. Assumptions. Inputs'!$C$30)</f>
        <v>0</v>
      </c>
      <c r="CU25" s="135">
        <f>CG25*(1+'Summary. Assumptions. Inputs'!$C$30)</f>
        <v>0</v>
      </c>
      <c r="CV25" s="135">
        <f>CH25*(1+'Summary. Assumptions. Inputs'!$C$30)</f>
        <v>0</v>
      </c>
      <c r="CW25" s="135">
        <f>CI25*(1+'Summary. Assumptions. Inputs'!$C$30)</f>
        <v>0</v>
      </c>
      <c r="CX25" s="136">
        <f t="shared" si="14"/>
        <v>0</v>
      </c>
    </row>
    <row r="26" spans="1:102" s="133" customFormat="1" ht="15" customHeight="1">
      <c r="A26" s="644" t="s">
        <v>539</v>
      </c>
      <c r="B26" s="652">
        <v>1</v>
      </c>
      <c r="C26" s="240">
        <v>4800</v>
      </c>
      <c r="D26" s="133">
        <f t="shared" si="0"/>
        <v>1500</v>
      </c>
      <c r="E26" s="134"/>
      <c r="F26" s="135">
        <f t="shared" si="15"/>
        <v>1500</v>
      </c>
      <c r="G26" s="135">
        <f t="shared" si="15"/>
        <v>1500</v>
      </c>
      <c r="H26" s="135">
        <f t="shared" si="15"/>
        <v>1500</v>
      </c>
      <c r="I26" s="135">
        <f t="shared" si="15"/>
        <v>1500</v>
      </c>
      <c r="J26" s="135">
        <f t="shared" si="15"/>
        <v>1500</v>
      </c>
      <c r="K26" s="135">
        <f t="shared" si="15"/>
        <v>1500</v>
      </c>
      <c r="L26" s="135">
        <f t="shared" si="15"/>
        <v>1500</v>
      </c>
      <c r="M26" s="135">
        <f t="shared" si="15"/>
        <v>1500</v>
      </c>
      <c r="N26" s="135">
        <f t="shared" si="15"/>
        <v>1500</v>
      </c>
      <c r="O26" s="135">
        <f t="shared" si="15"/>
        <v>1500</v>
      </c>
      <c r="P26" s="135">
        <f t="shared" si="15"/>
        <v>1500</v>
      </c>
      <c r="Q26" s="135">
        <f t="shared" si="15"/>
        <v>1500</v>
      </c>
      <c r="R26" s="136">
        <f t="shared" si="8"/>
        <v>18000</v>
      </c>
      <c r="T26" s="135">
        <f>F26*(1+'Summary. Assumptions. Inputs'!$C$30)</f>
        <v>1575</v>
      </c>
      <c r="U26" s="135">
        <f>G26*(1+'Summary. Assumptions. Inputs'!$C$30)</f>
        <v>1575</v>
      </c>
      <c r="V26" s="135">
        <f>H26*(1+'Summary. Assumptions. Inputs'!$C$30)</f>
        <v>1575</v>
      </c>
      <c r="W26" s="135">
        <f>I26*(1+'Summary. Assumptions. Inputs'!$C$30)</f>
        <v>1575</v>
      </c>
      <c r="X26" s="135">
        <f>J26*(1+'Summary. Assumptions. Inputs'!$C$30)</f>
        <v>1575</v>
      </c>
      <c r="Y26" s="135">
        <f>K26*(1+'Summary. Assumptions. Inputs'!$C$30)</f>
        <v>1575</v>
      </c>
      <c r="Z26" s="135">
        <f>L26*(1+'Summary. Assumptions. Inputs'!$C$30)</f>
        <v>1575</v>
      </c>
      <c r="AA26" s="135">
        <f>M26*(1+'Summary. Assumptions. Inputs'!$C$30)</f>
        <v>1575</v>
      </c>
      <c r="AB26" s="135">
        <f>N26*(1+'Summary. Assumptions. Inputs'!$C$30)</f>
        <v>1575</v>
      </c>
      <c r="AC26" s="135">
        <f>O26*(1+'Summary. Assumptions. Inputs'!$C$30)</f>
        <v>1575</v>
      </c>
      <c r="AD26" s="135">
        <f>P26*(1+'Summary. Assumptions. Inputs'!$C$30)</f>
        <v>1575</v>
      </c>
      <c r="AE26" s="135">
        <f>Q26*(1+'Summary. Assumptions. Inputs'!$C$30)</f>
        <v>1575</v>
      </c>
      <c r="AF26" s="136">
        <f t="shared" si="9"/>
        <v>18900</v>
      </c>
      <c r="AH26" s="135">
        <f>T26*(1+'Summary. Assumptions. Inputs'!$C$30)</f>
        <v>1653.75</v>
      </c>
      <c r="AI26" s="135">
        <f>U26*(1+'Summary. Assumptions. Inputs'!$C$30)</f>
        <v>1653.75</v>
      </c>
      <c r="AJ26" s="135">
        <f>V26*(1+'Summary. Assumptions. Inputs'!$C$30)</f>
        <v>1653.75</v>
      </c>
      <c r="AK26" s="135">
        <f>W26*(1+'Summary. Assumptions. Inputs'!$C$30)</f>
        <v>1653.75</v>
      </c>
      <c r="AL26" s="135">
        <f>X26*(1+'Summary. Assumptions. Inputs'!$C$30)</f>
        <v>1653.75</v>
      </c>
      <c r="AM26" s="135">
        <f>Y26*(1+'Summary. Assumptions. Inputs'!$C$30)</f>
        <v>1653.75</v>
      </c>
      <c r="AN26" s="135">
        <f>Z26*(1+'Summary. Assumptions. Inputs'!$C$30)</f>
        <v>1653.75</v>
      </c>
      <c r="AO26" s="135">
        <f>AA26*(1+'Summary. Assumptions. Inputs'!$C$30)</f>
        <v>1653.75</v>
      </c>
      <c r="AP26" s="135">
        <f>AB26*(1+'Summary. Assumptions. Inputs'!$C$30)</f>
        <v>1653.75</v>
      </c>
      <c r="AQ26" s="135">
        <f>AC26*(1+'Summary. Assumptions. Inputs'!$C$30)</f>
        <v>1653.75</v>
      </c>
      <c r="AR26" s="135">
        <f>AD26*(1+'Summary. Assumptions. Inputs'!$C$30)</f>
        <v>1653.75</v>
      </c>
      <c r="AS26" s="135">
        <f>AE26*(1+'Summary. Assumptions. Inputs'!$C$30)</f>
        <v>1653.75</v>
      </c>
      <c r="AT26" s="136">
        <f t="shared" si="10"/>
        <v>19845</v>
      </c>
      <c r="AV26" s="135">
        <f>AH26*(1+'Summary. Assumptions. Inputs'!$C$30)</f>
        <v>1736.4375</v>
      </c>
      <c r="AW26" s="135">
        <f>AI26*(1+'Summary. Assumptions. Inputs'!$C$30)</f>
        <v>1736.4375</v>
      </c>
      <c r="AX26" s="135">
        <f>AJ26*(1+'Summary. Assumptions. Inputs'!$C$30)</f>
        <v>1736.4375</v>
      </c>
      <c r="AY26" s="135">
        <f>AK26*(1+'Summary. Assumptions. Inputs'!$C$30)</f>
        <v>1736.4375</v>
      </c>
      <c r="AZ26" s="135">
        <f>AL26*(1+'Summary. Assumptions. Inputs'!$C$30)</f>
        <v>1736.4375</v>
      </c>
      <c r="BA26" s="135">
        <f>AM26*(1+'Summary. Assumptions. Inputs'!$C$30)</f>
        <v>1736.4375</v>
      </c>
      <c r="BB26" s="135">
        <f>AN26*(1+'Summary. Assumptions. Inputs'!$C$30)</f>
        <v>1736.4375</v>
      </c>
      <c r="BC26" s="135">
        <f>AO26*(1+'Summary. Assumptions. Inputs'!$C$30)</f>
        <v>1736.4375</v>
      </c>
      <c r="BD26" s="135">
        <f>AP26*(1+'Summary. Assumptions. Inputs'!$C$30)</f>
        <v>1736.4375</v>
      </c>
      <c r="BE26" s="135">
        <f>AQ26*(1+'Summary. Assumptions. Inputs'!$C$30)</f>
        <v>1736.4375</v>
      </c>
      <c r="BF26" s="135">
        <f>AR26*(1+'Summary. Assumptions. Inputs'!$C$30)</f>
        <v>1736.4375</v>
      </c>
      <c r="BG26" s="135">
        <f>AS26*(1+'Summary. Assumptions. Inputs'!$C$30)</f>
        <v>1736.4375</v>
      </c>
      <c r="BH26" s="136">
        <f t="shared" si="11"/>
        <v>20837.25</v>
      </c>
      <c r="BJ26" s="135">
        <f>AV26*(1+'Summary. Assumptions. Inputs'!$C$30)</f>
        <v>1823.2593750000001</v>
      </c>
      <c r="BK26" s="135">
        <f>AW26*(1+'Summary. Assumptions. Inputs'!$C$30)</f>
        <v>1823.2593750000001</v>
      </c>
      <c r="BL26" s="135">
        <f>AX26*(1+'Summary. Assumptions. Inputs'!$C$30)</f>
        <v>1823.2593750000001</v>
      </c>
      <c r="BM26" s="135">
        <f>AY26*(1+'Summary. Assumptions. Inputs'!$C$30)</f>
        <v>1823.2593750000001</v>
      </c>
      <c r="BN26" s="135">
        <f>AZ26*(1+'Summary. Assumptions. Inputs'!$C$30)</f>
        <v>1823.2593750000001</v>
      </c>
      <c r="BO26" s="135">
        <f>BA26*(1+'Summary. Assumptions. Inputs'!$C$30)</f>
        <v>1823.2593750000001</v>
      </c>
      <c r="BP26" s="135">
        <f>BB26*(1+'Summary. Assumptions. Inputs'!$C$30)</f>
        <v>1823.2593750000001</v>
      </c>
      <c r="BQ26" s="135">
        <f>BC26*(1+'Summary. Assumptions. Inputs'!$C$30)</f>
        <v>1823.2593750000001</v>
      </c>
      <c r="BR26" s="135">
        <f>BD26*(1+'Summary. Assumptions. Inputs'!$C$30)</f>
        <v>1823.2593750000001</v>
      </c>
      <c r="BS26" s="135">
        <f>BE26*(1+'Summary. Assumptions. Inputs'!$C$30)</f>
        <v>1823.2593750000001</v>
      </c>
      <c r="BT26" s="135">
        <f>BF26*(1+'Summary. Assumptions. Inputs'!$C$30)</f>
        <v>1823.2593750000001</v>
      </c>
      <c r="BU26" s="135">
        <f>BG26*(1+'Summary. Assumptions. Inputs'!$C$30)</f>
        <v>1823.2593750000001</v>
      </c>
      <c r="BV26" s="136">
        <f t="shared" si="12"/>
        <v>21879.112500000003</v>
      </c>
      <c r="BX26" s="135">
        <f>BJ26*(1+'Summary. Assumptions. Inputs'!$C$30)</f>
        <v>1914.4223437500002</v>
      </c>
      <c r="BY26" s="135">
        <f>BK26*(1+'Summary. Assumptions. Inputs'!$C$30)</f>
        <v>1914.4223437500002</v>
      </c>
      <c r="BZ26" s="135">
        <f>BL26*(1+'Summary. Assumptions. Inputs'!$C$30)</f>
        <v>1914.4223437500002</v>
      </c>
      <c r="CA26" s="135">
        <f>BM26*(1+'Summary. Assumptions. Inputs'!$C$30)</f>
        <v>1914.4223437500002</v>
      </c>
      <c r="CB26" s="135">
        <f>BN26*(1+'Summary. Assumptions. Inputs'!$C$30)</f>
        <v>1914.4223437500002</v>
      </c>
      <c r="CC26" s="135">
        <f>BO26*(1+'Summary. Assumptions. Inputs'!$C$30)</f>
        <v>1914.4223437500002</v>
      </c>
      <c r="CD26" s="135">
        <f>BP26*(1+'Summary. Assumptions. Inputs'!$C$30)</f>
        <v>1914.4223437500002</v>
      </c>
      <c r="CE26" s="135">
        <f>BQ26*(1+'Summary. Assumptions. Inputs'!$C$30)</f>
        <v>1914.4223437500002</v>
      </c>
      <c r="CF26" s="135">
        <f>BR26*(1+'Summary. Assumptions. Inputs'!$C$30)</f>
        <v>1914.4223437500002</v>
      </c>
      <c r="CG26" s="135">
        <f>BS26*(1+'Summary. Assumptions. Inputs'!$C$30)</f>
        <v>1914.4223437500002</v>
      </c>
      <c r="CH26" s="135">
        <f>BT26*(1+'Summary. Assumptions. Inputs'!$C$30)</f>
        <v>1914.4223437500002</v>
      </c>
      <c r="CI26" s="135">
        <f>BU26*(1+'Summary. Assumptions. Inputs'!$C$30)</f>
        <v>1914.4223437500002</v>
      </c>
      <c r="CJ26" s="136">
        <f t="shared" si="13"/>
        <v>22973.068125000002</v>
      </c>
      <c r="CL26" s="135">
        <f>BX26*(1+'Summary. Assumptions. Inputs'!$C$30)</f>
        <v>2010.1434609375003</v>
      </c>
      <c r="CM26" s="135">
        <f>BY26*(1+'Summary. Assumptions. Inputs'!$C$30)</f>
        <v>2010.1434609375003</v>
      </c>
      <c r="CN26" s="135">
        <f>BZ26*(1+'Summary. Assumptions. Inputs'!$C$30)</f>
        <v>2010.1434609375003</v>
      </c>
      <c r="CO26" s="135">
        <f>CA26*(1+'Summary. Assumptions. Inputs'!$C$30)</f>
        <v>2010.1434609375003</v>
      </c>
      <c r="CP26" s="135">
        <f>CB26*(1+'Summary. Assumptions. Inputs'!$C$30)</f>
        <v>2010.1434609375003</v>
      </c>
      <c r="CQ26" s="135">
        <f>CC26*(1+'Summary. Assumptions. Inputs'!$C$30)</f>
        <v>2010.1434609375003</v>
      </c>
      <c r="CR26" s="135">
        <f>CD26*(1+'Summary. Assumptions. Inputs'!$C$30)</f>
        <v>2010.1434609375003</v>
      </c>
      <c r="CS26" s="135">
        <f>CE26*(1+'Summary. Assumptions. Inputs'!$C$30)</f>
        <v>2010.1434609375003</v>
      </c>
      <c r="CT26" s="135">
        <f>CF26*(1+'Summary. Assumptions. Inputs'!$C$30)</f>
        <v>2010.1434609375003</v>
      </c>
      <c r="CU26" s="135">
        <f>CG26*(1+'Summary. Assumptions. Inputs'!$C$30)</f>
        <v>2010.1434609375003</v>
      </c>
      <c r="CV26" s="135">
        <f>CH26*(1+'Summary. Assumptions. Inputs'!$C$30)</f>
        <v>2010.1434609375003</v>
      </c>
      <c r="CW26" s="135">
        <f>CI26*(1+'Summary. Assumptions. Inputs'!$C$30)</f>
        <v>2010.1434609375003</v>
      </c>
      <c r="CX26" s="136">
        <f t="shared" si="14"/>
        <v>24121.721531250001</v>
      </c>
    </row>
    <row r="27" spans="1:102" s="133" customFormat="1" ht="15" customHeight="1">
      <c r="A27" s="644" t="s">
        <v>540</v>
      </c>
      <c r="B27" s="652">
        <v>1</v>
      </c>
      <c r="C27" s="240">
        <v>4800</v>
      </c>
      <c r="D27" s="133">
        <f t="shared" si="0"/>
        <v>1500</v>
      </c>
      <c r="E27" s="134"/>
      <c r="F27" s="135">
        <f t="shared" si="15"/>
        <v>1500</v>
      </c>
      <c r="G27" s="135">
        <f t="shared" si="15"/>
        <v>1500</v>
      </c>
      <c r="H27" s="135">
        <f t="shared" si="15"/>
        <v>1500</v>
      </c>
      <c r="I27" s="135">
        <f t="shared" si="15"/>
        <v>1500</v>
      </c>
      <c r="J27" s="135">
        <f t="shared" si="15"/>
        <v>1500</v>
      </c>
      <c r="K27" s="135">
        <f t="shared" si="15"/>
        <v>1500</v>
      </c>
      <c r="L27" s="135">
        <f t="shared" si="15"/>
        <v>1500</v>
      </c>
      <c r="M27" s="135">
        <f t="shared" si="15"/>
        <v>1500</v>
      </c>
      <c r="N27" s="135">
        <f t="shared" si="15"/>
        <v>1500</v>
      </c>
      <c r="O27" s="135">
        <f t="shared" si="15"/>
        <v>1500</v>
      </c>
      <c r="P27" s="135">
        <f t="shared" si="15"/>
        <v>1500</v>
      </c>
      <c r="Q27" s="135">
        <f t="shared" si="15"/>
        <v>1500</v>
      </c>
      <c r="R27" s="136">
        <f t="shared" si="8"/>
        <v>18000</v>
      </c>
      <c r="T27" s="135">
        <f>F27*(1+'Summary. Assumptions. Inputs'!$C$30)</f>
        <v>1575</v>
      </c>
      <c r="U27" s="135">
        <f>G27*(1+'Summary. Assumptions. Inputs'!$C$30)</f>
        <v>1575</v>
      </c>
      <c r="V27" s="135">
        <f>H27*(1+'Summary. Assumptions. Inputs'!$C$30)</f>
        <v>1575</v>
      </c>
      <c r="W27" s="135">
        <f>I27*(1+'Summary. Assumptions. Inputs'!$C$30)</f>
        <v>1575</v>
      </c>
      <c r="X27" s="135">
        <f>J27*(1+'Summary. Assumptions. Inputs'!$C$30)</f>
        <v>1575</v>
      </c>
      <c r="Y27" s="135">
        <f>K27*(1+'Summary. Assumptions. Inputs'!$C$30)</f>
        <v>1575</v>
      </c>
      <c r="Z27" s="135">
        <f>L27*(1+'Summary. Assumptions. Inputs'!$C$30)</f>
        <v>1575</v>
      </c>
      <c r="AA27" s="135">
        <f>M27*(1+'Summary. Assumptions. Inputs'!$C$30)</f>
        <v>1575</v>
      </c>
      <c r="AB27" s="135">
        <f>N27*(1+'Summary. Assumptions. Inputs'!$C$30)</f>
        <v>1575</v>
      </c>
      <c r="AC27" s="135">
        <f>O27*(1+'Summary. Assumptions. Inputs'!$C$30)</f>
        <v>1575</v>
      </c>
      <c r="AD27" s="135">
        <f>P27*(1+'Summary. Assumptions. Inputs'!$C$30)</f>
        <v>1575</v>
      </c>
      <c r="AE27" s="135">
        <f>Q27*(1+'Summary. Assumptions. Inputs'!$C$30)</f>
        <v>1575</v>
      </c>
      <c r="AF27" s="136">
        <f t="shared" si="9"/>
        <v>18900</v>
      </c>
      <c r="AH27" s="135">
        <f>T27*(1+'Summary. Assumptions. Inputs'!$C$30)</f>
        <v>1653.75</v>
      </c>
      <c r="AI27" s="135">
        <f>U27*(1+'Summary. Assumptions. Inputs'!$C$30)</f>
        <v>1653.75</v>
      </c>
      <c r="AJ27" s="135">
        <f>V27*(1+'Summary. Assumptions. Inputs'!$C$30)</f>
        <v>1653.75</v>
      </c>
      <c r="AK27" s="135">
        <f>W27*(1+'Summary. Assumptions. Inputs'!$C$30)</f>
        <v>1653.75</v>
      </c>
      <c r="AL27" s="135">
        <f>X27*(1+'Summary. Assumptions. Inputs'!$C$30)</f>
        <v>1653.75</v>
      </c>
      <c r="AM27" s="135">
        <f>Y27*(1+'Summary. Assumptions. Inputs'!$C$30)</f>
        <v>1653.75</v>
      </c>
      <c r="AN27" s="135">
        <f>Z27*(1+'Summary. Assumptions. Inputs'!$C$30)</f>
        <v>1653.75</v>
      </c>
      <c r="AO27" s="135">
        <f>AA27*(1+'Summary. Assumptions. Inputs'!$C$30)</f>
        <v>1653.75</v>
      </c>
      <c r="AP27" s="135">
        <f>AB27*(1+'Summary. Assumptions. Inputs'!$C$30)</f>
        <v>1653.75</v>
      </c>
      <c r="AQ27" s="135">
        <f>AC27*(1+'Summary. Assumptions. Inputs'!$C$30)</f>
        <v>1653.75</v>
      </c>
      <c r="AR27" s="135">
        <f>AD27*(1+'Summary. Assumptions. Inputs'!$C$30)</f>
        <v>1653.75</v>
      </c>
      <c r="AS27" s="135">
        <f>AE27*(1+'Summary. Assumptions. Inputs'!$C$30)</f>
        <v>1653.75</v>
      </c>
      <c r="AT27" s="136">
        <f t="shared" si="10"/>
        <v>19845</v>
      </c>
      <c r="AV27" s="135">
        <f>AH27*(1+'Summary. Assumptions. Inputs'!$C$30)</f>
        <v>1736.4375</v>
      </c>
      <c r="AW27" s="135">
        <f>AI27*(1+'Summary. Assumptions. Inputs'!$C$30)</f>
        <v>1736.4375</v>
      </c>
      <c r="AX27" s="135">
        <f>AJ27*(1+'Summary. Assumptions. Inputs'!$C$30)</f>
        <v>1736.4375</v>
      </c>
      <c r="AY27" s="135">
        <f>AK27*(1+'Summary. Assumptions. Inputs'!$C$30)</f>
        <v>1736.4375</v>
      </c>
      <c r="AZ27" s="135">
        <f>AL27*(1+'Summary. Assumptions. Inputs'!$C$30)</f>
        <v>1736.4375</v>
      </c>
      <c r="BA27" s="135">
        <f>AM27*(1+'Summary. Assumptions. Inputs'!$C$30)</f>
        <v>1736.4375</v>
      </c>
      <c r="BB27" s="135">
        <f>AN27*(1+'Summary. Assumptions. Inputs'!$C$30)</f>
        <v>1736.4375</v>
      </c>
      <c r="BC27" s="135">
        <f>AO27*(1+'Summary. Assumptions. Inputs'!$C$30)</f>
        <v>1736.4375</v>
      </c>
      <c r="BD27" s="135">
        <f>AP27*(1+'Summary. Assumptions. Inputs'!$C$30)</f>
        <v>1736.4375</v>
      </c>
      <c r="BE27" s="135">
        <f>AQ27*(1+'Summary. Assumptions. Inputs'!$C$30)</f>
        <v>1736.4375</v>
      </c>
      <c r="BF27" s="135">
        <f>AR27*(1+'Summary. Assumptions. Inputs'!$C$30)</f>
        <v>1736.4375</v>
      </c>
      <c r="BG27" s="135">
        <f>AS27*(1+'Summary. Assumptions. Inputs'!$C$30)</f>
        <v>1736.4375</v>
      </c>
      <c r="BH27" s="136">
        <f t="shared" si="11"/>
        <v>20837.25</v>
      </c>
      <c r="BJ27" s="135">
        <f>AV27*(1+'Summary. Assumptions. Inputs'!$C$30)</f>
        <v>1823.2593750000001</v>
      </c>
      <c r="BK27" s="135">
        <f>AW27*(1+'Summary. Assumptions. Inputs'!$C$30)</f>
        <v>1823.2593750000001</v>
      </c>
      <c r="BL27" s="135">
        <f>AX27*(1+'Summary. Assumptions. Inputs'!$C$30)</f>
        <v>1823.2593750000001</v>
      </c>
      <c r="BM27" s="135">
        <f>AY27*(1+'Summary. Assumptions. Inputs'!$C$30)</f>
        <v>1823.2593750000001</v>
      </c>
      <c r="BN27" s="135">
        <f>AZ27*(1+'Summary. Assumptions. Inputs'!$C$30)</f>
        <v>1823.2593750000001</v>
      </c>
      <c r="BO27" s="135">
        <f>BA27*(1+'Summary. Assumptions. Inputs'!$C$30)</f>
        <v>1823.2593750000001</v>
      </c>
      <c r="BP27" s="135">
        <f>BB27*(1+'Summary. Assumptions. Inputs'!$C$30)</f>
        <v>1823.2593750000001</v>
      </c>
      <c r="BQ27" s="135">
        <f>BC27*(1+'Summary. Assumptions. Inputs'!$C$30)</f>
        <v>1823.2593750000001</v>
      </c>
      <c r="BR27" s="135">
        <f>BD27*(1+'Summary. Assumptions. Inputs'!$C$30)</f>
        <v>1823.2593750000001</v>
      </c>
      <c r="BS27" s="135">
        <f>BE27*(1+'Summary. Assumptions. Inputs'!$C$30)</f>
        <v>1823.2593750000001</v>
      </c>
      <c r="BT27" s="135">
        <f>BF27*(1+'Summary. Assumptions. Inputs'!$C$30)</f>
        <v>1823.2593750000001</v>
      </c>
      <c r="BU27" s="135">
        <f>BG27*(1+'Summary. Assumptions. Inputs'!$C$30)</f>
        <v>1823.2593750000001</v>
      </c>
      <c r="BV27" s="136">
        <f t="shared" si="12"/>
        <v>21879.112500000003</v>
      </c>
      <c r="BX27" s="135">
        <f>BJ27*(1+'Summary. Assumptions. Inputs'!$C$30)</f>
        <v>1914.4223437500002</v>
      </c>
      <c r="BY27" s="135">
        <f>BK27*(1+'Summary. Assumptions. Inputs'!$C$30)</f>
        <v>1914.4223437500002</v>
      </c>
      <c r="BZ27" s="135">
        <f>BL27*(1+'Summary. Assumptions. Inputs'!$C$30)</f>
        <v>1914.4223437500002</v>
      </c>
      <c r="CA27" s="135">
        <f>BM27*(1+'Summary. Assumptions. Inputs'!$C$30)</f>
        <v>1914.4223437500002</v>
      </c>
      <c r="CB27" s="135">
        <f>BN27*(1+'Summary. Assumptions. Inputs'!$C$30)</f>
        <v>1914.4223437500002</v>
      </c>
      <c r="CC27" s="135">
        <f>BO27*(1+'Summary. Assumptions. Inputs'!$C$30)</f>
        <v>1914.4223437500002</v>
      </c>
      <c r="CD27" s="135">
        <f>BP27*(1+'Summary. Assumptions. Inputs'!$C$30)</f>
        <v>1914.4223437500002</v>
      </c>
      <c r="CE27" s="135">
        <f>BQ27*(1+'Summary. Assumptions. Inputs'!$C$30)</f>
        <v>1914.4223437500002</v>
      </c>
      <c r="CF27" s="135">
        <f>BR27*(1+'Summary. Assumptions. Inputs'!$C$30)</f>
        <v>1914.4223437500002</v>
      </c>
      <c r="CG27" s="135">
        <f>BS27*(1+'Summary. Assumptions. Inputs'!$C$30)</f>
        <v>1914.4223437500002</v>
      </c>
      <c r="CH27" s="135">
        <f>BT27*(1+'Summary. Assumptions. Inputs'!$C$30)</f>
        <v>1914.4223437500002</v>
      </c>
      <c r="CI27" s="135">
        <f>BU27*(1+'Summary. Assumptions. Inputs'!$C$30)</f>
        <v>1914.4223437500002</v>
      </c>
      <c r="CJ27" s="136">
        <f t="shared" si="13"/>
        <v>22973.068125000002</v>
      </c>
      <c r="CL27" s="135">
        <f>BX27*(1+'Summary. Assumptions. Inputs'!$C$30)</f>
        <v>2010.1434609375003</v>
      </c>
      <c r="CM27" s="135">
        <f>BY27*(1+'Summary. Assumptions. Inputs'!$C$30)</f>
        <v>2010.1434609375003</v>
      </c>
      <c r="CN27" s="135">
        <f>BZ27*(1+'Summary. Assumptions. Inputs'!$C$30)</f>
        <v>2010.1434609375003</v>
      </c>
      <c r="CO27" s="135">
        <f>CA27*(1+'Summary. Assumptions. Inputs'!$C$30)</f>
        <v>2010.1434609375003</v>
      </c>
      <c r="CP27" s="135">
        <f>CB27*(1+'Summary. Assumptions. Inputs'!$C$30)</f>
        <v>2010.1434609375003</v>
      </c>
      <c r="CQ27" s="135">
        <f>CC27*(1+'Summary. Assumptions. Inputs'!$C$30)</f>
        <v>2010.1434609375003</v>
      </c>
      <c r="CR27" s="135">
        <f>CD27*(1+'Summary. Assumptions. Inputs'!$C$30)</f>
        <v>2010.1434609375003</v>
      </c>
      <c r="CS27" s="135">
        <f>CE27*(1+'Summary. Assumptions. Inputs'!$C$30)</f>
        <v>2010.1434609375003</v>
      </c>
      <c r="CT27" s="135">
        <f>CF27*(1+'Summary. Assumptions. Inputs'!$C$30)</f>
        <v>2010.1434609375003</v>
      </c>
      <c r="CU27" s="135">
        <f>CG27*(1+'Summary. Assumptions. Inputs'!$C$30)</f>
        <v>2010.1434609375003</v>
      </c>
      <c r="CV27" s="135">
        <f>CH27*(1+'Summary. Assumptions. Inputs'!$C$30)</f>
        <v>2010.1434609375003</v>
      </c>
      <c r="CW27" s="135">
        <f>CI27*(1+'Summary. Assumptions. Inputs'!$C$30)</f>
        <v>2010.1434609375003</v>
      </c>
      <c r="CX27" s="136">
        <f t="shared" si="14"/>
        <v>24121.721531250001</v>
      </c>
    </row>
    <row r="28" spans="1:102" s="133" customFormat="1" ht="15" customHeight="1" thickBot="1">
      <c r="A28" s="644" t="s">
        <v>541</v>
      </c>
      <c r="B28" s="652">
        <v>3</v>
      </c>
      <c r="C28" s="240">
        <v>3840</v>
      </c>
      <c r="D28" s="133">
        <f t="shared" si="0"/>
        <v>3600</v>
      </c>
      <c r="E28" s="134"/>
      <c r="F28" s="135">
        <f t="shared" si="15"/>
        <v>3600</v>
      </c>
      <c r="G28" s="135">
        <f t="shared" si="15"/>
        <v>3600</v>
      </c>
      <c r="H28" s="135">
        <f t="shared" si="15"/>
        <v>3600</v>
      </c>
      <c r="I28" s="135">
        <f t="shared" si="15"/>
        <v>3600</v>
      </c>
      <c r="J28" s="135">
        <f t="shared" si="15"/>
        <v>3600</v>
      </c>
      <c r="K28" s="135">
        <f t="shared" si="15"/>
        <v>3600</v>
      </c>
      <c r="L28" s="135">
        <f t="shared" si="15"/>
        <v>3600</v>
      </c>
      <c r="M28" s="135">
        <f t="shared" si="15"/>
        <v>3600</v>
      </c>
      <c r="N28" s="135">
        <f t="shared" si="15"/>
        <v>3600</v>
      </c>
      <c r="O28" s="135">
        <f t="shared" si="15"/>
        <v>3600</v>
      </c>
      <c r="P28" s="135">
        <f t="shared" si="15"/>
        <v>3600</v>
      </c>
      <c r="Q28" s="135">
        <f t="shared" si="15"/>
        <v>3600</v>
      </c>
      <c r="R28" s="136">
        <f t="shared" si="8"/>
        <v>43200</v>
      </c>
      <c r="T28" s="135">
        <f>F28*(1+'Summary. Assumptions. Inputs'!$C$30)</f>
        <v>3780</v>
      </c>
      <c r="U28" s="135">
        <f>G28*(1+'Summary. Assumptions. Inputs'!$C$30)</f>
        <v>3780</v>
      </c>
      <c r="V28" s="135">
        <f>H28*(1+'Summary. Assumptions. Inputs'!$C$30)</f>
        <v>3780</v>
      </c>
      <c r="W28" s="135">
        <f>I28*(1+'Summary. Assumptions. Inputs'!$C$30)</f>
        <v>3780</v>
      </c>
      <c r="X28" s="135">
        <f>J28*(1+'Summary. Assumptions. Inputs'!$C$30)</f>
        <v>3780</v>
      </c>
      <c r="Y28" s="135">
        <f>K28*(1+'Summary. Assumptions. Inputs'!$C$30)</f>
        <v>3780</v>
      </c>
      <c r="Z28" s="135">
        <f>L28*(1+'Summary. Assumptions. Inputs'!$C$30)</f>
        <v>3780</v>
      </c>
      <c r="AA28" s="135">
        <f>M28*(1+'Summary. Assumptions. Inputs'!$C$30)</f>
        <v>3780</v>
      </c>
      <c r="AB28" s="135">
        <f>N28*(1+'Summary. Assumptions. Inputs'!$C$30)</f>
        <v>3780</v>
      </c>
      <c r="AC28" s="135">
        <f>O28*(1+'Summary. Assumptions. Inputs'!$C$30)</f>
        <v>3780</v>
      </c>
      <c r="AD28" s="135">
        <f>P28*(1+'Summary. Assumptions. Inputs'!$C$30)</f>
        <v>3780</v>
      </c>
      <c r="AE28" s="135">
        <f>Q28*(1+'Summary. Assumptions. Inputs'!$C$30)</f>
        <v>3780</v>
      </c>
      <c r="AF28" s="136">
        <f t="shared" si="9"/>
        <v>45360</v>
      </c>
      <c r="AH28" s="135">
        <f>T28*(1+'Summary. Assumptions. Inputs'!$C$30)</f>
        <v>3969</v>
      </c>
      <c r="AI28" s="135">
        <f>U28*(1+'Summary. Assumptions. Inputs'!$C$30)</f>
        <v>3969</v>
      </c>
      <c r="AJ28" s="135">
        <f>V28*(1+'Summary. Assumptions. Inputs'!$C$30)</f>
        <v>3969</v>
      </c>
      <c r="AK28" s="135">
        <f>W28*(1+'Summary. Assumptions. Inputs'!$C$30)</f>
        <v>3969</v>
      </c>
      <c r="AL28" s="135">
        <f>X28*(1+'Summary. Assumptions. Inputs'!$C$30)</f>
        <v>3969</v>
      </c>
      <c r="AM28" s="135">
        <f>Y28*(1+'Summary. Assumptions. Inputs'!$C$30)</f>
        <v>3969</v>
      </c>
      <c r="AN28" s="135">
        <f>Z28*(1+'Summary. Assumptions. Inputs'!$C$30)</f>
        <v>3969</v>
      </c>
      <c r="AO28" s="135">
        <f>AA28*(1+'Summary. Assumptions. Inputs'!$C$30)</f>
        <v>3969</v>
      </c>
      <c r="AP28" s="135">
        <f>AB28*(1+'Summary. Assumptions. Inputs'!$C$30)</f>
        <v>3969</v>
      </c>
      <c r="AQ28" s="135">
        <f>AC28*(1+'Summary. Assumptions. Inputs'!$C$30)</f>
        <v>3969</v>
      </c>
      <c r="AR28" s="135">
        <f>AD28*(1+'Summary. Assumptions. Inputs'!$C$30)</f>
        <v>3969</v>
      </c>
      <c r="AS28" s="135">
        <f>AE28*(1+'Summary. Assumptions. Inputs'!$C$30)</f>
        <v>3969</v>
      </c>
      <c r="AT28" s="136">
        <f t="shared" si="10"/>
        <v>47628</v>
      </c>
      <c r="AV28" s="135">
        <f>AH28*(1+'Summary. Assumptions. Inputs'!$C$30)</f>
        <v>4167.45</v>
      </c>
      <c r="AW28" s="135">
        <f>AI28*(1+'Summary. Assumptions. Inputs'!$C$30)</f>
        <v>4167.45</v>
      </c>
      <c r="AX28" s="135">
        <f>AJ28*(1+'Summary. Assumptions. Inputs'!$C$30)</f>
        <v>4167.45</v>
      </c>
      <c r="AY28" s="135">
        <f>AK28*(1+'Summary. Assumptions. Inputs'!$C$30)</f>
        <v>4167.45</v>
      </c>
      <c r="AZ28" s="135">
        <f>AL28*(1+'Summary. Assumptions. Inputs'!$C$30)</f>
        <v>4167.45</v>
      </c>
      <c r="BA28" s="135">
        <f>AM28*(1+'Summary. Assumptions. Inputs'!$C$30)</f>
        <v>4167.45</v>
      </c>
      <c r="BB28" s="135">
        <f>AN28*(1+'Summary. Assumptions. Inputs'!$C$30)</f>
        <v>4167.45</v>
      </c>
      <c r="BC28" s="135">
        <f>AO28*(1+'Summary. Assumptions. Inputs'!$C$30)</f>
        <v>4167.45</v>
      </c>
      <c r="BD28" s="135">
        <f>AP28*(1+'Summary. Assumptions. Inputs'!$C$30)</f>
        <v>4167.45</v>
      </c>
      <c r="BE28" s="135">
        <f>AQ28*(1+'Summary. Assumptions. Inputs'!$C$30)</f>
        <v>4167.45</v>
      </c>
      <c r="BF28" s="135">
        <f>AR28*(1+'Summary. Assumptions. Inputs'!$C$30)</f>
        <v>4167.45</v>
      </c>
      <c r="BG28" s="135">
        <f>AS28*(1+'Summary. Assumptions. Inputs'!$C$30)</f>
        <v>4167.45</v>
      </c>
      <c r="BH28" s="136">
        <f t="shared" si="11"/>
        <v>50009.399999999987</v>
      </c>
      <c r="BJ28" s="135">
        <f>AV28*(1+'Summary. Assumptions. Inputs'!$C$30)</f>
        <v>4375.8225000000002</v>
      </c>
      <c r="BK28" s="135">
        <f>AW28*(1+'Summary. Assumptions. Inputs'!$C$30)</f>
        <v>4375.8225000000002</v>
      </c>
      <c r="BL28" s="135">
        <f>AX28*(1+'Summary. Assumptions. Inputs'!$C$30)</f>
        <v>4375.8225000000002</v>
      </c>
      <c r="BM28" s="135">
        <f>AY28*(1+'Summary. Assumptions. Inputs'!$C$30)</f>
        <v>4375.8225000000002</v>
      </c>
      <c r="BN28" s="135">
        <f>AZ28*(1+'Summary. Assumptions. Inputs'!$C$30)</f>
        <v>4375.8225000000002</v>
      </c>
      <c r="BO28" s="135">
        <f>BA28*(1+'Summary. Assumptions. Inputs'!$C$30)</f>
        <v>4375.8225000000002</v>
      </c>
      <c r="BP28" s="135">
        <f>BB28*(1+'Summary. Assumptions. Inputs'!$C$30)</f>
        <v>4375.8225000000002</v>
      </c>
      <c r="BQ28" s="135">
        <f>BC28*(1+'Summary. Assumptions. Inputs'!$C$30)</f>
        <v>4375.8225000000002</v>
      </c>
      <c r="BR28" s="135">
        <f>BD28*(1+'Summary. Assumptions. Inputs'!$C$30)</f>
        <v>4375.8225000000002</v>
      </c>
      <c r="BS28" s="135">
        <f>BE28*(1+'Summary. Assumptions. Inputs'!$C$30)</f>
        <v>4375.8225000000002</v>
      </c>
      <c r="BT28" s="135">
        <f>BF28*(1+'Summary. Assumptions. Inputs'!$C$30)</f>
        <v>4375.8225000000002</v>
      </c>
      <c r="BU28" s="135">
        <f>BG28*(1+'Summary. Assumptions. Inputs'!$C$30)</f>
        <v>4375.8225000000002</v>
      </c>
      <c r="BV28" s="136">
        <f t="shared" si="12"/>
        <v>52509.870000000017</v>
      </c>
      <c r="BX28" s="135">
        <f>BJ28*(1+'Summary. Assumptions. Inputs'!$C$30)</f>
        <v>4594.6136250000009</v>
      </c>
      <c r="BY28" s="135">
        <f>BK28*(1+'Summary. Assumptions. Inputs'!$C$30)</f>
        <v>4594.6136250000009</v>
      </c>
      <c r="BZ28" s="135">
        <f>BL28*(1+'Summary. Assumptions. Inputs'!$C$30)</f>
        <v>4594.6136250000009</v>
      </c>
      <c r="CA28" s="135">
        <f>BM28*(1+'Summary. Assumptions. Inputs'!$C$30)</f>
        <v>4594.6136250000009</v>
      </c>
      <c r="CB28" s="135">
        <f>BN28*(1+'Summary. Assumptions. Inputs'!$C$30)</f>
        <v>4594.6136250000009</v>
      </c>
      <c r="CC28" s="135">
        <f>BO28*(1+'Summary. Assumptions. Inputs'!$C$30)</f>
        <v>4594.6136250000009</v>
      </c>
      <c r="CD28" s="135">
        <f>BP28*(1+'Summary. Assumptions. Inputs'!$C$30)</f>
        <v>4594.6136250000009</v>
      </c>
      <c r="CE28" s="135">
        <f>BQ28*(1+'Summary. Assumptions. Inputs'!$C$30)</f>
        <v>4594.6136250000009</v>
      </c>
      <c r="CF28" s="135">
        <f>BR28*(1+'Summary. Assumptions. Inputs'!$C$30)</f>
        <v>4594.6136250000009</v>
      </c>
      <c r="CG28" s="135">
        <f>BS28*(1+'Summary. Assumptions. Inputs'!$C$30)</f>
        <v>4594.6136250000009</v>
      </c>
      <c r="CH28" s="135">
        <f>BT28*(1+'Summary. Assumptions. Inputs'!$C$30)</f>
        <v>4594.6136250000009</v>
      </c>
      <c r="CI28" s="135">
        <f>BU28*(1+'Summary. Assumptions. Inputs'!$C$30)</f>
        <v>4594.6136250000009</v>
      </c>
      <c r="CJ28" s="136">
        <f t="shared" si="13"/>
        <v>55135.363499999999</v>
      </c>
      <c r="CL28" s="135">
        <f>BX28*(1+'Summary. Assumptions. Inputs'!$C$30)</f>
        <v>4824.344306250001</v>
      </c>
      <c r="CM28" s="135">
        <f>BY28*(1+'Summary. Assumptions. Inputs'!$C$30)</f>
        <v>4824.344306250001</v>
      </c>
      <c r="CN28" s="135">
        <f>BZ28*(1+'Summary. Assumptions. Inputs'!$C$30)</f>
        <v>4824.344306250001</v>
      </c>
      <c r="CO28" s="135">
        <f>CA28*(1+'Summary. Assumptions. Inputs'!$C$30)</f>
        <v>4824.344306250001</v>
      </c>
      <c r="CP28" s="135">
        <f>CB28*(1+'Summary. Assumptions. Inputs'!$C$30)</f>
        <v>4824.344306250001</v>
      </c>
      <c r="CQ28" s="135">
        <f>CC28*(1+'Summary. Assumptions. Inputs'!$C$30)</f>
        <v>4824.344306250001</v>
      </c>
      <c r="CR28" s="135">
        <f>CD28*(1+'Summary. Assumptions. Inputs'!$C$30)</f>
        <v>4824.344306250001</v>
      </c>
      <c r="CS28" s="135">
        <f>CE28*(1+'Summary. Assumptions. Inputs'!$C$30)</f>
        <v>4824.344306250001</v>
      </c>
      <c r="CT28" s="135">
        <f>CF28*(1+'Summary. Assumptions. Inputs'!$C$30)</f>
        <v>4824.344306250001</v>
      </c>
      <c r="CU28" s="135">
        <f>CG28*(1+'Summary. Assumptions. Inputs'!$C$30)</f>
        <v>4824.344306250001</v>
      </c>
      <c r="CV28" s="135">
        <f>CH28*(1+'Summary. Assumptions. Inputs'!$C$30)</f>
        <v>4824.344306250001</v>
      </c>
      <c r="CW28" s="135">
        <f>CI28*(1+'Summary. Assumptions. Inputs'!$C$30)</f>
        <v>4824.344306250001</v>
      </c>
      <c r="CX28" s="136">
        <f t="shared" si="14"/>
        <v>57892.131675000011</v>
      </c>
    </row>
    <row r="29" spans="1:102" s="133" customFormat="1" ht="24.95" customHeight="1" thickBot="1">
      <c r="A29" s="648" t="s">
        <v>110</v>
      </c>
      <c r="B29" s="653">
        <f>SUM(B6:B28)</f>
        <v>64</v>
      </c>
      <c r="C29" s="648"/>
      <c r="D29" s="139">
        <f t="shared" ref="D29:R29" si="16">SUM(D6:D28)</f>
        <v>66700</v>
      </c>
      <c r="E29" s="138">
        <f t="shared" si="16"/>
        <v>0</v>
      </c>
      <c r="F29" s="139">
        <f t="shared" si="16"/>
        <v>66700</v>
      </c>
      <c r="G29" s="139">
        <f t="shared" si="16"/>
        <v>66700</v>
      </c>
      <c r="H29" s="139">
        <f t="shared" si="16"/>
        <v>66700</v>
      </c>
      <c r="I29" s="139">
        <f t="shared" si="16"/>
        <v>65400</v>
      </c>
      <c r="J29" s="139">
        <f t="shared" si="16"/>
        <v>66700</v>
      </c>
      <c r="K29" s="139">
        <f t="shared" si="16"/>
        <v>66700</v>
      </c>
      <c r="L29" s="139">
        <f t="shared" si="16"/>
        <v>66700</v>
      </c>
      <c r="M29" s="139">
        <f t="shared" si="16"/>
        <v>66700</v>
      </c>
      <c r="N29" s="139">
        <f t="shared" si="16"/>
        <v>66700</v>
      </c>
      <c r="O29" s="139">
        <f t="shared" si="16"/>
        <v>66700</v>
      </c>
      <c r="P29" s="139">
        <f t="shared" si="16"/>
        <v>66700</v>
      </c>
      <c r="Q29" s="139">
        <f t="shared" si="16"/>
        <v>66700</v>
      </c>
      <c r="R29" s="139">
        <f t="shared" si="16"/>
        <v>799100</v>
      </c>
      <c r="T29" s="139">
        <f t="shared" ref="T29:AF29" si="17">SUM(T6:T28)</f>
        <v>51240</v>
      </c>
      <c r="U29" s="139">
        <f t="shared" si="17"/>
        <v>51240</v>
      </c>
      <c r="V29" s="139">
        <f t="shared" si="17"/>
        <v>51240</v>
      </c>
      <c r="W29" s="139">
        <f t="shared" si="17"/>
        <v>49875</v>
      </c>
      <c r="X29" s="139">
        <f t="shared" si="17"/>
        <v>51240</v>
      </c>
      <c r="Y29" s="139">
        <f t="shared" si="17"/>
        <v>51240</v>
      </c>
      <c r="Z29" s="139">
        <f t="shared" si="17"/>
        <v>51240</v>
      </c>
      <c r="AA29" s="139">
        <f t="shared" si="17"/>
        <v>51240</v>
      </c>
      <c r="AB29" s="139">
        <f t="shared" si="17"/>
        <v>51240</v>
      </c>
      <c r="AC29" s="139">
        <f t="shared" si="17"/>
        <v>51240</v>
      </c>
      <c r="AD29" s="139">
        <f t="shared" si="17"/>
        <v>51240</v>
      </c>
      <c r="AE29" s="139">
        <f t="shared" si="17"/>
        <v>51240</v>
      </c>
      <c r="AF29" s="139">
        <f t="shared" si="17"/>
        <v>613515</v>
      </c>
      <c r="AH29" s="139">
        <f t="shared" ref="AH29:AT29" si="18">SUM(AH6:AH28)</f>
        <v>53802</v>
      </c>
      <c r="AI29" s="139">
        <f t="shared" si="18"/>
        <v>53802</v>
      </c>
      <c r="AJ29" s="139">
        <f t="shared" si="18"/>
        <v>53802</v>
      </c>
      <c r="AK29" s="139">
        <f t="shared" si="18"/>
        <v>52368.75</v>
      </c>
      <c r="AL29" s="139">
        <f t="shared" si="18"/>
        <v>53802</v>
      </c>
      <c r="AM29" s="139">
        <f t="shared" si="18"/>
        <v>53802</v>
      </c>
      <c r="AN29" s="139">
        <f t="shared" si="18"/>
        <v>53802</v>
      </c>
      <c r="AO29" s="139">
        <f t="shared" si="18"/>
        <v>53802</v>
      </c>
      <c r="AP29" s="139">
        <f t="shared" si="18"/>
        <v>53802</v>
      </c>
      <c r="AQ29" s="139">
        <f t="shared" si="18"/>
        <v>53802</v>
      </c>
      <c r="AR29" s="139">
        <f t="shared" si="18"/>
        <v>53802</v>
      </c>
      <c r="AS29" s="139">
        <f t="shared" si="18"/>
        <v>53802</v>
      </c>
      <c r="AT29" s="139">
        <f t="shared" si="18"/>
        <v>644190.75</v>
      </c>
      <c r="AV29" s="139">
        <f t="shared" ref="AV29:BH29" si="19">SUM(AV6:AV28)</f>
        <v>56492.1</v>
      </c>
      <c r="AW29" s="139">
        <f t="shared" si="19"/>
        <v>56492.1</v>
      </c>
      <c r="AX29" s="139">
        <f t="shared" si="19"/>
        <v>56492.1</v>
      </c>
      <c r="AY29" s="139">
        <f t="shared" si="19"/>
        <v>54987.1875</v>
      </c>
      <c r="AZ29" s="139">
        <f t="shared" si="19"/>
        <v>56492.1</v>
      </c>
      <c r="BA29" s="139">
        <f t="shared" si="19"/>
        <v>56492.1</v>
      </c>
      <c r="BB29" s="139">
        <f t="shared" si="19"/>
        <v>56492.1</v>
      </c>
      <c r="BC29" s="139">
        <f t="shared" si="19"/>
        <v>56492.1</v>
      </c>
      <c r="BD29" s="139">
        <f t="shared" si="19"/>
        <v>56492.1</v>
      </c>
      <c r="BE29" s="139">
        <f t="shared" si="19"/>
        <v>56492.1</v>
      </c>
      <c r="BF29" s="139">
        <f t="shared" si="19"/>
        <v>56492.1</v>
      </c>
      <c r="BG29" s="139">
        <f t="shared" si="19"/>
        <v>56492.1</v>
      </c>
      <c r="BH29" s="139">
        <f t="shared" si="19"/>
        <v>676400.28750000021</v>
      </c>
      <c r="BJ29" s="139">
        <f t="shared" ref="BJ29:BV29" si="20">SUM(BJ6:BJ28)</f>
        <v>59316.705000000016</v>
      </c>
      <c r="BK29" s="139">
        <f t="shared" si="20"/>
        <v>59316.705000000016</v>
      </c>
      <c r="BL29" s="139">
        <f t="shared" si="20"/>
        <v>59316.705000000016</v>
      </c>
      <c r="BM29" s="139">
        <f t="shared" si="20"/>
        <v>57736.546875000015</v>
      </c>
      <c r="BN29" s="139">
        <f t="shared" si="20"/>
        <v>59316.705000000016</v>
      </c>
      <c r="BO29" s="139">
        <f t="shared" si="20"/>
        <v>59316.705000000016</v>
      </c>
      <c r="BP29" s="139">
        <f t="shared" si="20"/>
        <v>59316.705000000016</v>
      </c>
      <c r="BQ29" s="139">
        <f t="shared" si="20"/>
        <v>59316.705000000016</v>
      </c>
      <c r="BR29" s="139">
        <f t="shared" si="20"/>
        <v>59316.705000000016</v>
      </c>
      <c r="BS29" s="139">
        <f t="shared" si="20"/>
        <v>59316.705000000016</v>
      </c>
      <c r="BT29" s="139">
        <f t="shared" si="20"/>
        <v>59316.705000000016</v>
      </c>
      <c r="BU29" s="139">
        <f t="shared" si="20"/>
        <v>59316.705000000016</v>
      </c>
      <c r="BV29" s="139">
        <f t="shared" si="20"/>
        <v>710220.30187500012</v>
      </c>
      <c r="BX29" s="139">
        <f t="shared" ref="BX29:CJ29" si="21">SUM(BX6:BX28)</f>
        <v>62282.540250000005</v>
      </c>
      <c r="BY29" s="139">
        <f t="shared" si="21"/>
        <v>62282.540250000005</v>
      </c>
      <c r="BZ29" s="139">
        <f t="shared" si="21"/>
        <v>62282.540250000005</v>
      </c>
      <c r="CA29" s="139">
        <f t="shared" si="21"/>
        <v>60623.374218750003</v>
      </c>
      <c r="CB29" s="139">
        <f t="shared" si="21"/>
        <v>62282.540250000005</v>
      </c>
      <c r="CC29" s="139">
        <f t="shared" si="21"/>
        <v>62282.540250000005</v>
      </c>
      <c r="CD29" s="139">
        <f t="shared" si="21"/>
        <v>62282.540250000005</v>
      </c>
      <c r="CE29" s="139">
        <f t="shared" si="21"/>
        <v>62282.540250000005</v>
      </c>
      <c r="CF29" s="139">
        <f t="shared" si="21"/>
        <v>62282.540250000005</v>
      </c>
      <c r="CG29" s="139">
        <f t="shared" si="21"/>
        <v>62282.540250000005</v>
      </c>
      <c r="CH29" s="139">
        <f t="shared" si="21"/>
        <v>62282.540250000005</v>
      </c>
      <c r="CI29" s="139">
        <f t="shared" si="21"/>
        <v>62282.540250000005</v>
      </c>
      <c r="CJ29" s="139">
        <f t="shared" si="21"/>
        <v>745731.31696874986</v>
      </c>
      <c r="CL29" s="139">
        <f t="shared" ref="CL29:CX29" si="22">SUM(CL6:CL28)</f>
        <v>65396.667262500006</v>
      </c>
      <c r="CM29" s="139">
        <f t="shared" si="22"/>
        <v>65396.667262500006</v>
      </c>
      <c r="CN29" s="139">
        <f t="shared" si="22"/>
        <v>65396.667262500006</v>
      </c>
      <c r="CO29" s="139">
        <f t="shared" si="22"/>
        <v>63654.542929687508</v>
      </c>
      <c r="CP29" s="139">
        <f t="shared" si="22"/>
        <v>65396.667262500006</v>
      </c>
      <c r="CQ29" s="139">
        <f t="shared" si="22"/>
        <v>65396.667262500006</v>
      </c>
      <c r="CR29" s="139">
        <f t="shared" si="22"/>
        <v>65396.667262500006</v>
      </c>
      <c r="CS29" s="139">
        <f t="shared" si="22"/>
        <v>65396.667262500006</v>
      </c>
      <c r="CT29" s="139">
        <f t="shared" si="22"/>
        <v>65396.667262500006</v>
      </c>
      <c r="CU29" s="139">
        <f t="shared" si="22"/>
        <v>65396.667262500006</v>
      </c>
      <c r="CV29" s="139">
        <f t="shared" si="22"/>
        <v>65396.667262500006</v>
      </c>
      <c r="CW29" s="139">
        <f t="shared" si="22"/>
        <v>65396.667262500006</v>
      </c>
      <c r="CX29" s="139">
        <f t="shared" si="22"/>
        <v>783017.88281718781</v>
      </c>
    </row>
    <row r="30" spans="1:102" s="133" customFormat="1" ht="24.95" customHeight="1" thickBot="1">
      <c r="A30" s="282" t="s">
        <v>542</v>
      </c>
      <c r="B30" s="282"/>
      <c r="C30" s="282"/>
      <c r="D30" s="282"/>
    </row>
    <row r="31" spans="1:102" s="133" customFormat="1" ht="24.95" customHeight="1" thickTop="1" thickBot="1">
      <c r="A31" s="140" t="str">
        <f>CONCATENATE("Currency: "," ",'Summary. Assumptions. Inputs'!$J$7)</f>
        <v>Currency:  USD</v>
      </c>
      <c r="B31" s="654"/>
      <c r="C31" s="141"/>
      <c r="D31" s="141"/>
    </row>
    <row r="32" spans="1:102" s="131" customFormat="1" ht="48" thickBot="1">
      <c r="A32" s="288" t="s">
        <v>462</v>
      </c>
      <c r="B32" s="289" t="s">
        <v>543</v>
      </c>
      <c r="C32" s="290" t="s">
        <v>511</v>
      </c>
      <c r="D32" s="290" t="s">
        <v>544</v>
      </c>
      <c r="E32" s="291" t="str">
        <f>E5</f>
        <v>Pre-Operation</v>
      </c>
      <c r="F32" s="290" t="s">
        <v>347</v>
      </c>
      <c r="G32" s="290" t="s">
        <v>348</v>
      </c>
      <c r="H32" s="290" t="s">
        <v>349</v>
      </c>
      <c r="I32" s="290" t="s">
        <v>350</v>
      </c>
      <c r="J32" s="290" t="s">
        <v>351</v>
      </c>
      <c r="K32" s="290" t="s">
        <v>352</v>
      </c>
      <c r="L32" s="290" t="s">
        <v>353</v>
      </c>
      <c r="M32" s="290" t="s">
        <v>354</v>
      </c>
      <c r="N32" s="290" t="s">
        <v>355</v>
      </c>
      <c r="O32" s="290" t="s">
        <v>356</v>
      </c>
      <c r="P32" s="290" t="s">
        <v>357</v>
      </c>
      <c r="Q32" s="290" t="s">
        <v>358</v>
      </c>
      <c r="R32" s="290" t="s">
        <v>359</v>
      </c>
      <c r="S32" s="290" t="s">
        <v>360</v>
      </c>
      <c r="T32" s="290" t="s">
        <v>361</v>
      </c>
      <c r="U32" s="290" t="s">
        <v>362</v>
      </c>
      <c r="V32" s="290" t="s">
        <v>363</v>
      </c>
      <c r="W32" s="290" t="s">
        <v>364</v>
      </c>
      <c r="X32" s="290" t="s">
        <v>365</v>
      </c>
      <c r="Y32" s="290" t="s">
        <v>366</v>
      </c>
      <c r="Z32" s="290" t="s">
        <v>367</v>
      </c>
      <c r="AA32" s="290" t="s">
        <v>368</v>
      </c>
      <c r="AB32" s="290" t="s">
        <v>369</v>
      </c>
      <c r="AC32" s="290" t="s">
        <v>370</v>
      </c>
      <c r="AD32" s="290" t="s">
        <v>371</v>
      </c>
      <c r="AE32" s="290" t="s">
        <v>372</v>
      </c>
      <c r="AF32" s="290" t="s">
        <v>373</v>
      </c>
      <c r="AG32" s="290" t="s">
        <v>374</v>
      </c>
      <c r="AH32" s="290" t="s">
        <v>375</v>
      </c>
      <c r="AI32" s="290" t="s">
        <v>376</v>
      </c>
      <c r="AJ32" s="290" t="s">
        <v>377</v>
      </c>
      <c r="AK32" s="290" t="s">
        <v>378</v>
      </c>
      <c r="AL32" s="290" t="s">
        <v>379</v>
      </c>
      <c r="AM32" s="290" t="s">
        <v>380</v>
      </c>
      <c r="AN32" s="290" t="s">
        <v>381</v>
      </c>
      <c r="AO32" s="290" t="s">
        <v>382</v>
      </c>
      <c r="AP32" s="290" t="s">
        <v>383</v>
      </c>
      <c r="AQ32" s="290" t="s">
        <v>384</v>
      </c>
      <c r="AR32" s="290" t="s">
        <v>385</v>
      </c>
      <c r="AS32" s="290" t="s">
        <v>386</v>
      </c>
      <c r="AT32" s="290" t="s">
        <v>387</v>
      </c>
      <c r="AU32" s="290" t="s">
        <v>388</v>
      </c>
      <c r="AV32" s="290" t="s">
        <v>389</v>
      </c>
      <c r="AW32" s="290" t="s">
        <v>390</v>
      </c>
      <c r="AX32" s="290" t="s">
        <v>391</v>
      </c>
      <c r="AY32" s="290" t="s">
        <v>392</v>
      </c>
      <c r="AZ32" s="290" t="s">
        <v>393</v>
      </c>
      <c r="BA32" s="290" t="s">
        <v>394</v>
      </c>
      <c r="BB32" s="290" t="s">
        <v>395</v>
      </c>
      <c r="BC32" s="290" t="s">
        <v>396</v>
      </c>
      <c r="BD32" s="290" t="s">
        <v>397</v>
      </c>
      <c r="BE32" s="290" t="s">
        <v>398</v>
      </c>
      <c r="BF32" s="290" t="s">
        <v>399</v>
      </c>
      <c r="BG32" s="290" t="s">
        <v>400</v>
      </c>
      <c r="BH32" s="290" t="s">
        <v>401</v>
      </c>
      <c r="BI32" s="290" t="s">
        <v>402</v>
      </c>
      <c r="BJ32" s="290" t="s">
        <v>403</v>
      </c>
      <c r="BK32" s="290" t="s">
        <v>404</v>
      </c>
      <c r="BL32" s="290" t="s">
        <v>405</v>
      </c>
      <c r="BM32" s="290" t="s">
        <v>406</v>
      </c>
      <c r="BN32" s="290" t="s">
        <v>407</v>
      </c>
      <c r="BO32" s="290" t="s">
        <v>408</v>
      </c>
      <c r="BP32" s="290" t="s">
        <v>409</v>
      </c>
      <c r="BQ32" s="290" t="s">
        <v>410</v>
      </c>
      <c r="BR32" s="290" t="s">
        <v>411</v>
      </c>
      <c r="BS32" s="290" t="s">
        <v>412</v>
      </c>
      <c r="BT32" s="290" t="s">
        <v>413</v>
      </c>
      <c r="BU32" s="290" t="s">
        <v>414</v>
      </c>
      <c r="BV32" s="290" t="s">
        <v>415</v>
      </c>
      <c r="BW32" s="290" t="s">
        <v>416</v>
      </c>
      <c r="BX32" s="290" t="s">
        <v>417</v>
      </c>
      <c r="BY32" s="290" t="s">
        <v>418</v>
      </c>
      <c r="BZ32" s="290" t="s">
        <v>419</v>
      </c>
      <c r="CA32" s="290" t="s">
        <v>420</v>
      </c>
      <c r="CB32" s="290" t="s">
        <v>421</v>
      </c>
      <c r="CC32" s="290" t="s">
        <v>422</v>
      </c>
      <c r="CD32" s="290" t="s">
        <v>423</v>
      </c>
      <c r="CE32" s="290" t="s">
        <v>424</v>
      </c>
      <c r="CF32" s="290" t="s">
        <v>425</v>
      </c>
      <c r="CG32" s="290" t="s">
        <v>426</v>
      </c>
      <c r="CH32" s="290" t="s">
        <v>427</v>
      </c>
      <c r="CI32" s="290" t="s">
        <v>428</v>
      </c>
      <c r="CJ32" s="290" t="s">
        <v>429</v>
      </c>
      <c r="CK32" s="290" t="s">
        <v>430</v>
      </c>
      <c r="CL32" s="290" t="s">
        <v>431</v>
      </c>
      <c r="CM32" s="290" t="s">
        <v>432</v>
      </c>
      <c r="CN32" s="290" t="s">
        <v>433</v>
      </c>
      <c r="CO32" s="290" t="s">
        <v>434</v>
      </c>
      <c r="CP32" s="290" t="s">
        <v>435</v>
      </c>
      <c r="CQ32" s="290" t="s">
        <v>436</v>
      </c>
      <c r="CR32" s="290" t="s">
        <v>437</v>
      </c>
    </row>
    <row r="33" spans="1:96" s="133" customFormat="1" ht="15" customHeight="1">
      <c r="A33" s="649" t="s">
        <v>545</v>
      </c>
      <c r="B33" s="649"/>
      <c r="C33" s="240">
        <f>20000*3.2</f>
        <v>64000</v>
      </c>
      <c r="D33" s="133">
        <f t="shared" ref="D33:D51" si="23">PRODUCT(B33:C33)/USD_RATE</f>
        <v>20000</v>
      </c>
      <c r="E33" s="134">
        <f>D33</f>
        <v>20000</v>
      </c>
      <c r="F33" s="135"/>
      <c r="G33" s="135"/>
      <c r="H33" s="135"/>
      <c r="I33" s="135"/>
      <c r="J33" s="135"/>
      <c r="K33" s="135"/>
      <c r="L33" s="135"/>
      <c r="M33" s="135"/>
      <c r="N33" s="135"/>
      <c r="O33" s="135"/>
      <c r="P33" s="135"/>
      <c r="Q33" s="135"/>
      <c r="R33" s="136"/>
      <c r="S33" s="135"/>
      <c r="T33" s="135"/>
      <c r="U33" s="135"/>
      <c r="V33" s="135"/>
      <c r="W33" s="135"/>
      <c r="X33" s="135"/>
      <c r="Y33" s="135"/>
      <c r="Z33" s="135"/>
      <c r="AA33" s="135"/>
      <c r="AB33" s="135"/>
      <c r="AC33" s="135"/>
      <c r="AD33" s="135"/>
      <c r="AE33" s="136"/>
      <c r="AF33" s="135"/>
      <c r="AG33" s="135"/>
      <c r="AH33" s="135"/>
      <c r="AI33" s="135"/>
      <c r="AJ33" s="135"/>
      <c r="AK33" s="135"/>
      <c r="AL33" s="135"/>
      <c r="AM33" s="135"/>
      <c r="AN33" s="135"/>
      <c r="AO33" s="135"/>
      <c r="AP33" s="135"/>
      <c r="AQ33" s="135"/>
      <c r="AR33" s="136"/>
      <c r="AS33" s="135"/>
      <c r="AT33" s="135"/>
      <c r="AU33" s="135"/>
      <c r="AV33" s="135"/>
      <c r="AW33" s="135"/>
      <c r="AX33" s="135"/>
      <c r="AY33" s="135"/>
      <c r="AZ33" s="135"/>
      <c r="BA33" s="135"/>
      <c r="BB33" s="135"/>
      <c r="BC33" s="135"/>
      <c r="BD33" s="135"/>
      <c r="BE33" s="136"/>
      <c r="BF33" s="135"/>
      <c r="BG33" s="135"/>
      <c r="BH33" s="135"/>
      <c r="BI33" s="135"/>
      <c r="BJ33" s="135"/>
      <c r="BK33" s="135"/>
      <c r="BL33" s="135"/>
      <c r="BM33" s="135"/>
      <c r="BN33" s="135"/>
      <c r="BO33" s="135"/>
      <c r="BP33" s="135"/>
      <c r="BQ33" s="135"/>
      <c r="BR33" s="136"/>
      <c r="BS33" s="135"/>
      <c r="BT33" s="135"/>
      <c r="BU33" s="135"/>
      <c r="BV33" s="135"/>
      <c r="BW33" s="135"/>
      <c r="BX33" s="135"/>
      <c r="BY33" s="135"/>
      <c r="BZ33" s="135"/>
      <c r="CA33" s="135"/>
      <c r="CB33" s="135"/>
      <c r="CC33" s="135"/>
      <c r="CD33" s="135"/>
      <c r="CE33" s="136"/>
      <c r="CF33" s="135"/>
      <c r="CG33" s="135"/>
      <c r="CH33" s="135"/>
      <c r="CI33" s="135"/>
      <c r="CJ33" s="135"/>
      <c r="CK33" s="135"/>
      <c r="CL33" s="135"/>
      <c r="CM33" s="135"/>
      <c r="CN33" s="135"/>
      <c r="CO33" s="135"/>
      <c r="CP33" s="135"/>
      <c r="CQ33" s="135"/>
      <c r="CR33" s="136">
        <f>SUM(CF33:CQ33)</f>
        <v>0</v>
      </c>
    </row>
    <row r="34" spans="1:96" s="133" customFormat="1" ht="15" customHeight="1">
      <c r="A34" s="649" t="s">
        <v>546</v>
      </c>
      <c r="B34" s="649"/>
      <c r="C34" s="240">
        <f>50000*3.2</f>
        <v>160000</v>
      </c>
      <c r="D34" s="133">
        <f t="shared" si="23"/>
        <v>50000</v>
      </c>
      <c r="E34" s="134">
        <f t="shared" ref="E34:E36" si="24">D34</f>
        <v>50000</v>
      </c>
      <c r="F34" s="135"/>
      <c r="G34" s="135"/>
      <c r="H34" s="135"/>
      <c r="I34" s="135"/>
      <c r="J34" s="135"/>
      <c r="K34" s="135"/>
      <c r="L34" s="135"/>
      <c r="M34" s="135"/>
      <c r="N34" s="135"/>
      <c r="O34" s="135"/>
      <c r="P34" s="135"/>
      <c r="Q34" s="135"/>
      <c r="R34" s="136">
        <f t="shared" ref="R34:R52" si="25">SUM(F34:Q34)</f>
        <v>0</v>
      </c>
      <c r="S34" s="135">
        <f>F34*(1+'Summary. Assumptions. Inputs'!$C$29)</f>
        <v>0</v>
      </c>
      <c r="T34" s="135">
        <f>G34*(1+'Summary. Assumptions. Inputs'!$C$29)</f>
        <v>0</v>
      </c>
      <c r="U34" s="135">
        <f>H34*(1+'Summary. Assumptions. Inputs'!$C$29)</f>
        <v>0</v>
      </c>
      <c r="V34" s="135">
        <f>I34*(1+'Summary. Assumptions. Inputs'!$C$29)</f>
        <v>0</v>
      </c>
      <c r="W34" s="135">
        <f>J34*(1+'Summary. Assumptions. Inputs'!$C$29)</f>
        <v>0</v>
      </c>
      <c r="X34" s="135">
        <f>K34*(1+'Summary. Assumptions. Inputs'!$C$29)</f>
        <v>0</v>
      </c>
      <c r="Y34" s="135">
        <f>L34*(1+'Summary. Assumptions. Inputs'!$C$29)</f>
        <v>0</v>
      </c>
      <c r="Z34" s="135">
        <f>M34*(1+'Summary. Assumptions. Inputs'!$C$29)</f>
        <v>0</v>
      </c>
      <c r="AA34" s="135">
        <f>N34*(1+'Summary. Assumptions. Inputs'!$C$29)</f>
        <v>0</v>
      </c>
      <c r="AB34" s="135">
        <f>O34*(1+'Summary. Assumptions. Inputs'!$C$29)</f>
        <v>0</v>
      </c>
      <c r="AC34" s="135">
        <f>P34*(1+'Summary. Assumptions. Inputs'!$C$29)</f>
        <v>0</v>
      </c>
      <c r="AD34" s="135">
        <f>Q34*(1+'Summary. Assumptions. Inputs'!$C$29)</f>
        <v>0</v>
      </c>
      <c r="AE34" s="136">
        <f t="shared" ref="AE34:AE51" si="26">SUM(S34:AD34)</f>
        <v>0</v>
      </c>
      <c r="AF34" s="135">
        <f>S34*(1+'Summary. Assumptions. Inputs'!$C$29)</f>
        <v>0</v>
      </c>
      <c r="AG34" s="135">
        <f>T34*(1+'Summary. Assumptions. Inputs'!$C$29)</f>
        <v>0</v>
      </c>
      <c r="AH34" s="135">
        <f>U34*(1+'Summary. Assumptions. Inputs'!$C$29)</f>
        <v>0</v>
      </c>
      <c r="AI34" s="135">
        <f>V34*(1+'Summary. Assumptions. Inputs'!$C$29)</f>
        <v>0</v>
      </c>
      <c r="AJ34" s="135">
        <f>W34*(1+'Summary. Assumptions. Inputs'!$C$29)</f>
        <v>0</v>
      </c>
      <c r="AK34" s="135">
        <f>X34*(1+'Summary. Assumptions. Inputs'!$C$29)</f>
        <v>0</v>
      </c>
      <c r="AL34" s="135">
        <f>Y34*(1+'Summary. Assumptions. Inputs'!$C$29)</f>
        <v>0</v>
      </c>
      <c r="AM34" s="135">
        <f>Z34*(1+'Summary. Assumptions. Inputs'!$C$29)</f>
        <v>0</v>
      </c>
      <c r="AN34" s="135">
        <f>AA34*(1+'Summary. Assumptions. Inputs'!$C$29)</f>
        <v>0</v>
      </c>
      <c r="AO34" s="135">
        <f>AB34*(1+'Summary. Assumptions. Inputs'!$C$29)</f>
        <v>0</v>
      </c>
      <c r="AP34" s="135">
        <f>AC34*(1+'Summary. Assumptions. Inputs'!$C$29)</f>
        <v>0</v>
      </c>
      <c r="AQ34" s="135">
        <f>AD34*(1+'Summary. Assumptions. Inputs'!$C$29)</f>
        <v>0</v>
      </c>
      <c r="AR34" s="136">
        <f t="shared" ref="AR34:AR51" si="27">SUM(AF34:AQ34)</f>
        <v>0</v>
      </c>
      <c r="AS34" s="135">
        <f>AF34*(1+'Summary. Assumptions. Inputs'!$C$29)</f>
        <v>0</v>
      </c>
      <c r="AT34" s="135">
        <f>AG34*(1+'Summary. Assumptions. Inputs'!$C$29)</f>
        <v>0</v>
      </c>
      <c r="AU34" s="135">
        <f>AH34*(1+'Summary. Assumptions. Inputs'!$C$29)</f>
        <v>0</v>
      </c>
      <c r="AV34" s="135">
        <f>AI34*(1+'Summary. Assumptions. Inputs'!$C$29)</f>
        <v>0</v>
      </c>
      <c r="AW34" s="135">
        <f>AJ34*(1+'Summary. Assumptions. Inputs'!$C$29)</f>
        <v>0</v>
      </c>
      <c r="AX34" s="135">
        <f>AK34*(1+'Summary. Assumptions. Inputs'!$C$29)</f>
        <v>0</v>
      </c>
      <c r="AY34" s="135">
        <f>AL34*(1+'Summary. Assumptions. Inputs'!$C$29)</f>
        <v>0</v>
      </c>
      <c r="AZ34" s="135">
        <f>AM34*(1+'Summary. Assumptions. Inputs'!$C$29)</f>
        <v>0</v>
      </c>
      <c r="BA34" s="135">
        <f>AN34*(1+'Summary. Assumptions. Inputs'!$C$29)</f>
        <v>0</v>
      </c>
      <c r="BB34" s="135">
        <f>AO34*(1+'Summary. Assumptions. Inputs'!$C$29)</f>
        <v>0</v>
      </c>
      <c r="BC34" s="135">
        <f>AP34*(1+'Summary. Assumptions. Inputs'!$C$29)</f>
        <v>0</v>
      </c>
      <c r="BD34" s="135">
        <f>AQ34*(1+'Summary. Assumptions. Inputs'!$C$29)</f>
        <v>0</v>
      </c>
      <c r="BE34" s="136">
        <f t="shared" ref="BE34:BE51" si="28">SUM(AS34:BD34)</f>
        <v>0</v>
      </c>
      <c r="BF34" s="135">
        <f>AS34*(1+'Summary. Assumptions. Inputs'!$C$29)</f>
        <v>0</v>
      </c>
      <c r="BG34" s="135">
        <f>AT34*(1+'Summary. Assumptions. Inputs'!$C$29)</f>
        <v>0</v>
      </c>
      <c r="BH34" s="135">
        <f>AU34*(1+'Summary. Assumptions. Inputs'!$C$29)</f>
        <v>0</v>
      </c>
      <c r="BI34" s="135">
        <f>AV34*(1+'Summary. Assumptions. Inputs'!$C$29)</f>
        <v>0</v>
      </c>
      <c r="BJ34" s="135">
        <f>AW34*(1+'Summary. Assumptions. Inputs'!$C$29)</f>
        <v>0</v>
      </c>
      <c r="BK34" s="135">
        <f>AX34*(1+'Summary. Assumptions. Inputs'!$C$29)</f>
        <v>0</v>
      </c>
      <c r="BL34" s="135">
        <f>AY34*(1+'Summary. Assumptions. Inputs'!$C$29)</f>
        <v>0</v>
      </c>
      <c r="BM34" s="135">
        <f>AZ34*(1+'Summary. Assumptions. Inputs'!$C$29)</f>
        <v>0</v>
      </c>
      <c r="BN34" s="135">
        <f>BA34*(1+'Summary. Assumptions. Inputs'!$C$29)</f>
        <v>0</v>
      </c>
      <c r="BO34" s="135">
        <f>BB34*(1+'Summary. Assumptions. Inputs'!$C$29)</f>
        <v>0</v>
      </c>
      <c r="BP34" s="135">
        <f>BC34*(1+'Summary. Assumptions. Inputs'!$C$29)</f>
        <v>0</v>
      </c>
      <c r="BQ34" s="135">
        <f>BD34*(1+'Summary. Assumptions. Inputs'!$C$29)</f>
        <v>0</v>
      </c>
      <c r="BR34" s="136">
        <f t="shared" ref="BR34:BR51" si="29">SUM(BF34:BQ34)</f>
        <v>0</v>
      </c>
      <c r="BS34" s="135">
        <f>BF34*(1+'Summary. Assumptions. Inputs'!$C$29)</f>
        <v>0</v>
      </c>
      <c r="BT34" s="135">
        <f>BG34*(1+'Summary. Assumptions. Inputs'!$C$29)</f>
        <v>0</v>
      </c>
      <c r="BU34" s="135">
        <f>BH34*(1+'Summary. Assumptions. Inputs'!$C$29)</f>
        <v>0</v>
      </c>
      <c r="BV34" s="135">
        <f>BI34*(1+'Summary. Assumptions. Inputs'!$C$29)</f>
        <v>0</v>
      </c>
      <c r="BW34" s="135">
        <f>BJ34*(1+'Summary. Assumptions. Inputs'!$C$29)</f>
        <v>0</v>
      </c>
      <c r="BX34" s="135">
        <f>BK34*(1+'Summary. Assumptions. Inputs'!$C$29)</f>
        <v>0</v>
      </c>
      <c r="BY34" s="135">
        <f>BL34*(1+'Summary. Assumptions. Inputs'!$C$29)</f>
        <v>0</v>
      </c>
      <c r="BZ34" s="135">
        <f>BM34*(1+'Summary. Assumptions. Inputs'!$C$29)</f>
        <v>0</v>
      </c>
      <c r="CA34" s="135">
        <f>BN34*(1+'Summary. Assumptions. Inputs'!$C$29)</f>
        <v>0</v>
      </c>
      <c r="CB34" s="135">
        <f>BO34*(1+'Summary. Assumptions. Inputs'!$C$29)</f>
        <v>0</v>
      </c>
      <c r="CC34" s="135">
        <f>BP34*(1+'Summary. Assumptions. Inputs'!$C$29)</f>
        <v>0</v>
      </c>
      <c r="CD34" s="135">
        <f>BQ34*(1+'Summary. Assumptions. Inputs'!$C$29)</f>
        <v>0</v>
      </c>
      <c r="CE34" s="136">
        <f t="shared" ref="CE34:CE51" si="30">SUM(BS34:CD34)</f>
        <v>0</v>
      </c>
      <c r="CF34" s="135">
        <f>BS34*(1+'Summary. Assumptions. Inputs'!$C$29)</f>
        <v>0</v>
      </c>
      <c r="CG34" s="135">
        <f>BT34*(1+'Summary. Assumptions. Inputs'!$C$29)</f>
        <v>0</v>
      </c>
      <c r="CH34" s="135">
        <f>BU34*(1+'Summary. Assumptions. Inputs'!$C$29)</f>
        <v>0</v>
      </c>
      <c r="CI34" s="135">
        <f>BV34*(1+'Summary. Assumptions. Inputs'!$C$29)</f>
        <v>0</v>
      </c>
      <c r="CJ34" s="135">
        <f>BW34*(1+'Summary. Assumptions. Inputs'!$C$29)</f>
        <v>0</v>
      </c>
      <c r="CK34" s="135">
        <f>BX34*(1+'Summary. Assumptions. Inputs'!$C$29)</f>
        <v>0</v>
      </c>
      <c r="CL34" s="135">
        <f>BY34*(1+'Summary. Assumptions. Inputs'!$C$29)</f>
        <v>0</v>
      </c>
      <c r="CM34" s="135">
        <f>BZ34*(1+'Summary. Assumptions. Inputs'!$C$29)</f>
        <v>0</v>
      </c>
      <c r="CN34" s="135">
        <f>CA34*(1+'Summary. Assumptions. Inputs'!$C$29)</f>
        <v>0</v>
      </c>
      <c r="CO34" s="135">
        <f>CB34*(1+'Summary. Assumptions. Inputs'!$C$29)</f>
        <v>0</v>
      </c>
      <c r="CP34" s="135">
        <f>CC34*(1+'Summary. Assumptions. Inputs'!$C$29)</f>
        <v>0</v>
      </c>
      <c r="CQ34" s="135">
        <f>CD34*(1+'Summary. Assumptions. Inputs'!$C$29)</f>
        <v>0</v>
      </c>
      <c r="CR34" s="136">
        <f t="shared" ref="CR34:CR51" si="31">SUM(CF34:CQ34)</f>
        <v>0</v>
      </c>
    </row>
    <row r="35" spans="1:96" s="133" customFormat="1" ht="15" customHeight="1">
      <c r="A35" s="649" t="s">
        <v>547</v>
      </c>
      <c r="B35" s="649"/>
      <c r="C35" s="240">
        <f t="shared" ref="C35:C36" si="32">20000*3.2</f>
        <v>64000</v>
      </c>
      <c r="D35" s="133">
        <f t="shared" si="23"/>
        <v>20000</v>
      </c>
      <c r="E35" s="134">
        <f t="shared" si="24"/>
        <v>20000</v>
      </c>
      <c r="F35" s="135"/>
      <c r="G35" s="135"/>
      <c r="H35" s="135"/>
      <c r="I35" s="135"/>
      <c r="J35" s="135"/>
      <c r="K35" s="135"/>
      <c r="L35" s="135"/>
      <c r="M35" s="135"/>
      <c r="N35" s="135"/>
      <c r="O35" s="135"/>
      <c r="P35" s="135"/>
      <c r="Q35" s="135"/>
      <c r="R35" s="136">
        <f t="shared" si="25"/>
        <v>0</v>
      </c>
      <c r="S35" s="135">
        <f ca="1">'Sales Volume, Cost of Productio'!Q96*'Summary. Assumptions. Inputs'!$F$40</f>
        <v>0</v>
      </c>
      <c r="T35" s="135">
        <f ca="1">'Sales Volume, Cost of Productio'!R96*'Summary. Assumptions. Inputs'!$F$40</f>
        <v>0</v>
      </c>
      <c r="U35" s="135">
        <f ca="1">'Sales Volume, Cost of Productio'!S96*'Summary. Assumptions. Inputs'!$F$40</f>
        <v>0</v>
      </c>
      <c r="V35" s="135">
        <f ca="1">'Sales Volume, Cost of Productio'!T96*'Summary. Assumptions. Inputs'!$F$40</f>
        <v>0</v>
      </c>
      <c r="W35" s="135">
        <f ca="1">'Sales Volume, Cost of Productio'!U96*'Summary. Assumptions. Inputs'!$F$40</f>
        <v>0</v>
      </c>
      <c r="X35" s="135">
        <f ca="1">'Sales Volume, Cost of Productio'!V96*'Summary. Assumptions. Inputs'!$F$40</f>
        <v>0</v>
      </c>
      <c r="Y35" s="135">
        <f ca="1">'Sales Volume, Cost of Productio'!W96*'Summary. Assumptions. Inputs'!$F$40</f>
        <v>0</v>
      </c>
      <c r="Z35" s="135">
        <f ca="1">'Sales Volume, Cost of Productio'!X96*'Summary. Assumptions. Inputs'!$F$40</f>
        <v>0</v>
      </c>
      <c r="AA35" s="135">
        <f ca="1">'Sales Volume, Cost of Productio'!Y96*'Summary. Assumptions. Inputs'!$F$40</f>
        <v>0</v>
      </c>
      <c r="AB35" s="135">
        <f ca="1">'Sales Volume, Cost of Productio'!Z96*'Summary. Assumptions. Inputs'!$F$40</f>
        <v>0</v>
      </c>
      <c r="AC35" s="135">
        <f ca="1">'Sales Volume, Cost of Productio'!AA96*'Summary. Assumptions. Inputs'!$F$40</f>
        <v>0</v>
      </c>
      <c r="AD35" s="135">
        <f ca="1">'Sales Volume, Cost of Productio'!AB96*'Summary. Assumptions. Inputs'!$F$40</f>
        <v>0</v>
      </c>
      <c r="AE35" s="136">
        <f t="shared" ca="1" si="26"/>
        <v>0</v>
      </c>
      <c r="AF35" s="135">
        <f ca="1">'Sales Volume, Cost of Productio'!AD96*'Summary. Assumptions. Inputs'!$F$40</f>
        <v>0</v>
      </c>
      <c r="AG35" s="135">
        <f ca="1">'Sales Volume, Cost of Productio'!AE96*'Summary. Assumptions. Inputs'!$F$40</f>
        <v>0</v>
      </c>
      <c r="AH35" s="135">
        <f ca="1">'Sales Volume, Cost of Productio'!AF96*'Summary. Assumptions. Inputs'!$F$40</f>
        <v>0</v>
      </c>
      <c r="AI35" s="135">
        <f ca="1">'Sales Volume, Cost of Productio'!AG96*'Summary. Assumptions. Inputs'!$F$40</f>
        <v>0</v>
      </c>
      <c r="AJ35" s="135">
        <f ca="1">'Sales Volume, Cost of Productio'!AH96*'Summary. Assumptions. Inputs'!$F$40</f>
        <v>0</v>
      </c>
      <c r="AK35" s="135">
        <f ca="1">'Sales Volume, Cost of Productio'!AI96*'Summary. Assumptions. Inputs'!$F$40</f>
        <v>0</v>
      </c>
      <c r="AL35" s="135">
        <f ca="1">'Sales Volume, Cost of Productio'!AJ96*'Summary. Assumptions. Inputs'!$F$40</f>
        <v>0</v>
      </c>
      <c r="AM35" s="135">
        <f ca="1">'Sales Volume, Cost of Productio'!AK96*'Summary. Assumptions. Inputs'!$F$40</f>
        <v>0</v>
      </c>
      <c r="AN35" s="135">
        <f ca="1">'Sales Volume, Cost of Productio'!AL96*'Summary. Assumptions. Inputs'!$F$40</f>
        <v>0</v>
      </c>
      <c r="AO35" s="135">
        <f ca="1">'Sales Volume, Cost of Productio'!AM96*'Summary. Assumptions. Inputs'!$F$40</f>
        <v>0</v>
      </c>
      <c r="AP35" s="135">
        <f ca="1">'Sales Volume, Cost of Productio'!AN96*'Summary. Assumptions. Inputs'!$F$40</f>
        <v>0</v>
      </c>
      <c r="AQ35" s="135">
        <f ca="1">'Sales Volume, Cost of Productio'!AO96*'Summary. Assumptions. Inputs'!$F$40</f>
        <v>0</v>
      </c>
      <c r="AR35" s="136">
        <f t="shared" ca="1" si="27"/>
        <v>0</v>
      </c>
      <c r="AS35" s="135">
        <f ca="1">'Sales Volume, Cost of Productio'!AQ96*'Summary. Assumptions. Inputs'!$F$40</f>
        <v>0</v>
      </c>
      <c r="AT35" s="135">
        <f ca="1">'Sales Volume, Cost of Productio'!AR96*'Summary. Assumptions. Inputs'!$F$40</f>
        <v>0</v>
      </c>
      <c r="AU35" s="135">
        <f ca="1">'Sales Volume, Cost of Productio'!AS96*'Summary. Assumptions. Inputs'!$F$40</f>
        <v>0</v>
      </c>
      <c r="AV35" s="135">
        <f ca="1">'Sales Volume, Cost of Productio'!AT96*'Summary. Assumptions. Inputs'!$F$40</f>
        <v>0</v>
      </c>
      <c r="AW35" s="135">
        <f ca="1">'Sales Volume, Cost of Productio'!AU96*'Summary. Assumptions. Inputs'!$F$40</f>
        <v>0</v>
      </c>
      <c r="AX35" s="135">
        <f ca="1">'Sales Volume, Cost of Productio'!AV96*'Summary. Assumptions. Inputs'!$F$40</f>
        <v>0</v>
      </c>
      <c r="AY35" s="135">
        <f ca="1">'Sales Volume, Cost of Productio'!AW96*'Summary. Assumptions. Inputs'!$F$40</f>
        <v>0</v>
      </c>
      <c r="AZ35" s="135">
        <f ca="1">'Sales Volume, Cost of Productio'!AX96*'Summary. Assumptions. Inputs'!$F$40</f>
        <v>0</v>
      </c>
      <c r="BA35" s="135">
        <f ca="1">'Sales Volume, Cost of Productio'!AY96*'Summary. Assumptions. Inputs'!$F$40</f>
        <v>0</v>
      </c>
      <c r="BB35" s="135">
        <f ca="1">'Sales Volume, Cost of Productio'!AZ96*'Summary. Assumptions. Inputs'!$F$40</f>
        <v>0</v>
      </c>
      <c r="BC35" s="135">
        <f ca="1">'Sales Volume, Cost of Productio'!BA96*'Summary. Assumptions. Inputs'!$F$40</f>
        <v>0</v>
      </c>
      <c r="BD35" s="135">
        <f ca="1">'Sales Volume, Cost of Productio'!BB96*'Summary. Assumptions. Inputs'!$F$40</f>
        <v>0</v>
      </c>
      <c r="BE35" s="136">
        <f t="shared" ca="1" si="28"/>
        <v>0</v>
      </c>
      <c r="BF35" s="135">
        <f ca="1">'Sales Volume, Cost of Productio'!BD96*'Summary. Assumptions. Inputs'!$F$40</f>
        <v>0</v>
      </c>
      <c r="BG35" s="135">
        <f ca="1">'Sales Volume, Cost of Productio'!BE96*'Summary. Assumptions. Inputs'!$F$40</f>
        <v>0</v>
      </c>
      <c r="BH35" s="135">
        <f ca="1">'Sales Volume, Cost of Productio'!BF96*'Summary. Assumptions. Inputs'!$F$40</f>
        <v>0</v>
      </c>
      <c r="BI35" s="135">
        <f ca="1">'Sales Volume, Cost of Productio'!BG96*'Summary. Assumptions. Inputs'!$F$40</f>
        <v>0</v>
      </c>
      <c r="BJ35" s="135">
        <f ca="1">'Sales Volume, Cost of Productio'!BH96*'Summary. Assumptions. Inputs'!$F$40</f>
        <v>0</v>
      </c>
      <c r="BK35" s="135">
        <f ca="1">'Sales Volume, Cost of Productio'!BI96*'Summary. Assumptions. Inputs'!$F$40</f>
        <v>0</v>
      </c>
      <c r="BL35" s="135">
        <f ca="1">'Sales Volume, Cost of Productio'!BJ96*'Summary. Assumptions. Inputs'!$F$40</f>
        <v>0</v>
      </c>
      <c r="BM35" s="135">
        <f ca="1">'Sales Volume, Cost of Productio'!BK96*'Summary. Assumptions. Inputs'!$F$40</f>
        <v>0</v>
      </c>
      <c r="BN35" s="135">
        <f ca="1">'Sales Volume, Cost of Productio'!BL96*'Summary. Assumptions. Inputs'!$F$40</f>
        <v>0</v>
      </c>
      <c r="BO35" s="135">
        <f ca="1">'Sales Volume, Cost of Productio'!BM96*'Summary. Assumptions. Inputs'!$F$40</f>
        <v>0</v>
      </c>
      <c r="BP35" s="135">
        <f ca="1">'Sales Volume, Cost of Productio'!BN96*'Summary. Assumptions. Inputs'!$F$40</f>
        <v>0</v>
      </c>
      <c r="BQ35" s="135">
        <f ca="1">'Sales Volume, Cost of Productio'!BO96*'Summary. Assumptions. Inputs'!$F$40</f>
        <v>0</v>
      </c>
      <c r="BR35" s="136">
        <f t="shared" ca="1" si="29"/>
        <v>0</v>
      </c>
      <c r="BS35" s="135">
        <f ca="1">'Sales Volume, Cost of Productio'!BQ96*'Summary. Assumptions. Inputs'!$F$40</f>
        <v>0</v>
      </c>
      <c r="BT35" s="135">
        <f ca="1">'Sales Volume, Cost of Productio'!BR96*'Summary. Assumptions. Inputs'!$F$40</f>
        <v>0</v>
      </c>
      <c r="BU35" s="135">
        <f ca="1">'Sales Volume, Cost of Productio'!BS96*'Summary. Assumptions. Inputs'!$F$40</f>
        <v>0</v>
      </c>
      <c r="BV35" s="135">
        <f ca="1">'Sales Volume, Cost of Productio'!BT96*'Summary. Assumptions. Inputs'!$F$40</f>
        <v>0</v>
      </c>
      <c r="BW35" s="135">
        <f ca="1">'Sales Volume, Cost of Productio'!BU96*'Summary. Assumptions. Inputs'!$F$40</f>
        <v>0</v>
      </c>
      <c r="BX35" s="135">
        <f ca="1">'Sales Volume, Cost of Productio'!BV96*'Summary. Assumptions. Inputs'!$F$40</f>
        <v>0</v>
      </c>
      <c r="BY35" s="135">
        <f ca="1">'Sales Volume, Cost of Productio'!BW96*'Summary. Assumptions. Inputs'!$F$40</f>
        <v>0</v>
      </c>
      <c r="BZ35" s="135">
        <f ca="1">'Sales Volume, Cost of Productio'!BX96*'Summary. Assumptions. Inputs'!$F$40</f>
        <v>0</v>
      </c>
      <c r="CA35" s="135">
        <f ca="1">'Sales Volume, Cost of Productio'!BY96*'Summary. Assumptions. Inputs'!$F$40</f>
        <v>0</v>
      </c>
      <c r="CB35" s="135">
        <f ca="1">'Sales Volume, Cost of Productio'!BZ96*'Summary. Assumptions. Inputs'!$F$40</f>
        <v>0</v>
      </c>
      <c r="CC35" s="135">
        <f ca="1">'Sales Volume, Cost of Productio'!CA96*'Summary. Assumptions. Inputs'!$F$40</f>
        <v>0</v>
      </c>
      <c r="CD35" s="135">
        <f ca="1">'Sales Volume, Cost of Productio'!CB96*'Summary. Assumptions. Inputs'!$F$40</f>
        <v>0</v>
      </c>
      <c r="CE35" s="136">
        <f t="shared" ca="1" si="30"/>
        <v>0</v>
      </c>
      <c r="CF35" s="135">
        <f ca="1">'Sales Volume, Cost of Productio'!CD96*'Summary. Assumptions. Inputs'!$F$40</f>
        <v>0</v>
      </c>
      <c r="CG35" s="135">
        <f ca="1">'Sales Volume, Cost of Productio'!CE96*'Summary. Assumptions. Inputs'!$F$40</f>
        <v>0</v>
      </c>
      <c r="CH35" s="135">
        <f ca="1">'Sales Volume, Cost of Productio'!CF96*'Summary. Assumptions. Inputs'!$F$40</f>
        <v>0</v>
      </c>
      <c r="CI35" s="135">
        <f ca="1">'Sales Volume, Cost of Productio'!CG96*'Summary. Assumptions. Inputs'!$F$40</f>
        <v>0</v>
      </c>
      <c r="CJ35" s="135">
        <f ca="1">'Sales Volume, Cost of Productio'!CH96*'Summary. Assumptions. Inputs'!$F$40</f>
        <v>0</v>
      </c>
      <c r="CK35" s="135">
        <f ca="1">'Sales Volume, Cost of Productio'!CI96*'Summary. Assumptions. Inputs'!$F$40</f>
        <v>0</v>
      </c>
      <c r="CL35" s="135">
        <f ca="1">'Sales Volume, Cost of Productio'!CJ96*'Summary. Assumptions. Inputs'!$F$40</f>
        <v>0</v>
      </c>
      <c r="CM35" s="135">
        <f ca="1">'Sales Volume, Cost of Productio'!CK96*'Summary. Assumptions. Inputs'!$F$40</f>
        <v>0</v>
      </c>
      <c r="CN35" s="135">
        <f ca="1">'Sales Volume, Cost of Productio'!CL96*'Summary. Assumptions. Inputs'!$F$40</f>
        <v>0</v>
      </c>
      <c r="CO35" s="135">
        <f ca="1">'Sales Volume, Cost of Productio'!CM96*'Summary. Assumptions. Inputs'!$F$40</f>
        <v>0</v>
      </c>
      <c r="CP35" s="135">
        <f ca="1">'Sales Volume, Cost of Productio'!CN96*'Summary. Assumptions. Inputs'!$F$40</f>
        <v>0</v>
      </c>
      <c r="CQ35" s="135">
        <f ca="1">'Sales Volume, Cost of Productio'!CO96*'Summary. Assumptions. Inputs'!$F$40</f>
        <v>0</v>
      </c>
      <c r="CR35" s="136">
        <f t="shared" ca="1" si="31"/>
        <v>0</v>
      </c>
    </row>
    <row r="36" spans="1:96" s="133" customFormat="1" ht="15" customHeight="1">
      <c r="A36" s="649" t="s">
        <v>548</v>
      </c>
      <c r="B36" s="649"/>
      <c r="C36" s="240">
        <f t="shared" si="32"/>
        <v>64000</v>
      </c>
      <c r="D36" s="133">
        <f t="shared" si="23"/>
        <v>20000</v>
      </c>
      <c r="E36" s="134">
        <f t="shared" si="24"/>
        <v>20000</v>
      </c>
      <c r="F36" s="135"/>
      <c r="G36" s="135"/>
      <c r="H36" s="135"/>
      <c r="I36" s="135"/>
      <c r="J36" s="135"/>
      <c r="K36" s="135"/>
      <c r="L36" s="135"/>
      <c r="M36" s="135"/>
      <c r="N36" s="135"/>
      <c r="O36" s="135"/>
      <c r="P36" s="135"/>
      <c r="Q36" s="135"/>
      <c r="R36" s="136">
        <f t="shared" si="25"/>
        <v>0</v>
      </c>
      <c r="S36" s="135">
        <f ca="1">'Sales Volume, Cost of Productio'!Q$96*'Summary. Assumptions. Inputs'!$F$41</f>
        <v>0</v>
      </c>
      <c r="T36" s="135">
        <f ca="1">'Sales Volume, Cost of Productio'!R$96*'Summary. Assumptions. Inputs'!$F$41</f>
        <v>0</v>
      </c>
      <c r="U36" s="135">
        <f ca="1">'Sales Volume, Cost of Productio'!S$96*'Summary. Assumptions. Inputs'!$F$41</f>
        <v>0</v>
      </c>
      <c r="V36" s="135">
        <f ca="1">'Sales Volume, Cost of Productio'!T$96*'Summary. Assumptions. Inputs'!$F$41</f>
        <v>0</v>
      </c>
      <c r="W36" s="135">
        <f ca="1">'Sales Volume, Cost of Productio'!U$96*'Summary. Assumptions. Inputs'!$F$41</f>
        <v>0</v>
      </c>
      <c r="X36" s="135">
        <f ca="1">'Sales Volume, Cost of Productio'!V$96*'Summary. Assumptions. Inputs'!$F$41</f>
        <v>0</v>
      </c>
      <c r="Y36" s="135">
        <f ca="1">'Sales Volume, Cost of Productio'!W$96*'Summary. Assumptions. Inputs'!$F$41</f>
        <v>0</v>
      </c>
      <c r="Z36" s="135">
        <f ca="1">'Sales Volume, Cost of Productio'!X$96*'Summary. Assumptions. Inputs'!$F$41</f>
        <v>0</v>
      </c>
      <c r="AA36" s="135">
        <f ca="1">'Sales Volume, Cost of Productio'!Y$96*'Summary. Assumptions. Inputs'!$F$41</f>
        <v>0</v>
      </c>
      <c r="AB36" s="135">
        <f ca="1">'Sales Volume, Cost of Productio'!Z$96*'Summary. Assumptions. Inputs'!$F$41</f>
        <v>0</v>
      </c>
      <c r="AC36" s="135">
        <f ca="1">'Sales Volume, Cost of Productio'!AA$96*'Summary. Assumptions. Inputs'!$F$41</f>
        <v>0</v>
      </c>
      <c r="AD36" s="135">
        <f ca="1">'Sales Volume, Cost of Productio'!AB$96*'Summary. Assumptions. Inputs'!$F$41</f>
        <v>0</v>
      </c>
      <c r="AE36" s="136">
        <f t="shared" ca="1" si="26"/>
        <v>0</v>
      </c>
      <c r="AF36" s="135">
        <f ca="1">'Sales Volume, Cost of Productio'!AD$96*'Summary. Assumptions. Inputs'!$F$41</f>
        <v>0</v>
      </c>
      <c r="AG36" s="135">
        <f ca="1">'Sales Volume, Cost of Productio'!AE$96*'Summary. Assumptions. Inputs'!$F$41</f>
        <v>0</v>
      </c>
      <c r="AH36" s="135">
        <f ca="1">'Sales Volume, Cost of Productio'!AF$96*'Summary. Assumptions. Inputs'!$F$41</f>
        <v>0</v>
      </c>
      <c r="AI36" s="135">
        <f ca="1">'Sales Volume, Cost of Productio'!AG$96*'Summary. Assumptions. Inputs'!$F$41</f>
        <v>0</v>
      </c>
      <c r="AJ36" s="135">
        <f ca="1">'Sales Volume, Cost of Productio'!AH$96*'Summary. Assumptions. Inputs'!$F$41</f>
        <v>0</v>
      </c>
      <c r="AK36" s="135">
        <f ca="1">'Sales Volume, Cost of Productio'!AI$96*'Summary. Assumptions. Inputs'!$F$41</f>
        <v>0</v>
      </c>
      <c r="AL36" s="135">
        <f ca="1">'Sales Volume, Cost of Productio'!AJ$96*'Summary. Assumptions. Inputs'!$F$41</f>
        <v>0</v>
      </c>
      <c r="AM36" s="135">
        <f ca="1">'Sales Volume, Cost of Productio'!AK$96*'Summary. Assumptions. Inputs'!$F$41</f>
        <v>0</v>
      </c>
      <c r="AN36" s="135">
        <f ca="1">'Sales Volume, Cost of Productio'!AL$96*'Summary. Assumptions. Inputs'!$F$41</f>
        <v>0</v>
      </c>
      <c r="AO36" s="135">
        <f ca="1">'Sales Volume, Cost of Productio'!AM$96*'Summary. Assumptions. Inputs'!$F$41</f>
        <v>0</v>
      </c>
      <c r="AP36" s="135">
        <f ca="1">'Sales Volume, Cost of Productio'!AN$96*'Summary. Assumptions. Inputs'!$F$41</f>
        <v>0</v>
      </c>
      <c r="AQ36" s="135">
        <f ca="1">'Sales Volume, Cost of Productio'!AO$96*'Summary. Assumptions. Inputs'!$F$41</f>
        <v>0</v>
      </c>
      <c r="AR36" s="136">
        <f t="shared" ca="1" si="27"/>
        <v>0</v>
      </c>
      <c r="AS36" s="135">
        <f ca="1">'Sales Volume, Cost of Productio'!AQ$96*'Summary. Assumptions. Inputs'!$F$41</f>
        <v>0</v>
      </c>
      <c r="AT36" s="135">
        <f ca="1">'Sales Volume, Cost of Productio'!AR$96*'Summary. Assumptions. Inputs'!$F$41</f>
        <v>0</v>
      </c>
      <c r="AU36" s="135">
        <f ca="1">'Sales Volume, Cost of Productio'!AS$96*'Summary. Assumptions. Inputs'!$F$41</f>
        <v>0</v>
      </c>
      <c r="AV36" s="135">
        <f ca="1">'Sales Volume, Cost of Productio'!AT$96*'Summary. Assumptions. Inputs'!$F$41</f>
        <v>0</v>
      </c>
      <c r="AW36" s="135">
        <f ca="1">'Sales Volume, Cost of Productio'!AU$96*'Summary. Assumptions. Inputs'!$F$41</f>
        <v>0</v>
      </c>
      <c r="AX36" s="135">
        <f ca="1">'Sales Volume, Cost of Productio'!AV$96*'Summary. Assumptions. Inputs'!$F$41</f>
        <v>0</v>
      </c>
      <c r="AY36" s="135">
        <f ca="1">'Sales Volume, Cost of Productio'!AW$96*'Summary. Assumptions. Inputs'!$F$41</f>
        <v>0</v>
      </c>
      <c r="AZ36" s="135">
        <f ca="1">'Sales Volume, Cost of Productio'!AX$96*'Summary. Assumptions. Inputs'!$F$41</f>
        <v>0</v>
      </c>
      <c r="BA36" s="135">
        <f ca="1">'Sales Volume, Cost of Productio'!AY$96*'Summary. Assumptions. Inputs'!$F$41</f>
        <v>0</v>
      </c>
      <c r="BB36" s="135">
        <f ca="1">'Sales Volume, Cost of Productio'!AZ$96*'Summary. Assumptions. Inputs'!$F$41</f>
        <v>0</v>
      </c>
      <c r="BC36" s="135">
        <f ca="1">'Sales Volume, Cost of Productio'!BA$96*'Summary. Assumptions. Inputs'!$F$41</f>
        <v>0</v>
      </c>
      <c r="BD36" s="135">
        <f ca="1">'Sales Volume, Cost of Productio'!BB$96*'Summary. Assumptions. Inputs'!$F$41</f>
        <v>0</v>
      </c>
      <c r="BE36" s="136">
        <f t="shared" ca="1" si="28"/>
        <v>0</v>
      </c>
      <c r="BF36" s="135">
        <f ca="1">'Sales Volume, Cost of Productio'!BD$96*'Summary. Assumptions. Inputs'!$F$41</f>
        <v>0</v>
      </c>
      <c r="BG36" s="135">
        <f ca="1">'Sales Volume, Cost of Productio'!BE$96*'Summary. Assumptions. Inputs'!$F$41</f>
        <v>0</v>
      </c>
      <c r="BH36" s="135">
        <f ca="1">'Sales Volume, Cost of Productio'!BF$96*'Summary. Assumptions. Inputs'!$F$41</f>
        <v>0</v>
      </c>
      <c r="BI36" s="135">
        <f ca="1">'Sales Volume, Cost of Productio'!BG$96*'Summary. Assumptions. Inputs'!$F$41</f>
        <v>0</v>
      </c>
      <c r="BJ36" s="135">
        <f ca="1">'Sales Volume, Cost of Productio'!BH$96*'Summary. Assumptions. Inputs'!$F$41</f>
        <v>0</v>
      </c>
      <c r="BK36" s="135">
        <f ca="1">'Sales Volume, Cost of Productio'!BI$96*'Summary. Assumptions. Inputs'!$F$41</f>
        <v>0</v>
      </c>
      <c r="BL36" s="135">
        <f ca="1">'Sales Volume, Cost of Productio'!BJ$96*'Summary. Assumptions. Inputs'!$F$41</f>
        <v>0</v>
      </c>
      <c r="BM36" s="135">
        <f ca="1">'Sales Volume, Cost of Productio'!BK$96*'Summary. Assumptions. Inputs'!$F$41</f>
        <v>0</v>
      </c>
      <c r="BN36" s="135">
        <f ca="1">'Sales Volume, Cost of Productio'!BL$96*'Summary. Assumptions. Inputs'!$F$41</f>
        <v>0</v>
      </c>
      <c r="BO36" s="135">
        <f ca="1">'Sales Volume, Cost of Productio'!BM$96*'Summary. Assumptions. Inputs'!$F$41</f>
        <v>0</v>
      </c>
      <c r="BP36" s="135">
        <f ca="1">'Sales Volume, Cost of Productio'!BN$96*'Summary. Assumptions. Inputs'!$F$41</f>
        <v>0</v>
      </c>
      <c r="BQ36" s="135">
        <f ca="1">'Sales Volume, Cost of Productio'!BO$96*'Summary. Assumptions. Inputs'!$F$41</f>
        <v>0</v>
      </c>
      <c r="BR36" s="136">
        <f t="shared" ca="1" si="29"/>
        <v>0</v>
      </c>
      <c r="BS36" s="135">
        <f ca="1">'Sales Volume, Cost of Productio'!BQ$96*'Summary. Assumptions. Inputs'!$F$41</f>
        <v>0</v>
      </c>
      <c r="BT36" s="135">
        <f ca="1">'Sales Volume, Cost of Productio'!BR$96*'Summary. Assumptions. Inputs'!$F$41</f>
        <v>0</v>
      </c>
      <c r="BU36" s="135">
        <f ca="1">'Sales Volume, Cost of Productio'!BS$96*'Summary. Assumptions. Inputs'!$F$41</f>
        <v>0</v>
      </c>
      <c r="BV36" s="135">
        <f ca="1">'Sales Volume, Cost of Productio'!BT$96*'Summary. Assumptions. Inputs'!$F$41</f>
        <v>0</v>
      </c>
      <c r="BW36" s="135">
        <f ca="1">'Sales Volume, Cost of Productio'!BU$96*'Summary. Assumptions. Inputs'!$F$41</f>
        <v>0</v>
      </c>
      <c r="BX36" s="135">
        <f ca="1">'Sales Volume, Cost of Productio'!BV$96*'Summary. Assumptions. Inputs'!$F$41</f>
        <v>0</v>
      </c>
      <c r="BY36" s="135">
        <f ca="1">'Sales Volume, Cost of Productio'!BW$96*'Summary. Assumptions. Inputs'!$F$41</f>
        <v>0</v>
      </c>
      <c r="BZ36" s="135">
        <f ca="1">'Sales Volume, Cost of Productio'!BX$96*'Summary. Assumptions. Inputs'!$F$41</f>
        <v>0</v>
      </c>
      <c r="CA36" s="135">
        <f ca="1">'Sales Volume, Cost of Productio'!BY$96*'Summary. Assumptions. Inputs'!$F$41</f>
        <v>0</v>
      </c>
      <c r="CB36" s="135">
        <f ca="1">'Sales Volume, Cost of Productio'!BZ$96*'Summary. Assumptions. Inputs'!$F$41</f>
        <v>0</v>
      </c>
      <c r="CC36" s="135">
        <f ca="1">'Sales Volume, Cost of Productio'!CA$96*'Summary. Assumptions. Inputs'!$F$41</f>
        <v>0</v>
      </c>
      <c r="CD36" s="135">
        <f ca="1">'Sales Volume, Cost of Productio'!CB$96*'Summary. Assumptions. Inputs'!$F$41</f>
        <v>0</v>
      </c>
      <c r="CE36" s="136">
        <f t="shared" ca="1" si="30"/>
        <v>0</v>
      </c>
      <c r="CF36" s="135">
        <f ca="1">'Sales Volume, Cost of Productio'!CD$96*'Summary. Assumptions. Inputs'!$F$41</f>
        <v>0</v>
      </c>
      <c r="CG36" s="135">
        <f ca="1">'Sales Volume, Cost of Productio'!CE$96*'Summary. Assumptions. Inputs'!$F$41</f>
        <v>0</v>
      </c>
      <c r="CH36" s="135">
        <f ca="1">'Sales Volume, Cost of Productio'!CF$96*'Summary. Assumptions. Inputs'!$F$41</f>
        <v>0</v>
      </c>
      <c r="CI36" s="135">
        <f ca="1">'Sales Volume, Cost of Productio'!CG$96*'Summary. Assumptions. Inputs'!$F$41</f>
        <v>0</v>
      </c>
      <c r="CJ36" s="135">
        <f ca="1">'Sales Volume, Cost of Productio'!CH$96*'Summary. Assumptions. Inputs'!$F$41</f>
        <v>0</v>
      </c>
      <c r="CK36" s="135">
        <f ca="1">'Sales Volume, Cost of Productio'!CI$96*'Summary. Assumptions. Inputs'!$F$41</f>
        <v>0</v>
      </c>
      <c r="CL36" s="135">
        <f ca="1">'Sales Volume, Cost of Productio'!CJ$96*'Summary. Assumptions. Inputs'!$F$41</f>
        <v>0</v>
      </c>
      <c r="CM36" s="135">
        <f ca="1">'Sales Volume, Cost of Productio'!CK$96*'Summary. Assumptions. Inputs'!$F$41</f>
        <v>0</v>
      </c>
      <c r="CN36" s="135">
        <f ca="1">'Sales Volume, Cost of Productio'!CL$96*'Summary. Assumptions. Inputs'!$F$41</f>
        <v>0</v>
      </c>
      <c r="CO36" s="135">
        <f ca="1">'Sales Volume, Cost of Productio'!CM$96*'Summary. Assumptions. Inputs'!$F$41</f>
        <v>0</v>
      </c>
      <c r="CP36" s="135">
        <f ca="1">'Sales Volume, Cost of Productio'!CN$96*'Summary. Assumptions. Inputs'!$F$41</f>
        <v>0</v>
      </c>
      <c r="CQ36" s="135">
        <f ca="1">'Sales Volume, Cost of Productio'!CO$96*'Summary. Assumptions. Inputs'!$F$41</f>
        <v>0</v>
      </c>
      <c r="CR36" s="136">
        <f t="shared" ca="1" si="31"/>
        <v>0</v>
      </c>
    </row>
    <row r="37" spans="1:96" s="133" customFormat="1" ht="15" customHeight="1">
      <c r="A37" s="649" t="s">
        <v>549</v>
      </c>
      <c r="B37" s="649">
        <v>1</v>
      </c>
      <c r="C37" s="240">
        <v>1600</v>
      </c>
      <c r="D37" s="133">
        <f t="shared" si="23"/>
        <v>500</v>
      </c>
      <c r="E37" s="137"/>
      <c r="F37" s="135">
        <f t="shared" ref="F37:Q51" si="33">$D37</f>
        <v>500</v>
      </c>
      <c r="G37" s="135">
        <f t="shared" si="33"/>
        <v>500</v>
      </c>
      <c r="H37" s="135">
        <f t="shared" si="33"/>
        <v>500</v>
      </c>
      <c r="I37" s="135">
        <f t="shared" si="33"/>
        <v>500</v>
      </c>
      <c r="J37" s="135">
        <f t="shared" si="33"/>
        <v>500</v>
      </c>
      <c r="K37" s="135">
        <f t="shared" si="33"/>
        <v>500</v>
      </c>
      <c r="L37" s="135">
        <f t="shared" si="33"/>
        <v>500</v>
      </c>
      <c r="M37" s="135">
        <f t="shared" si="33"/>
        <v>500</v>
      </c>
      <c r="N37" s="135">
        <f t="shared" si="33"/>
        <v>500</v>
      </c>
      <c r="O37" s="135">
        <f t="shared" si="33"/>
        <v>500</v>
      </c>
      <c r="P37" s="135">
        <f t="shared" si="33"/>
        <v>500</v>
      </c>
      <c r="Q37" s="135">
        <f t="shared" si="33"/>
        <v>500</v>
      </c>
      <c r="R37" s="136">
        <f t="shared" si="25"/>
        <v>6000</v>
      </c>
      <c r="S37" s="135">
        <f>F37*(1+'Summary. Assumptions. Inputs'!$C$29)</f>
        <v>550</v>
      </c>
      <c r="T37" s="135">
        <f>G37*(1+'Summary. Assumptions. Inputs'!$C$29)</f>
        <v>550</v>
      </c>
      <c r="U37" s="135">
        <f>H37*(1+'Summary. Assumptions. Inputs'!$C$29)</f>
        <v>550</v>
      </c>
      <c r="V37" s="135">
        <f>I37*(1+'Summary. Assumptions. Inputs'!$C$29)</f>
        <v>550</v>
      </c>
      <c r="W37" s="135">
        <f>J37*(1+'Summary. Assumptions. Inputs'!$C$29)</f>
        <v>550</v>
      </c>
      <c r="X37" s="135">
        <f>K37*(1+'Summary. Assumptions. Inputs'!$C$29)</f>
        <v>550</v>
      </c>
      <c r="Y37" s="135">
        <f>L37*(1+'Summary. Assumptions. Inputs'!$C$29)</f>
        <v>550</v>
      </c>
      <c r="Z37" s="135">
        <f>M37*(1+'Summary. Assumptions. Inputs'!$C$29)</f>
        <v>550</v>
      </c>
      <c r="AA37" s="135">
        <f>N37*(1+'Summary. Assumptions. Inputs'!$C$29)</f>
        <v>550</v>
      </c>
      <c r="AB37" s="135">
        <f>O37*(1+'Summary. Assumptions. Inputs'!$C$29)</f>
        <v>550</v>
      </c>
      <c r="AC37" s="135">
        <f>P37*(1+'Summary. Assumptions. Inputs'!$C$29)</f>
        <v>550</v>
      </c>
      <c r="AD37" s="135">
        <f>Q37*(1+'Summary. Assumptions. Inputs'!$C$29)</f>
        <v>550</v>
      </c>
      <c r="AE37" s="136">
        <f t="shared" si="26"/>
        <v>6600</v>
      </c>
      <c r="AF37" s="135">
        <f>S37*(1+'Summary. Assumptions. Inputs'!$C$29)</f>
        <v>605</v>
      </c>
      <c r="AG37" s="135">
        <f>T37*(1+'Summary. Assumptions. Inputs'!$C$29)</f>
        <v>605</v>
      </c>
      <c r="AH37" s="135">
        <f>U37*(1+'Summary. Assumptions. Inputs'!$C$29)</f>
        <v>605</v>
      </c>
      <c r="AI37" s="135">
        <f>V37*(1+'Summary. Assumptions. Inputs'!$C$29)</f>
        <v>605</v>
      </c>
      <c r="AJ37" s="135">
        <f>W37*(1+'Summary. Assumptions. Inputs'!$C$29)</f>
        <v>605</v>
      </c>
      <c r="AK37" s="135">
        <f>X37*(1+'Summary. Assumptions. Inputs'!$C$29)</f>
        <v>605</v>
      </c>
      <c r="AL37" s="135">
        <f>Y37*(1+'Summary. Assumptions. Inputs'!$C$29)</f>
        <v>605</v>
      </c>
      <c r="AM37" s="135">
        <f>Z37*(1+'Summary. Assumptions. Inputs'!$C$29)</f>
        <v>605</v>
      </c>
      <c r="AN37" s="135">
        <f>AA37*(1+'Summary. Assumptions. Inputs'!$C$29)</f>
        <v>605</v>
      </c>
      <c r="AO37" s="135">
        <f>AB37*(1+'Summary. Assumptions. Inputs'!$C$29)</f>
        <v>605</v>
      </c>
      <c r="AP37" s="135">
        <f>AC37*(1+'Summary. Assumptions. Inputs'!$C$29)</f>
        <v>605</v>
      </c>
      <c r="AQ37" s="135">
        <f>AD37*(1+'Summary. Assumptions. Inputs'!$C$29)</f>
        <v>605</v>
      </c>
      <c r="AR37" s="136">
        <f t="shared" si="27"/>
        <v>7260</v>
      </c>
      <c r="AS37" s="135">
        <f>AF37*(1+'Summary. Assumptions. Inputs'!$C$29)</f>
        <v>665.5</v>
      </c>
      <c r="AT37" s="135">
        <f>AG37*(1+'Summary. Assumptions. Inputs'!$C$29)</f>
        <v>665.5</v>
      </c>
      <c r="AU37" s="135">
        <f>AH37*(1+'Summary. Assumptions. Inputs'!$C$29)</f>
        <v>665.5</v>
      </c>
      <c r="AV37" s="135">
        <f>AI37*(1+'Summary. Assumptions. Inputs'!$C$29)</f>
        <v>665.5</v>
      </c>
      <c r="AW37" s="135">
        <f>AJ37*(1+'Summary. Assumptions. Inputs'!$C$29)</f>
        <v>665.5</v>
      </c>
      <c r="AX37" s="135">
        <f>AK37*(1+'Summary. Assumptions. Inputs'!$C$29)</f>
        <v>665.5</v>
      </c>
      <c r="AY37" s="135">
        <f>AL37*(1+'Summary. Assumptions. Inputs'!$C$29)</f>
        <v>665.5</v>
      </c>
      <c r="AZ37" s="135">
        <f>AM37*(1+'Summary. Assumptions. Inputs'!$C$29)</f>
        <v>665.5</v>
      </c>
      <c r="BA37" s="135">
        <f>AN37*(1+'Summary. Assumptions. Inputs'!$C$29)</f>
        <v>665.5</v>
      </c>
      <c r="BB37" s="135">
        <f>AO37*(1+'Summary. Assumptions. Inputs'!$C$29)</f>
        <v>665.5</v>
      </c>
      <c r="BC37" s="135">
        <f>AP37*(1+'Summary. Assumptions. Inputs'!$C$29)</f>
        <v>665.5</v>
      </c>
      <c r="BD37" s="135">
        <f>AQ37*(1+'Summary. Assumptions. Inputs'!$C$29)</f>
        <v>665.5</v>
      </c>
      <c r="BE37" s="136">
        <f t="shared" ref="BE37:BE38" si="34">SUM(AS37:BD37)</f>
        <v>7986</v>
      </c>
      <c r="BF37" s="135">
        <f>AS37*(1+'Summary. Assumptions. Inputs'!$C$29)</f>
        <v>732.05000000000007</v>
      </c>
      <c r="BG37" s="135">
        <f>AT37*(1+'Summary. Assumptions. Inputs'!$C$29)</f>
        <v>732.05000000000007</v>
      </c>
      <c r="BH37" s="135">
        <f>AU37*(1+'Summary. Assumptions. Inputs'!$C$29)</f>
        <v>732.05000000000007</v>
      </c>
      <c r="BI37" s="135">
        <f>AV37*(1+'Summary. Assumptions. Inputs'!$C$29)</f>
        <v>732.05000000000007</v>
      </c>
      <c r="BJ37" s="135">
        <f>AW37*(1+'Summary. Assumptions. Inputs'!$C$29)</f>
        <v>732.05000000000007</v>
      </c>
      <c r="BK37" s="135">
        <f>AX37*(1+'Summary. Assumptions. Inputs'!$C$29)</f>
        <v>732.05000000000007</v>
      </c>
      <c r="BL37" s="135">
        <f>AY37*(1+'Summary. Assumptions. Inputs'!$C$29)</f>
        <v>732.05000000000007</v>
      </c>
      <c r="BM37" s="135">
        <f>AZ37*(1+'Summary. Assumptions. Inputs'!$C$29)</f>
        <v>732.05000000000007</v>
      </c>
      <c r="BN37" s="135">
        <f>BA37*(1+'Summary. Assumptions. Inputs'!$C$29)</f>
        <v>732.05000000000007</v>
      </c>
      <c r="BO37" s="135">
        <f>BB37*(1+'Summary. Assumptions. Inputs'!$C$29)</f>
        <v>732.05000000000007</v>
      </c>
      <c r="BP37" s="135">
        <f>BC37*(1+'Summary. Assumptions. Inputs'!$C$29)</f>
        <v>732.05000000000007</v>
      </c>
      <c r="BQ37" s="135">
        <f>BD37*(1+'Summary. Assumptions. Inputs'!$C$29)</f>
        <v>732.05000000000007</v>
      </c>
      <c r="BR37" s="136">
        <f t="shared" ref="BR37:BR38" si="35">SUM(BF37:BQ37)</f>
        <v>8784.6</v>
      </c>
      <c r="BS37" s="135">
        <f>BF37*(1+'Summary. Assumptions. Inputs'!$C$29)</f>
        <v>805.25500000000011</v>
      </c>
      <c r="BT37" s="135">
        <f>BG37*(1+'Summary. Assumptions. Inputs'!$C$29)</f>
        <v>805.25500000000011</v>
      </c>
      <c r="BU37" s="135">
        <f>BH37*(1+'Summary. Assumptions. Inputs'!$C$29)</f>
        <v>805.25500000000011</v>
      </c>
      <c r="BV37" s="135">
        <f>BI37*(1+'Summary. Assumptions. Inputs'!$C$29)</f>
        <v>805.25500000000011</v>
      </c>
      <c r="BW37" s="135">
        <f>BJ37*(1+'Summary. Assumptions. Inputs'!$C$29)</f>
        <v>805.25500000000011</v>
      </c>
      <c r="BX37" s="135">
        <f>BK37*(1+'Summary. Assumptions. Inputs'!$C$29)</f>
        <v>805.25500000000011</v>
      </c>
      <c r="BY37" s="135">
        <f>BL37*(1+'Summary. Assumptions. Inputs'!$C$29)</f>
        <v>805.25500000000011</v>
      </c>
      <c r="BZ37" s="135">
        <f>BM37*(1+'Summary. Assumptions. Inputs'!$C$29)</f>
        <v>805.25500000000011</v>
      </c>
      <c r="CA37" s="135">
        <f>BN37*(1+'Summary. Assumptions. Inputs'!$C$29)</f>
        <v>805.25500000000011</v>
      </c>
      <c r="CB37" s="135">
        <f>BO37*(1+'Summary. Assumptions. Inputs'!$C$29)</f>
        <v>805.25500000000011</v>
      </c>
      <c r="CC37" s="135">
        <f>BP37*(1+'Summary. Assumptions. Inputs'!$C$29)</f>
        <v>805.25500000000011</v>
      </c>
      <c r="CD37" s="135">
        <f>BQ37*(1+'Summary. Assumptions. Inputs'!$C$29)</f>
        <v>805.25500000000011</v>
      </c>
      <c r="CE37" s="136">
        <f t="shared" ref="CE37:CE38" si="36">SUM(BS37:CD37)</f>
        <v>9663.0600000000013</v>
      </c>
      <c r="CF37" s="135">
        <f>BS37*(1+'Summary. Assumptions. Inputs'!$C$29)</f>
        <v>885.78050000000019</v>
      </c>
      <c r="CG37" s="135">
        <f>BT37*(1+'Summary. Assumptions. Inputs'!$C$29)</f>
        <v>885.78050000000019</v>
      </c>
      <c r="CH37" s="135">
        <f>BU37*(1+'Summary. Assumptions. Inputs'!$C$29)</f>
        <v>885.78050000000019</v>
      </c>
      <c r="CI37" s="135">
        <f>BV37*(1+'Summary. Assumptions. Inputs'!$C$29)</f>
        <v>885.78050000000019</v>
      </c>
      <c r="CJ37" s="135">
        <f>BW37*(1+'Summary. Assumptions. Inputs'!$C$29)</f>
        <v>885.78050000000019</v>
      </c>
      <c r="CK37" s="135">
        <f>BX37*(1+'Summary. Assumptions. Inputs'!$C$29)</f>
        <v>885.78050000000019</v>
      </c>
      <c r="CL37" s="135">
        <f>BY37*(1+'Summary. Assumptions. Inputs'!$C$29)</f>
        <v>885.78050000000019</v>
      </c>
      <c r="CM37" s="135">
        <f>BZ37*(1+'Summary. Assumptions. Inputs'!$C$29)</f>
        <v>885.78050000000019</v>
      </c>
      <c r="CN37" s="135">
        <f>CA37*(1+'Summary. Assumptions. Inputs'!$C$29)</f>
        <v>885.78050000000019</v>
      </c>
      <c r="CO37" s="135">
        <f>CB37*(1+'Summary. Assumptions. Inputs'!$C$29)</f>
        <v>885.78050000000019</v>
      </c>
      <c r="CP37" s="135">
        <f>CC37*(1+'Summary. Assumptions. Inputs'!$C$29)</f>
        <v>885.78050000000019</v>
      </c>
      <c r="CQ37" s="135">
        <f>CD37*(1+'Summary. Assumptions. Inputs'!$C$29)</f>
        <v>885.78050000000019</v>
      </c>
      <c r="CR37" s="136">
        <f t="shared" ref="CR37:CR38" si="37">SUM(CF37:CQ37)</f>
        <v>10629.366000000002</v>
      </c>
    </row>
    <row r="38" spans="1:96" s="133" customFormat="1" ht="15" customHeight="1">
      <c r="A38" s="649" t="s">
        <v>550</v>
      </c>
      <c r="B38" s="649">
        <v>1</v>
      </c>
      <c r="C38" s="240">
        <v>3200</v>
      </c>
      <c r="D38" s="133">
        <f t="shared" si="23"/>
        <v>1000</v>
      </c>
      <c r="E38" s="137"/>
      <c r="F38" s="135">
        <f t="shared" si="33"/>
        <v>1000</v>
      </c>
      <c r="G38" s="135">
        <f t="shared" si="33"/>
        <v>1000</v>
      </c>
      <c r="H38" s="135">
        <f t="shared" si="33"/>
        <v>1000</v>
      </c>
      <c r="I38" s="135">
        <f t="shared" si="33"/>
        <v>1000</v>
      </c>
      <c r="J38" s="135">
        <f t="shared" si="33"/>
        <v>1000</v>
      </c>
      <c r="K38" s="135">
        <f t="shared" si="33"/>
        <v>1000</v>
      </c>
      <c r="L38" s="135">
        <f t="shared" si="33"/>
        <v>1000</v>
      </c>
      <c r="M38" s="135">
        <f t="shared" si="33"/>
        <v>1000</v>
      </c>
      <c r="N38" s="135">
        <f t="shared" si="33"/>
        <v>1000</v>
      </c>
      <c r="O38" s="135">
        <f t="shared" si="33"/>
        <v>1000</v>
      </c>
      <c r="P38" s="135">
        <f t="shared" si="33"/>
        <v>1000</v>
      </c>
      <c r="Q38" s="135">
        <f t="shared" si="33"/>
        <v>1000</v>
      </c>
      <c r="R38" s="136">
        <f t="shared" si="25"/>
        <v>12000</v>
      </c>
      <c r="S38" s="135">
        <f>F38*(1+'Summary. Assumptions. Inputs'!$C$29)</f>
        <v>1100</v>
      </c>
      <c r="T38" s="135">
        <f>G38*(1+'Summary. Assumptions. Inputs'!$C$29)</f>
        <v>1100</v>
      </c>
      <c r="U38" s="135">
        <f>H38*(1+'Summary. Assumptions. Inputs'!$C$29)</f>
        <v>1100</v>
      </c>
      <c r="V38" s="135">
        <f>I38*(1+'Summary. Assumptions. Inputs'!$C$29)</f>
        <v>1100</v>
      </c>
      <c r="W38" s="135">
        <f>J38*(1+'Summary. Assumptions. Inputs'!$C$29)</f>
        <v>1100</v>
      </c>
      <c r="X38" s="135">
        <f>K38*(1+'Summary. Assumptions. Inputs'!$C$29)</f>
        <v>1100</v>
      </c>
      <c r="Y38" s="135">
        <f>L38*(1+'Summary. Assumptions. Inputs'!$C$29)</f>
        <v>1100</v>
      </c>
      <c r="Z38" s="135">
        <f>M38*(1+'Summary. Assumptions. Inputs'!$C$29)</f>
        <v>1100</v>
      </c>
      <c r="AA38" s="135">
        <f>N38*(1+'Summary. Assumptions. Inputs'!$C$29)</f>
        <v>1100</v>
      </c>
      <c r="AB38" s="135">
        <f>O38*(1+'Summary. Assumptions. Inputs'!$C$29)</f>
        <v>1100</v>
      </c>
      <c r="AC38" s="135">
        <f>P38*(1+'Summary. Assumptions. Inputs'!$C$29)</f>
        <v>1100</v>
      </c>
      <c r="AD38" s="135">
        <f>Q38*(1+'Summary. Assumptions. Inputs'!$C$29)</f>
        <v>1100</v>
      </c>
      <c r="AE38" s="136">
        <f t="shared" si="26"/>
        <v>13200</v>
      </c>
      <c r="AF38" s="135">
        <f>S38*(1+'Summary. Assumptions. Inputs'!$C$29)</f>
        <v>1210</v>
      </c>
      <c r="AG38" s="135">
        <f>T38*(1+'Summary. Assumptions. Inputs'!$C$29)</f>
        <v>1210</v>
      </c>
      <c r="AH38" s="135">
        <f>U38*(1+'Summary. Assumptions. Inputs'!$C$29)</f>
        <v>1210</v>
      </c>
      <c r="AI38" s="135">
        <f>V38*(1+'Summary. Assumptions. Inputs'!$C$29)</f>
        <v>1210</v>
      </c>
      <c r="AJ38" s="135">
        <f>W38*(1+'Summary. Assumptions. Inputs'!$C$29)</f>
        <v>1210</v>
      </c>
      <c r="AK38" s="135">
        <f>X38*(1+'Summary. Assumptions. Inputs'!$C$29)</f>
        <v>1210</v>
      </c>
      <c r="AL38" s="135">
        <f>Y38*(1+'Summary. Assumptions. Inputs'!$C$29)</f>
        <v>1210</v>
      </c>
      <c r="AM38" s="135">
        <f>Z38*(1+'Summary. Assumptions. Inputs'!$C$29)</f>
        <v>1210</v>
      </c>
      <c r="AN38" s="135">
        <f>AA38*(1+'Summary. Assumptions. Inputs'!$C$29)</f>
        <v>1210</v>
      </c>
      <c r="AO38" s="135">
        <f>AB38*(1+'Summary. Assumptions. Inputs'!$C$29)</f>
        <v>1210</v>
      </c>
      <c r="AP38" s="135">
        <f>AC38*(1+'Summary. Assumptions. Inputs'!$C$29)</f>
        <v>1210</v>
      </c>
      <c r="AQ38" s="135">
        <f>AD38*(1+'Summary. Assumptions. Inputs'!$C$29)</f>
        <v>1210</v>
      </c>
      <c r="AR38" s="136">
        <f t="shared" si="27"/>
        <v>14520</v>
      </c>
      <c r="AS38" s="135">
        <f>AF38*(1+'Summary. Assumptions. Inputs'!$C$29)</f>
        <v>1331</v>
      </c>
      <c r="AT38" s="135">
        <f>AG38*(1+'Summary. Assumptions. Inputs'!$C$29)</f>
        <v>1331</v>
      </c>
      <c r="AU38" s="135">
        <f>AH38*(1+'Summary. Assumptions. Inputs'!$C$29)</f>
        <v>1331</v>
      </c>
      <c r="AV38" s="135">
        <f>AI38*(1+'Summary. Assumptions. Inputs'!$C$29)</f>
        <v>1331</v>
      </c>
      <c r="AW38" s="135">
        <f>AJ38*(1+'Summary. Assumptions. Inputs'!$C$29)</f>
        <v>1331</v>
      </c>
      <c r="AX38" s="135">
        <f>AK38*(1+'Summary. Assumptions. Inputs'!$C$29)</f>
        <v>1331</v>
      </c>
      <c r="AY38" s="135">
        <f>AL38*(1+'Summary. Assumptions. Inputs'!$C$29)</f>
        <v>1331</v>
      </c>
      <c r="AZ38" s="135">
        <f>AM38*(1+'Summary. Assumptions. Inputs'!$C$29)</f>
        <v>1331</v>
      </c>
      <c r="BA38" s="135">
        <f>AN38*(1+'Summary. Assumptions. Inputs'!$C$29)</f>
        <v>1331</v>
      </c>
      <c r="BB38" s="135">
        <f>AO38*(1+'Summary. Assumptions. Inputs'!$C$29)</f>
        <v>1331</v>
      </c>
      <c r="BC38" s="135">
        <f>AP38*(1+'Summary. Assumptions. Inputs'!$C$29)</f>
        <v>1331</v>
      </c>
      <c r="BD38" s="135">
        <f>AQ38*(1+'Summary. Assumptions. Inputs'!$C$29)</f>
        <v>1331</v>
      </c>
      <c r="BE38" s="136">
        <f t="shared" si="34"/>
        <v>15972</v>
      </c>
      <c r="BF38" s="135">
        <f>AS38*(1+'Summary. Assumptions. Inputs'!$C$29)</f>
        <v>1464.1000000000001</v>
      </c>
      <c r="BG38" s="135">
        <f>AT38*(1+'Summary. Assumptions. Inputs'!$C$29)</f>
        <v>1464.1000000000001</v>
      </c>
      <c r="BH38" s="135">
        <f>AU38*(1+'Summary. Assumptions. Inputs'!$C$29)</f>
        <v>1464.1000000000001</v>
      </c>
      <c r="BI38" s="135">
        <f>AV38*(1+'Summary. Assumptions. Inputs'!$C$29)</f>
        <v>1464.1000000000001</v>
      </c>
      <c r="BJ38" s="135">
        <f>AW38*(1+'Summary. Assumptions. Inputs'!$C$29)</f>
        <v>1464.1000000000001</v>
      </c>
      <c r="BK38" s="135">
        <f>AX38*(1+'Summary. Assumptions. Inputs'!$C$29)</f>
        <v>1464.1000000000001</v>
      </c>
      <c r="BL38" s="135">
        <f>AY38*(1+'Summary. Assumptions. Inputs'!$C$29)</f>
        <v>1464.1000000000001</v>
      </c>
      <c r="BM38" s="135">
        <f>AZ38*(1+'Summary. Assumptions. Inputs'!$C$29)</f>
        <v>1464.1000000000001</v>
      </c>
      <c r="BN38" s="135">
        <f>BA38*(1+'Summary. Assumptions. Inputs'!$C$29)</f>
        <v>1464.1000000000001</v>
      </c>
      <c r="BO38" s="135">
        <f>BB38*(1+'Summary. Assumptions. Inputs'!$C$29)</f>
        <v>1464.1000000000001</v>
      </c>
      <c r="BP38" s="135">
        <f>BC38*(1+'Summary. Assumptions. Inputs'!$C$29)</f>
        <v>1464.1000000000001</v>
      </c>
      <c r="BQ38" s="135">
        <f>BD38*(1+'Summary. Assumptions. Inputs'!$C$29)</f>
        <v>1464.1000000000001</v>
      </c>
      <c r="BR38" s="136">
        <f t="shared" si="35"/>
        <v>17569.2</v>
      </c>
      <c r="BS38" s="135">
        <f>BF38*(1+'Summary. Assumptions. Inputs'!$C$29)</f>
        <v>1610.5100000000002</v>
      </c>
      <c r="BT38" s="135">
        <f>BG38*(1+'Summary. Assumptions. Inputs'!$C$29)</f>
        <v>1610.5100000000002</v>
      </c>
      <c r="BU38" s="135">
        <f>BH38*(1+'Summary. Assumptions. Inputs'!$C$29)</f>
        <v>1610.5100000000002</v>
      </c>
      <c r="BV38" s="135">
        <f>BI38*(1+'Summary. Assumptions. Inputs'!$C$29)</f>
        <v>1610.5100000000002</v>
      </c>
      <c r="BW38" s="135">
        <f>BJ38*(1+'Summary. Assumptions. Inputs'!$C$29)</f>
        <v>1610.5100000000002</v>
      </c>
      <c r="BX38" s="135">
        <f>BK38*(1+'Summary. Assumptions. Inputs'!$C$29)</f>
        <v>1610.5100000000002</v>
      </c>
      <c r="BY38" s="135">
        <f>BL38*(1+'Summary. Assumptions. Inputs'!$C$29)</f>
        <v>1610.5100000000002</v>
      </c>
      <c r="BZ38" s="135">
        <f>BM38*(1+'Summary. Assumptions. Inputs'!$C$29)</f>
        <v>1610.5100000000002</v>
      </c>
      <c r="CA38" s="135">
        <f>BN38*(1+'Summary. Assumptions. Inputs'!$C$29)</f>
        <v>1610.5100000000002</v>
      </c>
      <c r="CB38" s="135">
        <f>BO38*(1+'Summary. Assumptions. Inputs'!$C$29)</f>
        <v>1610.5100000000002</v>
      </c>
      <c r="CC38" s="135">
        <f>BP38*(1+'Summary. Assumptions. Inputs'!$C$29)</f>
        <v>1610.5100000000002</v>
      </c>
      <c r="CD38" s="135">
        <f>BQ38*(1+'Summary. Assumptions. Inputs'!$C$29)</f>
        <v>1610.5100000000002</v>
      </c>
      <c r="CE38" s="136">
        <f t="shared" si="36"/>
        <v>19326.120000000003</v>
      </c>
      <c r="CF38" s="135">
        <f>BS38*(1+'Summary. Assumptions. Inputs'!$C$29)</f>
        <v>1771.5610000000004</v>
      </c>
      <c r="CG38" s="135">
        <f>BT38*(1+'Summary. Assumptions. Inputs'!$C$29)</f>
        <v>1771.5610000000004</v>
      </c>
      <c r="CH38" s="135">
        <f>BU38*(1+'Summary. Assumptions. Inputs'!$C$29)</f>
        <v>1771.5610000000004</v>
      </c>
      <c r="CI38" s="135">
        <f>BV38*(1+'Summary. Assumptions. Inputs'!$C$29)</f>
        <v>1771.5610000000004</v>
      </c>
      <c r="CJ38" s="135">
        <f>BW38*(1+'Summary. Assumptions. Inputs'!$C$29)</f>
        <v>1771.5610000000004</v>
      </c>
      <c r="CK38" s="135">
        <f>BX38*(1+'Summary. Assumptions. Inputs'!$C$29)</f>
        <v>1771.5610000000004</v>
      </c>
      <c r="CL38" s="135">
        <f>BY38*(1+'Summary. Assumptions. Inputs'!$C$29)</f>
        <v>1771.5610000000004</v>
      </c>
      <c r="CM38" s="135">
        <f>BZ38*(1+'Summary. Assumptions. Inputs'!$C$29)</f>
        <v>1771.5610000000004</v>
      </c>
      <c r="CN38" s="135">
        <f>CA38*(1+'Summary. Assumptions. Inputs'!$C$29)</f>
        <v>1771.5610000000004</v>
      </c>
      <c r="CO38" s="135">
        <f>CB38*(1+'Summary. Assumptions. Inputs'!$C$29)</f>
        <v>1771.5610000000004</v>
      </c>
      <c r="CP38" s="135">
        <f>CC38*(1+'Summary. Assumptions. Inputs'!$C$29)</f>
        <v>1771.5610000000004</v>
      </c>
      <c r="CQ38" s="135">
        <f>CD38*(1+'Summary. Assumptions. Inputs'!$C$29)</f>
        <v>1771.5610000000004</v>
      </c>
      <c r="CR38" s="136">
        <f t="shared" si="37"/>
        <v>21258.732000000004</v>
      </c>
    </row>
    <row r="39" spans="1:96" s="133" customFormat="1" ht="15" customHeight="1">
      <c r="A39" s="649" t="s">
        <v>551</v>
      </c>
      <c r="B39" s="649">
        <v>1</v>
      </c>
      <c r="C39" s="240">
        <v>1333</v>
      </c>
      <c r="D39" s="133">
        <f t="shared" si="23"/>
        <v>416.5625</v>
      </c>
      <c r="E39" s="137"/>
      <c r="F39" s="135">
        <f t="shared" si="33"/>
        <v>416.5625</v>
      </c>
      <c r="G39" s="135">
        <f t="shared" si="33"/>
        <v>416.5625</v>
      </c>
      <c r="H39" s="135">
        <f t="shared" si="33"/>
        <v>416.5625</v>
      </c>
      <c r="I39" s="135">
        <f t="shared" si="33"/>
        <v>416.5625</v>
      </c>
      <c r="J39" s="135">
        <f t="shared" si="33"/>
        <v>416.5625</v>
      </c>
      <c r="K39" s="135">
        <f t="shared" si="33"/>
        <v>416.5625</v>
      </c>
      <c r="L39" s="135">
        <f t="shared" si="33"/>
        <v>416.5625</v>
      </c>
      <c r="M39" s="135">
        <f t="shared" si="33"/>
        <v>416.5625</v>
      </c>
      <c r="N39" s="135">
        <f t="shared" si="33"/>
        <v>416.5625</v>
      </c>
      <c r="O39" s="135">
        <f t="shared" si="33"/>
        <v>416.5625</v>
      </c>
      <c r="P39" s="135">
        <f t="shared" si="33"/>
        <v>416.5625</v>
      </c>
      <c r="Q39" s="135">
        <f t="shared" si="33"/>
        <v>416.5625</v>
      </c>
      <c r="R39" s="136">
        <f t="shared" si="25"/>
        <v>4998.75</v>
      </c>
      <c r="S39" s="135">
        <f>F39*(1+'Summary. Assumptions. Inputs'!$C$29)</f>
        <v>458.21875000000006</v>
      </c>
      <c r="T39" s="135">
        <f>G39*(1+'Summary. Assumptions. Inputs'!$C$29)</f>
        <v>458.21875000000006</v>
      </c>
      <c r="U39" s="135">
        <f>H39*(1+'Summary. Assumptions. Inputs'!$C$29)</f>
        <v>458.21875000000006</v>
      </c>
      <c r="V39" s="135">
        <f>I39*(1+'Summary. Assumptions. Inputs'!$C$29)</f>
        <v>458.21875000000006</v>
      </c>
      <c r="W39" s="135">
        <f>J39*(1+'Summary. Assumptions. Inputs'!$C$29)</f>
        <v>458.21875000000006</v>
      </c>
      <c r="X39" s="135">
        <f>K39*(1+'Summary. Assumptions. Inputs'!$C$29)</f>
        <v>458.21875000000006</v>
      </c>
      <c r="Y39" s="135">
        <f>L39*(1+'Summary. Assumptions. Inputs'!$C$29)</f>
        <v>458.21875000000006</v>
      </c>
      <c r="Z39" s="135">
        <f>M39*(1+'Summary. Assumptions. Inputs'!$C$29)</f>
        <v>458.21875000000006</v>
      </c>
      <c r="AA39" s="135">
        <f>N39*(1+'Summary. Assumptions. Inputs'!$C$29)</f>
        <v>458.21875000000006</v>
      </c>
      <c r="AB39" s="135">
        <f>O39*(1+'Summary. Assumptions. Inputs'!$C$29)</f>
        <v>458.21875000000006</v>
      </c>
      <c r="AC39" s="135">
        <f>P39*(1+'Summary. Assumptions. Inputs'!$C$29)</f>
        <v>458.21875000000006</v>
      </c>
      <c r="AD39" s="135">
        <f>Q39*(1+'Summary. Assumptions. Inputs'!$C$29)</f>
        <v>458.21875000000006</v>
      </c>
      <c r="AE39" s="136">
        <f t="shared" si="26"/>
        <v>5498.6250000000009</v>
      </c>
      <c r="AF39" s="135">
        <f>S39*(1+'Summary. Assumptions. Inputs'!$C$29)</f>
        <v>504.04062500000009</v>
      </c>
      <c r="AG39" s="135">
        <f>T39*(1+'Summary. Assumptions. Inputs'!$C$29)</f>
        <v>504.04062500000009</v>
      </c>
      <c r="AH39" s="135">
        <f>U39*(1+'Summary. Assumptions. Inputs'!$C$29)</f>
        <v>504.04062500000009</v>
      </c>
      <c r="AI39" s="135">
        <f>V39*(1+'Summary. Assumptions. Inputs'!$C$29)</f>
        <v>504.04062500000009</v>
      </c>
      <c r="AJ39" s="135">
        <f>W39*(1+'Summary. Assumptions. Inputs'!$C$29)</f>
        <v>504.04062500000009</v>
      </c>
      <c r="AK39" s="135">
        <f>X39*(1+'Summary. Assumptions. Inputs'!$C$29)</f>
        <v>504.04062500000009</v>
      </c>
      <c r="AL39" s="135">
        <f>Y39*(1+'Summary. Assumptions. Inputs'!$C$29)</f>
        <v>504.04062500000009</v>
      </c>
      <c r="AM39" s="135">
        <f>Z39*(1+'Summary. Assumptions. Inputs'!$C$29)</f>
        <v>504.04062500000009</v>
      </c>
      <c r="AN39" s="135">
        <f>AA39*(1+'Summary. Assumptions. Inputs'!$C$29)</f>
        <v>504.04062500000009</v>
      </c>
      <c r="AO39" s="135">
        <f>AB39*(1+'Summary. Assumptions. Inputs'!$C$29)</f>
        <v>504.04062500000009</v>
      </c>
      <c r="AP39" s="135">
        <f>AC39*(1+'Summary. Assumptions. Inputs'!$C$29)</f>
        <v>504.04062500000009</v>
      </c>
      <c r="AQ39" s="135">
        <f>AD39*(1+'Summary. Assumptions. Inputs'!$C$29)</f>
        <v>504.04062500000009</v>
      </c>
      <c r="AR39" s="136">
        <f t="shared" si="27"/>
        <v>6048.4874999999993</v>
      </c>
      <c r="AS39" s="135">
        <f>AF39*(1+'Summary. Assumptions. Inputs'!$C$29)</f>
        <v>554.4446875000001</v>
      </c>
      <c r="AT39" s="135">
        <f>AG39*(1+'Summary. Assumptions. Inputs'!$C$29)</f>
        <v>554.4446875000001</v>
      </c>
      <c r="AU39" s="135">
        <f>AH39*(1+'Summary. Assumptions. Inputs'!$C$29)</f>
        <v>554.4446875000001</v>
      </c>
      <c r="AV39" s="135">
        <f>AI39*(1+'Summary. Assumptions. Inputs'!$C$29)</f>
        <v>554.4446875000001</v>
      </c>
      <c r="AW39" s="135">
        <f>AJ39*(1+'Summary. Assumptions. Inputs'!$C$29)</f>
        <v>554.4446875000001</v>
      </c>
      <c r="AX39" s="135">
        <f>AK39*(1+'Summary. Assumptions. Inputs'!$C$29)</f>
        <v>554.4446875000001</v>
      </c>
      <c r="AY39" s="135">
        <f>AL39*(1+'Summary. Assumptions. Inputs'!$C$29)</f>
        <v>554.4446875000001</v>
      </c>
      <c r="AZ39" s="135">
        <f>AM39*(1+'Summary. Assumptions. Inputs'!$C$29)</f>
        <v>554.4446875000001</v>
      </c>
      <c r="BA39" s="135">
        <f>AN39*(1+'Summary. Assumptions. Inputs'!$C$29)</f>
        <v>554.4446875000001</v>
      </c>
      <c r="BB39" s="135">
        <f>AO39*(1+'Summary. Assumptions. Inputs'!$C$29)</f>
        <v>554.4446875000001</v>
      </c>
      <c r="BC39" s="135">
        <f>AP39*(1+'Summary. Assumptions. Inputs'!$C$29)</f>
        <v>554.4446875000001</v>
      </c>
      <c r="BD39" s="135">
        <f>AQ39*(1+'Summary. Assumptions. Inputs'!$C$29)</f>
        <v>554.4446875000001</v>
      </c>
      <c r="BE39" s="136">
        <f t="shared" si="28"/>
        <v>6653.336250000003</v>
      </c>
      <c r="BF39" s="135">
        <f>AS39*(1+'Summary. Assumptions. Inputs'!$C$29)</f>
        <v>609.88915625000016</v>
      </c>
      <c r="BG39" s="135">
        <f>AT39*(1+'Summary. Assumptions. Inputs'!$C$29)</f>
        <v>609.88915625000016</v>
      </c>
      <c r="BH39" s="135">
        <f>AU39*(1+'Summary. Assumptions. Inputs'!$C$29)</f>
        <v>609.88915625000016</v>
      </c>
      <c r="BI39" s="135">
        <f>AV39*(1+'Summary. Assumptions. Inputs'!$C$29)</f>
        <v>609.88915625000016</v>
      </c>
      <c r="BJ39" s="135">
        <f>AW39*(1+'Summary. Assumptions. Inputs'!$C$29)</f>
        <v>609.88915625000016</v>
      </c>
      <c r="BK39" s="135">
        <f>AX39*(1+'Summary. Assumptions. Inputs'!$C$29)</f>
        <v>609.88915625000016</v>
      </c>
      <c r="BL39" s="135">
        <f>AY39*(1+'Summary. Assumptions. Inputs'!$C$29)</f>
        <v>609.88915625000016</v>
      </c>
      <c r="BM39" s="135">
        <f>AZ39*(1+'Summary. Assumptions. Inputs'!$C$29)</f>
        <v>609.88915625000016</v>
      </c>
      <c r="BN39" s="135">
        <f>BA39*(1+'Summary. Assumptions. Inputs'!$C$29)</f>
        <v>609.88915625000016</v>
      </c>
      <c r="BO39" s="135">
        <f>BB39*(1+'Summary. Assumptions. Inputs'!$C$29)</f>
        <v>609.88915625000016</v>
      </c>
      <c r="BP39" s="135">
        <f>BC39*(1+'Summary. Assumptions. Inputs'!$C$29)</f>
        <v>609.88915625000016</v>
      </c>
      <c r="BQ39" s="135">
        <f>BD39*(1+'Summary. Assumptions. Inputs'!$C$29)</f>
        <v>609.88915625000016</v>
      </c>
      <c r="BR39" s="136">
        <f t="shared" si="29"/>
        <v>7318.6698750000023</v>
      </c>
      <c r="BS39" s="135">
        <f>BF39*(1+'Summary. Assumptions. Inputs'!$C$29)</f>
        <v>670.87807187500027</v>
      </c>
      <c r="BT39" s="135">
        <f>BG39*(1+'Summary. Assumptions. Inputs'!$C$29)</f>
        <v>670.87807187500027</v>
      </c>
      <c r="BU39" s="135">
        <f>BH39*(1+'Summary. Assumptions. Inputs'!$C$29)</f>
        <v>670.87807187500027</v>
      </c>
      <c r="BV39" s="135">
        <f>BI39*(1+'Summary. Assumptions. Inputs'!$C$29)</f>
        <v>670.87807187500027</v>
      </c>
      <c r="BW39" s="135">
        <f>BJ39*(1+'Summary. Assumptions. Inputs'!$C$29)</f>
        <v>670.87807187500027</v>
      </c>
      <c r="BX39" s="135">
        <f>BK39*(1+'Summary. Assumptions. Inputs'!$C$29)</f>
        <v>670.87807187500027</v>
      </c>
      <c r="BY39" s="135">
        <f>BL39*(1+'Summary. Assumptions. Inputs'!$C$29)</f>
        <v>670.87807187500027</v>
      </c>
      <c r="BZ39" s="135">
        <f>BM39*(1+'Summary. Assumptions. Inputs'!$C$29)</f>
        <v>670.87807187500027</v>
      </c>
      <c r="CA39" s="135">
        <f>BN39*(1+'Summary. Assumptions. Inputs'!$C$29)</f>
        <v>670.87807187500027</v>
      </c>
      <c r="CB39" s="135">
        <f>BO39*(1+'Summary. Assumptions. Inputs'!$C$29)</f>
        <v>670.87807187500027</v>
      </c>
      <c r="CC39" s="135">
        <f>BP39*(1+'Summary. Assumptions. Inputs'!$C$29)</f>
        <v>670.87807187500027</v>
      </c>
      <c r="CD39" s="135">
        <f>BQ39*(1+'Summary. Assumptions. Inputs'!$C$29)</f>
        <v>670.87807187500027</v>
      </c>
      <c r="CE39" s="136">
        <f t="shared" si="30"/>
        <v>8050.5368625000037</v>
      </c>
      <c r="CF39" s="135">
        <f>BS39*(1+'Summary. Assumptions. Inputs'!$C$29)</f>
        <v>737.96587906250033</v>
      </c>
      <c r="CG39" s="135">
        <f>BT39*(1+'Summary. Assumptions. Inputs'!$C$29)</f>
        <v>737.96587906250033</v>
      </c>
      <c r="CH39" s="135">
        <f>BU39*(1+'Summary. Assumptions. Inputs'!$C$29)</f>
        <v>737.96587906250033</v>
      </c>
      <c r="CI39" s="135">
        <f>BV39*(1+'Summary. Assumptions. Inputs'!$C$29)</f>
        <v>737.96587906250033</v>
      </c>
      <c r="CJ39" s="135">
        <f>BW39*(1+'Summary. Assumptions. Inputs'!$C$29)</f>
        <v>737.96587906250033</v>
      </c>
      <c r="CK39" s="135">
        <f>BX39*(1+'Summary. Assumptions. Inputs'!$C$29)</f>
        <v>737.96587906250033</v>
      </c>
      <c r="CL39" s="135">
        <f>BY39*(1+'Summary. Assumptions. Inputs'!$C$29)</f>
        <v>737.96587906250033</v>
      </c>
      <c r="CM39" s="135">
        <f>BZ39*(1+'Summary. Assumptions. Inputs'!$C$29)</f>
        <v>737.96587906250033</v>
      </c>
      <c r="CN39" s="135">
        <f>CA39*(1+'Summary. Assumptions. Inputs'!$C$29)</f>
        <v>737.96587906250033</v>
      </c>
      <c r="CO39" s="135">
        <f>CB39*(1+'Summary. Assumptions. Inputs'!$C$29)</f>
        <v>737.96587906250033</v>
      </c>
      <c r="CP39" s="135">
        <f>CC39*(1+'Summary. Assumptions. Inputs'!$C$29)</f>
        <v>737.96587906250033</v>
      </c>
      <c r="CQ39" s="135">
        <f>CD39*(1+'Summary. Assumptions. Inputs'!$C$29)</f>
        <v>737.96587906250033</v>
      </c>
      <c r="CR39" s="136">
        <f t="shared" si="31"/>
        <v>8855.5905487500022</v>
      </c>
    </row>
    <row r="40" spans="1:96" s="133" customFormat="1" ht="15" customHeight="1">
      <c r="A40" s="649" t="s">
        <v>545</v>
      </c>
      <c r="B40" s="649">
        <v>1</v>
      </c>
      <c r="C40" s="240">
        <v>533</v>
      </c>
      <c r="D40" s="133">
        <f t="shared" si="23"/>
        <v>166.5625</v>
      </c>
      <c r="E40" s="137"/>
      <c r="F40" s="135">
        <f t="shared" si="33"/>
        <v>166.5625</v>
      </c>
      <c r="G40" s="135">
        <f t="shared" si="33"/>
        <v>166.5625</v>
      </c>
      <c r="H40" s="135">
        <f t="shared" si="33"/>
        <v>166.5625</v>
      </c>
      <c r="I40" s="135">
        <f t="shared" si="33"/>
        <v>166.5625</v>
      </c>
      <c r="J40" s="135">
        <f t="shared" si="33"/>
        <v>166.5625</v>
      </c>
      <c r="K40" s="135">
        <f t="shared" si="33"/>
        <v>166.5625</v>
      </c>
      <c r="L40" s="135">
        <f t="shared" si="33"/>
        <v>166.5625</v>
      </c>
      <c r="M40" s="135">
        <f t="shared" si="33"/>
        <v>166.5625</v>
      </c>
      <c r="N40" s="135">
        <f t="shared" si="33"/>
        <v>166.5625</v>
      </c>
      <c r="O40" s="135">
        <f t="shared" si="33"/>
        <v>166.5625</v>
      </c>
      <c r="P40" s="135">
        <f t="shared" si="33"/>
        <v>166.5625</v>
      </c>
      <c r="Q40" s="135">
        <f t="shared" si="33"/>
        <v>166.5625</v>
      </c>
      <c r="R40" s="136">
        <f t="shared" ref="R40" si="38">SUM(F40:Q40)</f>
        <v>1998.75</v>
      </c>
      <c r="S40" s="135">
        <f>F40*(1+'Summary. Assumptions. Inputs'!$C$29)</f>
        <v>183.21875000000003</v>
      </c>
      <c r="T40" s="135">
        <f>G40*(1+'Summary. Assumptions. Inputs'!$C$29)</f>
        <v>183.21875000000003</v>
      </c>
      <c r="U40" s="135">
        <f>H40*(1+'Summary. Assumptions. Inputs'!$C$29)</f>
        <v>183.21875000000003</v>
      </c>
      <c r="V40" s="135">
        <f>I40*(1+'Summary. Assumptions. Inputs'!$C$29)</f>
        <v>183.21875000000003</v>
      </c>
      <c r="W40" s="135">
        <f>J40*(1+'Summary. Assumptions. Inputs'!$C$29)</f>
        <v>183.21875000000003</v>
      </c>
      <c r="X40" s="135">
        <f>K40*(1+'Summary. Assumptions. Inputs'!$C$29)</f>
        <v>183.21875000000003</v>
      </c>
      <c r="Y40" s="135">
        <f>L40*(1+'Summary. Assumptions. Inputs'!$C$29)</f>
        <v>183.21875000000003</v>
      </c>
      <c r="Z40" s="135">
        <f>M40*(1+'Summary. Assumptions. Inputs'!$C$29)</f>
        <v>183.21875000000003</v>
      </c>
      <c r="AA40" s="135">
        <f>N40*(1+'Summary. Assumptions. Inputs'!$C$29)</f>
        <v>183.21875000000003</v>
      </c>
      <c r="AB40" s="135">
        <f>O40*(1+'Summary. Assumptions. Inputs'!$C$29)</f>
        <v>183.21875000000003</v>
      </c>
      <c r="AC40" s="135">
        <f>P40*(1+'Summary. Assumptions. Inputs'!$C$29)</f>
        <v>183.21875000000003</v>
      </c>
      <c r="AD40" s="135">
        <f>Q40*(1+'Summary. Assumptions. Inputs'!$C$29)</f>
        <v>183.21875000000003</v>
      </c>
      <c r="AE40" s="136">
        <f t="shared" ref="AE40" si="39">SUM(S40:AD40)</f>
        <v>2198.6250000000005</v>
      </c>
      <c r="AF40" s="135">
        <f>S40*(1+'Summary. Assumptions. Inputs'!$C$29)</f>
        <v>201.54062500000003</v>
      </c>
      <c r="AG40" s="135">
        <f>T40*(1+'Summary. Assumptions. Inputs'!$C$29)</f>
        <v>201.54062500000003</v>
      </c>
      <c r="AH40" s="135">
        <f>U40*(1+'Summary. Assumptions. Inputs'!$C$29)</f>
        <v>201.54062500000003</v>
      </c>
      <c r="AI40" s="135">
        <f>V40*(1+'Summary. Assumptions. Inputs'!$C$29)</f>
        <v>201.54062500000003</v>
      </c>
      <c r="AJ40" s="135">
        <f>W40*(1+'Summary. Assumptions. Inputs'!$C$29)</f>
        <v>201.54062500000003</v>
      </c>
      <c r="AK40" s="135">
        <f>X40*(1+'Summary. Assumptions. Inputs'!$C$29)</f>
        <v>201.54062500000003</v>
      </c>
      <c r="AL40" s="135">
        <f>Y40*(1+'Summary. Assumptions. Inputs'!$C$29)</f>
        <v>201.54062500000003</v>
      </c>
      <c r="AM40" s="135">
        <f>Z40*(1+'Summary. Assumptions. Inputs'!$C$29)</f>
        <v>201.54062500000003</v>
      </c>
      <c r="AN40" s="135">
        <f>AA40*(1+'Summary. Assumptions. Inputs'!$C$29)</f>
        <v>201.54062500000003</v>
      </c>
      <c r="AO40" s="135">
        <f>AB40*(1+'Summary. Assumptions. Inputs'!$C$29)</f>
        <v>201.54062500000003</v>
      </c>
      <c r="AP40" s="135">
        <f>AC40*(1+'Summary. Assumptions. Inputs'!$C$29)</f>
        <v>201.54062500000003</v>
      </c>
      <c r="AQ40" s="135">
        <f>AD40*(1+'Summary. Assumptions. Inputs'!$C$29)</f>
        <v>201.54062500000003</v>
      </c>
      <c r="AR40" s="136">
        <f t="shared" ref="AR40" si="40">SUM(AF40:AQ40)</f>
        <v>2418.4875000000006</v>
      </c>
      <c r="AS40" s="135">
        <f>AF40*(1+'Summary. Assumptions. Inputs'!$C$29)</f>
        <v>221.69468750000004</v>
      </c>
      <c r="AT40" s="135">
        <f>AG40*(1+'Summary. Assumptions. Inputs'!$C$29)</f>
        <v>221.69468750000004</v>
      </c>
      <c r="AU40" s="135">
        <f>AH40*(1+'Summary. Assumptions. Inputs'!$C$29)</f>
        <v>221.69468750000004</v>
      </c>
      <c r="AV40" s="135">
        <f>AI40*(1+'Summary. Assumptions. Inputs'!$C$29)</f>
        <v>221.69468750000004</v>
      </c>
      <c r="AW40" s="135">
        <f>AJ40*(1+'Summary. Assumptions. Inputs'!$C$29)</f>
        <v>221.69468750000004</v>
      </c>
      <c r="AX40" s="135">
        <f>AK40*(1+'Summary. Assumptions. Inputs'!$C$29)</f>
        <v>221.69468750000004</v>
      </c>
      <c r="AY40" s="135">
        <f>AL40*(1+'Summary. Assumptions. Inputs'!$C$29)</f>
        <v>221.69468750000004</v>
      </c>
      <c r="AZ40" s="135">
        <f>AM40*(1+'Summary. Assumptions. Inputs'!$C$29)</f>
        <v>221.69468750000004</v>
      </c>
      <c r="BA40" s="135">
        <f>AN40*(1+'Summary. Assumptions. Inputs'!$C$29)</f>
        <v>221.69468750000004</v>
      </c>
      <c r="BB40" s="135">
        <f>AO40*(1+'Summary. Assumptions. Inputs'!$C$29)</f>
        <v>221.69468750000004</v>
      </c>
      <c r="BC40" s="135">
        <f>AP40*(1+'Summary. Assumptions. Inputs'!$C$29)</f>
        <v>221.69468750000004</v>
      </c>
      <c r="BD40" s="135">
        <f>AQ40*(1+'Summary. Assumptions. Inputs'!$C$29)</f>
        <v>221.69468750000004</v>
      </c>
      <c r="BE40" s="136">
        <f t="shared" ref="BE40" si="41">SUM(AS40:BD40)</f>
        <v>2660.3362500000003</v>
      </c>
      <c r="BF40" s="135">
        <f>AS40*(1+'Summary. Assumptions. Inputs'!$C$29)</f>
        <v>243.86415625000006</v>
      </c>
      <c r="BG40" s="135">
        <f>AT40*(1+'Summary. Assumptions. Inputs'!$C$29)</f>
        <v>243.86415625000006</v>
      </c>
      <c r="BH40" s="135">
        <f>AU40*(1+'Summary. Assumptions. Inputs'!$C$29)</f>
        <v>243.86415625000006</v>
      </c>
      <c r="BI40" s="135">
        <f>AV40*(1+'Summary. Assumptions. Inputs'!$C$29)</f>
        <v>243.86415625000006</v>
      </c>
      <c r="BJ40" s="135">
        <f>AW40*(1+'Summary. Assumptions. Inputs'!$C$29)</f>
        <v>243.86415625000006</v>
      </c>
      <c r="BK40" s="135">
        <f>AX40*(1+'Summary. Assumptions. Inputs'!$C$29)</f>
        <v>243.86415625000006</v>
      </c>
      <c r="BL40" s="135">
        <f>AY40*(1+'Summary. Assumptions. Inputs'!$C$29)</f>
        <v>243.86415625000006</v>
      </c>
      <c r="BM40" s="135">
        <f>AZ40*(1+'Summary. Assumptions. Inputs'!$C$29)</f>
        <v>243.86415625000006</v>
      </c>
      <c r="BN40" s="135">
        <f>BA40*(1+'Summary. Assumptions. Inputs'!$C$29)</f>
        <v>243.86415625000006</v>
      </c>
      <c r="BO40" s="135">
        <f>BB40*(1+'Summary. Assumptions. Inputs'!$C$29)</f>
        <v>243.86415625000006</v>
      </c>
      <c r="BP40" s="135">
        <f>BC40*(1+'Summary. Assumptions. Inputs'!$C$29)</f>
        <v>243.86415625000006</v>
      </c>
      <c r="BQ40" s="135">
        <f>BD40*(1+'Summary. Assumptions. Inputs'!$C$29)</f>
        <v>243.86415625000006</v>
      </c>
      <c r="BR40" s="136">
        <f t="shared" ref="BR40" si="42">SUM(BF40:BQ40)</f>
        <v>2926.3698750000017</v>
      </c>
      <c r="BS40" s="135">
        <f>BF40*(1+'Summary. Assumptions. Inputs'!$C$29)</f>
        <v>268.25057187500011</v>
      </c>
      <c r="BT40" s="135">
        <f>BG40*(1+'Summary. Assumptions. Inputs'!$C$29)</f>
        <v>268.25057187500011</v>
      </c>
      <c r="BU40" s="135">
        <f>BH40*(1+'Summary. Assumptions. Inputs'!$C$29)</f>
        <v>268.25057187500011</v>
      </c>
      <c r="BV40" s="135">
        <f>BI40*(1+'Summary. Assumptions. Inputs'!$C$29)</f>
        <v>268.25057187500011</v>
      </c>
      <c r="BW40" s="135">
        <f>BJ40*(1+'Summary. Assumptions. Inputs'!$C$29)</f>
        <v>268.25057187500011</v>
      </c>
      <c r="BX40" s="135">
        <f>BK40*(1+'Summary. Assumptions. Inputs'!$C$29)</f>
        <v>268.25057187500011</v>
      </c>
      <c r="BY40" s="135">
        <f>BL40*(1+'Summary. Assumptions. Inputs'!$C$29)</f>
        <v>268.25057187500011</v>
      </c>
      <c r="BZ40" s="135">
        <f>BM40*(1+'Summary. Assumptions. Inputs'!$C$29)</f>
        <v>268.25057187500011</v>
      </c>
      <c r="CA40" s="135">
        <f>BN40*(1+'Summary. Assumptions. Inputs'!$C$29)</f>
        <v>268.25057187500011</v>
      </c>
      <c r="CB40" s="135">
        <f>BO40*(1+'Summary. Assumptions. Inputs'!$C$29)</f>
        <v>268.25057187500011</v>
      </c>
      <c r="CC40" s="135">
        <f>BP40*(1+'Summary. Assumptions. Inputs'!$C$29)</f>
        <v>268.25057187500011</v>
      </c>
      <c r="CD40" s="135">
        <f>BQ40*(1+'Summary. Assumptions. Inputs'!$C$29)</f>
        <v>268.25057187500011</v>
      </c>
      <c r="CE40" s="136">
        <f t="shared" ref="CE40" si="43">SUM(BS40:CD40)</f>
        <v>3219.0068625000004</v>
      </c>
      <c r="CF40" s="135">
        <f>BS40*(1+'Summary. Assumptions. Inputs'!$C$29)</f>
        <v>295.07562906250013</v>
      </c>
      <c r="CG40" s="135">
        <f>BT40*(1+'Summary. Assumptions. Inputs'!$C$29)</f>
        <v>295.07562906250013</v>
      </c>
      <c r="CH40" s="135">
        <f>BU40*(1+'Summary. Assumptions. Inputs'!$C$29)</f>
        <v>295.07562906250013</v>
      </c>
      <c r="CI40" s="135">
        <f>BV40*(1+'Summary. Assumptions. Inputs'!$C$29)</f>
        <v>295.07562906250013</v>
      </c>
      <c r="CJ40" s="135">
        <f>BW40*(1+'Summary. Assumptions. Inputs'!$C$29)</f>
        <v>295.07562906250013</v>
      </c>
      <c r="CK40" s="135">
        <f>BX40*(1+'Summary. Assumptions. Inputs'!$C$29)</f>
        <v>295.07562906250013</v>
      </c>
      <c r="CL40" s="135">
        <f>BY40*(1+'Summary. Assumptions. Inputs'!$C$29)</f>
        <v>295.07562906250013</v>
      </c>
      <c r="CM40" s="135">
        <f>BZ40*(1+'Summary. Assumptions. Inputs'!$C$29)</f>
        <v>295.07562906250013</v>
      </c>
      <c r="CN40" s="135">
        <f>CA40*(1+'Summary. Assumptions. Inputs'!$C$29)</f>
        <v>295.07562906250013</v>
      </c>
      <c r="CO40" s="135">
        <f>CB40*(1+'Summary. Assumptions. Inputs'!$C$29)</f>
        <v>295.07562906250013</v>
      </c>
      <c r="CP40" s="135">
        <f>CC40*(1+'Summary. Assumptions. Inputs'!$C$29)</f>
        <v>295.07562906250013</v>
      </c>
      <c r="CQ40" s="135">
        <f>CD40*(1+'Summary. Assumptions. Inputs'!$C$29)</f>
        <v>295.07562906250013</v>
      </c>
      <c r="CR40" s="136">
        <f t="shared" ref="CR40" si="44">SUM(CF40:CQ40)</f>
        <v>3540.9075487500008</v>
      </c>
    </row>
    <row r="41" spans="1:96" s="133" customFormat="1" ht="15" customHeight="1">
      <c r="A41" s="649" t="s">
        <v>552</v>
      </c>
      <c r="B41" s="649">
        <v>1</v>
      </c>
      <c r="C41" s="240">
        <v>667</v>
      </c>
      <c r="D41" s="133">
        <f t="shared" si="23"/>
        <v>208.4375</v>
      </c>
      <c r="E41" s="137"/>
      <c r="F41" s="135">
        <f t="shared" si="33"/>
        <v>208.4375</v>
      </c>
      <c r="G41" s="135">
        <f t="shared" si="33"/>
        <v>208.4375</v>
      </c>
      <c r="H41" s="135">
        <f t="shared" si="33"/>
        <v>208.4375</v>
      </c>
      <c r="I41" s="135">
        <f t="shared" si="33"/>
        <v>208.4375</v>
      </c>
      <c r="J41" s="135">
        <f t="shared" si="33"/>
        <v>208.4375</v>
      </c>
      <c r="K41" s="135">
        <f t="shared" si="33"/>
        <v>208.4375</v>
      </c>
      <c r="L41" s="135">
        <f t="shared" si="33"/>
        <v>208.4375</v>
      </c>
      <c r="M41" s="135">
        <f t="shared" si="33"/>
        <v>208.4375</v>
      </c>
      <c r="N41" s="135">
        <f t="shared" si="33"/>
        <v>208.4375</v>
      </c>
      <c r="O41" s="135">
        <f t="shared" si="33"/>
        <v>208.4375</v>
      </c>
      <c r="P41" s="135">
        <f t="shared" si="33"/>
        <v>208.4375</v>
      </c>
      <c r="Q41" s="135">
        <f t="shared" si="33"/>
        <v>208.4375</v>
      </c>
      <c r="R41" s="136">
        <f t="shared" si="25"/>
        <v>2501.25</v>
      </c>
      <c r="S41" s="135">
        <f>F41*(1+'Summary. Assumptions. Inputs'!$C$29)</f>
        <v>229.28125000000003</v>
      </c>
      <c r="T41" s="135">
        <f>G41*(1+'Summary. Assumptions. Inputs'!$C$29)</f>
        <v>229.28125000000003</v>
      </c>
      <c r="U41" s="135">
        <f>H41*(1+'Summary. Assumptions. Inputs'!$C$29)</f>
        <v>229.28125000000003</v>
      </c>
      <c r="V41" s="135">
        <f>I41*(1+'Summary. Assumptions. Inputs'!$C$29)</f>
        <v>229.28125000000003</v>
      </c>
      <c r="W41" s="135">
        <f>J41*(1+'Summary. Assumptions. Inputs'!$C$29)</f>
        <v>229.28125000000003</v>
      </c>
      <c r="X41" s="135">
        <f>K41*(1+'Summary. Assumptions. Inputs'!$C$29)</f>
        <v>229.28125000000003</v>
      </c>
      <c r="Y41" s="135">
        <f>L41*(1+'Summary. Assumptions. Inputs'!$C$29)</f>
        <v>229.28125000000003</v>
      </c>
      <c r="Z41" s="135">
        <f>M41*(1+'Summary. Assumptions. Inputs'!$C$29)</f>
        <v>229.28125000000003</v>
      </c>
      <c r="AA41" s="135">
        <f>N41*(1+'Summary. Assumptions. Inputs'!$C$29)</f>
        <v>229.28125000000003</v>
      </c>
      <c r="AB41" s="135">
        <f>O41*(1+'Summary. Assumptions. Inputs'!$C$29)</f>
        <v>229.28125000000003</v>
      </c>
      <c r="AC41" s="135">
        <f>P41*(1+'Summary. Assumptions. Inputs'!$C$29)</f>
        <v>229.28125000000003</v>
      </c>
      <c r="AD41" s="135">
        <f>Q41*(1+'Summary. Assumptions. Inputs'!$C$29)</f>
        <v>229.28125000000003</v>
      </c>
      <c r="AE41" s="136">
        <f t="shared" si="26"/>
        <v>2751.3750000000005</v>
      </c>
      <c r="AF41" s="135">
        <f>S41*(1+'Summary. Assumptions. Inputs'!$C$29)</f>
        <v>252.20937500000005</v>
      </c>
      <c r="AG41" s="135">
        <f>T41*(1+'Summary. Assumptions. Inputs'!$C$29)</f>
        <v>252.20937500000005</v>
      </c>
      <c r="AH41" s="135">
        <f>U41*(1+'Summary. Assumptions. Inputs'!$C$29)</f>
        <v>252.20937500000005</v>
      </c>
      <c r="AI41" s="135">
        <f>V41*(1+'Summary. Assumptions. Inputs'!$C$29)</f>
        <v>252.20937500000005</v>
      </c>
      <c r="AJ41" s="135">
        <f>W41*(1+'Summary. Assumptions. Inputs'!$C$29)</f>
        <v>252.20937500000005</v>
      </c>
      <c r="AK41" s="135">
        <f>X41*(1+'Summary. Assumptions. Inputs'!$C$29)</f>
        <v>252.20937500000005</v>
      </c>
      <c r="AL41" s="135">
        <f>Y41*(1+'Summary. Assumptions. Inputs'!$C$29)</f>
        <v>252.20937500000005</v>
      </c>
      <c r="AM41" s="135">
        <f>Z41*(1+'Summary. Assumptions. Inputs'!$C$29)</f>
        <v>252.20937500000005</v>
      </c>
      <c r="AN41" s="135">
        <f>AA41*(1+'Summary. Assumptions. Inputs'!$C$29)</f>
        <v>252.20937500000005</v>
      </c>
      <c r="AO41" s="135">
        <f>AB41*(1+'Summary. Assumptions. Inputs'!$C$29)</f>
        <v>252.20937500000005</v>
      </c>
      <c r="AP41" s="135">
        <f>AC41*(1+'Summary. Assumptions. Inputs'!$C$29)</f>
        <v>252.20937500000005</v>
      </c>
      <c r="AQ41" s="135">
        <f>AD41*(1+'Summary. Assumptions. Inputs'!$C$29)</f>
        <v>252.20937500000005</v>
      </c>
      <c r="AR41" s="136">
        <f t="shared" si="27"/>
        <v>3026.5125000000003</v>
      </c>
      <c r="AS41" s="135">
        <f>AF41*(1+'Summary. Assumptions. Inputs'!$C$29)</f>
        <v>277.43031250000007</v>
      </c>
      <c r="AT41" s="135">
        <f>AG41*(1+'Summary. Assumptions. Inputs'!$C$29)</f>
        <v>277.43031250000007</v>
      </c>
      <c r="AU41" s="135">
        <f>AH41*(1+'Summary. Assumptions. Inputs'!$C$29)</f>
        <v>277.43031250000007</v>
      </c>
      <c r="AV41" s="135">
        <f>AI41*(1+'Summary. Assumptions. Inputs'!$C$29)</f>
        <v>277.43031250000007</v>
      </c>
      <c r="AW41" s="135">
        <f>AJ41*(1+'Summary. Assumptions. Inputs'!$C$29)</f>
        <v>277.43031250000007</v>
      </c>
      <c r="AX41" s="135">
        <f>AK41*(1+'Summary. Assumptions. Inputs'!$C$29)</f>
        <v>277.43031250000007</v>
      </c>
      <c r="AY41" s="135">
        <f>AL41*(1+'Summary. Assumptions. Inputs'!$C$29)</f>
        <v>277.43031250000007</v>
      </c>
      <c r="AZ41" s="135">
        <f>AM41*(1+'Summary. Assumptions. Inputs'!$C$29)</f>
        <v>277.43031250000007</v>
      </c>
      <c r="BA41" s="135">
        <f>AN41*(1+'Summary. Assumptions. Inputs'!$C$29)</f>
        <v>277.43031250000007</v>
      </c>
      <c r="BB41" s="135">
        <f>AO41*(1+'Summary. Assumptions. Inputs'!$C$29)</f>
        <v>277.43031250000007</v>
      </c>
      <c r="BC41" s="135">
        <f>AP41*(1+'Summary. Assumptions. Inputs'!$C$29)</f>
        <v>277.43031250000007</v>
      </c>
      <c r="BD41" s="135">
        <f>AQ41*(1+'Summary. Assumptions. Inputs'!$C$29)</f>
        <v>277.43031250000007</v>
      </c>
      <c r="BE41" s="136">
        <f t="shared" si="28"/>
        <v>3329.1637500000011</v>
      </c>
      <c r="BF41" s="135">
        <f>AS41*(1+'Summary. Assumptions. Inputs'!$C$29)</f>
        <v>305.17334375000013</v>
      </c>
      <c r="BG41" s="135">
        <f>AT41*(1+'Summary. Assumptions. Inputs'!$C$29)</f>
        <v>305.17334375000013</v>
      </c>
      <c r="BH41" s="135">
        <f>AU41*(1+'Summary. Assumptions. Inputs'!$C$29)</f>
        <v>305.17334375000013</v>
      </c>
      <c r="BI41" s="135">
        <f>AV41*(1+'Summary. Assumptions. Inputs'!$C$29)</f>
        <v>305.17334375000013</v>
      </c>
      <c r="BJ41" s="135">
        <f>AW41*(1+'Summary. Assumptions. Inputs'!$C$29)</f>
        <v>305.17334375000013</v>
      </c>
      <c r="BK41" s="135">
        <f>AX41*(1+'Summary. Assumptions. Inputs'!$C$29)</f>
        <v>305.17334375000013</v>
      </c>
      <c r="BL41" s="135">
        <f>AY41*(1+'Summary. Assumptions. Inputs'!$C$29)</f>
        <v>305.17334375000013</v>
      </c>
      <c r="BM41" s="135">
        <f>AZ41*(1+'Summary. Assumptions. Inputs'!$C$29)</f>
        <v>305.17334375000013</v>
      </c>
      <c r="BN41" s="135">
        <f>BA41*(1+'Summary. Assumptions. Inputs'!$C$29)</f>
        <v>305.17334375000013</v>
      </c>
      <c r="BO41" s="135">
        <f>BB41*(1+'Summary. Assumptions. Inputs'!$C$29)</f>
        <v>305.17334375000013</v>
      </c>
      <c r="BP41" s="135">
        <f>BC41*(1+'Summary. Assumptions. Inputs'!$C$29)</f>
        <v>305.17334375000013</v>
      </c>
      <c r="BQ41" s="135">
        <f>BD41*(1+'Summary. Assumptions. Inputs'!$C$29)</f>
        <v>305.17334375000013</v>
      </c>
      <c r="BR41" s="136">
        <f t="shared" si="29"/>
        <v>3662.0801250000018</v>
      </c>
      <c r="BS41" s="135">
        <f>BF41*(1+'Summary. Assumptions. Inputs'!$C$29)</f>
        <v>335.69067812500015</v>
      </c>
      <c r="BT41" s="135">
        <f>BG41*(1+'Summary. Assumptions. Inputs'!$C$29)</f>
        <v>335.69067812500015</v>
      </c>
      <c r="BU41" s="135">
        <f>BH41*(1+'Summary. Assumptions. Inputs'!$C$29)</f>
        <v>335.69067812500015</v>
      </c>
      <c r="BV41" s="135">
        <f>BI41*(1+'Summary. Assumptions. Inputs'!$C$29)</f>
        <v>335.69067812500015</v>
      </c>
      <c r="BW41" s="135">
        <f>BJ41*(1+'Summary. Assumptions. Inputs'!$C$29)</f>
        <v>335.69067812500015</v>
      </c>
      <c r="BX41" s="135">
        <f>BK41*(1+'Summary. Assumptions. Inputs'!$C$29)</f>
        <v>335.69067812500015</v>
      </c>
      <c r="BY41" s="135">
        <f>BL41*(1+'Summary. Assumptions. Inputs'!$C$29)</f>
        <v>335.69067812500015</v>
      </c>
      <c r="BZ41" s="135">
        <f>BM41*(1+'Summary. Assumptions. Inputs'!$C$29)</f>
        <v>335.69067812500015</v>
      </c>
      <c r="CA41" s="135">
        <f>BN41*(1+'Summary. Assumptions. Inputs'!$C$29)</f>
        <v>335.69067812500015</v>
      </c>
      <c r="CB41" s="135">
        <f>BO41*(1+'Summary. Assumptions. Inputs'!$C$29)</f>
        <v>335.69067812500015</v>
      </c>
      <c r="CC41" s="135">
        <f>BP41*(1+'Summary. Assumptions. Inputs'!$C$29)</f>
        <v>335.69067812500015</v>
      </c>
      <c r="CD41" s="135">
        <f>BQ41*(1+'Summary. Assumptions. Inputs'!$C$29)</f>
        <v>335.69067812500015</v>
      </c>
      <c r="CE41" s="136">
        <f t="shared" si="30"/>
        <v>4028.2881375000011</v>
      </c>
      <c r="CF41" s="135">
        <f>BS41*(1+'Summary. Assumptions. Inputs'!$C$29)</f>
        <v>369.25974593750021</v>
      </c>
      <c r="CG41" s="135">
        <f>BT41*(1+'Summary. Assumptions. Inputs'!$C$29)</f>
        <v>369.25974593750021</v>
      </c>
      <c r="CH41" s="135">
        <f>BU41*(1+'Summary. Assumptions. Inputs'!$C$29)</f>
        <v>369.25974593750021</v>
      </c>
      <c r="CI41" s="135">
        <f>BV41*(1+'Summary. Assumptions. Inputs'!$C$29)</f>
        <v>369.25974593750021</v>
      </c>
      <c r="CJ41" s="135">
        <f>BW41*(1+'Summary. Assumptions. Inputs'!$C$29)</f>
        <v>369.25974593750021</v>
      </c>
      <c r="CK41" s="135">
        <f>BX41*(1+'Summary. Assumptions. Inputs'!$C$29)</f>
        <v>369.25974593750021</v>
      </c>
      <c r="CL41" s="135">
        <f>BY41*(1+'Summary. Assumptions. Inputs'!$C$29)</f>
        <v>369.25974593750021</v>
      </c>
      <c r="CM41" s="135">
        <f>BZ41*(1+'Summary. Assumptions. Inputs'!$C$29)</f>
        <v>369.25974593750021</v>
      </c>
      <c r="CN41" s="135">
        <f>CA41*(1+'Summary. Assumptions. Inputs'!$C$29)</f>
        <v>369.25974593750021</v>
      </c>
      <c r="CO41" s="135">
        <f>CB41*(1+'Summary. Assumptions. Inputs'!$C$29)</f>
        <v>369.25974593750021</v>
      </c>
      <c r="CP41" s="135">
        <f>CC41*(1+'Summary. Assumptions. Inputs'!$C$29)</f>
        <v>369.25974593750021</v>
      </c>
      <c r="CQ41" s="135">
        <f>CD41*(1+'Summary. Assumptions. Inputs'!$C$29)</f>
        <v>369.25974593750021</v>
      </c>
      <c r="CR41" s="136">
        <f t="shared" si="31"/>
        <v>4431.1169512500028</v>
      </c>
    </row>
    <row r="42" spans="1:96" s="133" customFormat="1" ht="15" customHeight="1">
      <c r="A42" s="649" t="s">
        <v>553</v>
      </c>
      <c r="B42" s="649">
        <v>1</v>
      </c>
      <c r="C42" s="240">
        <v>667</v>
      </c>
      <c r="D42" s="133">
        <f t="shared" si="23"/>
        <v>208.4375</v>
      </c>
      <c r="E42" s="137"/>
      <c r="F42" s="135">
        <f t="shared" si="33"/>
        <v>208.4375</v>
      </c>
      <c r="G42" s="135">
        <f t="shared" si="33"/>
        <v>208.4375</v>
      </c>
      <c r="H42" s="135">
        <f t="shared" si="33"/>
        <v>208.4375</v>
      </c>
      <c r="I42" s="135">
        <f t="shared" si="33"/>
        <v>208.4375</v>
      </c>
      <c r="J42" s="135">
        <f t="shared" si="33"/>
        <v>208.4375</v>
      </c>
      <c r="K42" s="135">
        <f t="shared" si="33"/>
        <v>208.4375</v>
      </c>
      <c r="L42" s="135">
        <f t="shared" si="33"/>
        <v>208.4375</v>
      </c>
      <c r="M42" s="135">
        <f t="shared" si="33"/>
        <v>208.4375</v>
      </c>
      <c r="N42" s="135">
        <f t="shared" si="33"/>
        <v>208.4375</v>
      </c>
      <c r="O42" s="135">
        <f t="shared" si="33"/>
        <v>208.4375</v>
      </c>
      <c r="P42" s="135">
        <f t="shared" si="33"/>
        <v>208.4375</v>
      </c>
      <c r="Q42" s="135">
        <f t="shared" si="33"/>
        <v>208.4375</v>
      </c>
      <c r="R42" s="136">
        <f t="shared" si="25"/>
        <v>2501.25</v>
      </c>
      <c r="S42" s="135">
        <f>F42*(1+'Summary. Assumptions. Inputs'!$C$29)</f>
        <v>229.28125000000003</v>
      </c>
      <c r="T42" s="135">
        <f>G42*(1+'Summary. Assumptions. Inputs'!$C$29)</f>
        <v>229.28125000000003</v>
      </c>
      <c r="U42" s="135">
        <f>H42*(1+'Summary. Assumptions. Inputs'!$C$29)</f>
        <v>229.28125000000003</v>
      </c>
      <c r="V42" s="135">
        <f>I42*(1+'Summary. Assumptions. Inputs'!$C$29)</f>
        <v>229.28125000000003</v>
      </c>
      <c r="W42" s="135">
        <f>J42*(1+'Summary. Assumptions. Inputs'!$C$29)</f>
        <v>229.28125000000003</v>
      </c>
      <c r="X42" s="135">
        <f>K42*(1+'Summary. Assumptions. Inputs'!$C$29)</f>
        <v>229.28125000000003</v>
      </c>
      <c r="Y42" s="135">
        <f>L42*(1+'Summary. Assumptions. Inputs'!$C$29)</f>
        <v>229.28125000000003</v>
      </c>
      <c r="Z42" s="135">
        <f>M42*(1+'Summary. Assumptions. Inputs'!$C$29)</f>
        <v>229.28125000000003</v>
      </c>
      <c r="AA42" s="135">
        <f>N42*(1+'Summary. Assumptions. Inputs'!$C$29)</f>
        <v>229.28125000000003</v>
      </c>
      <c r="AB42" s="135">
        <f>O42*(1+'Summary. Assumptions. Inputs'!$C$29)</f>
        <v>229.28125000000003</v>
      </c>
      <c r="AC42" s="135">
        <f>P42*(1+'Summary. Assumptions. Inputs'!$C$29)</f>
        <v>229.28125000000003</v>
      </c>
      <c r="AD42" s="135">
        <f>Q42*(1+'Summary. Assumptions. Inputs'!$C$29)</f>
        <v>229.28125000000003</v>
      </c>
      <c r="AE42" s="136">
        <f t="shared" si="26"/>
        <v>2751.3750000000005</v>
      </c>
      <c r="AF42" s="135">
        <f>S42*(1+'Summary. Assumptions. Inputs'!$C$29)</f>
        <v>252.20937500000005</v>
      </c>
      <c r="AG42" s="135">
        <f>T42*(1+'Summary. Assumptions. Inputs'!$C$29)</f>
        <v>252.20937500000005</v>
      </c>
      <c r="AH42" s="135">
        <f>U42*(1+'Summary. Assumptions. Inputs'!$C$29)</f>
        <v>252.20937500000005</v>
      </c>
      <c r="AI42" s="135">
        <f>V42*(1+'Summary. Assumptions. Inputs'!$C$29)</f>
        <v>252.20937500000005</v>
      </c>
      <c r="AJ42" s="135">
        <f>W42*(1+'Summary. Assumptions. Inputs'!$C$29)</f>
        <v>252.20937500000005</v>
      </c>
      <c r="AK42" s="135">
        <f>X42*(1+'Summary. Assumptions. Inputs'!$C$29)</f>
        <v>252.20937500000005</v>
      </c>
      <c r="AL42" s="135">
        <f>Y42*(1+'Summary. Assumptions. Inputs'!$C$29)</f>
        <v>252.20937500000005</v>
      </c>
      <c r="AM42" s="135">
        <f>Z42*(1+'Summary. Assumptions. Inputs'!$C$29)</f>
        <v>252.20937500000005</v>
      </c>
      <c r="AN42" s="135">
        <f>AA42*(1+'Summary. Assumptions. Inputs'!$C$29)</f>
        <v>252.20937500000005</v>
      </c>
      <c r="AO42" s="135">
        <f>AB42*(1+'Summary. Assumptions. Inputs'!$C$29)</f>
        <v>252.20937500000005</v>
      </c>
      <c r="AP42" s="135">
        <f>AC42*(1+'Summary. Assumptions. Inputs'!$C$29)</f>
        <v>252.20937500000005</v>
      </c>
      <c r="AQ42" s="135">
        <f>AD42*(1+'Summary. Assumptions. Inputs'!$C$29)</f>
        <v>252.20937500000005</v>
      </c>
      <c r="AR42" s="136">
        <f t="shared" si="27"/>
        <v>3026.5125000000003</v>
      </c>
      <c r="AS42" s="135">
        <f>AF42*(1+'Summary. Assumptions. Inputs'!$C$29)</f>
        <v>277.43031250000007</v>
      </c>
      <c r="AT42" s="135">
        <f>AG42*(1+'Summary. Assumptions. Inputs'!$C$29)</f>
        <v>277.43031250000007</v>
      </c>
      <c r="AU42" s="135">
        <f>AH42*(1+'Summary. Assumptions. Inputs'!$C$29)</f>
        <v>277.43031250000007</v>
      </c>
      <c r="AV42" s="135">
        <f>AI42*(1+'Summary. Assumptions. Inputs'!$C$29)</f>
        <v>277.43031250000007</v>
      </c>
      <c r="AW42" s="135">
        <f>AJ42*(1+'Summary. Assumptions. Inputs'!$C$29)</f>
        <v>277.43031250000007</v>
      </c>
      <c r="AX42" s="135">
        <f>AK42*(1+'Summary. Assumptions. Inputs'!$C$29)</f>
        <v>277.43031250000007</v>
      </c>
      <c r="AY42" s="135">
        <f>AL42*(1+'Summary. Assumptions. Inputs'!$C$29)</f>
        <v>277.43031250000007</v>
      </c>
      <c r="AZ42" s="135">
        <f>AM42*(1+'Summary. Assumptions. Inputs'!$C$29)</f>
        <v>277.43031250000007</v>
      </c>
      <c r="BA42" s="135">
        <f>AN42*(1+'Summary. Assumptions. Inputs'!$C$29)</f>
        <v>277.43031250000007</v>
      </c>
      <c r="BB42" s="135">
        <f>AO42*(1+'Summary. Assumptions. Inputs'!$C$29)</f>
        <v>277.43031250000007</v>
      </c>
      <c r="BC42" s="135">
        <f>AP42*(1+'Summary. Assumptions. Inputs'!$C$29)</f>
        <v>277.43031250000007</v>
      </c>
      <c r="BD42" s="135">
        <f>AQ42*(1+'Summary. Assumptions. Inputs'!$C$29)</f>
        <v>277.43031250000007</v>
      </c>
      <c r="BE42" s="136">
        <f t="shared" si="28"/>
        <v>3329.1637500000011</v>
      </c>
      <c r="BF42" s="135">
        <f>AS42*(1+'Summary. Assumptions. Inputs'!$C$29)</f>
        <v>305.17334375000013</v>
      </c>
      <c r="BG42" s="135">
        <f>AT42*(1+'Summary. Assumptions. Inputs'!$C$29)</f>
        <v>305.17334375000013</v>
      </c>
      <c r="BH42" s="135">
        <f>AU42*(1+'Summary. Assumptions. Inputs'!$C$29)</f>
        <v>305.17334375000013</v>
      </c>
      <c r="BI42" s="135">
        <f>AV42*(1+'Summary. Assumptions. Inputs'!$C$29)</f>
        <v>305.17334375000013</v>
      </c>
      <c r="BJ42" s="135">
        <f>AW42*(1+'Summary. Assumptions. Inputs'!$C$29)</f>
        <v>305.17334375000013</v>
      </c>
      <c r="BK42" s="135">
        <f>AX42*(1+'Summary. Assumptions. Inputs'!$C$29)</f>
        <v>305.17334375000013</v>
      </c>
      <c r="BL42" s="135">
        <f>AY42*(1+'Summary. Assumptions. Inputs'!$C$29)</f>
        <v>305.17334375000013</v>
      </c>
      <c r="BM42" s="135">
        <f>AZ42*(1+'Summary. Assumptions. Inputs'!$C$29)</f>
        <v>305.17334375000013</v>
      </c>
      <c r="BN42" s="135">
        <f>BA42*(1+'Summary. Assumptions. Inputs'!$C$29)</f>
        <v>305.17334375000013</v>
      </c>
      <c r="BO42" s="135">
        <f>BB42*(1+'Summary. Assumptions. Inputs'!$C$29)</f>
        <v>305.17334375000013</v>
      </c>
      <c r="BP42" s="135">
        <f>BC42*(1+'Summary. Assumptions. Inputs'!$C$29)</f>
        <v>305.17334375000013</v>
      </c>
      <c r="BQ42" s="135">
        <f>BD42*(1+'Summary. Assumptions. Inputs'!$C$29)</f>
        <v>305.17334375000013</v>
      </c>
      <c r="BR42" s="136">
        <f t="shared" si="29"/>
        <v>3662.0801250000018</v>
      </c>
      <c r="BS42" s="135">
        <f>BF42*(1+'Summary. Assumptions. Inputs'!$C$29)</f>
        <v>335.69067812500015</v>
      </c>
      <c r="BT42" s="135">
        <f>BG42*(1+'Summary. Assumptions. Inputs'!$C$29)</f>
        <v>335.69067812500015</v>
      </c>
      <c r="BU42" s="135">
        <f>BH42*(1+'Summary. Assumptions. Inputs'!$C$29)</f>
        <v>335.69067812500015</v>
      </c>
      <c r="BV42" s="135">
        <f>BI42*(1+'Summary. Assumptions. Inputs'!$C$29)</f>
        <v>335.69067812500015</v>
      </c>
      <c r="BW42" s="135">
        <f>BJ42*(1+'Summary. Assumptions. Inputs'!$C$29)</f>
        <v>335.69067812500015</v>
      </c>
      <c r="BX42" s="135">
        <f>BK42*(1+'Summary. Assumptions. Inputs'!$C$29)</f>
        <v>335.69067812500015</v>
      </c>
      <c r="BY42" s="135">
        <f>BL42*(1+'Summary. Assumptions. Inputs'!$C$29)</f>
        <v>335.69067812500015</v>
      </c>
      <c r="BZ42" s="135">
        <f>BM42*(1+'Summary. Assumptions. Inputs'!$C$29)</f>
        <v>335.69067812500015</v>
      </c>
      <c r="CA42" s="135">
        <f>BN42*(1+'Summary. Assumptions. Inputs'!$C$29)</f>
        <v>335.69067812500015</v>
      </c>
      <c r="CB42" s="135">
        <f>BO42*(1+'Summary. Assumptions. Inputs'!$C$29)</f>
        <v>335.69067812500015</v>
      </c>
      <c r="CC42" s="135">
        <f>BP42*(1+'Summary. Assumptions. Inputs'!$C$29)</f>
        <v>335.69067812500015</v>
      </c>
      <c r="CD42" s="135">
        <f>BQ42*(1+'Summary. Assumptions. Inputs'!$C$29)</f>
        <v>335.69067812500015</v>
      </c>
      <c r="CE42" s="136">
        <f t="shared" si="30"/>
        <v>4028.2881375000011</v>
      </c>
      <c r="CF42" s="135">
        <f>BS42*(1+'Summary. Assumptions. Inputs'!$C$29)</f>
        <v>369.25974593750021</v>
      </c>
      <c r="CG42" s="135">
        <f>BT42*(1+'Summary. Assumptions. Inputs'!$C$29)</f>
        <v>369.25974593750021</v>
      </c>
      <c r="CH42" s="135">
        <f>BU42*(1+'Summary. Assumptions. Inputs'!$C$29)</f>
        <v>369.25974593750021</v>
      </c>
      <c r="CI42" s="135">
        <f>BV42*(1+'Summary. Assumptions. Inputs'!$C$29)</f>
        <v>369.25974593750021</v>
      </c>
      <c r="CJ42" s="135">
        <f>BW42*(1+'Summary. Assumptions. Inputs'!$C$29)</f>
        <v>369.25974593750021</v>
      </c>
      <c r="CK42" s="135">
        <f>BX42*(1+'Summary. Assumptions. Inputs'!$C$29)</f>
        <v>369.25974593750021</v>
      </c>
      <c r="CL42" s="135">
        <f>BY42*(1+'Summary. Assumptions. Inputs'!$C$29)</f>
        <v>369.25974593750021</v>
      </c>
      <c r="CM42" s="135">
        <f>BZ42*(1+'Summary. Assumptions. Inputs'!$C$29)</f>
        <v>369.25974593750021</v>
      </c>
      <c r="CN42" s="135">
        <f>CA42*(1+'Summary. Assumptions. Inputs'!$C$29)</f>
        <v>369.25974593750021</v>
      </c>
      <c r="CO42" s="135">
        <f>CB42*(1+'Summary. Assumptions. Inputs'!$C$29)</f>
        <v>369.25974593750021</v>
      </c>
      <c r="CP42" s="135">
        <f>CC42*(1+'Summary. Assumptions. Inputs'!$C$29)</f>
        <v>369.25974593750021</v>
      </c>
      <c r="CQ42" s="135">
        <f>CD42*(1+'Summary. Assumptions. Inputs'!$C$29)</f>
        <v>369.25974593750021</v>
      </c>
      <c r="CR42" s="136">
        <f t="shared" si="31"/>
        <v>4431.1169512500028</v>
      </c>
    </row>
    <row r="43" spans="1:96" s="133" customFormat="1" ht="15" customHeight="1">
      <c r="A43" s="649" t="s">
        <v>554</v>
      </c>
      <c r="B43" s="649">
        <v>1</v>
      </c>
      <c r="C43" s="240">
        <f>SUM('Capital Expenditures'!F50:F53)*'Summary. Assumptions. Inputs'!F36/12</f>
        <v>16933.333333333332</v>
      </c>
      <c r="D43" s="133">
        <f t="shared" si="23"/>
        <v>5291.6666666666661</v>
      </c>
      <c r="E43" s="137"/>
      <c r="F43" s="135">
        <f t="shared" si="33"/>
        <v>5291.6666666666661</v>
      </c>
      <c r="G43" s="135">
        <f t="shared" si="33"/>
        <v>5291.6666666666661</v>
      </c>
      <c r="H43" s="135">
        <f t="shared" si="33"/>
        <v>5291.6666666666661</v>
      </c>
      <c r="I43" s="135">
        <f t="shared" si="33"/>
        <v>5291.6666666666661</v>
      </c>
      <c r="J43" s="135">
        <f t="shared" si="33"/>
        <v>5291.6666666666661</v>
      </c>
      <c r="K43" s="135">
        <f t="shared" si="33"/>
        <v>5291.6666666666661</v>
      </c>
      <c r="L43" s="135">
        <f t="shared" si="33"/>
        <v>5291.6666666666661</v>
      </c>
      <c r="M43" s="135">
        <f t="shared" si="33"/>
        <v>5291.6666666666661</v>
      </c>
      <c r="N43" s="135">
        <f t="shared" si="33"/>
        <v>5291.6666666666661</v>
      </c>
      <c r="O43" s="135">
        <f t="shared" si="33"/>
        <v>5291.6666666666661</v>
      </c>
      <c r="P43" s="135">
        <f t="shared" si="33"/>
        <v>5291.6666666666661</v>
      </c>
      <c r="Q43" s="135">
        <f t="shared" si="33"/>
        <v>5291.6666666666661</v>
      </c>
      <c r="R43" s="136">
        <f t="shared" si="25"/>
        <v>63499.999999999978</v>
      </c>
      <c r="S43" s="135">
        <f>F43*(1+'Summary. Assumptions. Inputs'!$C$29)</f>
        <v>5820.833333333333</v>
      </c>
      <c r="T43" s="135">
        <f>G43*(1+'Summary. Assumptions. Inputs'!$C$29)</f>
        <v>5820.833333333333</v>
      </c>
      <c r="U43" s="135">
        <f>H43*(1+'Summary. Assumptions. Inputs'!$C$29)</f>
        <v>5820.833333333333</v>
      </c>
      <c r="V43" s="135">
        <f>I43*(1+'Summary. Assumptions. Inputs'!$C$29)</f>
        <v>5820.833333333333</v>
      </c>
      <c r="W43" s="135">
        <f>J43*(1+'Summary. Assumptions. Inputs'!$C$29)</f>
        <v>5820.833333333333</v>
      </c>
      <c r="X43" s="135">
        <f>K43*(1+'Summary. Assumptions. Inputs'!$C$29)</f>
        <v>5820.833333333333</v>
      </c>
      <c r="Y43" s="135">
        <f>L43*(1+'Summary. Assumptions. Inputs'!$C$29)</f>
        <v>5820.833333333333</v>
      </c>
      <c r="Z43" s="135">
        <f>M43*(1+'Summary. Assumptions. Inputs'!$C$29)</f>
        <v>5820.833333333333</v>
      </c>
      <c r="AA43" s="135">
        <f>N43*(1+'Summary. Assumptions. Inputs'!$C$29)</f>
        <v>5820.833333333333</v>
      </c>
      <c r="AB43" s="135">
        <f>O43*(1+'Summary. Assumptions. Inputs'!$C$29)</f>
        <v>5820.833333333333</v>
      </c>
      <c r="AC43" s="135">
        <f>P43*(1+'Summary. Assumptions. Inputs'!$C$29)</f>
        <v>5820.833333333333</v>
      </c>
      <c r="AD43" s="135">
        <f>Q43*(1+'Summary. Assumptions. Inputs'!$C$29)</f>
        <v>5820.833333333333</v>
      </c>
      <c r="AE43" s="136">
        <f t="shared" si="26"/>
        <v>69850.000000000015</v>
      </c>
      <c r="AF43" s="135">
        <f>S43*(1+'Summary. Assumptions. Inputs'!$C$29)</f>
        <v>6402.916666666667</v>
      </c>
      <c r="AG43" s="135">
        <f>T43*(1+'Summary. Assumptions. Inputs'!$C$29)</f>
        <v>6402.916666666667</v>
      </c>
      <c r="AH43" s="135">
        <f>U43*(1+'Summary. Assumptions. Inputs'!$C$29)</f>
        <v>6402.916666666667</v>
      </c>
      <c r="AI43" s="135">
        <f>V43*(1+'Summary. Assumptions. Inputs'!$C$29)</f>
        <v>6402.916666666667</v>
      </c>
      <c r="AJ43" s="135">
        <f>W43*(1+'Summary. Assumptions. Inputs'!$C$29)</f>
        <v>6402.916666666667</v>
      </c>
      <c r="AK43" s="135">
        <f>X43*(1+'Summary. Assumptions. Inputs'!$C$29)</f>
        <v>6402.916666666667</v>
      </c>
      <c r="AL43" s="135">
        <f>Y43*(1+'Summary. Assumptions. Inputs'!$C$29)</f>
        <v>6402.916666666667</v>
      </c>
      <c r="AM43" s="135">
        <f>Z43*(1+'Summary. Assumptions. Inputs'!$C$29)</f>
        <v>6402.916666666667</v>
      </c>
      <c r="AN43" s="135">
        <f>AA43*(1+'Summary. Assumptions. Inputs'!$C$29)</f>
        <v>6402.916666666667</v>
      </c>
      <c r="AO43" s="135">
        <f>AB43*(1+'Summary. Assumptions. Inputs'!$C$29)</f>
        <v>6402.916666666667</v>
      </c>
      <c r="AP43" s="135">
        <f>AC43*(1+'Summary. Assumptions. Inputs'!$C$29)</f>
        <v>6402.916666666667</v>
      </c>
      <c r="AQ43" s="135">
        <f>AD43*(1+'Summary. Assumptions. Inputs'!$C$29)</f>
        <v>6402.916666666667</v>
      </c>
      <c r="AR43" s="136">
        <f t="shared" si="27"/>
        <v>76835</v>
      </c>
      <c r="AS43" s="135">
        <f>AF43*(1+'Summary. Assumptions. Inputs'!$C$29)</f>
        <v>7043.2083333333339</v>
      </c>
      <c r="AT43" s="135">
        <f>AG43*(1+'Summary. Assumptions. Inputs'!$C$29)</f>
        <v>7043.2083333333339</v>
      </c>
      <c r="AU43" s="135">
        <f>AH43*(1+'Summary. Assumptions. Inputs'!$C$29)</f>
        <v>7043.2083333333339</v>
      </c>
      <c r="AV43" s="135">
        <f>AI43*(1+'Summary. Assumptions. Inputs'!$C$29)</f>
        <v>7043.2083333333339</v>
      </c>
      <c r="AW43" s="135">
        <f>AJ43*(1+'Summary. Assumptions. Inputs'!$C$29)</f>
        <v>7043.2083333333339</v>
      </c>
      <c r="AX43" s="135">
        <f>AK43*(1+'Summary. Assumptions. Inputs'!$C$29)</f>
        <v>7043.2083333333339</v>
      </c>
      <c r="AY43" s="135">
        <f>AL43*(1+'Summary. Assumptions. Inputs'!$C$29)</f>
        <v>7043.2083333333339</v>
      </c>
      <c r="AZ43" s="135">
        <f>AM43*(1+'Summary. Assumptions. Inputs'!$C$29)</f>
        <v>7043.2083333333339</v>
      </c>
      <c r="BA43" s="135">
        <f>AN43*(1+'Summary. Assumptions. Inputs'!$C$29)</f>
        <v>7043.2083333333339</v>
      </c>
      <c r="BB43" s="135">
        <f>AO43*(1+'Summary. Assumptions. Inputs'!$C$29)</f>
        <v>7043.2083333333339</v>
      </c>
      <c r="BC43" s="135">
        <f>AP43*(1+'Summary. Assumptions. Inputs'!$C$29)</f>
        <v>7043.2083333333339</v>
      </c>
      <c r="BD43" s="135">
        <f>AQ43*(1+'Summary. Assumptions. Inputs'!$C$29)</f>
        <v>7043.2083333333339</v>
      </c>
      <c r="BE43" s="136">
        <f t="shared" si="28"/>
        <v>84518.5</v>
      </c>
      <c r="BF43" s="135">
        <f>AS43*(1+'Summary. Assumptions. Inputs'!$C$29)</f>
        <v>7747.5291666666681</v>
      </c>
      <c r="BG43" s="135">
        <f>AT43*(1+'Summary. Assumptions. Inputs'!$C$29)</f>
        <v>7747.5291666666681</v>
      </c>
      <c r="BH43" s="135">
        <f>AU43*(1+'Summary. Assumptions. Inputs'!$C$29)</f>
        <v>7747.5291666666681</v>
      </c>
      <c r="BI43" s="135">
        <f>AV43*(1+'Summary. Assumptions. Inputs'!$C$29)</f>
        <v>7747.5291666666681</v>
      </c>
      <c r="BJ43" s="135">
        <f>AW43*(1+'Summary. Assumptions. Inputs'!$C$29)</f>
        <v>7747.5291666666681</v>
      </c>
      <c r="BK43" s="135">
        <f>AX43*(1+'Summary. Assumptions. Inputs'!$C$29)</f>
        <v>7747.5291666666681</v>
      </c>
      <c r="BL43" s="135">
        <f>AY43*(1+'Summary. Assumptions. Inputs'!$C$29)</f>
        <v>7747.5291666666681</v>
      </c>
      <c r="BM43" s="135">
        <f>AZ43*(1+'Summary. Assumptions. Inputs'!$C$29)</f>
        <v>7747.5291666666681</v>
      </c>
      <c r="BN43" s="135">
        <f>BA43*(1+'Summary. Assumptions. Inputs'!$C$29)</f>
        <v>7747.5291666666681</v>
      </c>
      <c r="BO43" s="135">
        <f>BB43*(1+'Summary. Assumptions. Inputs'!$C$29)</f>
        <v>7747.5291666666681</v>
      </c>
      <c r="BP43" s="135">
        <f>BC43*(1+'Summary. Assumptions. Inputs'!$C$29)</f>
        <v>7747.5291666666681</v>
      </c>
      <c r="BQ43" s="135">
        <f>BD43*(1+'Summary. Assumptions. Inputs'!$C$29)</f>
        <v>7747.5291666666681</v>
      </c>
      <c r="BR43" s="136">
        <f t="shared" si="29"/>
        <v>92970.350000000035</v>
      </c>
      <c r="BS43" s="135">
        <f>BF43*(1+'Summary. Assumptions. Inputs'!$C$29)</f>
        <v>8522.2820833333353</v>
      </c>
      <c r="BT43" s="135">
        <f>BG43*(1+'Summary. Assumptions. Inputs'!$C$29)</f>
        <v>8522.2820833333353</v>
      </c>
      <c r="BU43" s="135">
        <f>BH43*(1+'Summary. Assumptions. Inputs'!$C$29)</f>
        <v>8522.2820833333353</v>
      </c>
      <c r="BV43" s="135">
        <f>BI43*(1+'Summary. Assumptions. Inputs'!$C$29)</f>
        <v>8522.2820833333353</v>
      </c>
      <c r="BW43" s="135">
        <f>BJ43*(1+'Summary. Assumptions. Inputs'!$C$29)</f>
        <v>8522.2820833333353</v>
      </c>
      <c r="BX43" s="135">
        <f>BK43*(1+'Summary. Assumptions. Inputs'!$C$29)</f>
        <v>8522.2820833333353</v>
      </c>
      <c r="BY43" s="135">
        <f>BL43*(1+'Summary. Assumptions. Inputs'!$C$29)</f>
        <v>8522.2820833333353</v>
      </c>
      <c r="BZ43" s="135">
        <f>BM43*(1+'Summary. Assumptions. Inputs'!$C$29)</f>
        <v>8522.2820833333353</v>
      </c>
      <c r="CA43" s="135">
        <f>BN43*(1+'Summary. Assumptions. Inputs'!$C$29)</f>
        <v>8522.2820833333353</v>
      </c>
      <c r="CB43" s="135">
        <f>BO43*(1+'Summary. Assumptions. Inputs'!$C$29)</f>
        <v>8522.2820833333353</v>
      </c>
      <c r="CC43" s="135">
        <f>BP43*(1+'Summary. Assumptions. Inputs'!$C$29)</f>
        <v>8522.2820833333353</v>
      </c>
      <c r="CD43" s="135">
        <f>BQ43*(1+'Summary. Assumptions. Inputs'!$C$29)</f>
        <v>8522.2820833333353</v>
      </c>
      <c r="CE43" s="136">
        <f t="shared" si="30"/>
        <v>102267.38500000005</v>
      </c>
      <c r="CF43" s="135">
        <f>BS43*(1+'Summary. Assumptions. Inputs'!$C$29)</f>
        <v>9374.5102916666692</v>
      </c>
      <c r="CG43" s="135">
        <f>BT43*(1+'Summary. Assumptions. Inputs'!$C$29)</f>
        <v>9374.5102916666692</v>
      </c>
      <c r="CH43" s="135">
        <f>BU43*(1+'Summary. Assumptions. Inputs'!$C$29)</f>
        <v>9374.5102916666692</v>
      </c>
      <c r="CI43" s="135">
        <f>BV43*(1+'Summary. Assumptions. Inputs'!$C$29)</f>
        <v>9374.5102916666692</v>
      </c>
      <c r="CJ43" s="135">
        <f>BW43*(1+'Summary. Assumptions. Inputs'!$C$29)</f>
        <v>9374.5102916666692</v>
      </c>
      <c r="CK43" s="135">
        <f>BX43*(1+'Summary. Assumptions. Inputs'!$C$29)</f>
        <v>9374.5102916666692</v>
      </c>
      <c r="CL43" s="135">
        <f>BY43*(1+'Summary. Assumptions. Inputs'!$C$29)</f>
        <v>9374.5102916666692</v>
      </c>
      <c r="CM43" s="135">
        <f>BZ43*(1+'Summary. Assumptions. Inputs'!$C$29)</f>
        <v>9374.5102916666692</v>
      </c>
      <c r="CN43" s="135">
        <f>CA43*(1+'Summary. Assumptions. Inputs'!$C$29)</f>
        <v>9374.5102916666692</v>
      </c>
      <c r="CO43" s="135">
        <f>CB43*(1+'Summary. Assumptions. Inputs'!$C$29)</f>
        <v>9374.5102916666692</v>
      </c>
      <c r="CP43" s="135">
        <f>CC43*(1+'Summary. Assumptions. Inputs'!$C$29)</f>
        <v>9374.5102916666692</v>
      </c>
      <c r="CQ43" s="135">
        <f>CD43*(1+'Summary. Assumptions. Inputs'!$C$29)</f>
        <v>9374.5102916666692</v>
      </c>
      <c r="CR43" s="136">
        <f t="shared" si="31"/>
        <v>112494.1235</v>
      </c>
    </row>
    <row r="44" spans="1:96" s="133" customFormat="1" ht="15" customHeight="1">
      <c r="A44" s="649" t="s">
        <v>555</v>
      </c>
      <c r="B44" s="649">
        <v>1</v>
      </c>
      <c r="C44" s="240">
        <f>SUM('Capital Expenditures'!F56:F79)*'Summary. Assumptions. Inputs'!$F$37/12</f>
        <v>47090.559999999998</v>
      </c>
      <c r="D44" s="133">
        <f t="shared" si="23"/>
        <v>14715.8</v>
      </c>
      <c r="E44" s="137"/>
      <c r="F44" s="135">
        <f t="shared" si="33"/>
        <v>14715.8</v>
      </c>
      <c r="G44" s="135">
        <f t="shared" si="33"/>
        <v>14715.8</v>
      </c>
      <c r="H44" s="135">
        <f t="shared" si="33"/>
        <v>14715.8</v>
      </c>
      <c r="I44" s="135">
        <f t="shared" si="33"/>
        <v>14715.8</v>
      </c>
      <c r="J44" s="135">
        <f t="shared" si="33"/>
        <v>14715.8</v>
      </c>
      <c r="K44" s="135">
        <f t="shared" si="33"/>
        <v>14715.8</v>
      </c>
      <c r="L44" s="135">
        <f t="shared" si="33"/>
        <v>14715.8</v>
      </c>
      <c r="M44" s="135">
        <f t="shared" si="33"/>
        <v>14715.8</v>
      </c>
      <c r="N44" s="135">
        <f t="shared" si="33"/>
        <v>14715.8</v>
      </c>
      <c r="O44" s="135">
        <f t="shared" si="33"/>
        <v>14715.8</v>
      </c>
      <c r="P44" s="135">
        <f t="shared" si="33"/>
        <v>14715.8</v>
      </c>
      <c r="Q44" s="135">
        <f t="shared" si="33"/>
        <v>14715.8</v>
      </c>
      <c r="R44" s="136">
        <f t="shared" si="25"/>
        <v>176589.59999999998</v>
      </c>
      <c r="S44" s="135">
        <f>F44*(1+'Summary. Assumptions. Inputs'!$C$29)</f>
        <v>16187.380000000001</v>
      </c>
      <c r="T44" s="135">
        <f>G44*(1+'Summary. Assumptions. Inputs'!$C$29)</f>
        <v>16187.380000000001</v>
      </c>
      <c r="U44" s="135">
        <f>H44*(1+'Summary. Assumptions. Inputs'!$C$29)</f>
        <v>16187.380000000001</v>
      </c>
      <c r="V44" s="135">
        <f>I44*(1+'Summary. Assumptions. Inputs'!$C$29)</f>
        <v>16187.380000000001</v>
      </c>
      <c r="W44" s="135">
        <f>J44*(1+'Summary. Assumptions. Inputs'!$C$29)</f>
        <v>16187.380000000001</v>
      </c>
      <c r="X44" s="135">
        <f>K44*(1+'Summary. Assumptions. Inputs'!$C$29)</f>
        <v>16187.380000000001</v>
      </c>
      <c r="Y44" s="135">
        <f>L44*(1+'Summary. Assumptions. Inputs'!$C$29)</f>
        <v>16187.380000000001</v>
      </c>
      <c r="Z44" s="135">
        <f>M44*(1+'Summary. Assumptions. Inputs'!$C$29)</f>
        <v>16187.380000000001</v>
      </c>
      <c r="AA44" s="135">
        <f>N44*(1+'Summary. Assumptions. Inputs'!$C$29)</f>
        <v>16187.380000000001</v>
      </c>
      <c r="AB44" s="135">
        <f>O44*(1+'Summary. Assumptions. Inputs'!$C$29)</f>
        <v>16187.380000000001</v>
      </c>
      <c r="AC44" s="135">
        <f>P44*(1+'Summary. Assumptions. Inputs'!$C$29)</f>
        <v>16187.380000000001</v>
      </c>
      <c r="AD44" s="135">
        <f>Q44*(1+'Summary. Assumptions. Inputs'!$C$29)</f>
        <v>16187.380000000001</v>
      </c>
      <c r="AE44" s="136">
        <f t="shared" si="26"/>
        <v>194248.56000000003</v>
      </c>
      <c r="AF44" s="135">
        <f>S44*(1+'Summary. Assumptions. Inputs'!$C$29)</f>
        <v>17806.118000000002</v>
      </c>
      <c r="AG44" s="135">
        <f>T44*(1+'Summary. Assumptions. Inputs'!$C$29)</f>
        <v>17806.118000000002</v>
      </c>
      <c r="AH44" s="135">
        <f>U44*(1+'Summary. Assumptions. Inputs'!$C$29)</f>
        <v>17806.118000000002</v>
      </c>
      <c r="AI44" s="135">
        <f>V44*(1+'Summary. Assumptions. Inputs'!$C$29)</f>
        <v>17806.118000000002</v>
      </c>
      <c r="AJ44" s="135">
        <f>W44*(1+'Summary. Assumptions. Inputs'!$C$29)</f>
        <v>17806.118000000002</v>
      </c>
      <c r="AK44" s="135">
        <f>X44*(1+'Summary. Assumptions. Inputs'!$C$29)</f>
        <v>17806.118000000002</v>
      </c>
      <c r="AL44" s="135">
        <f>Y44*(1+'Summary. Assumptions. Inputs'!$C$29)</f>
        <v>17806.118000000002</v>
      </c>
      <c r="AM44" s="135">
        <f>Z44*(1+'Summary. Assumptions. Inputs'!$C$29)</f>
        <v>17806.118000000002</v>
      </c>
      <c r="AN44" s="135">
        <f>AA44*(1+'Summary. Assumptions. Inputs'!$C$29)</f>
        <v>17806.118000000002</v>
      </c>
      <c r="AO44" s="135">
        <f>AB44*(1+'Summary. Assumptions. Inputs'!$C$29)</f>
        <v>17806.118000000002</v>
      </c>
      <c r="AP44" s="135">
        <f>AC44*(1+'Summary. Assumptions. Inputs'!$C$29)</f>
        <v>17806.118000000002</v>
      </c>
      <c r="AQ44" s="135">
        <f>AD44*(1+'Summary. Assumptions. Inputs'!$C$29)</f>
        <v>17806.118000000002</v>
      </c>
      <c r="AR44" s="136">
        <f t="shared" si="27"/>
        <v>213673.41600000008</v>
      </c>
      <c r="AS44" s="135">
        <f>AF44*(1+'Summary. Assumptions. Inputs'!$C$29)</f>
        <v>19586.729800000005</v>
      </c>
      <c r="AT44" s="135">
        <f>AG44*(1+'Summary. Assumptions. Inputs'!$C$29)</f>
        <v>19586.729800000005</v>
      </c>
      <c r="AU44" s="135">
        <f>AH44*(1+'Summary. Assumptions. Inputs'!$C$29)</f>
        <v>19586.729800000005</v>
      </c>
      <c r="AV44" s="135">
        <f>AI44*(1+'Summary. Assumptions. Inputs'!$C$29)</f>
        <v>19586.729800000005</v>
      </c>
      <c r="AW44" s="135">
        <f>AJ44*(1+'Summary. Assumptions. Inputs'!$C$29)</f>
        <v>19586.729800000005</v>
      </c>
      <c r="AX44" s="135">
        <f>AK44*(1+'Summary. Assumptions. Inputs'!$C$29)</f>
        <v>19586.729800000005</v>
      </c>
      <c r="AY44" s="135">
        <f>AL44*(1+'Summary. Assumptions. Inputs'!$C$29)</f>
        <v>19586.729800000005</v>
      </c>
      <c r="AZ44" s="135">
        <f>AM44*(1+'Summary. Assumptions. Inputs'!$C$29)</f>
        <v>19586.729800000005</v>
      </c>
      <c r="BA44" s="135">
        <f>AN44*(1+'Summary. Assumptions. Inputs'!$C$29)</f>
        <v>19586.729800000005</v>
      </c>
      <c r="BB44" s="135">
        <f>AO44*(1+'Summary. Assumptions. Inputs'!$C$29)</f>
        <v>19586.729800000005</v>
      </c>
      <c r="BC44" s="135">
        <f>AP44*(1+'Summary. Assumptions. Inputs'!$C$29)</f>
        <v>19586.729800000005</v>
      </c>
      <c r="BD44" s="135">
        <f>AQ44*(1+'Summary. Assumptions. Inputs'!$C$29)</f>
        <v>19586.729800000005</v>
      </c>
      <c r="BE44" s="136">
        <f t="shared" si="28"/>
        <v>235040.75760000004</v>
      </c>
      <c r="BF44" s="135">
        <f>AS44*(1+'Summary. Assumptions. Inputs'!$C$29)</f>
        <v>21545.402780000008</v>
      </c>
      <c r="BG44" s="135">
        <f>AT44*(1+'Summary. Assumptions. Inputs'!$C$29)</f>
        <v>21545.402780000008</v>
      </c>
      <c r="BH44" s="135">
        <f>AU44*(1+'Summary. Assumptions. Inputs'!$C$29)</f>
        <v>21545.402780000008</v>
      </c>
      <c r="BI44" s="135">
        <f>AV44*(1+'Summary. Assumptions. Inputs'!$C$29)</f>
        <v>21545.402780000008</v>
      </c>
      <c r="BJ44" s="135">
        <f>AW44*(1+'Summary. Assumptions. Inputs'!$C$29)</f>
        <v>21545.402780000008</v>
      </c>
      <c r="BK44" s="135">
        <f>AX44*(1+'Summary. Assumptions. Inputs'!$C$29)</f>
        <v>21545.402780000008</v>
      </c>
      <c r="BL44" s="135">
        <f>AY44*(1+'Summary. Assumptions. Inputs'!$C$29)</f>
        <v>21545.402780000008</v>
      </c>
      <c r="BM44" s="135">
        <f>AZ44*(1+'Summary. Assumptions. Inputs'!$C$29)</f>
        <v>21545.402780000008</v>
      </c>
      <c r="BN44" s="135">
        <f>BA44*(1+'Summary. Assumptions. Inputs'!$C$29)</f>
        <v>21545.402780000008</v>
      </c>
      <c r="BO44" s="135">
        <f>BB44*(1+'Summary. Assumptions. Inputs'!$C$29)</f>
        <v>21545.402780000008</v>
      </c>
      <c r="BP44" s="135">
        <f>BC44*(1+'Summary. Assumptions. Inputs'!$C$29)</f>
        <v>21545.402780000008</v>
      </c>
      <c r="BQ44" s="135">
        <f>BD44*(1+'Summary. Assumptions. Inputs'!$C$29)</f>
        <v>21545.402780000008</v>
      </c>
      <c r="BR44" s="136">
        <f t="shared" si="29"/>
        <v>258544.83336000008</v>
      </c>
      <c r="BS44" s="135">
        <f>BF44*(1+'Summary. Assumptions. Inputs'!$C$29)</f>
        <v>23699.943058000012</v>
      </c>
      <c r="BT44" s="135">
        <f>BG44*(1+'Summary. Assumptions. Inputs'!$C$29)</f>
        <v>23699.943058000012</v>
      </c>
      <c r="BU44" s="135">
        <f>BH44*(1+'Summary. Assumptions. Inputs'!$C$29)</f>
        <v>23699.943058000012</v>
      </c>
      <c r="BV44" s="135">
        <f>BI44*(1+'Summary. Assumptions. Inputs'!$C$29)</f>
        <v>23699.943058000012</v>
      </c>
      <c r="BW44" s="135">
        <f>BJ44*(1+'Summary. Assumptions. Inputs'!$C$29)</f>
        <v>23699.943058000012</v>
      </c>
      <c r="BX44" s="135">
        <f>BK44*(1+'Summary. Assumptions. Inputs'!$C$29)</f>
        <v>23699.943058000012</v>
      </c>
      <c r="BY44" s="135">
        <f>BL44*(1+'Summary. Assumptions. Inputs'!$C$29)</f>
        <v>23699.943058000012</v>
      </c>
      <c r="BZ44" s="135">
        <f>BM44*(1+'Summary. Assumptions. Inputs'!$C$29)</f>
        <v>23699.943058000012</v>
      </c>
      <c r="CA44" s="135">
        <f>BN44*(1+'Summary. Assumptions. Inputs'!$C$29)</f>
        <v>23699.943058000012</v>
      </c>
      <c r="CB44" s="135">
        <f>BO44*(1+'Summary. Assumptions. Inputs'!$C$29)</f>
        <v>23699.943058000012</v>
      </c>
      <c r="CC44" s="135">
        <f>BP44*(1+'Summary. Assumptions. Inputs'!$C$29)</f>
        <v>23699.943058000012</v>
      </c>
      <c r="CD44" s="135">
        <f>BQ44*(1+'Summary. Assumptions. Inputs'!$C$29)</f>
        <v>23699.943058000012</v>
      </c>
      <c r="CE44" s="136">
        <f t="shared" si="30"/>
        <v>284399.31669600011</v>
      </c>
      <c r="CF44" s="135">
        <f>BS44*(1+'Summary. Assumptions. Inputs'!$C$29)</f>
        <v>26069.937363800014</v>
      </c>
      <c r="CG44" s="135">
        <f>BT44*(1+'Summary. Assumptions. Inputs'!$C$29)</f>
        <v>26069.937363800014</v>
      </c>
      <c r="CH44" s="135">
        <f>BU44*(1+'Summary. Assumptions. Inputs'!$C$29)</f>
        <v>26069.937363800014</v>
      </c>
      <c r="CI44" s="135">
        <f>BV44*(1+'Summary. Assumptions. Inputs'!$C$29)</f>
        <v>26069.937363800014</v>
      </c>
      <c r="CJ44" s="135">
        <f>BW44*(1+'Summary. Assumptions. Inputs'!$C$29)</f>
        <v>26069.937363800014</v>
      </c>
      <c r="CK44" s="135">
        <f>BX44*(1+'Summary. Assumptions. Inputs'!$C$29)</f>
        <v>26069.937363800014</v>
      </c>
      <c r="CL44" s="135">
        <f>BY44*(1+'Summary. Assumptions. Inputs'!$C$29)</f>
        <v>26069.937363800014</v>
      </c>
      <c r="CM44" s="135">
        <f>BZ44*(1+'Summary. Assumptions. Inputs'!$C$29)</f>
        <v>26069.937363800014</v>
      </c>
      <c r="CN44" s="135">
        <f>CA44*(1+'Summary. Assumptions. Inputs'!$C$29)</f>
        <v>26069.937363800014</v>
      </c>
      <c r="CO44" s="135">
        <f>CB44*(1+'Summary. Assumptions. Inputs'!$C$29)</f>
        <v>26069.937363800014</v>
      </c>
      <c r="CP44" s="135">
        <f>CC44*(1+'Summary. Assumptions. Inputs'!$C$29)</f>
        <v>26069.937363800014</v>
      </c>
      <c r="CQ44" s="135">
        <f>CD44*(1+'Summary. Assumptions. Inputs'!$C$29)</f>
        <v>26069.937363800014</v>
      </c>
      <c r="CR44" s="136">
        <f t="shared" si="31"/>
        <v>312839.24836560019</v>
      </c>
    </row>
    <row r="45" spans="1:96" s="133" customFormat="1" ht="15" customHeight="1">
      <c r="A45" s="649" t="s">
        <v>556</v>
      </c>
      <c r="B45" s="655">
        <f>'Summary. Assumptions. Inputs'!F38</f>
        <v>5000</v>
      </c>
      <c r="C45" s="240">
        <v>3.1393600000000004</v>
      </c>
      <c r="D45" s="133">
        <f t="shared" si="23"/>
        <v>4905.25</v>
      </c>
      <c r="E45" s="137"/>
      <c r="F45" s="135">
        <f t="shared" si="33"/>
        <v>4905.25</v>
      </c>
      <c r="G45" s="135">
        <f t="shared" si="33"/>
        <v>4905.25</v>
      </c>
      <c r="H45" s="135">
        <f t="shared" si="33"/>
        <v>4905.25</v>
      </c>
      <c r="I45" s="135">
        <f t="shared" si="33"/>
        <v>4905.25</v>
      </c>
      <c r="J45" s="135">
        <f t="shared" si="33"/>
        <v>4905.25</v>
      </c>
      <c r="K45" s="135">
        <f t="shared" si="33"/>
        <v>4905.25</v>
      </c>
      <c r="L45" s="135">
        <f t="shared" si="33"/>
        <v>4905.25</v>
      </c>
      <c r="M45" s="135">
        <f t="shared" si="33"/>
        <v>4905.25</v>
      </c>
      <c r="N45" s="135">
        <f t="shared" si="33"/>
        <v>4905.25</v>
      </c>
      <c r="O45" s="135">
        <f t="shared" si="33"/>
        <v>4905.25</v>
      </c>
      <c r="P45" s="135">
        <f t="shared" si="33"/>
        <v>4905.25</v>
      </c>
      <c r="Q45" s="135">
        <f t="shared" si="33"/>
        <v>4905.25</v>
      </c>
      <c r="R45" s="136">
        <f t="shared" si="25"/>
        <v>58863</v>
      </c>
      <c r="S45" s="135">
        <f>F45*(1+'Summary. Assumptions. Inputs'!$C$29)</f>
        <v>5395.7750000000005</v>
      </c>
      <c r="T45" s="135">
        <f>G45*(1+'Summary. Assumptions. Inputs'!$C$29)</f>
        <v>5395.7750000000005</v>
      </c>
      <c r="U45" s="135">
        <f>H45*(1+'Summary. Assumptions. Inputs'!$C$29)</f>
        <v>5395.7750000000005</v>
      </c>
      <c r="V45" s="135">
        <f>I45*(1+'Summary. Assumptions. Inputs'!$C$29)</f>
        <v>5395.7750000000005</v>
      </c>
      <c r="W45" s="135">
        <f>J45*(1+'Summary. Assumptions. Inputs'!$C$29)</f>
        <v>5395.7750000000005</v>
      </c>
      <c r="X45" s="135">
        <f>K45*(1+'Summary. Assumptions. Inputs'!$C$29)</f>
        <v>5395.7750000000005</v>
      </c>
      <c r="Y45" s="135">
        <f>L45*(1+'Summary. Assumptions. Inputs'!$C$29)</f>
        <v>5395.7750000000005</v>
      </c>
      <c r="Z45" s="135">
        <f>M45*(1+'Summary. Assumptions. Inputs'!$C$29)</f>
        <v>5395.7750000000005</v>
      </c>
      <c r="AA45" s="135">
        <f>N45*(1+'Summary. Assumptions. Inputs'!$C$29)</f>
        <v>5395.7750000000005</v>
      </c>
      <c r="AB45" s="135">
        <f>O45*(1+'Summary. Assumptions. Inputs'!$C$29)</f>
        <v>5395.7750000000005</v>
      </c>
      <c r="AC45" s="135">
        <f>P45*(1+'Summary. Assumptions. Inputs'!$C$29)</f>
        <v>5395.7750000000005</v>
      </c>
      <c r="AD45" s="135">
        <f>Q45*(1+'Summary. Assumptions. Inputs'!$C$29)</f>
        <v>5395.7750000000005</v>
      </c>
      <c r="AE45" s="136">
        <f t="shared" si="26"/>
        <v>64749.30000000001</v>
      </c>
      <c r="AF45" s="135">
        <f>S45*(1+'Summary. Assumptions. Inputs'!$C$29)</f>
        <v>5935.3525000000009</v>
      </c>
      <c r="AG45" s="135">
        <f>T45*(1+'Summary. Assumptions. Inputs'!$C$29)</f>
        <v>5935.3525000000009</v>
      </c>
      <c r="AH45" s="135">
        <f>U45*(1+'Summary. Assumptions. Inputs'!$C$29)</f>
        <v>5935.3525000000009</v>
      </c>
      <c r="AI45" s="135">
        <f>V45*(1+'Summary. Assumptions. Inputs'!$C$29)</f>
        <v>5935.3525000000009</v>
      </c>
      <c r="AJ45" s="135">
        <f>W45*(1+'Summary. Assumptions. Inputs'!$C$29)</f>
        <v>5935.3525000000009</v>
      </c>
      <c r="AK45" s="135">
        <f>X45*(1+'Summary. Assumptions. Inputs'!$C$29)</f>
        <v>5935.3525000000009</v>
      </c>
      <c r="AL45" s="135">
        <f>Y45*(1+'Summary. Assumptions. Inputs'!$C$29)</f>
        <v>5935.3525000000009</v>
      </c>
      <c r="AM45" s="135">
        <f>Z45*(1+'Summary. Assumptions. Inputs'!$C$29)</f>
        <v>5935.3525000000009</v>
      </c>
      <c r="AN45" s="135">
        <f>AA45*(1+'Summary. Assumptions. Inputs'!$C$29)</f>
        <v>5935.3525000000009</v>
      </c>
      <c r="AO45" s="135">
        <f>AB45*(1+'Summary. Assumptions. Inputs'!$C$29)</f>
        <v>5935.3525000000009</v>
      </c>
      <c r="AP45" s="135">
        <f>AC45*(1+'Summary. Assumptions. Inputs'!$C$29)</f>
        <v>5935.3525000000009</v>
      </c>
      <c r="AQ45" s="135">
        <f>AD45*(1+'Summary. Assumptions. Inputs'!$C$29)</f>
        <v>5935.3525000000009</v>
      </c>
      <c r="AR45" s="136">
        <f t="shared" si="27"/>
        <v>71224.23000000001</v>
      </c>
      <c r="AS45" s="135">
        <f>AF45*(1+'Summary. Assumptions. Inputs'!$C$29)</f>
        <v>6528.8877500000017</v>
      </c>
      <c r="AT45" s="135">
        <f>AG45*(1+'Summary. Assumptions. Inputs'!$C$29)</f>
        <v>6528.8877500000017</v>
      </c>
      <c r="AU45" s="135">
        <f>AH45*(1+'Summary. Assumptions. Inputs'!$C$29)</f>
        <v>6528.8877500000017</v>
      </c>
      <c r="AV45" s="135">
        <f>AI45*(1+'Summary. Assumptions. Inputs'!$C$29)</f>
        <v>6528.8877500000017</v>
      </c>
      <c r="AW45" s="135">
        <f>AJ45*(1+'Summary. Assumptions. Inputs'!$C$29)</f>
        <v>6528.8877500000017</v>
      </c>
      <c r="AX45" s="135">
        <f>AK45*(1+'Summary. Assumptions. Inputs'!$C$29)</f>
        <v>6528.8877500000017</v>
      </c>
      <c r="AY45" s="135">
        <f>AL45*(1+'Summary. Assumptions. Inputs'!$C$29)</f>
        <v>6528.8877500000017</v>
      </c>
      <c r="AZ45" s="135">
        <f>AM45*(1+'Summary. Assumptions. Inputs'!$C$29)</f>
        <v>6528.8877500000017</v>
      </c>
      <c r="BA45" s="135">
        <f>AN45*(1+'Summary. Assumptions. Inputs'!$C$29)</f>
        <v>6528.8877500000017</v>
      </c>
      <c r="BB45" s="135">
        <f>AO45*(1+'Summary. Assumptions. Inputs'!$C$29)</f>
        <v>6528.8877500000017</v>
      </c>
      <c r="BC45" s="135">
        <f>AP45*(1+'Summary. Assumptions. Inputs'!$C$29)</f>
        <v>6528.8877500000017</v>
      </c>
      <c r="BD45" s="135">
        <f>AQ45*(1+'Summary. Assumptions. Inputs'!$C$29)</f>
        <v>6528.8877500000017</v>
      </c>
      <c r="BE45" s="136">
        <f t="shared" si="28"/>
        <v>78346.65300000002</v>
      </c>
      <c r="BF45" s="135">
        <f>AS45*(1+'Summary. Assumptions. Inputs'!$C$29)</f>
        <v>7181.776525000002</v>
      </c>
      <c r="BG45" s="135">
        <f>AT45*(1+'Summary. Assumptions. Inputs'!$C$29)</f>
        <v>7181.776525000002</v>
      </c>
      <c r="BH45" s="135">
        <f>AU45*(1+'Summary. Assumptions. Inputs'!$C$29)</f>
        <v>7181.776525000002</v>
      </c>
      <c r="BI45" s="135">
        <f>AV45*(1+'Summary. Assumptions. Inputs'!$C$29)</f>
        <v>7181.776525000002</v>
      </c>
      <c r="BJ45" s="135">
        <f>AW45*(1+'Summary. Assumptions. Inputs'!$C$29)</f>
        <v>7181.776525000002</v>
      </c>
      <c r="BK45" s="135">
        <f>AX45*(1+'Summary. Assumptions. Inputs'!$C$29)</f>
        <v>7181.776525000002</v>
      </c>
      <c r="BL45" s="135">
        <f>AY45*(1+'Summary. Assumptions. Inputs'!$C$29)</f>
        <v>7181.776525000002</v>
      </c>
      <c r="BM45" s="135">
        <f>AZ45*(1+'Summary. Assumptions. Inputs'!$C$29)</f>
        <v>7181.776525000002</v>
      </c>
      <c r="BN45" s="135">
        <f>BA45*(1+'Summary. Assumptions. Inputs'!$C$29)</f>
        <v>7181.776525000002</v>
      </c>
      <c r="BO45" s="135">
        <f>BB45*(1+'Summary. Assumptions. Inputs'!$C$29)</f>
        <v>7181.776525000002</v>
      </c>
      <c r="BP45" s="135">
        <f>BC45*(1+'Summary. Assumptions. Inputs'!$C$29)</f>
        <v>7181.776525000002</v>
      </c>
      <c r="BQ45" s="135">
        <f>BD45*(1+'Summary. Assumptions. Inputs'!$C$29)</f>
        <v>7181.776525000002</v>
      </c>
      <c r="BR45" s="136">
        <f t="shared" si="29"/>
        <v>86181.318300000043</v>
      </c>
      <c r="BS45" s="135">
        <f>BF45*(1+'Summary. Assumptions. Inputs'!$C$29)</f>
        <v>7899.9541775000025</v>
      </c>
      <c r="BT45" s="135">
        <f>BG45*(1+'Summary. Assumptions. Inputs'!$C$29)</f>
        <v>7899.9541775000025</v>
      </c>
      <c r="BU45" s="135">
        <f>BH45*(1+'Summary. Assumptions. Inputs'!$C$29)</f>
        <v>7899.9541775000025</v>
      </c>
      <c r="BV45" s="135">
        <f>BI45*(1+'Summary. Assumptions. Inputs'!$C$29)</f>
        <v>7899.9541775000025</v>
      </c>
      <c r="BW45" s="135">
        <f>BJ45*(1+'Summary. Assumptions. Inputs'!$C$29)</f>
        <v>7899.9541775000025</v>
      </c>
      <c r="BX45" s="135">
        <f>BK45*(1+'Summary. Assumptions. Inputs'!$C$29)</f>
        <v>7899.9541775000025</v>
      </c>
      <c r="BY45" s="135">
        <f>BL45*(1+'Summary. Assumptions. Inputs'!$C$29)</f>
        <v>7899.9541775000025</v>
      </c>
      <c r="BZ45" s="135">
        <f>BM45*(1+'Summary. Assumptions. Inputs'!$C$29)</f>
        <v>7899.9541775000025</v>
      </c>
      <c r="CA45" s="135">
        <f>BN45*(1+'Summary. Assumptions. Inputs'!$C$29)</f>
        <v>7899.9541775000025</v>
      </c>
      <c r="CB45" s="135">
        <f>BO45*(1+'Summary. Assumptions. Inputs'!$C$29)</f>
        <v>7899.9541775000025</v>
      </c>
      <c r="CC45" s="135">
        <f>BP45*(1+'Summary. Assumptions. Inputs'!$C$29)</f>
        <v>7899.9541775000025</v>
      </c>
      <c r="CD45" s="135">
        <f>BQ45*(1+'Summary. Assumptions. Inputs'!$C$29)</f>
        <v>7899.9541775000025</v>
      </c>
      <c r="CE45" s="136">
        <f t="shared" si="30"/>
        <v>94799.450130000012</v>
      </c>
      <c r="CF45" s="135">
        <f>BS45*(1+'Summary. Assumptions. Inputs'!$C$29)</f>
        <v>8689.9495952500038</v>
      </c>
      <c r="CG45" s="135">
        <f>BT45*(1+'Summary. Assumptions. Inputs'!$C$29)</f>
        <v>8689.9495952500038</v>
      </c>
      <c r="CH45" s="135">
        <f>BU45*(1+'Summary. Assumptions. Inputs'!$C$29)</f>
        <v>8689.9495952500038</v>
      </c>
      <c r="CI45" s="135">
        <f>BV45*(1+'Summary. Assumptions. Inputs'!$C$29)</f>
        <v>8689.9495952500038</v>
      </c>
      <c r="CJ45" s="135">
        <f>BW45*(1+'Summary. Assumptions. Inputs'!$C$29)</f>
        <v>8689.9495952500038</v>
      </c>
      <c r="CK45" s="135">
        <f>BX45*(1+'Summary. Assumptions. Inputs'!$C$29)</f>
        <v>8689.9495952500038</v>
      </c>
      <c r="CL45" s="135">
        <f>BY45*(1+'Summary. Assumptions. Inputs'!$C$29)</f>
        <v>8689.9495952500038</v>
      </c>
      <c r="CM45" s="135">
        <f>BZ45*(1+'Summary. Assumptions. Inputs'!$C$29)</f>
        <v>8689.9495952500038</v>
      </c>
      <c r="CN45" s="135">
        <f>CA45*(1+'Summary. Assumptions. Inputs'!$C$29)</f>
        <v>8689.9495952500038</v>
      </c>
      <c r="CO45" s="135">
        <f>CB45*(1+'Summary. Assumptions. Inputs'!$C$29)</f>
        <v>8689.9495952500038</v>
      </c>
      <c r="CP45" s="135">
        <f>CC45*(1+'Summary. Assumptions. Inputs'!$C$29)</f>
        <v>8689.9495952500038</v>
      </c>
      <c r="CQ45" s="135">
        <f>CD45*(1+'Summary. Assumptions. Inputs'!$C$29)</f>
        <v>8689.9495952500038</v>
      </c>
      <c r="CR45" s="136">
        <f t="shared" si="31"/>
        <v>104279.39514300002</v>
      </c>
    </row>
    <row r="46" spans="1:96" s="133" customFormat="1" ht="15" customHeight="1">
      <c r="A46" s="240" t="s">
        <v>557</v>
      </c>
      <c r="B46" s="656">
        <f>'Summary. Assumptions. Inputs'!F39</f>
        <v>64</v>
      </c>
      <c r="C46" s="240">
        <v>41.666666666666664</v>
      </c>
      <c r="D46" s="133">
        <f t="shared" si="23"/>
        <v>833.33333333333326</v>
      </c>
      <c r="E46" s="137"/>
      <c r="F46" s="135">
        <f t="shared" si="33"/>
        <v>833.33333333333326</v>
      </c>
      <c r="G46" s="135">
        <f t="shared" si="33"/>
        <v>833.33333333333326</v>
      </c>
      <c r="H46" s="135">
        <f t="shared" si="33"/>
        <v>833.33333333333326</v>
      </c>
      <c r="I46" s="135">
        <f t="shared" si="33"/>
        <v>833.33333333333326</v>
      </c>
      <c r="J46" s="135">
        <f t="shared" si="33"/>
        <v>833.33333333333326</v>
      </c>
      <c r="K46" s="135">
        <f t="shared" si="33"/>
        <v>833.33333333333326</v>
      </c>
      <c r="L46" s="135">
        <f t="shared" si="33"/>
        <v>833.33333333333326</v>
      </c>
      <c r="M46" s="135">
        <f t="shared" si="33"/>
        <v>833.33333333333326</v>
      </c>
      <c r="N46" s="135">
        <f t="shared" si="33"/>
        <v>833.33333333333326</v>
      </c>
      <c r="O46" s="135">
        <f t="shared" si="33"/>
        <v>833.33333333333326</v>
      </c>
      <c r="P46" s="135">
        <f t="shared" si="33"/>
        <v>833.33333333333326</v>
      </c>
      <c r="Q46" s="135">
        <f t="shared" si="33"/>
        <v>833.33333333333326</v>
      </c>
      <c r="R46" s="136">
        <f t="shared" si="25"/>
        <v>10000</v>
      </c>
      <c r="S46" s="135">
        <f>F46*(1+'Summary. Assumptions. Inputs'!$C$29)</f>
        <v>916.66666666666663</v>
      </c>
      <c r="T46" s="135">
        <f>G46*(1+'Summary. Assumptions. Inputs'!$C$29)</f>
        <v>916.66666666666663</v>
      </c>
      <c r="U46" s="135">
        <f>H46*(1+'Summary. Assumptions. Inputs'!$C$29)</f>
        <v>916.66666666666663</v>
      </c>
      <c r="V46" s="135">
        <f>I46*(1+'Summary. Assumptions. Inputs'!$C$29)</f>
        <v>916.66666666666663</v>
      </c>
      <c r="W46" s="135">
        <f>J46*(1+'Summary. Assumptions. Inputs'!$C$29)</f>
        <v>916.66666666666663</v>
      </c>
      <c r="X46" s="135">
        <f>K46*(1+'Summary. Assumptions. Inputs'!$C$29)</f>
        <v>916.66666666666663</v>
      </c>
      <c r="Y46" s="135">
        <f>L46*(1+'Summary. Assumptions. Inputs'!$C$29)</f>
        <v>916.66666666666663</v>
      </c>
      <c r="Z46" s="135">
        <f>M46*(1+'Summary. Assumptions. Inputs'!$C$29)</f>
        <v>916.66666666666663</v>
      </c>
      <c r="AA46" s="135">
        <f>N46*(1+'Summary. Assumptions. Inputs'!$C$29)</f>
        <v>916.66666666666663</v>
      </c>
      <c r="AB46" s="135">
        <f>O46*(1+'Summary. Assumptions. Inputs'!$C$29)</f>
        <v>916.66666666666663</v>
      </c>
      <c r="AC46" s="135">
        <f>P46*(1+'Summary. Assumptions. Inputs'!$C$29)</f>
        <v>916.66666666666663</v>
      </c>
      <c r="AD46" s="135">
        <f>Q46*(1+'Summary. Assumptions. Inputs'!$C$29)</f>
        <v>916.66666666666663</v>
      </c>
      <c r="AE46" s="136">
        <f t="shared" si="26"/>
        <v>10999.999999999998</v>
      </c>
      <c r="AF46" s="135">
        <f>S46*(1+'Summary. Assumptions. Inputs'!$C$29)</f>
        <v>1008.3333333333334</v>
      </c>
      <c r="AG46" s="135">
        <f>T46*(1+'Summary. Assumptions. Inputs'!$C$29)</f>
        <v>1008.3333333333334</v>
      </c>
      <c r="AH46" s="135">
        <f>U46*(1+'Summary. Assumptions. Inputs'!$C$29)</f>
        <v>1008.3333333333334</v>
      </c>
      <c r="AI46" s="135">
        <f>V46*(1+'Summary. Assumptions. Inputs'!$C$29)</f>
        <v>1008.3333333333334</v>
      </c>
      <c r="AJ46" s="135">
        <f>W46*(1+'Summary. Assumptions. Inputs'!$C$29)</f>
        <v>1008.3333333333334</v>
      </c>
      <c r="AK46" s="135">
        <f>X46*(1+'Summary. Assumptions. Inputs'!$C$29)</f>
        <v>1008.3333333333334</v>
      </c>
      <c r="AL46" s="135">
        <f>Y46*(1+'Summary. Assumptions. Inputs'!$C$29)</f>
        <v>1008.3333333333334</v>
      </c>
      <c r="AM46" s="135">
        <f>Z46*(1+'Summary. Assumptions. Inputs'!$C$29)</f>
        <v>1008.3333333333334</v>
      </c>
      <c r="AN46" s="135">
        <f>AA46*(1+'Summary. Assumptions. Inputs'!$C$29)</f>
        <v>1008.3333333333334</v>
      </c>
      <c r="AO46" s="135">
        <f>AB46*(1+'Summary. Assumptions. Inputs'!$C$29)</f>
        <v>1008.3333333333334</v>
      </c>
      <c r="AP46" s="135">
        <f>AC46*(1+'Summary. Assumptions. Inputs'!$C$29)</f>
        <v>1008.3333333333334</v>
      </c>
      <c r="AQ46" s="135">
        <f>AD46*(1+'Summary. Assumptions. Inputs'!$C$29)</f>
        <v>1008.3333333333334</v>
      </c>
      <c r="AR46" s="136">
        <f t="shared" si="27"/>
        <v>12100.000000000002</v>
      </c>
      <c r="AS46" s="135">
        <f>AF46*(1+'Summary. Assumptions. Inputs'!$C$29)</f>
        <v>1109.1666666666667</v>
      </c>
      <c r="AT46" s="135">
        <f>AG46*(1+'Summary. Assumptions. Inputs'!$C$29)</f>
        <v>1109.1666666666667</v>
      </c>
      <c r="AU46" s="135">
        <f>AH46*(1+'Summary. Assumptions. Inputs'!$C$29)</f>
        <v>1109.1666666666667</v>
      </c>
      <c r="AV46" s="135">
        <f>AI46*(1+'Summary. Assumptions. Inputs'!$C$29)</f>
        <v>1109.1666666666667</v>
      </c>
      <c r="AW46" s="135">
        <f>AJ46*(1+'Summary. Assumptions. Inputs'!$C$29)</f>
        <v>1109.1666666666667</v>
      </c>
      <c r="AX46" s="135">
        <f>AK46*(1+'Summary. Assumptions. Inputs'!$C$29)</f>
        <v>1109.1666666666667</v>
      </c>
      <c r="AY46" s="135">
        <f>AL46*(1+'Summary. Assumptions. Inputs'!$C$29)</f>
        <v>1109.1666666666667</v>
      </c>
      <c r="AZ46" s="135">
        <f>AM46*(1+'Summary. Assumptions. Inputs'!$C$29)</f>
        <v>1109.1666666666667</v>
      </c>
      <c r="BA46" s="135">
        <f>AN46*(1+'Summary. Assumptions. Inputs'!$C$29)</f>
        <v>1109.1666666666667</v>
      </c>
      <c r="BB46" s="135">
        <f>AO46*(1+'Summary. Assumptions. Inputs'!$C$29)</f>
        <v>1109.1666666666667</v>
      </c>
      <c r="BC46" s="135">
        <f>AP46*(1+'Summary. Assumptions. Inputs'!$C$29)</f>
        <v>1109.1666666666667</v>
      </c>
      <c r="BD46" s="135">
        <f>AQ46*(1+'Summary. Assumptions. Inputs'!$C$29)</f>
        <v>1109.1666666666667</v>
      </c>
      <c r="BE46" s="136">
        <f t="shared" si="28"/>
        <v>13309.999999999998</v>
      </c>
      <c r="BF46" s="135">
        <f>AS46*(1+'Summary. Assumptions. Inputs'!$C$29)</f>
        <v>1220.0833333333335</v>
      </c>
      <c r="BG46" s="135">
        <f>AT46*(1+'Summary. Assumptions. Inputs'!$C$29)</f>
        <v>1220.0833333333335</v>
      </c>
      <c r="BH46" s="135">
        <f>AU46*(1+'Summary. Assumptions. Inputs'!$C$29)</f>
        <v>1220.0833333333335</v>
      </c>
      <c r="BI46" s="135">
        <f>AV46*(1+'Summary. Assumptions. Inputs'!$C$29)</f>
        <v>1220.0833333333335</v>
      </c>
      <c r="BJ46" s="135">
        <f>AW46*(1+'Summary. Assumptions. Inputs'!$C$29)</f>
        <v>1220.0833333333335</v>
      </c>
      <c r="BK46" s="135">
        <f>AX46*(1+'Summary. Assumptions. Inputs'!$C$29)</f>
        <v>1220.0833333333335</v>
      </c>
      <c r="BL46" s="135">
        <f>AY46*(1+'Summary. Assumptions. Inputs'!$C$29)</f>
        <v>1220.0833333333335</v>
      </c>
      <c r="BM46" s="135">
        <f>AZ46*(1+'Summary. Assumptions. Inputs'!$C$29)</f>
        <v>1220.0833333333335</v>
      </c>
      <c r="BN46" s="135">
        <f>BA46*(1+'Summary. Assumptions. Inputs'!$C$29)</f>
        <v>1220.0833333333335</v>
      </c>
      <c r="BO46" s="135">
        <f>BB46*(1+'Summary. Assumptions. Inputs'!$C$29)</f>
        <v>1220.0833333333335</v>
      </c>
      <c r="BP46" s="135">
        <f>BC46*(1+'Summary. Assumptions. Inputs'!$C$29)</f>
        <v>1220.0833333333335</v>
      </c>
      <c r="BQ46" s="135">
        <f>BD46*(1+'Summary. Assumptions. Inputs'!$C$29)</f>
        <v>1220.0833333333335</v>
      </c>
      <c r="BR46" s="136">
        <f t="shared" si="29"/>
        <v>14641.000000000005</v>
      </c>
      <c r="BS46" s="135">
        <f>BF46*(1+'Summary. Assumptions. Inputs'!$C$29)</f>
        <v>1342.0916666666669</v>
      </c>
      <c r="BT46" s="135">
        <f>BG46*(1+'Summary. Assumptions. Inputs'!$C$29)</f>
        <v>1342.0916666666669</v>
      </c>
      <c r="BU46" s="135">
        <f>BH46*(1+'Summary. Assumptions. Inputs'!$C$29)</f>
        <v>1342.0916666666669</v>
      </c>
      <c r="BV46" s="135">
        <f>BI46*(1+'Summary. Assumptions. Inputs'!$C$29)</f>
        <v>1342.0916666666669</v>
      </c>
      <c r="BW46" s="135">
        <f>BJ46*(1+'Summary. Assumptions. Inputs'!$C$29)</f>
        <v>1342.0916666666669</v>
      </c>
      <c r="BX46" s="135">
        <f>BK46*(1+'Summary. Assumptions. Inputs'!$C$29)</f>
        <v>1342.0916666666669</v>
      </c>
      <c r="BY46" s="135">
        <f>BL46*(1+'Summary. Assumptions. Inputs'!$C$29)</f>
        <v>1342.0916666666669</v>
      </c>
      <c r="BZ46" s="135">
        <f>BM46*(1+'Summary. Assumptions. Inputs'!$C$29)</f>
        <v>1342.0916666666669</v>
      </c>
      <c r="CA46" s="135">
        <f>BN46*(1+'Summary. Assumptions. Inputs'!$C$29)</f>
        <v>1342.0916666666669</v>
      </c>
      <c r="CB46" s="135">
        <f>BO46*(1+'Summary. Assumptions. Inputs'!$C$29)</f>
        <v>1342.0916666666669</v>
      </c>
      <c r="CC46" s="135">
        <f>BP46*(1+'Summary. Assumptions. Inputs'!$C$29)</f>
        <v>1342.0916666666669</v>
      </c>
      <c r="CD46" s="135">
        <f>BQ46*(1+'Summary. Assumptions. Inputs'!$C$29)</f>
        <v>1342.0916666666669</v>
      </c>
      <c r="CE46" s="136">
        <f t="shared" si="30"/>
        <v>16105.100000000004</v>
      </c>
      <c r="CF46" s="135">
        <f>BS46*(1+'Summary. Assumptions. Inputs'!$C$29)</f>
        <v>1476.3008333333337</v>
      </c>
      <c r="CG46" s="135">
        <f>BT46*(1+'Summary. Assumptions. Inputs'!$C$29)</f>
        <v>1476.3008333333337</v>
      </c>
      <c r="CH46" s="135">
        <f>BU46*(1+'Summary. Assumptions. Inputs'!$C$29)</f>
        <v>1476.3008333333337</v>
      </c>
      <c r="CI46" s="135">
        <f>BV46*(1+'Summary. Assumptions. Inputs'!$C$29)</f>
        <v>1476.3008333333337</v>
      </c>
      <c r="CJ46" s="135">
        <f>BW46*(1+'Summary. Assumptions. Inputs'!$C$29)</f>
        <v>1476.3008333333337</v>
      </c>
      <c r="CK46" s="135">
        <f>BX46*(1+'Summary. Assumptions. Inputs'!$C$29)</f>
        <v>1476.3008333333337</v>
      </c>
      <c r="CL46" s="135">
        <f>BY46*(1+'Summary. Assumptions. Inputs'!$C$29)</f>
        <v>1476.3008333333337</v>
      </c>
      <c r="CM46" s="135">
        <f>BZ46*(1+'Summary. Assumptions. Inputs'!$C$29)</f>
        <v>1476.3008333333337</v>
      </c>
      <c r="CN46" s="135">
        <f>CA46*(1+'Summary. Assumptions. Inputs'!$C$29)</f>
        <v>1476.3008333333337</v>
      </c>
      <c r="CO46" s="135">
        <f>CB46*(1+'Summary. Assumptions. Inputs'!$C$29)</f>
        <v>1476.3008333333337</v>
      </c>
      <c r="CP46" s="135">
        <f>CC46*(1+'Summary. Assumptions. Inputs'!$C$29)</f>
        <v>1476.3008333333337</v>
      </c>
      <c r="CQ46" s="135">
        <f>CD46*(1+'Summary. Assumptions. Inputs'!$C$29)</f>
        <v>1476.3008333333337</v>
      </c>
      <c r="CR46" s="136">
        <f t="shared" si="31"/>
        <v>17715.610000000008</v>
      </c>
    </row>
    <row r="47" spans="1:96" s="133" customFormat="1" ht="15" customHeight="1">
      <c r="A47" s="240" t="s">
        <v>558</v>
      </c>
      <c r="B47" s="649">
        <v>1</v>
      </c>
      <c r="C47" s="240">
        <v>7999.9999999999982</v>
      </c>
      <c r="D47" s="133">
        <f t="shared" si="23"/>
        <v>2499.9999999999991</v>
      </c>
      <c r="E47" s="137"/>
      <c r="F47" s="135">
        <f t="shared" si="33"/>
        <v>2499.9999999999991</v>
      </c>
      <c r="G47" s="135">
        <f t="shared" si="33"/>
        <v>2499.9999999999991</v>
      </c>
      <c r="H47" s="135">
        <f t="shared" si="33"/>
        <v>2499.9999999999991</v>
      </c>
      <c r="I47" s="135">
        <f t="shared" si="33"/>
        <v>2499.9999999999991</v>
      </c>
      <c r="J47" s="135">
        <f t="shared" si="33"/>
        <v>2499.9999999999991</v>
      </c>
      <c r="K47" s="135">
        <f t="shared" si="33"/>
        <v>2499.9999999999991</v>
      </c>
      <c r="L47" s="135">
        <f t="shared" si="33"/>
        <v>2499.9999999999991</v>
      </c>
      <c r="M47" s="135">
        <f t="shared" si="33"/>
        <v>2499.9999999999991</v>
      </c>
      <c r="N47" s="135">
        <f t="shared" si="33"/>
        <v>2499.9999999999991</v>
      </c>
      <c r="O47" s="135">
        <f t="shared" si="33"/>
        <v>2499.9999999999991</v>
      </c>
      <c r="P47" s="135">
        <f t="shared" si="33"/>
        <v>2499.9999999999991</v>
      </c>
      <c r="Q47" s="135">
        <f t="shared" si="33"/>
        <v>2499.9999999999991</v>
      </c>
      <c r="R47" s="136">
        <f t="shared" si="25"/>
        <v>29999.999999999996</v>
      </c>
      <c r="S47" s="135">
        <f>F47*(1+'Summary. Assumptions. Inputs'!$C$29)</f>
        <v>2749.9999999999991</v>
      </c>
      <c r="T47" s="135">
        <f>G47*(1+'Summary. Assumptions. Inputs'!$C$29)</f>
        <v>2749.9999999999991</v>
      </c>
      <c r="U47" s="135">
        <f>H47*(1+'Summary. Assumptions. Inputs'!$C$29)</f>
        <v>2749.9999999999991</v>
      </c>
      <c r="V47" s="135">
        <f>I47*(1+'Summary. Assumptions. Inputs'!$C$29)</f>
        <v>2749.9999999999991</v>
      </c>
      <c r="W47" s="135">
        <f>J47*(1+'Summary. Assumptions. Inputs'!$C$29)</f>
        <v>2749.9999999999991</v>
      </c>
      <c r="X47" s="135">
        <f>K47*(1+'Summary. Assumptions. Inputs'!$C$29)</f>
        <v>2749.9999999999991</v>
      </c>
      <c r="Y47" s="135">
        <f>L47*(1+'Summary. Assumptions. Inputs'!$C$29)</f>
        <v>2749.9999999999991</v>
      </c>
      <c r="Z47" s="135">
        <f>M47*(1+'Summary. Assumptions. Inputs'!$C$29)</f>
        <v>2749.9999999999991</v>
      </c>
      <c r="AA47" s="135">
        <f>N47*(1+'Summary. Assumptions. Inputs'!$C$29)</f>
        <v>2749.9999999999991</v>
      </c>
      <c r="AB47" s="135">
        <f>O47*(1+'Summary. Assumptions. Inputs'!$C$29)</f>
        <v>2749.9999999999991</v>
      </c>
      <c r="AC47" s="135">
        <f>P47*(1+'Summary. Assumptions. Inputs'!$C$29)</f>
        <v>2749.9999999999991</v>
      </c>
      <c r="AD47" s="135">
        <f>Q47*(1+'Summary. Assumptions. Inputs'!$C$29)</f>
        <v>2749.9999999999991</v>
      </c>
      <c r="AE47" s="136">
        <f t="shared" si="26"/>
        <v>32999.999999999993</v>
      </c>
      <c r="AF47" s="135">
        <f>S47*(1+'Summary. Assumptions. Inputs'!$C$29)</f>
        <v>3024.9999999999991</v>
      </c>
      <c r="AG47" s="135">
        <f>T47*(1+'Summary. Assumptions. Inputs'!$C$29)</f>
        <v>3024.9999999999991</v>
      </c>
      <c r="AH47" s="135">
        <f>U47*(1+'Summary. Assumptions. Inputs'!$C$29)</f>
        <v>3024.9999999999991</v>
      </c>
      <c r="AI47" s="135">
        <f>V47*(1+'Summary. Assumptions. Inputs'!$C$29)</f>
        <v>3024.9999999999991</v>
      </c>
      <c r="AJ47" s="135">
        <f>W47*(1+'Summary. Assumptions. Inputs'!$C$29)</f>
        <v>3024.9999999999991</v>
      </c>
      <c r="AK47" s="135">
        <f>X47*(1+'Summary. Assumptions. Inputs'!$C$29)</f>
        <v>3024.9999999999991</v>
      </c>
      <c r="AL47" s="135">
        <f>Y47*(1+'Summary. Assumptions. Inputs'!$C$29)</f>
        <v>3024.9999999999991</v>
      </c>
      <c r="AM47" s="135">
        <f>Z47*(1+'Summary. Assumptions. Inputs'!$C$29)</f>
        <v>3024.9999999999991</v>
      </c>
      <c r="AN47" s="135">
        <f>AA47*(1+'Summary. Assumptions. Inputs'!$C$29)</f>
        <v>3024.9999999999991</v>
      </c>
      <c r="AO47" s="135">
        <f>AB47*(1+'Summary. Assumptions. Inputs'!$C$29)</f>
        <v>3024.9999999999991</v>
      </c>
      <c r="AP47" s="135">
        <f>AC47*(1+'Summary. Assumptions. Inputs'!$C$29)</f>
        <v>3024.9999999999991</v>
      </c>
      <c r="AQ47" s="135">
        <f>AD47*(1+'Summary. Assumptions. Inputs'!$C$29)</f>
        <v>3024.9999999999991</v>
      </c>
      <c r="AR47" s="136">
        <f t="shared" si="27"/>
        <v>36299.999999999993</v>
      </c>
      <c r="AS47" s="135">
        <f>AF47*(1+'Summary. Assumptions. Inputs'!$C$29)</f>
        <v>3327.4999999999991</v>
      </c>
      <c r="AT47" s="135">
        <f>AG47*(1+'Summary. Assumptions. Inputs'!$C$29)</f>
        <v>3327.4999999999991</v>
      </c>
      <c r="AU47" s="135">
        <f>AH47*(1+'Summary. Assumptions. Inputs'!$C$29)</f>
        <v>3327.4999999999991</v>
      </c>
      <c r="AV47" s="135">
        <f>AI47*(1+'Summary. Assumptions. Inputs'!$C$29)</f>
        <v>3327.4999999999991</v>
      </c>
      <c r="AW47" s="135">
        <f>AJ47*(1+'Summary. Assumptions. Inputs'!$C$29)</f>
        <v>3327.4999999999991</v>
      </c>
      <c r="AX47" s="135">
        <f>AK47*(1+'Summary. Assumptions. Inputs'!$C$29)</f>
        <v>3327.4999999999991</v>
      </c>
      <c r="AY47" s="135">
        <f>AL47*(1+'Summary. Assumptions. Inputs'!$C$29)</f>
        <v>3327.4999999999991</v>
      </c>
      <c r="AZ47" s="135">
        <f>AM47*(1+'Summary. Assumptions. Inputs'!$C$29)</f>
        <v>3327.4999999999991</v>
      </c>
      <c r="BA47" s="135">
        <f>AN47*(1+'Summary. Assumptions. Inputs'!$C$29)</f>
        <v>3327.4999999999991</v>
      </c>
      <c r="BB47" s="135">
        <f>AO47*(1+'Summary. Assumptions. Inputs'!$C$29)</f>
        <v>3327.4999999999991</v>
      </c>
      <c r="BC47" s="135">
        <f>AP47*(1+'Summary. Assumptions. Inputs'!$C$29)</f>
        <v>3327.4999999999991</v>
      </c>
      <c r="BD47" s="135">
        <f>AQ47*(1+'Summary. Assumptions. Inputs'!$C$29)</f>
        <v>3327.4999999999991</v>
      </c>
      <c r="BE47" s="136">
        <f t="shared" si="28"/>
        <v>39929.999999999993</v>
      </c>
      <c r="BF47" s="135">
        <f>AS47*(1+'Summary. Assumptions. Inputs'!$C$29)</f>
        <v>3660.2499999999991</v>
      </c>
      <c r="BG47" s="135">
        <f>AT47*(1+'Summary. Assumptions. Inputs'!$C$29)</f>
        <v>3660.2499999999991</v>
      </c>
      <c r="BH47" s="135">
        <f>AU47*(1+'Summary. Assumptions. Inputs'!$C$29)</f>
        <v>3660.2499999999991</v>
      </c>
      <c r="BI47" s="135">
        <f>AV47*(1+'Summary. Assumptions. Inputs'!$C$29)</f>
        <v>3660.2499999999991</v>
      </c>
      <c r="BJ47" s="135">
        <f>AW47*(1+'Summary. Assumptions. Inputs'!$C$29)</f>
        <v>3660.2499999999991</v>
      </c>
      <c r="BK47" s="135">
        <f>AX47*(1+'Summary. Assumptions. Inputs'!$C$29)</f>
        <v>3660.2499999999991</v>
      </c>
      <c r="BL47" s="135">
        <f>AY47*(1+'Summary. Assumptions. Inputs'!$C$29)</f>
        <v>3660.2499999999991</v>
      </c>
      <c r="BM47" s="135">
        <f>AZ47*(1+'Summary. Assumptions. Inputs'!$C$29)</f>
        <v>3660.2499999999991</v>
      </c>
      <c r="BN47" s="135">
        <f>BA47*(1+'Summary. Assumptions. Inputs'!$C$29)</f>
        <v>3660.2499999999991</v>
      </c>
      <c r="BO47" s="135">
        <f>BB47*(1+'Summary. Assumptions. Inputs'!$C$29)</f>
        <v>3660.2499999999991</v>
      </c>
      <c r="BP47" s="135">
        <f>BC47*(1+'Summary. Assumptions. Inputs'!$C$29)</f>
        <v>3660.2499999999991</v>
      </c>
      <c r="BQ47" s="135">
        <f>BD47*(1+'Summary. Assumptions. Inputs'!$C$29)</f>
        <v>3660.2499999999991</v>
      </c>
      <c r="BR47" s="136">
        <f t="shared" si="29"/>
        <v>43922.999999999993</v>
      </c>
      <c r="BS47" s="135">
        <f>BF47*(1+'Summary. Assumptions. Inputs'!$C$29)</f>
        <v>4026.2749999999992</v>
      </c>
      <c r="BT47" s="135">
        <f>BG47*(1+'Summary. Assumptions. Inputs'!$C$29)</f>
        <v>4026.2749999999992</v>
      </c>
      <c r="BU47" s="135">
        <f>BH47*(1+'Summary. Assumptions. Inputs'!$C$29)</f>
        <v>4026.2749999999992</v>
      </c>
      <c r="BV47" s="135">
        <f>BI47*(1+'Summary. Assumptions. Inputs'!$C$29)</f>
        <v>4026.2749999999992</v>
      </c>
      <c r="BW47" s="135">
        <f>BJ47*(1+'Summary. Assumptions. Inputs'!$C$29)</f>
        <v>4026.2749999999992</v>
      </c>
      <c r="BX47" s="135">
        <f>BK47*(1+'Summary. Assumptions. Inputs'!$C$29)</f>
        <v>4026.2749999999992</v>
      </c>
      <c r="BY47" s="135">
        <f>BL47*(1+'Summary. Assumptions. Inputs'!$C$29)</f>
        <v>4026.2749999999992</v>
      </c>
      <c r="BZ47" s="135">
        <f>BM47*(1+'Summary. Assumptions. Inputs'!$C$29)</f>
        <v>4026.2749999999992</v>
      </c>
      <c r="CA47" s="135">
        <f>BN47*(1+'Summary. Assumptions. Inputs'!$C$29)</f>
        <v>4026.2749999999992</v>
      </c>
      <c r="CB47" s="135">
        <f>BO47*(1+'Summary. Assumptions. Inputs'!$C$29)</f>
        <v>4026.2749999999992</v>
      </c>
      <c r="CC47" s="135">
        <f>BP47*(1+'Summary. Assumptions. Inputs'!$C$29)</f>
        <v>4026.2749999999992</v>
      </c>
      <c r="CD47" s="135">
        <f>BQ47*(1+'Summary. Assumptions. Inputs'!$C$29)</f>
        <v>4026.2749999999992</v>
      </c>
      <c r="CE47" s="136">
        <f t="shared" si="30"/>
        <v>48315.299999999996</v>
      </c>
      <c r="CF47" s="135">
        <f>BS47*(1+'Summary. Assumptions. Inputs'!$C$29)</f>
        <v>4428.9024999999992</v>
      </c>
      <c r="CG47" s="135">
        <f>BT47*(1+'Summary. Assumptions. Inputs'!$C$29)</f>
        <v>4428.9024999999992</v>
      </c>
      <c r="CH47" s="135">
        <f>BU47*(1+'Summary. Assumptions. Inputs'!$C$29)</f>
        <v>4428.9024999999992</v>
      </c>
      <c r="CI47" s="135">
        <f>BV47*(1+'Summary. Assumptions. Inputs'!$C$29)</f>
        <v>4428.9024999999992</v>
      </c>
      <c r="CJ47" s="135">
        <f>BW47*(1+'Summary. Assumptions. Inputs'!$C$29)</f>
        <v>4428.9024999999992</v>
      </c>
      <c r="CK47" s="135">
        <f>BX47*(1+'Summary. Assumptions. Inputs'!$C$29)</f>
        <v>4428.9024999999992</v>
      </c>
      <c r="CL47" s="135">
        <f>BY47*(1+'Summary. Assumptions. Inputs'!$C$29)</f>
        <v>4428.9024999999992</v>
      </c>
      <c r="CM47" s="135">
        <f>BZ47*(1+'Summary. Assumptions. Inputs'!$C$29)</f>
        <v>4428.9024999999992</v>
      </c>
      <c r="CN47" s="135">
        <f>CA47*(1+'Summary. Assumptions. Inputs'!$C$29)</f>
        <v>4428.9024999999992</v>
      </c>
      <c r="CO47" s="135">
        <f>CB47*(1+'Summary. Assumptions. Inputs'!$C$29)</f>
        <v>4428.9024999999992</v>
      </c>
      <c r="CP47" s="135">
        <f>CC47*(1+'Summary. Assumptions. Inputs'!$C$29)</f>
        <v>4428.9024999999992</v>
      </c>
      <c r="CQ47" s="135">
        <f>CD47*(1+'Summary. Assumptions. Inputs'!$C$29)</f>
        <v>4428.9024999999992</v>
      </c>
      <c r="CR47" s="136">
        <f t="shared" si="31"/>
        <v>53146.82999999998</v>
      </c>
    </row>
    <row r="48" spans="1:96" s="133" customFormat="1" ht="15" customHeight="1">
      <c r="A48" s="240" t="s">
        <v>559</v>
      </c>
      <c r="B48" s="649">
        <v>1</v>
      </c>
      <c r="C48" s="240">
        <v>36000.000000000015</v>
      </c>
      <c r="D48" s="133">
        <f t="shared" si="23"/>
        <v>11250.000000000004</v>
      </c>
      <c r="E48" s="137"/>
      <c r="F48" s="135">
        <f t="shared" si="33"/>
        <v>11250.000000000004</v>
      </c>
      <c r="G48" s="135">
        <f t="shared" si="33"/>
        <v>11250.000000000004</v>
      </c>
      <c r="H48" s="135">
        <f t="shared" si="33"/>
        <v>11250.000000000004</v>
      </c>
      <c r="I48" s="135">
        <f t="shared" si="33"/>
        <v>11250.000000000004</v>
      </c>
      <c r="J48" s="135">
        <f t="shared" si="33"/>
        <v>11250.000000000004</v>
      </c>
      <c r="K48" s="135">
        <f t="shared" si="33"/>
        <v>11250.000000000004</v>
      </c>
      <c r="L48" s="135">
        <f t="shared" si="33"/>
        <v>11250.000000000004</v>
      </c>
      <c r="M48" s="135">
        <f t="shared" si="33"/>
        <v>11250.000000000004</v>
      </c>
      <c r="N48" s="135">
        <f t="shared" si="33"/>
        <v>11250.000000000004</v>
      </c>
      <c r="O48" s="135">
        <f t="shared" si="33"/>
        <v>11250.000000000004</v>
      </c>
      <c r="P48" s="135">
        <f t="shared" si="33"/>
        <v>11250.000000000004</v>
      </c>
      <c r="Q48" s="135">
        <f t="shared" si="33"/>
        <v>11250.000000000004</v>
      </c>
      <c r="R48" s="136">
        <f t="shared" si="25"/>
        <v>135000.00000000003</v>
      </c>
      <c r="S48" s="135">
        <f>F48*(1+'Summary. Assumptions. Inputs'!$C$29)</f>
        <v>12375.000000000005</v>
      </c>
      <c r="T48" s="135">
        <f>G48*(1+'Summary. Assumptions. Inputs'!$C$29)</f>
        <v>12375.000000000005</v>
      </c>
      <c r="U48" s="135">
        <f>H48*(1+'Summary. Assumptions. Inputs'!$C$29)</f>
        <v>12375.000000000005</v>
      </c>
      <c r="V48" s="135">
        <f>I48*(1+'Summary. Assumptions. Inputs'!$C$29)</f>
        <v>12375.000000000005</v>
      </c>
      <c r="W48" s="135">
        <f>J48*(1+'Summary. Assumptions. Inputs'!$C$29)</f>
        <v>12375.000000000005</v>
      </c>
      <c r="X48" s="135">
        <f>K48*(1+'Summary. Assumptions. Inputs'!$C$29)</f>
        <v>12375.000000000005</v>
      </c>
      <c r="Y48" s="135">
        <f>L48*(1+'Summary. Assumptions. Inputs'!$C$29)</f>
        <v>12375.000000000005</v>
      </c>
      <c r="Z48" s="135">
        <f>M48*(1+'Summary. Assumptions. Inputs'!$C$29)</f>
        <v>12375.000000000005</v>
      </c>
      <c r="AA48" s="135">
        <f>N48*(1+'Summary. Assumptions. Inputs'!$C$29)</f>
        <v>12375.000000000005</v>
      </c>
      <c r="AB48" s="135">
        <f>O48*(1+'Summary. Assumptions. Inputs'!$C$29)</f>
        <v>12375.000000000005</v>
      </c>
      <c r="AC48" s="135">
        <f>P48*(1+'Summary. Assumptions. Inputs'!$C$29)</f>
        <v>12375.000000000005</v>
      </c>
      <c r="AD48" s="135">
        <f>Q48*(1+'Summary. Assumptions. Inputs'!$C$29)</f>
        <v>12375.000000000005</v>
      </c>
      <c r="AE48" s="136">
        <f t="shared" si="26"/>
        <v>148500.00000000003</v>
      </c>
      <c r="AF48" s="135">
        <f>S48*(1+'Summary. Assumptions. Inputs'!$C$29)</f>
        <v>13612.500000000007</v>
      </c>
      <c r="AG48" s="135">
        <f>T48*(1+'Summary. Assumptions. Inputs'!$C$29)</f>
        <v>13612.500000000007</v>
      </c>
      <c r="AH48" s="135">
        <f>U48*(1+'Summary. Assumptions. Inputs'!$C$29)</f>
        <v>13612.500000000007</v>
      </c>
      <c r="AI48" s="135">
        <f>V48*(1+'Summary. Assumptions. Inputs'!$C$29)</f>
        <v>13612.500000000007</v>
      </c>
      <c r="AJ48" s="135">
        <f>W48*(1+'Summary. Assumptions. Inputs'!$C$29)</f>
        <v>13612.500000000007</v>
      </c>
      <c r="AK48" s="135">
        <f>X48*(1+'Summary. Assumptions. Inputs'!$C$29)</f>
        <v>13612.500000000007</v>
      </c>
      <c r="AL48" s="135">
        <f>Y48*(1+'Summary. Assumptions. Inputs'!$C$29)</f>
        <v>13612.500000000007</v>
      </c>
      <c r="AM48" s="135">
        <f>Z48*(1+'Summary. Assumptions. Inputs'!$C$29)</f>
        <v>13612.500000000007</v>
      </c>
      <c r="AN48" s="135">
        <f>AA48*(1+'Summary. Assumptions. Inputs'!$C$29)</f>
        <v>13612.500000000007</v>
      </c>
      <c r="AO48" s="135">
        <f>AB48*(1+'Summary. Assumptions. Inputs'!$C$29)</f>
        <v>13612.500000000007</v>
      </c>
      <c r="AP48" s="135">
        <f>AC48*(1+'Summary. Assumptions. Inputs'!$C$29)</f>
        <v>13612.500000000007</v>
      </c>
      <c r="AQ48" s="135">
        <f>AD48*(1+'Summary. Assumptions. Inputs'!$C$29)</f>
        <v>13612.500000000007</v>
      </c>
      <c r="AR48" s="136">
        <f t="shared" si="27"/>
        <v>163350.00000000003</v>
      </c>
      <c r="AS48" s="135">
        <f>AF48*(1+'Summary. Assumptions. Inputs'!$C$29)</f>
        <v>14973.750000000009</v>
      </c>
      <c r="AT48" s="135">
        <f>AG48*(1+'Summary. Assumptions. Inputs'!$C$29)</f>
        <v>14973.750000000009</v>
      </c>
      <c r="AU48" s="135">
        <f>AH48*(1+'Summary. Assumptions. Inputs'!$C$29)</f>
        <v>14973.750000000009</v>
      </c>
      <c r="AV48" s="135">
        <f>AI48*(1+'Summary. Assumptions. Inputs'!$C$29)</f>
        <v>14973.750000000009</v>
      </c>
      <c r="AW48" s="135">
        <f>AJ48*(1+'Summary. Assumptions. Inputs'!$C$29)</f>
        <v>14973.750000000009</v>
      </c>
      <c r="AX48" s="135">
        <f>AK48*(1+'Summary. Assumptions. Inputs'!$C$29)</f>
        <v>14973.750000000009</v>
      </c>
      <c r="AY48" s="135">
        <f>AL48*(1+'Summary. Assumptions. Inputs'!$C$29)</f>
        <v>14973.750000000009</v>
      </c>
      <c r="AZ48" s="135">
        <f>AM48*(1+'Summary. Assumptions. Inputs'!$C$29)</f>
        <v>14973.750000000009</v>
      </c>
      <c r="BA48" s="135">
        <f>AN48*(1+'Summary. Assumptions. Inputs'!$C$29)</f>
        <v>14973.750000000009</v>
      </c>
      <c r="BB48" s="135">
        <f>AO48*(1+'Summary. Assumptions. Inputs'!$C$29)</f>
        <v>14973.750000000009</v>
      </c>
      <c r="BC48" s="135">
        <f>AP48*(1+'Summary. Assumptions. Inputs'!$C$29)</f>
        <v>14973.750000000009</v>
      </c>
      <c r="BD48" s="135">
        <f>AQ48*(1+'Summary. Assumptions. Inputs'!$C$29)</f>
        <v>14973.750000000009</v>
      </c>
      <c r="BE48" s="136">
        <f t="shared" si="28"/>
        <v>179685.00000000009</v>
      </c>
      <c r="BF48" s="135">
        <f>AS48*(1+'Summary. Assumptions. Inputs'!$C$29)</f>
        <v>16471.125000000011</v>
      </c>
      <c r="BG48" s="135">
        <f>AT48*(1+'Summary. Assumptions. Inputs'!$C$29)</f>
        <v>16471.125000000011</v>
      </c>
      <c r="BH48" s="135">
        <f>AU48*(1+'Summary. Assumptions. Inputs'!$C$29)</f>
        <v>16471.125000000011</v>
      </c>
      <c r="BI48" s="135">
        <f>AV48*(1+'Summary. Assumptions. Inputs'!$C$29)</f>
        <v>16471.125000000011</v>
      </c>
      <c r="BJ48" s="135">
        <f>AW48*(1+'Summary. Assumptions. Inputs'!$C$29)</f>
        <v>16471.125000000011</v>
      </c>
      <c r="BK48" s="135">
        <f>AX48*(1+'Summary. Assumptions. Inputs'!$C$29)</f>
        <v>16471.125000000011</v>
      </c>
      <c r="BL48" s="135">
        <f>AY48*(1+'Summary. Assumptions. Inputs'!$C$29)</f>
        <v>16471.125000000011</v>
      </c>
      <c r="BM48" s="135">
        <f>AZ48*(1+'Summary. Assumptions. Inputs'!$C$29)</f>
        <v>16471.125000000011</v>
      </c>
      <c r="BN48" s="135">
        <f>BA48*(1+'Summary. Assumptions. Inputs'!$C$29)</f>
        <v>16471.125000000011</v>
      </c>
      <c r="BO48" s="135">
        <f>BB48*(1+'Summary. Assumptions. Inputs'!$C$29)</f>
        <v>16471.125000000011</v>
      </c>
      <c r="BP48" s="135">
        <f>BC48*(1+'Summary. Assumptions. Inputs'!$C$29)</f>
        <v>16471.125000000011</v>
      </c>
      <c r="BQ48" s="135">
        <f>BD48*(1+'Summary. Assumptions. Inputs'!$C$29)</f>
        <v>16471.125000000011</v>
      </c>
      <c r="BR48" s="136">
        <f t="shared" si="29"/>
        <v>197653.50000000009</v>
      </c>
      <c r="BS48" s="135">
        <f>BF48*(1+'Summary. Assumptions. Inputs'!$C$29)</f>
        <v>18118.237500000014</v>
      </c>
      <c r="BT48" s="135">
        <f>BG48*(1+'Summary. Assumptions. Inputs'!$C$29)</f>
        <v>18118.237500000014</v>
      </c>
      <c r="BU48" s="135">
        <f>BH48*(1+'Summary. Assumptions. Inputs'!$C$29)</f>
        <v>18118.237500000014</v>
      </c>
      <c r="BV48" s="135">
        <f>BI48*(1+'Summary. Assumptions. Inputs'!$C$29)</f>
        <v>18118.237500000014</v>
      </c>
      <c r="BW48" s="135">
        <f>BJ48*(1+'Summary. Assumptions. Inputs'!$C$29)</f>
        <v>18118.237500000014</v>
      </c>
      <c r="BX48" s="135">
        <f>BK48*(1+'Summary. Assumptions. Inputs'!$C$29)</f>
        <v>18118.237500000014</v>
      </c>
      <c r="BY48" s="135">
        <f>BL48*(1+'Summary. Assumptions. Inputs'!$C$29)</f>
        <v>18118.237500000014</v>
      </c>
      <c r="BZ48" s="135">
        <f>BM48*(1+'Summary. Assumptions. Inputs'!$C$29)</f>
        <v>18118.237500000014</v>
      </c>
      <c r="CA48" s="135">
        <f>BN48*(1+'Summary. Assumptions. Inputs'!$C$29)</f>
        <v>18118.237500000014</v>
      </c>
      <c r="CB48" s="135">
        <f>BO48*(1+'Summary. Assumptions. Inputs'!$C$29)</f>
        <v>18118.237500000014</v>
      </c>
      <c r="CC48" s="135">
        <f>BP48*(1+'Summary. Assumptions. Inputs'!$C$29)</f>
        <v>18118.237500000014</v>
      </c>
      <c r="CD48" s="135">
        <f>BQ48*(1+'Summary. Assumptions. Inputs'!$C$29)</f>
        <v>18118.237500000014</v>
      </c>
      <c r="CE48" s="136">
        <f t="shared" si="30"/>
        <v>217418.85000000018</v>
      </c>
      <c r="CF48" s="135">
        <f>BS48*(1+'Summary. Assumptions. Inputs'!$C$29)</f>
        <v>19930.061250000017</v>
      </c>
      <c r="CG48" s="135">
        <f>BT48*(1+'Summary. Assumptions. Inputs'!$C$29)</f>
        <v>19930.061250000017</v>
      </c>
      <c r="CH48" s="135">
        <f>BU48*(1+'Summary. Assumptions. Inputs'!$C$29)</f>
        <v>19930.061250000017</v>
      </c>
      <c r="CI48" s="135">
        <f>BV48*(1+'Summary. Assumptions. Inputs'!$C$29)</f>
        <v>19930.061250000017</v>
      </c>
      <c r="CJ48" s="135">
        <f>BW48*(1+'Summary. Assumptions. Inputs'!$C$29)</f>
        <v>19930.061250000017</v>
      </c>
      <c r="CK48" s="135">
        <f>BX48*(1+'Summary. Assumptions. Inputs'!$C$29)</f>
        <v>19930.061250000017</v>
      </c>
      <c r="CL48" s="135">
        <f>BY48*(1+'Summary. Assumptions. Inputs'!$C$29)</f>
        <v>19930.061250000017</v>
      </c>
      <c r="CM48" s="135">
        <f>BZ48*(1+'Summary. Assumptions. Inputs'!$C$29)</f>
        <v>19930.061250000017</v>
      </c>
      <c r="CN48" s="135">
        <f>CA48*(1+'Summary. Assumptions. Inputs'!$C$29)</f>
        <v>19930.061250000017</v>
      </c>
      <c r="CO48" s="135">
        <f>CB48*(1+'Summary. Assumptions. Inputs'!$C$29)</f>
        <v>19930.061250000017</v>
      </c>
      <c r="CP48" s="135">
        <f>CC48*(1+'Summary. Assumptions. Inputs'!$C$29)</f>
        <v>19930.061250000017</v>
      </c>
      <c r="CQ48" s="135">
        <f>CD48*(1+'Summary. Assumptions. Inputs'!$C$29)</f>
        <v>19930.061250000017</v>
      </c>
      <c r="CR48" s="136">
        <f t="shared" si="31"/>
        <v>239160.73500000025</v>
      </c>
    </row>
    <row r="49" spans="1:102" s="133" customFormat="1" ht="15" customHeight="1">
      <c r="A49" s="240"/>
      <c r="B49" s="649"/>
      <c r="C49" s="240"/>
      <c r="D49" s="133">
        <f t="shared" si="23"/>
        <v>0</v>
      </c>
      <c r="E49" s="137"/>
      <c r="F49" s="135">
        <f t="shared" si="33"/>
        <v>0</v>
      </c>
      <c r="G49" s="135">
        <f t="shared" si="33"/>
        <v>0</v>
      </c>
      <c r="H49" s="135">
        <f t="shared" si="33"/>
        <v>0</v>
      </c>
      <c r="I49" s="135">
        <f t="shared" si="33"/>
        <v>0</v>
      </c>
      <c r="J49" s="135">
        <f t="shared" si="33"/>
        <v>0</v>
      </c>
      <c r="K49" s="135">
        <f t="shared" si="33"/>
        <v>0</v>
      </c>
      <c r="L49" s="135">
        <f t="shared" si="33"/>
        <v>0</v>
      </c>
      <c r="M49" s="135">
        <f t="shared" si="33"/>
        <v>0</v>
      </c>
      <c r="N49" s="135">
        <f t="shared" si="33"/>
        <v>0</v>
      </c>
      <c r="O49" s="135">
        <f t="shared" si="33"/>
        <v>0</v>
      </c>
      <c r="P49" s="135">
        <f t="shared" si="33"/>
        <v>0</v>
      </c>
      <c r="Q49" s="135">
        <f t="shared" si="33"/>
        <v>0</v>
      </c>
      <c r="R49" s="136">
        <f t="shared" si="25"/>
        <v>0</v>
      </c>
      <c r="S49" s="135">
        <f>F49*(1+'Summary. Assumptions. Inputs'!$C$29)</f>
        <v>0</v>
      </c>
      <c r="T49" s="135">
        <f>G49*(1+'Summary. Assumptions. Inputs'!$C$29)</f>
        <v>0</v>
      </c>
      <c r="U49" s="135">
        <f>H49*(1+'Summary. Assumptions. Inputs'!$C$29)</f>
        <v>0</v>
      </c>
      <c r="V49" s="135">
        <f>I49*(1+'Summary. Assumptions. Inputs'!$C$29)</f>
        <v>0</v>
      </c>
      <c r="W49" s="135">
        <f>J49*(1+'Summary. Assumptions. Inputs'!$C$29)</f>
        <v>0</v>
      </c>
      <c r="X49" s="135">
        <f>K49*(1+'Summary. Assumptions. Inputs'!$C$29)</f>
        <v>0</v>
      </c>
      <c r="Y49" s="135">
        <f>L49*(1+'Summary. Assumptions. Inputs'!$C$29)</f>
        <v>0</v>
      </c>
      <c r="Z49" s="135">
        <f>M49*(1+'Summary. Assumptions. Inputs'!$C$29)</f>
        <v>0</v>
      </c>
      <c r="AA49" s="135">
        <f>N49*(1+'Summary. Assumptions. Inputs'!$C$29)</f>
        <v>0</v>
      </c>
      <c r="AB49" s="135">
        <f>O49*(1+'Summary. Assumptions. Inputs'!$C$29)</f>
        <v>0</v>
      </c>
      <c r="AC49" s="135">
        <f>P49*(1+'Summary. Assumptions. Inputs'!$C$29)</f>
        <v>0</v>
      </c>
      <c r="AD49" s="135">
        <f>Q49*(1+'Summary. Assumptions. Inputs'!$C$29)</f>
        <v>0</v>
      </c>
      <c r="AE49" s="136">
        <f t="shared" si="26"/>
        <v>0</v>
      </c>
      <c r="AF49" s="135">
        <f>S49*(1+'Summary. Assumptions. Inputs'!$C$29)</f>
        <v>0</v>
      </c>
      <c r="AG49" s="135">
        <f>T49*(1+'Summary. Assumptions. Inputs'!$C$29)</f>
        <v>0</v>
      </c>
      <c r="AH49" s="135">
        <f>U49*(1+'Summary. Assumptions. Inputs'!$C$29)</f>
        <v>0</v>
      </c>
      <c r="AI49" s="135">
        <f>V49*(1+'Summary. Assumptions. Inputs'!$C$29)</f>
        <v>0</v>
      </c>
      <c r="AJ49" s="135">
        <f>W49*(1+'Summary. Assumptions. Inputs'!$C$29)</f>
        <v>0</v>
      </c>
      <c r="AK49" s="135">
        <f>X49*(1+'Summary. Assumptions. Inputs'!$C$29)</f>
        <v>0</v>
      </c>
      <c r="AL49" s="135">
        <f>Y49*(1+'Summary. Assumptions. Inputs'!$C$29)</f>
        <v>0</v>
      </c>
      <c r="AM49" s="135">
        <f>Z49*(1+'Summary. Assumptions. Inputs'!$C$29)</f>
        <v>0</v>
      </c>
      <c r="AN49" s="135">
        <f>AA49*(1+'Summary. Assumptions. Inputs'!$C$29)</f>
        <v>0</v>
      </c>
      <c r="AO49" s="135">
        <f>AB49*(1+'Summary. Assumptions. Inputs'!$C$29)</f>
        <v>0</v>
      </c>
      <c r="AP49" s="135">
        <f>AC49*(1+'Summary. Assumptions. Inputs'!$C$29)</f>
        <v>0</v>
      </c>
      <c r="AQ49" s="135">
        <f>AD49*(1+'Summary. Assumptions. Inputs'!$C$29)</f>
        <v>0</v>
      </c>
      <c r="AR49" s="136">
        <f t="shared" si="27"/>
        <v>0</v>
      </c>
      <c r="AS49" s="135">
        <f>AF49*(1+'Summary. Assumptions. Inputs'!$C$29)</f>
        <v>0</v>
      </c>
      <c r="AT49" s="135">
        <f>AG49*(1+'Summary. Assumptions. Inputs'!$C$29)</f>
        <v>0</v>
      </c>
      <c r="AU49" s="135">
        <f>AH49*(1+'Summary. Assumptions. Inputs'!$C$29)</f>
        <v>0</v>
      </c>
      <c r="AV49" s="135">
        <f>AI49*(1+'Summary. Assumptions. Inputs'!$C$29)</f>
        <v>0</v>
      </c>
      <c r="AW49" s="135">
        <f>AJ49*(1+'Summary. Assumptions. Inputs'!$C$29)</f>
        <v>0</v>
      </c>
      <c r="AX49" s="135">
        <f>AK49*(1+'Summary. Assumptions. Inputs'!$C$29)</f>
        <v>0</v>
      </c>
      <c r="AY49" s="135">
        <f>AL49*(1+'Summary. Assumptions. Inputs'!$C$29)</f>
        <v>0</v>
      </c>
      <c r="AZ49" s="135">
        <f>AM49*(1+'Summary. Assumptions. Inputs'!$C$29)</f>
        <v>0</v>
      </c>
      <c r="BA49" s="135">
        <f>AN49*(1+'Summary. Assumptions. Inputs'!$C$29)</f>
        <v>0</v>
      </c>
      <c r="BB49" s="135">
        <f>AO49*(1+'Summary. Assumptions. Inputs'!$C$29)</f>
        <v>0</v>
      </c>
      <c r="BC49" s="135">
        <f>AP49*(1+'Summary. Assumptions. Inputs'!$C$29)</f>
        <v>0</v>
      </c>
      <c r="BD49" s="135">
        <f>AQ49*(1+'Summary. Assumptions. Inputs'!$C$29)</f>
        <v>0</v>
      </c>
      <c r="BE49" s="136">
        <f t="shared" si="28"/>
        <v>0</v>
      </c>
      <c r="BF49" s="135">
        <f>AS49*(1+'Summary. Assumptions. Inputs'!$C$29)</f>
        <v>0</v>
      </c>
      <c r="BG49" s="135">
        <f>AT49*(1+'Summary. Assumptions. Inputs'!$C$29)</f>
        <v>0</v>
      </c>
      <c r="BH49" s="135">
        <f>AU49*(1+'Summary. Assumptions. Inputs'!$C$29)</f>
        <v>0</v>
      </c>
      <c r="BI49" s="135">
        <f>AV49*(1+'Summary. Assumptions. Inputs'!$C$29)</f>
        <v>0</v>
      </c>
      <c r="BJ49" s="135">
        <f>AW49*(1+'Summary. Assumptions. Inputs'!$C$29)</f>
        <v>0</v>
      </c>
      <c r="BK49" s="135">
        <f>AX49*(1+'Summary. Assumptions. Inputs'!$C$29)</f>
        <v>0</v>
      </c>
      <c r="BL49" s="135">
        <f>AY49*(1+'Summary. Assumptions. Inputs'!$C$29)</f>
        <v>0</v>
      </c>
      <c r="BM49" s="135">
        <f>AZ49*(1+'Summary. Assumptions. Inputs'!$C$29)</f>
        <v>0</v>
      </c>
      <c r="BN49" s="135">
        <f>BA49*(1+'Summary. Assumptions. Inputs'!$C$29)</f>
        <v>0</v>
      </c>
      <c r="BO49" s="135">
        <f>BB49*(1+'Summary. Assumptions. Inputs'!$C$29)</f>
        <v>0</v>
      </c>
      <c r="BP49" s="135">
        <f>BC49*(1+'Summary. Assumptions. Inputs'!$C$29)</f>
        <v>0</v>
      </c>
      <c r="BQ49" s="135">
        <f>BD49*(1+'Summary. Assumptions. Inputs'!$C$29)</f>
        <v>0</v>
      </c>
      <c r="BR49" s="136">
        <f t="shared" si="29"/>
        <v>0</v>
      </c>
      <c r="BS49" s="135">
        <f>BF49*(1+'Summary. Assumptions. Inputs'!$C$29)</f>
        <v>0</v>
      </c>
      <c r="BT49" s="135">
        <f>BG49*(1+'Summary. Assumptions. Inputs'!$C$29)</f>
        <v>0</v>
      </c>
      <c r="BU49" s="135">
        <f>BH49*(1+'Summary. Assumptions. Inputs'!$C$29)</f>
        <v>0</v>
      </c>
      <c r="BV49" s="135">
        <f>BI49*(1+'Summary. Assumptions. Inputs'!$C$29)</f>
        <v>0</v>
      </c>
      <c r="BW49" s="135">
        <f>BJ49*(1+'Summary. Assumptions. Inputs'!$C$29)</f>
        <v>0</v>
      </c>
      <c r="BX49" s="135">
        <f>BK49*(1+'Summary. Assumptions. Inputs'!$C$29)</f>
        <v>0</v>
      </c>
      <c r="BY49" s="135">
        <f>BL49*(1+'Summary. Assumptions. Inputs'!$C$29)</f>
        <v>0</v>
      </c>
      <c r="BZ49" s="135">
        <f>BM49*(1+'Summary. Assumptions. Inputs'!$C$29)</f>
        <v>0</v>
      </c>
      <c r="CA49" s="135">
        <f>BN49*(1+'Summary. Assumptions. Inputs'!$C$29)</f>
        <v>0</v>
      </c>
      <c r="CB49" s="135">
        <f>BO49*(1+'Summary. Assumptions. Inputs'!$C$29)</f>
        <v>0</v>
      </c>
      <c r="CC49" s="135">
        <f>BP49*(1+'Summary. Assumptions. Inputs'!$C$29)</f>
        <v>0</v>
      </c>
      <c r="CD49" s="135">
        <f>BQ49*(1+'Summary. Assumptions. Inputs'!$C$29)</f>
        <v>0</v>
      </c>
      <c r="CE49" s="136">
        <f t="shared" si="30"/>
        <v>0</v>
      </c>
      <c r="CF49" s="135">
        <f>BS49*(1+'Summary. Assumptions. Inputs'!$C$29)</f>
        <v>0</v>
      </c>
      <c r="CG49" s="135">
        <f>BT49*(1+'Summary. Assumptions. Inputs'!$C$29)</f>
        <v>0</v>
      </c>
      <c r="CH49" s="135">
        <f>BU49*(1+'Summary. Assumptions. Inputs'!$C$29)</f>
        <v>0</v>
      </c>
      <c r="CI49" s="135">
        <f>BV49*(1+'Summary. Assumptions. Inputs'!$C$29)</f>
        <v>0</v>
      </c>
      <c r="CJ49" s="135">
        <f>BW49*(1+'Summary. Assumptions. Inputs'!$C$29)</f>
        <v>0</v>
      </c>
      <c r="CK49" s="135">
        <f>BX49*(1+'Summary. Assumptions. Inputs'!$C$29)</f>
        <v>0</v>
      </c>
      <c r="CL49" s="135">
        <f>BY49*(1+'Summary. Assumptions. Inputs'!$C$29)</f>
        <v>0</v>
      </c>
      <c r="CM49" s="135">
        <f>BZ49*(1+'Summary. Assumptions. Inputs'!$C$29)</f>
        <v>0</v>
      </c>
      <c r="CN49" s="135">
        <f>CA49*(1+'Summary. Assumptions. Inputs'!$C$29)</f>
        <v>0</v>
      </c>
      <c r="CO49" s="135">
        <f>CB49*(1+'Summary. Assumptions. Inputs'!$C$29)</f>
        <v>0</v>
      </c>
      <c r="CP49" s="135">
        <f>CC49*(1+'Summary. Assumptions. Inputs'!$C$29)</f>
        <v>0</v>
      </c>
      <c r="CQ49" s="135">
        <f>CD49*(1+'Summary. Assumptions. Inputs'!$C$29)</f>
        <v>0</v>
      </c>
      <c r="CR49" s="136">
        <f t="shared" si="31"/>
        <v>0</v>
      </c>
    </row>
    <row r="50" spans="1:102" s="133" customFormat="1" ht="15" customHeight="1">
      <c r="A50" s="240"/>
      <c r="B50" s="649"/>
      <c r="C50" s="240"/>
      <c r="D50" s="133">
        <f t="shared" si="23"/>
        <v>0</v>
      </c>
      <c r="E50" s="137"/>
      <c r="F50" s="135">
        <f t="shared" si="33"/>
        <v>0</v>
      </c>
      <c r="G50" s="135">
        <f t="shared" si="33"/>
        <v>0</v>
      </c>
      <c r="H50" s="135">
        <f t="shared" si="33"/>
        <v>0</v>
      </c>
      <c r="I50" s="135">
        <f t="shared" si="33"/>
        <v>0</v>
      </c>
      <c r="J50" s="135">
        <f t="shared" si="33"/>
        <v>0</v>
      </c>
      <c r="K50" s="135">
        <f t="shared" si="33"/>
        <v>0</v>
      </c>
      <c r="L50" s="135">
        <f t="shared" si="33"/>
        <v>0</v>
      </c>
      <c r="M50" s="135">
        <f t="shared" si="33"/>
        <v>0</v>
      </c>
      <c r="N50" s="135">
        <f t="shared" si="33"/>
        <v>0</v>
      </c>
      <c r="O50" s="135">
        <f t="shared" si="33"/>
        <v>0</v>
      </c>
      <c r="P50" s="135">
        <f t="shared" si="33"/>
        <v>0</v>
      </c>
      <c r="Q50" s="135">
        <f t="shared" si="33"/>
        <v>0</v>
      </c>
      <c r="R50" s="136">
        <f t="shared" si="25"/>
        <v>0</v>
      </c>
      <c r="S50" s="135">
        <f>F50*(1+'Summary. Assumptions. Inputs'!$C$29)</f>
        <v>0</v>
      </c>
      <c r="T50" s="135">
        <f>G50*(1+'Summary. Assumptions. Inputs'!$C$29)</f>
        <v>0</v>
      </c>
      <c r="U50" s="135">
        <f>H50*(1+'Summary. Assumptions. Inputs'!$C$29)</f>
        <v>0</v>
      </c>
      <c r="V50" s="135">
        <f>I50*(1+'Summary. Assumptions. Inputs'!$C$29)</f>
        <v>0</v>
      </c>
      <c r="W50" s="135">
        <f>J50*(1+'Summary. Assumptions. Inputs'!$C$29)</f>
        <v>0</v>
      </c>
      <c r="X50" s="135">
        <f>K50*(1+'Summary. Assumptions. Inputs'!$C$29)</f>
        <v>0</v>
      </c>
      <c r="Y50" s="135">
        <f>L50*(1+'Summary. Assumptions. Inputs'!$C$29)</f>
        <v>0</v>
      </c>
      <c r="Z50" s="135">
        <f>M50*(1+'Summary. Assumptions. Inputs'!$C$29)</f>
        <v>0</v>
      </c>
      <c r="AA50" s="135">
        <f>N50*(1+'Summary. Assumptions. Inputs'!$C$29)</f>
        <v>0</v>
      </c>
      <c r="AB50" s="135">
        <f>O50*(1+'Summary. Assumptions. Inputs'!$C$29)</f>
        <v>0</v>
      </c>
      <c r="AC50" s="135">
        <f>P50*(1+'Summary. Assumptions. Inputs'!$C$29)</f>
        <v>0</v>
      </c>
      <c r="AD50" s="135">
        <f>Q50*(1+'Summary. Assumptions. Inputs'!$C$29)</f>
        <v>0</v>
      </c>
      <c r="AE50" s="136">
        <f t="shared" si="26"/>
        <v>0</v>
      </c>
      <c r="AF50" s="135">
        <f>S50*(1+'Summary. Assumptions. Inputs'!$C$29)</f>
        <v>0</v>
      </c>
      <c r="AG50" s="135">
        <f>T50*(1+'Summary. Assumptions. Inputs'!$C$29)</f>
        <v>0</v>
      </c>
      <c r="AH50" s="135">
        <f>U50*(1+'Summary. Assumptions. Inputs'!$C$29)</f>
        <v>0</v>
      </c>
      <c r="AI50" s="135">
        <f>V50*(1+'Summary. Assumptions. Inputs'!$C$29)</f>
        <v>0</v>
      </c>
      <c r="AJ50" s="135">
        <f>W50*(1+'Summary. Assumptions. Inputs'!$C$29)</f>
        <v>0</v>
      </c>
      <c r="AK50" s="135">
        <f>X50*(1+'Summary. Assumptions. Inputs'!$C$29)</f>
        <v>0</v>
      </c>
      <c r="AL50" s="135">
        <f>Y50*(1+'Summary. Assumptions. Inputs'!$C$29)</f>
        <v>0</v>
      </c>
      <c r="AM50" s="135">
        <f>Z50*(1+'Summary. Assumptions. Inputs'!$C$29)</f>
        <v>0</v>
      </c>
      <c r="AN50" s="135">
        <f>AA50*(1+'Summary. Assumptions. Inputs'!$C$29)</f>
        <v>0</v>
      </c>
      <c r="AO50" s="135">
        <f>AB50*(1+'Summary. Assumptions. Inputs'!$C$29)</f>
        <v>0</v>
      </c>
      <c r="AP50" s="135">
        <f>AC50*(1+'Summary. Assumptions. Inputs'!$C$29)</f>
        <v>0</v>
      </c>
      <c r="AQ50" s="135">
        <f>AD50*(1+'Summary. Assumptions. Inputs'!$C$29)</f>
        <v>0</v>
      </c>
      <c r="AR50" s="136">
        <f t="shared" si="27"/>
        <v>0</v>
      </c>
      <c r="AS50" s="135">
        <f>AF50*(1+'Summary. Assumptions. Inputs'!$C$29)</f>
        <v>0</v>
      </c>
      <c r="AT50" s="135">
        <f>AG50*(1+'Summary. Assumptions. Inputs'!$C$29)</f>
        <v>0</v>
      </c>
      <c r="AU50" s="135">
        <f>AH50*(1+'Summary. Assumptions. Inputs'!$C$29)</f>
        <v>0</v>
      </c>
      <c r="AV50" s="135">
        <f>AI50*(1+'Summary. Assumptions. Inputs'!$C$29)</f>
        <v>0</v>
      </c>
      <c r="AW50" s="135">
        <f>AJ50*(1+'Summary. Assumptions. Inputs'!$C$29)</f>
        <v>0</v>
      </c>
      <c r="AX50" s="135">
        <f>AK50*(1+'Summary. Assumptions. Inputs'!$C$29)</f>
        <v>0</v>
      </c>
      <c r="AY50" s="135">
        <f>AL50*(1+'Summary. Assumptions. Inputs'!$C$29)</f>
        <v>0</v>
      </c>
      <c r="AZ50" s="135">
        <f>AM50*(1+'Summary. Assumptions. Inputs'!$C$29)</f>
        <v>0</v>
      </c>
      <c r="BA50" s="135">
        <f>AN50*(1+'Summary. Assumptions. Inputs'!$C$29)</f>
        <v>0</v>
      </c>
      <c r="BB50" s="135">
        <f>AO50*(1+'Summary. Assumptions. Inputs'!$C$29)</f>
        <v>0</v>
      </c>
      <c r="BC50" s="135">
        <f>AP50*(1+'Summary. Assumptions. Inputs'!$C$29)</f>
        <v>0</v>
      </c>
      <c r="BD50" s="135">
        <f>AQ50*(1+'Summary. Assumptions. Inputs'!$C$29)</f>
        <v>0</v>
      </c>
      <c r="BE50" s="136">
        <f t="shared" si="28"/>
        <v>0</v>
      </c>
      <c r="BF50" s="135">
        <f>AS50*(1+'Summary. Assumptions. Inputs'!$C$29)</f>
        <v>0</v>
      </c>
      <c r="BG50" s="135">
        <f>AT50*(1+'Summary. Assumptions. Inputs'!$C$29)</f>
        <v>0</v>
      </c>
      <c r="BH50" s="135">
        <f>AU50*(1+'Summary. Assumptions. Inputs'!$C$29)</f>
        <v>0</v>
      </c>
      <c r="BI50" s="135">
        <f>AV50*(1+'Summary. Assumptions. Inputs'!$C$29)</f>
        <v>0</v>
      </c>
      <c r="BJ50" s="135">
        <f>AW50*(1+'Summary. Assumptions. Inputs'!$C$29)</f>
        <v>0</v>
      </c>
      <c r="BK50" s="135">
        <f>AX50*(1+'Summary. Assumptions. Inputs'!$C$29)</f>
        <v>0</v>
      </c>
      <c r="BL50" s="135">
        <f>AY50*(1+'Summary. Assumptions. Inputs'!$C$29)</f>
        <v>0</v>
      </c>
      <c r="BM50" s="135">
        <f>AZ50*(1+'Summary. Assumptions. Inputs'!$C$29)</f>
        <v>0</v>
      </c>
      <c r="BN50" s="135">
        <f>BA50*(1+'Summary. Assumptions. Inputs'!$C$29)</f>
        <v>0</v>
      </c>
      <c r="BO50" s="135">
        <f>BB50*(1+'Summary. Assumptions. Inputs'!$C$29)</f>
        <v>0</v>
      </c>
      <c r="BP50" s="135">
        <f>BC50*(1+'Summary. Assumptions. Inputs'!$C$29)</f>
        <v>0</v>
      </c>
      <c r="BQ50" s="135">
        <f>BD50*(1+'Summary. Assumptions. Inputs'!$C$29)</f>
        <v>0</v>
      </c>
      <c r="BR50" s="136">
        <f t="shared" si="29"/>
        <v>0</v>
      </c>
      <c r="BS50" s="135">
        <f>BF50*(1+'Summary. Assumptions. Inputs'!$C$29)</f>
        <v>0</v>
      </c>
      <c r="BT50" s="135">
        <f>BG50*(1+'Summary. Assumptions. Inputs'!$C$29)</f>
        <v>0</v>
      </c>
      <c r="BU50" s="135">
        <f>BH50*(1+'Summary. Assumptions. Inputs'!$C$29)</f>
        <v>0</v>
      </c>
      <c r="BV50" s="135">
        <f>BI50*(1+'Summary. Assumptions. Inputs'!$C$29)</f>
        <v>0</v>
      </c>
      <c r="BW50" s="135">
        <f>BJ50*(1+'Summary. Assumptions. Inputs'!$C$29)</f>
        <v>0</v>
      </c>
      <c r="BX50" s="135">
        <f>BK50*(1+'Summary. Assumptions. Inputs'!$C$29)</f>
        <v>0</v>
      </c>
      <c r="BY50" s="135">
        <f>BL50*(1+'Summary. Assumptions. Inputs'!$C$29)</f>
        <v>0</v>
      </c>
      <c r="BZ50" s="135">
        <f>BM50*(1+'Summary. Assumptions. Inputs'!$C$29)</f>
        <v>0</v>
      </c>
      <c r="CA50" s="135">
        <f>BN50*(1+'Summary. Assumptions. Inputs'!$C$29)</f>
        <v>0</v>
      </c>
      <c r="CB50" s="135">
        <f>BO50*(1+'Summary. Assumptions. Inputs'!$C$29)</f>
        <v>0</v>
      </c>
      <c r="CC50" s="135">
        <f>BP50*(1+'Summary. Assumptions. Inputs'!$C$29)</f>
        <v>0</v>
      </c>
      <c r="CD50" s="135">
        <f>BQ50*(1+'Summary. Assumptions. Inputs'!$C$29)</f>
        <v>0</v>
      </c>
      <c r="CE50" s="136">
        <f t="shared" si="30"/>
        <v>0</v>
      </c>
      <c r="CF50" s="135">
        <f>BS50*(1+'Summary. Assumptions. Inputs'!$C$29)</f>
        <v>0</v>
      </c>
      <c r="CG50" s="135">
        <f>BT50*(1+'Summary. Assumptions. Inputs'!$C$29)</f>
        <v>0</v>
      </c>
      <c r="CH50" s="135">
        <f>BU50*(1+'Summary. Assumptions. Inputs'!$C$29)</f>
        <v>0</v>
      </c>
      <c r="CI50" s="135">
        <f>BV50*(1+'Summary. Assumptions. Inputs'!$C$29)</f>
        <v>0</v>
      </c>
      <c r="CJ50" s="135">
        <f>BW50*(1+'Summary. Assumptions. Inputs'!$C$29)</f>
        <v>0</v>
      </c>
      <c r="CK50" s="135">
        <f>BX50*(1+'Summary. Assumptions. Inputs'!$C$29)</f>
        <v>0</v>
      </c>
      <c r="CL50" s="135">
        <f>BY50*(1+'Summary. Assumptions. Inputs'!$C$29)</f>
        <v>0</v>
      </c>
      <c r="CM50" s="135">
        <f>BZ50*(1+'Summary. Assumptions. Inputs'!$C$29)</f>
        <v>0</v>
      </c>
      <c r="CN50" s="135">
        <f>CA50*(1+'Summary. Assumptions. Inputs'!$C$29)</f>
        <v>0</v>
      </c>
      <c r="CO50" s="135">
        <f>CB50*(1+'Summary. Assumptions. Inputs'!$C$29)</f>
        <v>0</v>
      </c>
      <c r="CP50" s="135">
        <f>CC50*(1+'Summary. Assumptions. Inputs'!$C$29)</f>
        <v>0</v>
      </c>
      <c r="CQ50" s="135">
        <f>CD50*(1+'Summary. Assumptions. Inputs'!$C$29)</f>
        <v>0</v>
      </c>
      <c r="CR50" s="136">
        <f t="shared" si="31"/>
        <v>0</v>
      </c>
    </row>
    <row r="51" spans="1:102" s="133" customFormat="1" ht="15" customHeight="1" thickBot="1">
      <c r="A51" s="240"/>
      <c r="B51" s="649"/>
      <c r="C51" s="240"/>
      <c r="D51" s="133">
        <f t="shared" si="23"/>
        <v>0</v>
      </c>
      <c r="E51" s="137"/>
      <c r="F51" s="135">
        <f t="shared" si="33"/>
        <v>0</v>
      </c>
      <c r="G51" s="135">
        <f t="shared" si="33"/>
        <v>0</v>
      </c>
      <c r="H51" s="135">
        <f t="shared" si="33"/>
        <v>0</v>
      </c>
      <c r="I51" s="135">
        <f t="shared" si="33"/>
        <v>0</v>
      </c>
      <c r="J51" s="135">
        <f t="shared" si="33"/>
        <v>0</v>
      </c>
      <c r="K51" s="135">
        <f t="shared" si="33"/>
        <v>0</v>
      </c>
      <c r="L51" s="135">
        <f t="shared" si="33"/>
        <v>0</v>
      </c>
      <c r="M51" s="135">
        <f t="shared" si="33"/>
        <v>0</v>
      </c>
      <c r="N51" s="135">
        <f t="shared" si="33"/>
        <v>0</v>
      </c>
      <c r="O51" s="135">
        <f t="shared" si="33"/>
        <v>0</v>
      </c>
      <c r="P51" s="135">
        <f t="shared" si="33"/>
        <v>0</v>
      </c>
      <c r="Q51" s="135">
        <f t="shared" si="33"/>
        <v>0</v>
      </c>
      <c r="R51" s="136">
        <f t="shared" si="25"/>
        <v>0</v>
      </c>
      <c r="S51" s="135">
        <f>F51*(1+'Summary. Assumptions. Inputs'!$C$29)</f>
        <v>0</v>
      </c>
      <c r="T51" s="135">
        <f>G51*(1+'Summary. Assumptions. Inputs'!$C$29)</f>
        <v>0</v>
      </c>
      <c r="U51" s="135">
        <f>H51*(1+'Summary. Assumptions. Inputs'!$C$29)</f>
        <v>0</v>
      </c>
      <c r="V51" s="135">
        <f>I51*(1+'Summary. Assumptions. Inputs'!$C$29)</f>
        <v>0</v>
      </c>
      <c r="W51" s="135">
        <f>J51*(1+'Summary. Assumptions. Inputs'!$C$29)</f>
        <v>0</v>
      </c>
      <c r="X51" s="135">
        <f>K51*(1+'Summary. Assumptions. Inputs'!$C$29)</f>
        <v>0</v>
      </c>
      <c r="Y51" s="135">
        <f>L51*(1+'Summary. Assumptions. Inputs'!$C$29)</f>
        <v>0</v>
      </c>
      <c r="Z51" s="135">
        <f>M51*(1+'Summary. Assumptions. Inputs'!$C$29)</f>
        <v>0</v>
      </c>
      <c r="AA51" s="135">
        <f>N51*(1+'Summary. Assumptions. Inputs'!$C$29)</f>
        <v>0</v>
      </c>
      <c r="AB51" s="135">
        <f>O51*(1+'Summary. Assumptions. Inputs'!$C$29)</f>
        <v>0</v>
      </c>
      <c r="AC51" s="135">
        <f>P51*(1+'Summary. Assumptions. Inputs'!$C$29)</f>
        <v>0</v>
      </c>
      <c r="AD51" s="135">
        <f>Q51*(1+'Summary. Assumptions. Inputs'!$C$29)</f>
        <v>0</v>
      </c>
      <c r="AE51" s="136">
        <f t="shared" si="26"/>
        <v>0</v>
      </c>
      <c r="AF51" s="135">
        <f>S51*(1+'Summary. Assumptions. Inputs'!$C$29)</f>
        <v>0</v>
      </c>
      <c r="AG51" s="135">
        <f>T51*(1+'Summary. Assumptions. Inputs'!$C$29)</f>
        <v>0</v>
      </c>
      <c r="AH51" s="135">
        <f>U51*(1+'Summary. Assumptions. Inputs'!$C$29)</f>
        <v>0</v>
      </c>
      <c r="AI51" s="135">
        <f>V51*(1+'Summary. Assumptions. Inputs'!$C$29)</f>
        <v>0</v>
      </c>
      <c r="AJ51" s="135">
        <f>W51*(1+'Summary. Assumptions. Inputs'!$C$29)</f>
        <v>0</v>
      </c>
      <c r="AK51" s="135">
        <f>X51*(1+'Summary. Assumptions. Inputs'!$C$29)</f>
        <v>0</v>
      </c>
      <c r="AL51" s="135">
        <f>Y51*(1+'Summary. Assumptions. Inputs'!$C$29)</f>
        <v>0</v>
      </c>
      <c r="AM51" s="135">
        <f>Z51*(1+'Summary. Assumptions. Inputs'!$C$29)</f>
        <v>0</v>
      </c>
      <c r="AN51" s="135">
        <f>AA51*(1+'Summary. Assumptions. Inputs'!$C$29)</f>
        <v>0</v>
      </c>
      <c r="AO51" s="135">
        <f>AB51*(1+'Summary. Assumptions. Inputs'!$C$29)</f>
        <v>0</v>
      </c>
      <c r="AP51" s="135">
        <f>AC51*(1+'Summary. Assumptions. Inputs'!$C$29)</f>
        <v>0</v>
      </c>
      <c r="AQ51" s="135">
        <f>AD51*(1+'Summary. Assumptions. Inputs'!$C$29)</f>
        <v>0</v>
      </c>
      <c r="AR51" s="136">
        <f t="shared" si="27"/>
        <v>0</v>
      </c>
      <c r="AS51" s="135">
        <f>AF51*(1+'Summary. Assumptions. Inputs'!$C$29)</f>
        <v>0</v>
      </c>
      <c r="AT51" s="135">
        <f>AG51*(1+'Summary. Assumptions. Inputs'!$C$29)</f>
        <v>0</v>
      </c>
      <c r="AU51" s="135">
        <f>AH51*(1+'Summary. Assumptions. Inputs'!$C$29)</f>
        <v>0</v>
      </c>
      <c r="AV51" s="135">
        <f>AI51*(1+'Summary. Assumptions. Inputs'!$C$29)</f>
        <v>0</v>
      </c>
      <c r="AW51" s="135">
        <f>AJ51*(1+'Summary. Assumptions. Inputs'!$C$29)</f>
        <v>0</v>
      </c>
      <c r="AX51" s="135">
        <f>AK51*(1+'Summary. Assumptions. Inputs'!$C$29)</f>
        <v>0</v>
      </c>
      <c r="AY51" s="135">
        <f>AL51*(1+'Summary. Assumptions. Inputs'!$C$29)</f>
        <v>0</v>
      </c>
      <c r="AZ51" s="135">
        <f>AM51*(1+'Summary. Assumptions. Inputs'!$C$29)</f>
        <v>0</v>
      </c>
      <c r="BA51" s="135">
        <f>AN51*(1+'Summary. Assumptions. Inputs'!$C$29)</f>
        <v>0</v>
      </c>
      <c r="BB51" s="135">
        <f>AO51*(1+'Summary. Assumptions. Inputs'!$C$29)</f>
        <v>0</v>
      </c>
      <c r="BC51" s="135">
        <f>AP51*(1+'Summary. Assumptions. Inputs'!$C$29)</f>
        <v>0</v>
      </c>
      <c r="BD51" s="135">
        <f>AQ51*(1+'Summary. Assumptions. Inputs'!$C$29)</f>
        <v>0</v>
      </c>
      <c r="BE51" s="136">
        <f t="shared" si="28"/>
        <v>0</v>
      </c>
      <c r="BF51" s="135">
        <f>AS51*(1+'Summary. Assumptions. Inputs'!$C$29)</f>
        <v>0</v>
      </c>
      <c r="BG51" s="135">
        <f>AT51*(1+'Summary. Assumptions. Inputs'!$C$29)</f>
        <v>0</v>
      </c>
      <c r="BH51" s="135">
        <f>AU51*(1+'Summary. Assumptions. Inputs'!$C$29)</f>
        <v>0</v>
      </c>
      <c r="BI51" s="135">
        <f>AV51*(1+'Summary. Assumptions. Inputs'!$C$29)</f>
        <v>0</v>
      </c>
      <c r="BJ51" s="135">
        <f>AW51*(1+'Summary. Assumptions. Inputs'!$C$29)</f>
        <v>0</v>
      </c>
      <c r="BK51" s="135">
        <f>AX51*(1+'Summary. Assumptions. Inputs'!$C$29)</f>
        <v>0</v>
      </c>
      <c r="BL51" s="135">
        <f>AY51*(1+'Summary. Assumptions. Inputs'!$C$29)</f>
        <v>0</v>
      </c>
      <c r="BM51" s="135">
        <f>AZ51*(1+'Summary. Assumptions. Inputs'!$C$29)</f>
        <v>0</v>
      </c>
      <c r="BN51" s="135">
        <f>BA51*(1+'Summary. Assumptions. Inputs'!$C$29)</f>
        <v>0</v>
      </c>
      <c r="BO51" s="135">
        <f>BB51*(1+'Summary. Assumptions. Inputs'!$C$29)</f>
        <v>0</v>
      </c>
      <c r="BP51" s="135">
        <f>BC51*(1+'Summary. Assumptions. Inputs'!$C$29)</f>
        <v>0</v>
      </c>
      <c r="BQ51" s="135">
        <f>BD51*(1+'Summary. Assumptions. Inputs'!$C$29)</f>
        <v>0</v>
      </c>
      <c r="BR51" s="136">
        <f t="shared" si="29"/>
        <v>0</v>
      </c>
      <c r="BS51" s="135">
        <f>BF51*(1+'Summary. Assumptions. Inputs'!$C$29)</f>
        <v>0</v>
      </c>
      <c r="BT51" s="135">
        <f>BG51*(1+'Summary. Assumptions. Inputs'!$C$29)</f>
        <v>0</v>
      </c>
      <c r="BU51" s="135">
        <f>BH51*(1+'Summary. Assumptions. Inputs'!$C$29)</f>
        <v>0</v>
      </c>
      <c r="BV51" s="135">
        <f>BI51*(1+'Summary. Assumptions. Inputs'!$C$29)</f>
        <v>0</v>
      </c>
      <c r="BW51" s="135">
        <f>BJ51*(1+'Summary. Assumptions. Inputs'!$C$29)</f>
        <v>0</v>
      </c>
      <c r="BX51" s="135">
        <f>BK51*(1+'Summary. Assumptions. Inputs'!$C$29)</f>
        <v>0</v>
      </c>
      <c r="BY51" s="135">
        <f>BL51*(1+'Summary. Assumptions. Inputs'!$C$29)</f>
        <v>0</v>
      </c>
      <c r="BZ51" s="135">
        <f>BM51*(1+'Summary. Assumptions. Inputs'!$C$29)</f>
        <v>0</v>
      </c>
      <c r="CA51" s="135">
        <f>BN51*(1+'Summary. Assumptions. Inputs'!$C$29)</f>
        <v>0</v>
      </c>
      <c r="CB51" s="135">
        <f>BO51*(1+'Summary. Assumptions. Inputs'!$C$29)</f>
        <v>0</v>
      </c>
      <c r="CC51" s="135">
        <f>BP51*(1+'Summary. Assumptions. Inputs'!$C$29)</f>
        <v>0</v>
      </c>
      <c r="CD51" s="135">
        <f>BQ51*(1+'Summary. Assumptions. Inputs'!$C$29)</f>
        <v>0</v>
      </c>
      <c r="CE51" s="136">
        <f t="shared" si="30"/>
        <v>0</v>
      </c>
      <c r="CF51" s="135">
        <f>BS51*(1+'Summary. Assumptions. Inputs'!$C$29)</f>
        <v>0</v>
      </c>
      <c r="CG51" s="135">
        <f>BT51*(1+'Summary. Assumptions. Inputs'!$C$29)</f>
        <v>0</v>
      </c>
      <c r="CH51" s="135">
        <f>BU51*(1+'Summary. Assumptions. Inputs'!$C$29)</f>
        <v>0</v>
      </c>
      <c r="CI51" s="135">
        <f>BV51*(1+'Summary. Assumptions. Inputs'!$C$29)</f>
        <v>0</v>
      </c>
      <c r="CJ51" s="135">
        <f>BW51*(1+'Summary. Assumptions. Inputs'!$C$29)</f>
        <v>0</v>
      </c>
      <c r="CK51" s="135">
        <f>BX51*(1+'Summary. Assumptions. Inputs'!$C$29)</f>
        <v>0</v>
      </c>
      <c r="CL51" s="135">
        <f>BY51*(1+'Summary. Assumptions. Inputs'!$C$29)</f>
        <v>0</v>
      </c>
      <c r="CM51" s="135">
        <f>BZ51*(1+'Summary. Assumptions. Inputs'!$C$29)</f>
        <v>0</v>
      </c>
      <c r="CN51" s="135">
        <f>CA51*(1+'Summary. Assumptions. Inputs'!$C$29)</f>
        <v>0</v>
      </c>
      <c r="CO51" s="135">
        <f>CB51*(1+'Summary. Assumptions. Inputs'!$C$29)</f>
        <v>0</v>
      </c>
      <c r="CP51" s="135">
        <f>CC51*(1+'Summary. Assumptions. Inputs'!$C$29)</f>
        <v>0</v>
      </c>
      <c r="CQ51" s="135">
        <f>CD51*(1+'Summary. Assumptions. Inputs'!$C$29)</f>
        <v>0</v>
      </c>
      <c r="CR51" s="136">
        <f t="shared" si="31"/>
        <v>0</v>
      </c>
    </row>
    <row r="52" spans="1:102" s="142" customFormat="1" ht="21.75" customHeight="1" thickBot="1">
      <c r="A52" s="805" t="s">
        <v>110</v>
      </c>
      <c r="B52" s="806"/>
      <c r="C52" s="806"/>
      <c r="D52" s="806"/>
      <c r="E52" s="138">
        <f t="shared" ref="E52:Q52" si="45">SUM(E33:E51)</f>
        <v>110000</v>
      </c>
      <c r="F52" s="139">
        <f t="shared" si="45"/>
        <v>41996.05</v>
      </c>
      <c r="G52" s="139">
        <f t="shared" si="45"/>
        <v>41996.05</v>
      </c>
      <c r="H52" s="139">
        <f t="shared" si="45"/>
        <v>41996.05</v>
      </c>
      <c r="I52" s="139">
        <f t="shared" si="45"/>
        <v>41996.05</v>
      </c>
      <c r="J52" s="139">
        <f t="shared" si="45"/>
        <v>41996.05</v>
      </c>
      <c r="K52" s="139">
        <f t="shared" si="45"/>
        <v>41996.05</v>
      </c>
      <c r="L52" s="139">
        <f t="shared" si="45"/>
        <v>41996.05</v>
      </c>
      <c r="M52" s="139">
        <f t="shared" si="45"/>
        <v>41996.05</v>
      </c>
      <c r="N52" s="139">
        <f t="shared" si="45"/>
        <v>41996.05</v>
      </c>
      <c r="O52" s="139">
        <f t="shared" si="45"/>
        <v>41996.05</v>
      </c>
      <c r="P52" s="139">
        <f t="shared" si="45"/>
        <v>41996.05</v>
      </c>
      <c r="Q52" s="139">
        <f t="shared" si="45"/>
        <v>41996.05</v>
      </c>
      <c r="R52" s="472">
        <f t="shared" si="25"/>
        <v>503952.59999999992</v>
      </c>
      <c r="S52" s="139">
        <f t="shared" ref="S52:AR52" ca="1" si="46">SUM(S33:S51)</f>
        <v>46195.655000000006</v>
      </c>
      <c r="T52" s="139">
        <f t="shared" ca="1" si="46"/>
        <v>46195.655000000006</v>
      </c>
      <c r="U52" s="139">
        <f t="shared" ca="1" si="46"/>
        <v>46195.655000000006</v>
      </c>
      <c r="V52" s="139">
        <f t="shared" ca="1" si="46"/>
        <v>46195.655000000006</v>
      </c>
      <c r="W52" s="139">
        <f t="shared" ca="1" si="46"/>
        <v>46195.655000000006</v>
      </c>
      <c r="X52" s="139">
        <f t="shared" ca="1" si="46"/>
        <v>46195.655000000006</v>
      </c>
      <c r="Y52" s="139">
        <f t="shared" ca="1" si="46"/>
        <v>46195.655000000006</v>
      </c>
      <c r="Z52" s="139">
        <f t="shared" ca="1" si="46"/>
        <v>46195.655000000006</v>
      </c>
      <c r="AA52" s="139">
        <f t="shared" ca="1" si="46"/>
        <v>46195.655000000006</v>
      </c>
      <c r="AB52" s="139">
        <f t="shared" ca="1" si="46"/>
        <v>46195.655000000006</v>
      </c>
      <c r="AC52" s="139">
        <f t="shared" ca="1" si="46"/>
        <v>46195.655000000006</v>
      </c>
      <c r="AD52" s="139">
        <f t="shared" ca="1" si="46"/>
        <v>46195.655000000006</v>
      </c>
      <c r="AE52" s="139">
        <f t="shared" ca="1" si="46"/>
        <v>554347.8600000001</v>
      </c>
      <c r="AF52" s="139">
        <f t="shared" ca="1" si="46"/>
        <v>50815.22050000001</v>
      </c>
      <c r="AG52" s="139">
        <f t="shared" ca="1" si="46"/>
        <v>50815.22050000001</v>
      </c>
      <c r="AH52" s="139">
        <f t="shared" ca="1" si="46"/>
        <v>50815.22050000001</v>
      </c>
      <c r="AI52" s="139">
        <f t="shared" ca="1" si="46"/>
        <v>50815.22050000001</v>
      </c>
      <c r="AJ52" s="139">
        <f t="shared" ca="1" si="46"/>
        <v>50815.22050000001</v>
      </c>
      <c r="AK52" s="139">
        <f t="shared" ca="1" si="46"/>
        <v>50815.22050000001</v>
      </c>
      <c r="AL52" s="139">
        <f t="shared" ca="1" si="46"/>
        <v>50815.22050000001</v>
      </c>
      <c r="AM52" s="139">
        <f t="shared" ca="1" si="46"/>
        <v>50815.22050000001</v>
      </c>
      <c r="AN52" s="139">
        <f t="shared" ca="1" si="46"/>
        <v>50815.22050000001</v>
      </c>
      <c r="AO52" s="139">
        <f t="shared" ca="1" si="46"/>
        <v>50815.22050000001</v>
      </c>
      <c r="AP52" s="139">
        <f t="shared" ca="1" si="46"/>
        <v>50815.22050000001</v>
      </c>
      <c r="AQ52" s="139">
        <f t="shared" ca="1" si="46"/>
        <v>50815.22050000001</v>
      </c>
      <c r="AR52" s="139">
        <f t="shared" ca="1" si="46"/>
        <v>609782.64600000007</v>
      </c>
      <c r="AS52" s="139">
        <f t="shared" ref="AS52:BE52" ca="1" si="47">SUM(AS33:AS51)</f>
        <v>55896.74255000001</v>
      </c>
      <c r="AT52" s="139">
        <f t="shared" ca="1" si="47"/>
        <v>55896.74255000001</v>
      </c>
      <c r="AU52" s="139">
        <f t="shared" ca="1" si="47"/>
        <v>55896.74255000001</v>
      </c>
      <c r="AV52" s="139">
        <f t="shared" ca="1" si="47"/>
        <v>55896.74255000001</v>
      </c>
      <c r="AW52" s="139">
        <f t="shared" ca="1" si="47"/>
        <v>55896.74255000001</v>
      </c>
      <c r="AX52" s="139">
        <f t="shared" ca="1" si="47"/>
        <v>55896.74255000001</v>
      </c>
      <c r="AY52" s="139">
        <f t="shared" ca="1" si="47"/>
        <v>55896.74255000001</v>
      </c>
      <c r="AZ52" s="139">
        <f t="shared" ca="1" si="47"/>
        <v>55896.74255000001</v>
      </c>
      <c r="BA52" s="139">
        <f t="shared" ca="1" si="47"/>
        <v>55896.74255000001</v>
      </c>
      <c r="BB52" s="139">
        <f t="shared" ca="1" si="47"/>
        <v>55896.74255000001</v>
      </c>
      <c r="BC52" s="139">
        <f t="shared" ca="1" si="47"/>
        <v>55896.74255000001</v>
      </c>
      <c r="BD52" s="139">
        <f t="shared" ca="1" si="47"/>
        <v>55896.74255000001</v>
      </c>
      <c r="BE52" s="139">
        <f t="shared" ca="1" si="47"/>
        <v>670760.91060000018</v>
      </c>
      <c r="BF52" s="139">
        <f t="shared" ref="BF52:BR52" ca="1" si="48">SUM(BF33:BF51)</f>
        <v>61486.41680500003</v>
      </c>
      <c r="BG52" s="139">
        <f t="shared" ca="1" si="48"/>
        <v>61486.41680500003</v>
      </c>
      <c r="BH52" s="139">
        <f t="shared" ca="1" si="48"/>
        <v>61486.41680500003</v>
      </c>
      <c r="BI52" s="139">
        <f t="shared" ca="1" si="48"/>
        <v>61486.41680500003</v>
      </c>
      <c r="BJ52" s="139">
        <f t="shared" ca="1" si="48"/>
        <v>61486.41680500003</v>
      </c>
      <c r="BK52" s="139">
        <f t="shared" ca="1" si="48"/>
        <v>61486.41680500003</v>
      </c>
      <c r="BL52" s="139">
        <f t="shared" ca="1" si="48"/>
        <v>61486.41680500003</v>
      </c>
      <c r="BM52" s="139">
        <f t="shared" ca="1" si="48"/>
        <v>61486.41680500003</v>
      </c>
      <c r="BN52" s="139">
        <f t="shared" ca="1" si="48"/>
        <v>61486.41680500003</v>
      </c>
      <c r="BO52" s="139">
        <f t="shared" ca="1" si="48"/>
        <v>61486.41680500003</v>
      </c>
      <c r="BP52" s="139">
        <f t="shared" ca="1" si="48"/>
        <v>61486.41680500003</v>
      </c>
      <c r="BQ52" s="139">
        <f t="shared" ca="1" si="48"/>
        <v>61486.41680500003</v>
      </c>
      <c r="BR52" s="139">
        <f t="shared" ca="1" si="48"/>
        <v>737837.0016600003</v>
      </c>
      <c r="BS52" s="139">
        <f t="shared" ref="BS52:CR52" ca="1" si="49">SUM(BS33:BS51)</f>
        <v>67635.058485500034</v>
      </c>
      <c r="BT52" s="139">
        <f t="shared" ca="1" si="49"/>
        <v>67635.058485500034</v>
      </c>
      <c r="BU52" s="139">
        <f t="shared" ca="1" si="49"/>
        <v>67635.058485500034</v>
      </c>
      <c r="BV52" s="139">
        <f t="shared" ca="1" si="49"/>
        <v>67635.058485500034</v>
      </c>
      <c r="BW52" s="139">
        <f t="shared" ca="1" si="49"/>
        <v>67635.058485500034</v>
      </c>
      <c r="BX52" s="139">
        <f t="shared" ca="1" si="49"/>
        <v>67635.058485500034</v>
      </c>
      <c r="BY52" s="139">
        <f t="shared" ca="1" si="49"/>
        <v>67635.058485500034</v>
      </c>
      <c r="BZ52" s="139">
        <f t="shared" ca="1" si="49"/>
        <v>67635.058485500034</v>
      </c>
      <c r="CA52" s="139">
        <f t="shared" ca="1" si="49"/>
        <v>67635.058485500034</v>
      </c>
      <c r="CB52" s="139">
        <f t="shared" ca="1" si="49"/>
        <v>67635.058485500034</v>
      </c>
      <c r="CC52" s="139">
        <f t="shared" ca="1" si="49"/>
        <v>67635.058485500034</v>
      </c>
      <c r="CD52" s="139">
        <f t="shared" ca="1" si="49"/>
        <v>67635.058485500034</v>
      </c>
      <c r="CE52" s="139">
        <f t="shared" ca="1" si="49"/>
        <v>811620.70182600035</v>
      </c>
      <c r="CF52" s="139">
        <f t="shared" ca="1" si="49"/>
        <v>74398.564334050039</v>
      </c>
      <c r="CG52" s="139">
        <f t="shared" ca="1" si="49"/>
        <v>74398.564334050039</v>
      </c>
      <c r="CH52" s="139">
        <f t="shared" ca="1" si="49"/>
        <v>74398.564334050039</v>
      </c>
      <c r="CI52" s="139">
        <f t="shared" ca="1" si="49"/>
        <v>74398.564334050039</v>
      </c>
      <c r="CJ52" s="139">
        <f t="shared" ca="1" si="49"/>
        <v>74398.564334050039</v>
      </c>
      <c r="CK52" s="139">
        <f t="shared" ca="1" si="49"/>
        <v>74398.564334050039</v>
      </c>
      <c r="CL52" s="139">
        <f t="shared" ca="1" si="49"/>
        <v>74398.564334050039</v>
      </c>
      <c r="CM52" s="139">
        <f t="shared" ca="1" si="49"/>
        <v>74398.564334050039</v>
      </c>
      <c r="CN52" s="139">
        <f t="shared" ca="1" si="49"/>
        <v>74398.564334050039</v>
      </c>
      <c r="CO52" s="139">
        <f t="shared" ca="1" si="49"/>
        <v>74398.564334050039</v>
      </c>
      <c r="CP52" s="139">
        <f t="shared" ca="1" si="49"/>
        <v>74398.564334050039</v>
      </c>
      <c r="CQ52" s="139">
        <f t="shared" ca="1" si="49"/>
        <v>74398.564334050039</v>
      </c>
      <c r="CR52" s="139">
        <f t="shared" ca="1" si="49"/>
        <v>892782.77200860041</v>
      </c>
    </row>
    <row r="53" spans="1:102" ht="18.75" thickBot="1">
      <c r="A53" s="282" t="s">
        <v>560</v>
      </c>
      <c r="B53" s="282"/>
      <c r="C53" s="282"/>
      <c r="D53" s="282"/>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c r="CQ53" s="133"/>
      <c r="CR53" s="133"/>
      <c r="CS53" s="133"/>
      <c r="CT53" s="133"/>
      <c r="CU53" s="133"/>
      <c r="CV53" s="133"/>
      <c r="CW53" s="133"/>
      <c r="CX53" s="133"/>
    </row>
    <row r="54" spans="1:102" ht="19.5" thickTop="1" thickBot="1">
      <c r="A54" s="140" t="str">
        <f>CONCATENATE("Currency: "," ",'Summary. Assumptions. Inputs'!$J$7)</f>
        <v>Currency:  USD</v>
      </c>
      <c r="B54" s="654"/>
      <c r="C54" s="141"/>
      <c r="D54" s="141"/>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c r="CQ54" s="133"/>
      <c r="CR54" s="133"/>
      <c r="CS54" s="133"/>
      <c r="CT54" s="133"/>
      <c r="CU54" s="133"/>
      <c r="CV54" s="133"/>
      <c r="CW54" s="133"/>
      <c r="CX54" s="133"/>
    </row>
    <row r="55" spans="1:102" s="292" customFormat="1" ht="48" thickBot="1">
      <c r="A55" s="288" t="s">
        <v>462</v>
      </c>
      <c r="B55" s="289" t="s">
        <v>543</v>
      </c>
      <c r="C55" s="290" t="s">
        <v>511</v>
      </c>
      <c r="D55" s="290" t="s">
        <v>544</v>
      </c>
      <c r="E55" s="291" t="str">
        <f t="shared" ref="E55" si="50">E32</f>
        <v>Pre-Operation</v>
      </c>
      <c r="F55" s="428" t="s">
        <v>347</v>
      </c>
      <c r="G55" s="428" t="s">
        <v>348</v>
      </c>
      <c r="H55" s="428" t="s">
        <v>349</v>
      </c>
      <c r="I55" s="428" t="s">
        <v>350</v>
      </c>
      <c r="J55" s="428" t="s">
        <v>351</v>
      </c>
      <c r="K55" s="428" t="s">
        <v>352</v>
      </c>
      <c r="L55" s="428" t="s">
        <v>353</v>
      </c>
      <c r="M55" s="428" t="s">
        <v>354</v>
      </c>
      <c r="N55" s="428" t="s">
        <v>355</v>
      </c>
      <c r="O55" s="428" t="s">
        <v>356</v>
      </c>
      <c r="P55" s="428" t="s">
        <v>357</v>
      </c>
      <c r="Q55" s="428" t="s">
        <v>358</v>
      </c>
      <c r="R55" s="428" t="s">
        <v>359</v>
      </c>
      <c r="S55" s="428" t="s">
        <v>360</v>
      </c>
      <c r="T55" s="428" t="s">
        <v>361</v>
      </c>
      <c r="U55" s="428" t="s">
        <v>362</v>
      </c>
      <c r="V55" s="428" t="s">
        <v>363</v>
      </c>
      <c r="W55" s="428" t="s">
        <v>364</v>
      </c>
      <c r="X55" s="428" t="s">
        <v>365</v>
      </c>
      <c r="Y55" s="428" t="s">
        <v>366</v>
      </c>
      <c r="Z55" s="428" t="s">
        <v>367</v>
      </c>
      <c r="AA55" s="428" t="s">
        <v>368</v>
      </c>
      <c r="AB55" s="428" t="s">
        <v>369</v>
      </c>
      <c r="AC55" s="428" t="s">
        <v>370</v>
      </c>
      <c r="AD55" s="428" t="s">
        <v>371</v>
      </c>
      <c r="AE55" s="428" t="s">
        <v>372</v>
      </c>
      <c r="AF55" s="428" t="s">
        <v>373</v>
      </c>
      <c r="AG55" s="428" t="s">
        <v>374</v>
      </c>
      <c r="AH55" s="428" t="s">
        <v>375</v>
      </c>
      <c r="AI55" s="428" t="s">
        <v>376</v>
      </c>
      <c r="AJ55" s="428" t="s">
        <v>377</v>
      </c>
      <c r="AK55" s="428" t="s">
        <v>378</v>
      </c>
      <c r="AL55" s="428" t="s">
        <v>379</v>
      </c>
      <c r="AM55" s="428" t="s">
        <v>380</v>
      </c>
      <c r="AN55" s="428" t="s">
        <v>381</v>
      </c>
      <c r="AO55" s="428" t="s">
        <v>382</v>
      </c>
      <c r="AP55" s="428" t="s">
        <v>383</v>
      </c>
      <c r="AQ55" s="428" t="s">
        <v>384</v>
      </c>
      <c r="AR55" s="428" t="s">
        <v>385</v>
      </c>
      <c r="AS55" s="428" t="s">
        <v>386</v>
      </c>
      <c r="AT55" s="428" t="s">
        <v>387</v>
      </c>
      <c r="AU55" s="428" t="s">
        <v>388</v>
      </c>
      <c r="AV55" s="428" t="s">
        <v>389</v>
      </c>
      <c r="AW55" s="428" t="s">
        <v>390</v>
      </c>
      <c r="AX55" s="428" t="s">
        <v>391</v>
      </c>
      <c r="AY55" s="428" t="s">
        <v>392</v>
      </c>
      <c r="AZ55" s="428" t="s">
        <v>393</v>
      </c>
      <c r="BA55" s="428" t="s">
        <v>394</v>
      </c>
      <c r="BB55" s="428" t="s">
        <v>395</v>
      </c>
      <c r="BC55" s="428" t="s">
        <v>396</v>
      </c>
      <c r="BD55" s="428" t="s">
        <v>397</v>
      </c>
      <c r="BE55" s="428" t="s">
        <v>398</v>
      </c>
      <c r="BF55" s="428" t="s">
        <v>399</v>
      </c>
      <c r="BG55" s="428" t="s">
        <v>400</v>
      </c>
      <c r="BH55" s="428" t="s">
        <v>401</v>
      </c>
      <c r="BI55" s="428" t="s">
        <v>402</v>
      </c>
      <c r="BJ55" s="428" t="s">
        <v>403</v>
      </c>
      <c r="BK55" s="428" t="s">
        <v>404</v>
      </c>
      <c r="BL55" s="428" t="s">
        <v>405</v>
      </c>
      <c r="BM55" s="428" t="s">
        <v>406</v>
      </c>
      <c r="BN55" s="428" t="s">
        <v>407</v>
      </c>
      <c r="BO55" s="428" t="s">
        <v>408</v>
      </c>
      <c r="BP55" s="428" t="s">
        <v>409</v>
      </c>
      <c r="BQ55" s="428" t="s">
        <v>410</v>
      </c>
      <c r="BR55" s="428" t="s">
        <v>411</v>
      </c>
      <c r="BS55" s="428" t="s">
        <v>412</v>
      </c>
      <c r="BT55" s="428" t="s">
        <v>413</v>
      </c>
      <c r="BU55" s="428" t="s">
        <v>414</v>
      </c>
      <c r="BV55" s="428" t="s">
        <v>415</v>
      </c>
      <c r="BW55" s="428" t="s">
        <v>416</v>
      </c>
      <c r="BX55" s="428" t="s">
        <v>417</v>
      </c>
      <c r="BY55" s="428" t="s">
        <v>418</v>
      </c>
      <c r="BZ55" s="428" t="s">
        <v>419</v>
      </c>
      <c r="CA55" s="428" t="s">
        <v>420</v>
      </c>
      <c r="CB55" s="428" t="s">
        <v>421</v>
      </c>
      <c r="CC55" s="428" t="s">
        <v>422</v>
      </c>
      <c r="CD55" s="428" t="s">
        <v>423</v>
      </c>
      <c r="CE55" s="428" t="s">
        <v>424</v>
      </c>
      <c r="CF55" s="428" t="s">
        <v>425</v>
      </c>
      <c r="CG55" s="428" t="s">
        <v>426</v>
      </c>
      <c r="CH55" s="428" t="s">
        <v>427</v>
      </c>
      <c r="CI55" s="428" t="s">
        <v>428</v>
      </c>
      <c r="CJ55" s="428" t="s">
        <v>429</v>
      </c>
      <c r="CK55" s="428" t="s">
        <v>430</v>
      </c>
      <c r="CL55" s="428" t="s">
        <v>431</v>
      </c>
      <c r="CM55" s="428" t="s">
        <v>432</v>
      </c>
      <c r="CN55" s="428" t="s">
        <v>433</v>
      </c>
      <c r="CO55" s="428" t="s">
        <v>434</v>
      </c>
      <c r="CP55" s="428" t="s">
        <v>435</v>
      </c>
      <c r="CQ55" s="428" t="s">
        <v>436</v>
      </c>
      <c r="CR55" s="428" t="s">
        <v>437</v>
      </c>
      <c r="CS55" s="131"/>
      <c r="CT55" s="131"/>
      <c r="CU55" s="131"/>
      <c r="CV55" s="131"/>
      <c r="CW55" s="131"/>
      <c r="CX55" s="131"/>
    </row>
    <row r="56" spans="1:102" ht="15" customHeight="1">
      <c r="A56" s="240" t="s">
        <v>561</v>
      </c>
      <c r="B56" s="649"/>
      <c r="C56" s="240"/>
      <c r="D56" s="133"/>
      <c r="E56" s="134"/>
      <c r="F56" s="135"/>
      <c r="G56" s="135"/>
      <c r="H56" s="135"/>
      <c r="I56" s="135"/>
      <c r="J56" s="135"/>
      <c r="K56" s="135"/>
      <c r="L56" s="135"/>
      <c r="M56" s="135"/>
      <c r="N56" s="135"/>
      <c r="O56" s="135"/>
      <c r="P56" s="135"/>
      <c r="Q56" s="135"/>
      <c r="R56" s="136"/>
      <c r="S56" s="135"/>
      <c r="T56" s="135"/>
      <c r="U56" s="135"/>
      <c r="V56" s="135"/>
      <c r="W56" s="135"/>
      <c r="X56" s="135"/>
      <c r="Y56" s="135"/>
      <c r="Z56" s="135"/>
      <c r="AA56" s="135"/>
      <c r="AB56" s="135"/>
      <c r="AC56" s="135"/>
      <c r="AD56" s="135"/>
      <c r="AE56" s="136"/>
      <c r="AF56" s="135"/>
      <c r="AG56" s="135"/>
      <c r="AH56" s="135"/>
      <c r="AI56" s="135"/>
      <c r="AJ56" s="135"/>
      <c r="AK56" s="135"/>
      <c r="AL56" s="135"/>
      <c r="AM56" s="135"/>
      <c r="AN56" s="135"/>
      <c r="AO56" s="135"/>
      <c r="AP56" s="135"/>
      <c r="AQ56" s="135"/>
      <c r="AR56" s="136"/>
      <c r="AS56" s="135"/>
      <c r="AT56" s="135"/>
      <c r="AU56" s="135"/>
      <c r="AV56" s="135"/>
      <c r="AW56" s="135"/>
      <c r="AX56" s="135"/>
      <c r="AY56" s="135"/>
      <c r="AZ56" s="135"/>
      <c r="BA56" s="135"/>
      <c r="BB56" s="135"/>
      <c r="BC56" s="135"/>
      <c r="BD56" s="135"/>
      <c r="BE56" s="136"/>
      <c r="BF56" s="135"/>
      <c r="BG56" s="135"/>
      <c r="BH56" s="135"/>
      <c r="BI56" s="135"/>
      <c r="BJ56" s="135"/>
      <c r="BK56" s="135"/>
      <c r="BL56" s="135"/>
      <c r="BM56" s="135"/>
      <c r="BN56" s="135"/>
      <c r="BO56" s="135"/>
      <c r="BP56" s="135"/>
      <c r="BQ56" s="135"/>
      <c r="BR56" s="136"/>
      <c r="BS56" s="135"/>
      <c r="BT56" s="135"/>
      <c r="BU56" s="135"/>
      <c r="BV56" s="135"/>
      <c r="BW56" s="135"/>
      <c r="BX56" s="135"/>
      <c r="BY56" s="135"/>
      <c r="BZ56" s="135"/>
      <c r="CA56" s="135"/>
      <c r="CB56" s="135"/>
      <c r="CC56" s="135"/>
      <c r="CD56" s="135"/>
      <c r="CE56" s="136"/>
      <c r="CF56" s="135"/>
      <c r="CG56" s="135"/>
      <c r="CH56" s="135"/>
      <c r="CI56" s="135"/>
      <c r="CJ56" s="135"/>
      <c r="CK56" s="135"/>
      <c r="CL56" s="135"/>
      <c r="CM56" s="135"/>
      <c r="CN56" s="135"/>
      <c r="CO56" s="135"/>
      <c r="CP56" s="135"/>
      <c r="CQ56" s="135"/>
      <c r="CR56" s="136"/>
    </row>
    <row r="57" spans="1:102" ht="15" customHeight="1">
      <c r="A57" s="647"/>
      <c r="B57" s="649"/>
      <c r="C57" s="240"/>
      <c r="D57" s="133">
        <f t="shared" ref="D57" si="51">PRODUCT(B57:C57)/FX_RATE</f>
        <v>0</v>
      </c>
      <c r="E57" s="134"/>
      <c r="F57" s="135"/>
      <c r="G57" s="135"/>
      <c r="H57" s="135"/>
      <c r="I57" s="135"/>
      <c r="J57" s="135"/>
      <c r="K57" s="135"/>
      <c r="L57" s="135"/>
      <c r="M57" s="135"/>
      <c r="N57" s="135"/>
      <c r="O57" s="135"/>
      <c r="P57" s="135"/>
      <c r="Q57" s="135"/>
      <c r="R57" s="136">
        <f>SUM(F57:Q57)</f>
        <v>0</v>
      </c>
      <c r="S57" s="135"/>
      <c r="T57" s="135"/>
      <c r="U57" s="135"/>
      <c r="V57" s="135"/>
      <c r="W57" s="135"/>
      <c r="X57" s="135"/>
      <c r="Y57" s="135"/>
      <c r="Z57" s="135"/>
      <c r="AA57" s="135"/>
      <c r="AB57" s="135"/>
      <c r="AC57" s="135"/>
      <c r="AD57" s="135"/>
      <c r="AE57" s="136">
        <f>SUM(S57:AD57)</f>
        <v>0</v>
      </c>
      <c r="AF57" s="135"/>
      <c r="AG57" s="135"/>
      <c r="AH57" s="135"/>
      <c r="AI57" s="135"/>
      <c r="AJ57" s="135"/>
      <c r="AK57" s="135"/>
      <c r="AL57" s="135"/>
      <c r="AM57" s="135"/>
      <c r="AN57" s="135"/>
      <c r="AO57" s="135"/>
      <c r="AP57" s="135"/>
      <c r="AQ57" s="135"/>
      <c r="AR57" s="136">
        <f>SUM(AF57:AQ57)</f>
        <v>0</v>
      </c>
      <c r="AS57" s="135"/>
      <c r="AT57" s="135"/>
      <c r="AU57" s="135"/>
      <c r="AV57" s="135"/>
      <c r="AW57" s="135"/>
      <c r="AX57" s="135"/>
      <c r="AY57" s="135"/>
      <c r="AZ57" s="135"/>
      <c r="BA57" s="135"/>
      <c r="BB57" s="135"/>
      <c r="BC57" s="135"/>
      <c r="BD57" s="135"/>
      <c r="BE57" s="136">
        <f>SUM(AS57:BD57)</f>
        <v>0</v>
      </c>
      <c r="BF57" s="135"/>
      <c r="BG57" s="135"/>
      <c r="BH57" s="135"/>
      <c r="BI57" s="135"/>
      <c r="BJ57" s="135"/>
      <c r="BK57" s="135"/>
      <c r="BL57" s="135"/>
      <c r="BM57" s="135"/>
      <c r="BN57" s="135"/>
      <c r="BO57" s="135"/>
      <c r="BP57" s="135"/>
      <c r="BQ57" s="135"/>
      <c r="BR57" s="136">
        <f>SUM(BF57:BQ57)</f>
        <v>0</v>
      </c>
      <c r="BS57" s="135"/>
      <c r="BT57" s="135"/>
      <c r="BU57" s="135"/>
      <c r="BV57" s="135"/>
      <c r="BW57" s="135"/>
      <c r="BX57" s="135"/>
      <c r="BY57" s="135"/>
      <c r="BZ57" s="135"/>
      <c r="CA57" s="135"/>
      <c r="CB57" s="135"/>
      <c r="CC57" s="135"/>
      <c r="CD57" s="135"/>
      <c r="CE57" s="136">
        <f>SUM(BS57:CD57)</f>
        <v>0</v>
      </c>
      <c r="CF57" s="135"/>
      <c r="CG57" s="135"/>
      <c r="CH57" s="135"/>
      <c r="CI57" s="135"/>
      <c r="CJ57" s="135"/>
      <c r="CK57" s="135"/>
      <c r="CL57" s="135"/>
      <c r="CM57" s="135"/>
      <c r="CN57" s="135"/>
      <c r="CO57" s="135"/>
      <c r="CP57" s="135"/>
      <c r="CQ57" s="135"/>
      <c r="CR57" s="136">
        <f>SUM(CF57:CQ57)</f>
        <v>0</v>
      </c>
    </row>
    <row r="58" spans="1:102" ht="15" customHeight="1">
      <c r="A58" s="646"/>
      <c r="B58" s="649"/>
      <c r="C58" s="240"/>
      <c r="D58" s="133">
        <f t="shared" ref="D58:D89" si="52">PRODUCT(B58:C58)/USD_RATE</f>
        <v>0</v>
      </c>
      <c r="E58" s="137"/>
      <c r="F58" s="135">
        <f t="shared" ref="F58:U85" si="53">$D58</f>
        <v>0</v>
      </c>
      <c r="G58" s="135">
        <f t="shared" si="53"/>
        <v>0</v>
      </c>
      <c r="H58" s="135">
        <f t="shared" si="53"/>
        <v>0</v>
      </c>
      <c r="I58" s="135">
        <f t="shared" si="53"/>
        <v>0</v>
      </c>
      <c r="J58" s="135">
        <f t="shared" si="53"/>
        <v>0</v>
      </c>
      <c r="K58" s="135">
        <f t="shared" si="53"/>
        <v>0</v>
      </c>
      <c r="L58" s="135">
        <f t="shared" si="53"/>
        <v>0</v>
      </c>
      <c r="M58" s="135">
        <f t="shared" si="53"/>
        <v>0</v>
      </c>
      <c r="N58" s="135">
        <f t="shared" si="53"/>
        <v>0</v>
      </c>
      <c r="O58" s="135">
        <f t="shared" si="53"/>
        <v>0</v>
      </c>
      <c r="P58" s="135">
        <f t="shared" si="53"/>
        <v>0</v>
      </c>
      <c r="Q58" s="135">
        <f t="shared" si="53"/>
        <v>0</v>
      </c>
      <c r="R58" s="136">
        <f t="shared" ref="R58:R89" si="54">SUM(F58:Q58)</f>
        <v>0</v>
      </c>
      <c r="S58" s="135">
        <f t="shared" si="53"/>
        <v>0</v>
      </c>
      <c r="T58" s="135">
        <f t="shared" si="53"/>
        <v>0</v>
      </c>
      <c r="U58" s="135">
        <f t="shared" si="53"/>
        <v>0</v>
      </c>
      <c r="V58" s="135">
        <f t="shared" ref="S58:AD86" si="55">$D58</f>
        <v>0</v>
      </c>
      <c r="W58" s="135">
        <f t="shared" si="55"/>
        <v>0</v>
      </c>
      <c r="X58" s="135">
        <f t="shared" si="55"/>
        <v>0</v>
      </c>
      <c r="Y58" s="135">
        <f t="shared" si="55"/>
        <v>0</v>
      </c>
      <c r="Z58" s="135">
        <f t="shared" si="55"/>
        <v>0</v>
      </c>
      <c r="AA58" s="135">
        <f t="shared" si="55"/>
        <v>0</v>
      </c>
      <c r="AB58" s="135">
        <f t="shared" si="55"/>
        <v>0</v>
      </c>
      <c r="AC58" s="135">
        <f t="shared" si="55"/>
        <v>0</v>
      </c>
      <c r="AD58" s="135">
        <f t="shared" si="55"/>
        <v>0</v>
      </c>
      <c r="AE58" s="136">
        <f t="shared" ref="AE58:AE89" si="56">SUM(S58:AD58)</f>
        <v>0</v>
      </c>
      <c r="AF58" s="135">
        <f t="shared" ref="AF58:AU86" si="57">$D58</f>
        <v>0</v>
      </c>
      <c r="AG58" s="135">
        <f t="shared" si="57"/>
        <v>0</v>
      </c>
      <c r="AH58" s="135">
        <f t="shared" si="57"/>
        <v>0</v>
      </c>
      <c r="AI58" s="135">
        <f t="shared" si="57"/>
        <v>0</v>
      </c>
      <c r="AJ58" s="135">
        <f t="shared" si="57"/>
        <v>0</v>
      </c>
      <c r="AK58" s="135">
        <f t="shared" si="57"/>
        <v>0</v>
      </c>
      <c r="AL58" s="135">
        <f t="shared" si="57"/>
        <v>0</v>
      </c>
      <c r="AM58" s="135">
        <f t="shared" si="57"/>
        <v>0</v>
      </c>
      <c r="AN58" s="135">
        <f t="shared" si="57"/>
        <v>0</v>
      </c>
      <c r="AO58" s="135">
        <f t="shared" si="57"/>
        <v>0</v>
      </c>
      <c r="AP58" s="135">
        <f t="shared" si="57"/>
        <v>0</v>
      </c>
      <c r="AQ58" s="135">
        <f t="shared" si="57"/>
        <v>0</v>
      </c>
      <c r="AR58" s="136">
        <f t="shared" ref="AR58:AR89" si="58">SUM(AF58:AQ58)</f>
        <v>0</v>
      </c>
      <c r="AS58" s="135">
        <f t="shared" si="57"/>
        <v>0</v>
      </c>
      <c r="AT58" s="135">
        <f t="shared" si="57"/>
        <v>0</v>
      </c>
      <c r="AU58" s="135">
        <f t="shared" si="57"/>
        <v>0</v>
      </c>
      <c r="AV58" s="135">
        <f t="shared" ref="AS58:BD86" si="59">$D58</f>
        <v>0</v>
      </c>
      <c r="AW58" s="135">
        <f t="shared" si="59"/>
        <v>0</v>
      </c>
      <c r="AX58" s="135">
        <f t="shared" si="59"/>
        <v>0</v>
      </c>
      <c r="AY58" s="135">
        <f t="shared" si="59"/>
        <v>0</v>
      </c>
      <c r="AZ58" s="135">
        <f t="shared" si="59"/>
        <v>0</v>
      </c>
      <c r="BA58" s="135">
        <f t="shared" si="59"/>
        <v>0</v>
      </c>
      <c r="BB58" s="135">
        <f t="shared" si="59"/>
        <v>0</v>
      </c>
      <c r="BC58" s="135">
        <f t="shared" si="59"/>
        <v>0</v>
      </c>
      <c r="BD58" s="135">
        <f t="shared" si="59"/>
        <v>0</v>
      </c>
      <c r="BE58" s="136">
        <f t="shared" ref="BE58:BE89" si="60">SUM(AS58:BD58)</f>
        <v>0</v>
      </c>
      <c r="BF58" s="135">
        <f t="shared" ref="BF58:BU86" si="61">$D58</f>
        <v>0</v>
      </c>
      <c r="BG58" s="135">
        <f t="shared" si="61"/>
        <v>0</v>
      </c>
      <c r="BH58" s="135">
        <f t="shared" si="61"/>
        <v>0</v>
      </c>
      <c r="BI58" s="135">
        <f t="shared" si="61"/>
        <v>0</v>
      </c>
      <c r="BJ58" s="135">
        <f t="shared" si="61"/>
        <v>0</v>
      </c>
      <c r="BK58" s="135">
        <f t="shared" si="61"/>
        <v>0</v>
      </c>
      <c r="BL58" s="135">
        <f t="shared" si="61"/>
        <v>0</v>
      </c>
      <c r="BM58" s="135">
        <f t="shared" si="61"/>
        <v>0</v>
      </c>
      <c r="BN58" s="135">
        <f t="shared" si="61"/>
        <v>0</v>
      </c>
      <c r="BO58" s="135">
        <f t="shared" si="61"/>
        <v>0</v>
      </c>
      <c r="BP58" s="135">
        <f t="shared" si="61"/>
        <v>0</v>
      </c>
      <c r="BQ58" s="135">
        <f t="shared" si="61"/>
        <v>0</v>
      </c>
      <c r="BR58" s="136">
        <f t="shared" ref="BR58:BR89" si="62">SUM(BF58:BQ58)</f>
        <v>0</v>
      </c>
      <c r="BS58" s="135">
        <f t="shared" si="61"/>
        <v>0</v>
      </c>
      <c r="BT58" s="135">
        <f t="shared" si="61"/>
        <v>0</v>
      </c>
      <c r="BU58" s="135">
        <f t="shared" si="61"/>
        <v>0</v>
      </c>
      <c r="BV58" s="135">
        <f t="shared" ref="BS58:CD86" si="63">$D58</f>
        <v>0</v>
      </c>
      <c r="BW58" s="135">
        <f t="shared" si="63"/>
        <v>0</v>
      </c>
      <c r="BX58" s="135">
        <f t="shared" si="63"/>
        <v>0</v>
      </c>
      <c r="BY58" s="135">
        <f t="shared" si="63"/>
        <v>0</v>
      </c>
      <c r="BZ58" s="135">
        <f t="shared" si="63"/>
        <v>0</v>
      </c>
      <c r="CA58" s="135">
        <f t="shared" si="63"/>
        <v>0</v>
      </c>
      <c r="CB58" s="135">
        <f t="shared" si="63"/>
        <v>0</v>
      </c>
      <c r="CC58" s="135">
        <f t="shared" si="63"/>
        <v>0</v>
      </c>
      <c r="CD58" s="135">
        <f t="shared" si="63"/>
        <v>0</v>
      </c>
      <c r="CE58" s="136">
        <f t="shared" ref="CE58:CE89" si="64">SUM(BS58:CD58)</f>
        <v>0</v>
      </c>
      <c r="CF58" s="135">
        <f t="shared" ref="CF58:CQ86" si="65">$D58</f>
        <v>0</v>
      </c>
      <c r="CG58" s="135">
        <f t="shared" si="65"/>
        <v>0</v>
      </c>
      <c r="CH58" s="135">
        <f t="shared" si="65"/>
        <v>0</v>
      </c>
      <c r="CI58" s="135">
        <f t="shared" si="65"/>
        <v>0</v>
      </c>
      <c r="CJ58" s="135">
        <f t="shared" si="65"/>
        <v>0</v>
      </c>
      <c r="CK58" s="135">
        <f t="shared" si="65"/>
        <v>0</v>
      </c>
      <c r="CL58" s="135">
        <f t="shared" si="65"/>
        <v>0</v>
      </c>
      <c r="CM58" s="135">
        <f t="shared" si="65"/>
        <v>0</v>
      </c>
      <c r="CN58" s="135">
        <f t="shared" si="65"/>
        <v>0</v>
      </c>
      <c r="CO58" s="135">
        <f t="shared" si="65"/>
        <v>0</v>
      </c>
      <c r="CP58" s="135">
        <f t="shared" si="65"/>
        <v>0</v>
      </c>
      <c r="CQ58" s="135">
        <f t="shared" si="65"/>
        <v>0</v>
      </c>
      <c r="CR58" s="136">
        <f t="shared" ref="CR58:CR89" si="66">SUM(CF58:CQ58)</f>
        <v>0</v>
      </c>
    </row>
    <row r="59" spans="1:102" ht="15" customHeight="1">
      <c r="A59" s="646"/>
      <c r="B59" s="649"/>
      <c r="C59" s="240"/>
      <c r="D59" s="133">
        <f t="shared" si="52"/>
        <v>0</v>
      </c>
      <c r="E59" s="137"/>
      <c r="F59" s="135">
        <f t="shared" si="53"/>
        <v>0</v>
      </c>
      <c r="G59" s="135">
        <f t="shared" si="53"/>
        <v>0</v>
      </c>
      <c r="H59" s="135">
        <f t="shared" si="53"/>
        <v>0</v>
      </c>
      <c r="I59" s="135">
        <f t="shared" si="53"/>
        <v>0</v>
      </c>
      <c r="J59" s="135">
        <f t="shared" si="53"/>
        <v>0</v>
      </c>
      <c r="K59" s="135">
        <f t="shared" si="53"/>
        <v>0</v>
      </c>
      <c r="L59" s="135">
        <f t="shared" si="53"/>
        <v>0</v>
      </c>
      <c r="M59" s="135">
        <f t="shared" si="53"/>
        <v>0</v>
      </c>
      <c r="N59" s="135">
        <f t="shared" si="53"/>
        <v>0</v>
      </c>
      <c r="O59" s="135">
        <f t="shared" si="53"/>
        <v>0</v>
      </c>
      <c r="P59" s="135">
        <f t="shared" si="53"/>
        <v>0</v>
      </c>
      <c r="Q59" s="135">
        <f t="shared" si="53"/>
        <v>0</v>
      </c>
      <c r="R59" s="136">
        <f t="shared" si="54"/>
        <v>0</v>
      </c>
      <c r="S59" s="135">
        <f t="shared" si="55"/>
        <v>0</v>
      </c>
      <c r="T59" s="135">
        <f t="shared" si="55"/>
        <v>0</v>
      </c>
      <c r="U59" s="135">
        <f t="shared" si="55"/>
        <v>0</v>
      </c>
      <c r="V59" s="135">
        <f t="shared" si="55"/>
        <v>0</v>
      </c>
      <c r="W59" s="135">
        <f t="shared" si="55"/>
        <v>0</v>
      </c>
      <c r="X59" s="135">
        <f t="shared" si="55"/>
        <v>0</v>
      </c>
      <c r="Y59" s="135">
        <f t="shared" si="55"/>
        <v>0</v>
      </c>
      <c r="Z59" s="135">
        <f t="shared" si="55"/>
        <v>0</v>
      </c>
      <c r="AA59" s="135">
        <f t="shared" si="55"/>
        <v>0</v>
      </c>
      <c r="AB59" s="135">
        <f t="shared" si="55"/>
        <v>0</v>
      </c>
      <c r="AC59" s="135">
        <f t="shared" si="55"/>
        <v>0</v>
      </c>
      <c r="AD59" s="135">
        <f t="shared" si="55"/>
        <v>0</v>
      </c>
      <c r="AE59" s="136">
        <f t="shared" si="56"/>
        <v>0</v>
      </c>
      <c r="AF59" s="135">
        <f t="shared" si="57"/>
        <v>0</v>
      </c>
      <c r="AG59" s="135">
        <f t="shared" si="57"/>
        <v>0</v>
      </c>
      <c r="AH59" s="135">
        <f t="shared" si="57"/>
        <v>0</v>
      </c>
      <c r="AI59" s="135">
        <f t="shared" si="57"/>
        <v>0</v>
      </c>
      <c r="AJ59" s="135">
        <f t="shared" si="57"/>
        <v>0</v>
      </c>
      <c r="AK59" s="135">
        <f t="shared" si="57"/>
        <v>0</v>
      </c>
      <c r="AL59" s="135">
        <f t="shared" si="57"/>
        <v>0</v>
      </c>
      <c r="AM59" s="135">
        <f t="shared" si="57"/>
        <v>0</v>
      </c>
      <c r="AN59" s="135">
        <f t="shared" si="57"/>
        <v>0</v>
      </c>
      <c r="AO59" s="135">
        <f t="shared" si="57"/>
        <v>0</v>
      </c>
      <c r="AP59" s="135">
        <f t="shared" si="57"/>
        <v>0</v>
      </c>
      <c r="AQ59" s="135">
        <f t="shared" si="57"/>
        <v>0</v>
      </c>
      <c r="AR59" s="136">
        <f t="shared" si="58"/>
        <v>0</v>
      </c>
      <c r="AS59" s="135">
        <f t="shared" si="59"/>
        <v>0</v>
      </c>
      <c r="AT59" s="135">
        <f t="shared" si="59"/>
        <v>0</v>
      </c>
      <c r="AU59" s="135">
        <f t="shared" si="59"/>
        <v>0</v>
      </c>
      <c r="AV59" s="135">
        <f t="shared" si="59"/>
        <v>0</v>
      </c>
      <c r="AW59" s="135">
        <f t="shared" si="59"/>
        <v>0</v>
      </c>
      <c r="AX59" s="135">
        <f t="shared" si="59"/>
        <v>0</v>
      </c>
      <c r="AY59" s="135">
        <f t="shared" si="59"/>
        <v>0</v>
      </c>
      <c r="AZ59" s="135">
        <f t="shared" si="59"/>
        <v>0</v>
      </c>
      <c r="BA59" s="135">
        <f t="shared" si="59"/>
        <v>0</v>
      </c>
      <c r="BB59" s="135">
        <f t="shared" si="59"/>
        <v>0</v>
      </c>
      <c r="BC59" s="135">
        <f t="shared" si="59"/>
        <v>0</v>
      </c>
      <c r="BD59" s="135">
        <f t="shared" si="59"/>
        <v>0</v>
      </c>
      <c r="BE59" s="136">
        <f t="shared" si="60"/>
        <v>0</v>
      </c>
      <c r="BF59" s="135">
        <f t="shared" si="61"/>
        <v>0</v>
      </c>
      <c r="BG59" s="135">
        <f t="shared" si="61"/>
        <v>0</v>
      </c>
      <c r="BH59" s="135">
        <f t="shared" si="61"/>
        <v>0</v>
      </c>
      <c r="BI59" s="135">
        <f t="shared" si="61"/>
        <v>0</v>
      </c>
      <c r="BJ59" s="135">
        <f t="shared" si="61"/>
        <v>0</v>
      </c>
      <c r="BK59" s="135">
        <f t="shared" si="61"/>
        <v>0</v>
      </c>
      <c r="BL59" s="135">
        <f t="shared" si="61"/>
        <v>0</v>
      </c>
      <c r="BM59" s="135">
        <f t="shared" si="61"/>
        <v>0</v>
      </c>
      <c r="BN59" s="135">
        <f t="shared" si="61"/>
        <v>0</v>
      </c>
      <c r="BO59" s="135">
        <f t="shared" si="61"/>
        <v>0</v>
      </c>
      <c r="BP59" s="135">
        <f t="shared" si="61"/>
        <v>0</v>
      </c>
      <c r="BQ59" s="135">
        <f t="shared" si="61"/>
        <v>0</v>
      </c>
      <c r="BR59" s="136">
        <f t="shared" si="62"/>
        <v>0</v>
      </c>
      <c r="BS59" s="135">
        <f t="shared" si="63"/>
        <v>0</v>
      </c>
      <c r="BT59" s="135">
        <f t="shared" si="63"/>
        <v>0</v>
      </c>
      <c r="BU59" s="135">
        <f t="shared" si="63"/>
        <v>0</v>
      </c>
      <c r="BV59" s="135">
        <f t="shared" si="63"/>
        <v>0</v>
      </c>
      <c r="BW59" s="135">
        <f t="shared" si="63"/>
        <v>0</v>
      </c>
      <c r="BX59" s="135">
        <f t="shared" si="63"/>
        <v>0</v>
      </c>
      <c r="BY59" s="135">
        <f t="shared" si="63"/>
        <v>0</v>
      </c>
      <c r="BZ59" s="135">
        <f t="shared" si="63"/>
        <v>0</v>
      </c>
      <c r="CA59" s="135">
        <f t="shared" si="63"/>
        <v>0</v>
      </c>
      <c r="CB59" s="135">
        <f t="shared" si="63"/>
        <v>0</v>
      </c>
      <c r="CC59" s="135">
        <f t="shared" si="63"/>
        <v>0</v>
      </c>
      <c r="CD59" s="135">
        <f t="shared" si="63"/>
        <v>0</v>
      </c>
      <c r="CE59" s="136">
        <f t="shared" si="64"/>
        <v>0</v>
      </c>
      <c r="CF59" s="135">
        <f t="shared" si="65"/>
        <v>0</v>
      </c>
      <c r="CG59" s="135">
        <f t="shared" si="65"/>
        <v>0</v>
      </c>
      <c r="CH59" s="135">
        <f t="shared" si="65"/>
        <v>0</v>
      </c>
      <c r="CI59" s="135">
        <f t="shared" si="65"/>
        <v>0</v>
      </c>
      <c r="CJ59" s="135">
        <f t="shared" si="65"/>
        <v>0</v>
      </c>
      <c r="CK59" s="135">
        <f t="shared" si="65"/>
        <v>0</v>
      </c>
      <c r="CL59" s="135">
        <f t="shared" si="65"/>
        <v>0</v>
      </c>
      <c r="CM59" s="135">
        <f t="shared" si="65"/>
        <v>0</v>
      </c>
      <c r="CN59" s="135">
        <f t="shared" si="65"/>
        <v>0</v>
      </c>
      <c r="CO59" s="135">
        <f t="shared" si="65"/>
        <v>0</v>
      </c>
      <c r="CP59" s="135">
        <f t="shared" si="65"/>
        <v>0</v>
      </c>
      <c r="CQ59" s="135">
        <f t="shared" si="65"/>
        <v>0</v>
      </c>
      <c r="CR59" s="136">
        <f t="shared" si="66"/>
        <v>0</v>
      </c>
    </row>
    <row r="60" spans="1:102" ht="15" customHeight="1">
      <c r="A60" s="646"/>
      <c r="B60" s="649"/>
      <c r="C60" s="240"/>
      <c r="D60" s="133">
        <f t="shared" si="52"/>
        <v>0</v>
      </c>
      <c r="E60" s="137"/>
      <c r="F60" s="135">
        <f t="shared" si="53"/>
        <v>0</v>
      </c>
      <c r="G60" s="135">
        <f t="shared" si="53"/>
        <v>0</v>
      </c>
      <c r="H60" s="135">
        <f t="shared" si="53"/>
        <v>0</v>
      </c>
      <c r="I60" s="135">
        <f t="shared" si="53"/>
        <v>0</v>
      </c>
      <c r="J60" s="135">
        <f t="shared" si="53"/>
        <v>0</v>
      </c>
      <c r="K60" s="135">
        <f t="shared" si="53"/>
        <v>0</v>
      </c>
      <c r="L60" s="135">
        <f t="shared" si="53"/>
        <v>0</v>
      </c>
      <c r="M60" s="135">
        <f t="shared" si="53"/>
        <v>0</v>
      </c>
      <c r="N60" s="135">
        <f t="shared" si="53"/>
        <v>0</v>
      </c>
      <c r="O60" s="135">
        <f t="shared" si="53"/>
        <v>0</v>
      </c>
      <c r="P60" s="135">
        <f t="shared" si="53"/>
        <v>0</v>
      </c>
      <c r="Q60" s="135">
        <f t="shared" si="53"/>
        <v>0</v>
      </c>
      <c r="R60" s="136">
        <f t="shared" si="54"/>
        <v>0</v>
      </c>
      <c r="S60" s="135">
        <f t="shared" si="55"/>
        <v>0</v>
      </c>
      <c r="T60" s="135">
        <f t="shared" si="55"/>
        <v>0</v>
      </c>
      <c r="U60" s="135">
        <f t="shared" si="55"/>
        <v>0</v>
      </c>
      <c r="V60" s="135">
        <f t="shared" si="55"/>
        <v>0</v>
      </c>
      <c r="W60" s="135">
        <f t="shared" si="55"/>
        <v>0</v>
      </c>
      <c r="X60" s="135">
        <f t="shared" si="55"/>
        <v>0</v>
      </c>
      <c r="Y60" s="135">
        <f t="shared" si="55"/>
        <v>0</v>
      </c>
      <c r="Z60" s="135">
        <f t="shared" si="55"/>
        <v>0</v>
      </c>
      <c r="AA60" s="135">
        <f t="shared" si="55"/>
        <v>0</v>
      </c>
      <c r="AB60" s="135">
        <f t="shared" si="55"/>
        <v>0</v>
      </c>
      <c r="AC60" s="135">
        <f t="shared" si="55"/>
        <v>0</v>
      </c>
      <c r="AD60" s="135">
        <f t="shared" si="55"/>
        <v>0</v>
      </c>
      <c r="AE60" s="136">
        <f t="shared" si="56"/>
        <v>0</v>
      </c>
      <c r="AF60" s="135">
        <f t="shared" si="57"/>
        <v>0</v>
      </c>
      <c r="AG60" s="135">
        <f t="shared" si="57"/>
        <v>0</v>
      </c>
      <c r="AH60" s="135">
        <f t="shared" si="57"/>
        <v>0</v>
      </c>
      <c r="AI60" s="135">
        <f t="shared" si="57"/>
        <v>0</v>
      </c>
      <c r="AJ60" s="135">
        <f t="shared" si="57"/>
        <v>0</v>
      </c>
      <c r="AK60" s="135">
        <f t="shared" si="57"/>
        <v>0</v>
      </c>
      <c r="AL60" s="135">
        <f t="shared" si="57"/>
        <v>0</v>
      </c>
      <c r="AM60" s="135">
        <f t="shared" si="57"/>
        <v>0</v>
      </c>
      <c r="AN60" s="135">
        <f t="shared" si="57"/>
        <v>0</v>
      </c>
      <c r="AO60" s="135">
        <f t="shared" si="57"/>
        <v>0</v>
      </c>
      <c r="AP60" s="135">
        <f t="shared" si="57"/>
        <v>0</v>
      </c>
      <c r="AQ60" s="135">
        <f t="shared" si="57"/>
        <v>0</v>
      </c>
      <c r="AR60" s="136">
        <f t="shared" si="58"/>
        <v>0</v>
      </c>
      <c r="AS60" s="135">
        <f t="shared" si="59"/>
        <v>0</v>
      </c>
      <c r="AT60" s="135">
        <f t="shared" si="59"/>
        <v>0</v>
      </c>
      <c r="AU60" s="135">
        <f t="shared" si="59"/>
        <v>0</v>
      </c>
      <c r="AV60" s="135">
        <f t="shared" si="59"/>
        <v>0</v>
      </c>
      <c r="AW60" s="135">
        <f t="shared" si="59"/>
        <v>0</v>
      </c>
      <c r="AX60" s="135">
        <f t="shared" si="59"/>
        <v>0</v>
      </c>
      <c r="AY60" s="135">
        <f t="shared" si="59"/>
        <v>0</v>
      </c>
      <c r="AZ60" s="135">
        <f t="shared" si="59"/>
        <v>0</v>
      </c>
      <c r="BA60" s="135">
        <f t="shared" si="59"/>
        <v>0</v>
      </c>
      <c r="BB60" s="135">
        <f t="shared" si="59"/>
        <v>0</v>
      </c>
      <c r="BC60" s="135">
        <f t="shared" si="59"/>
        <v>0</v>
      </c>
      <c r="BD60" s="135">
        <f t="shared" si="59"/>
        <v>0</v>
      </c>
      <c r="BE60" s="136">
        <f t="shared" si="60"/>
        <v>0</v>
      </c>
      <c r="BF60" s="135">
        <f t="shared" si="61"/>
        <v>0</v>
      </c>
      <c r="BG60" s="135">
        <f t="shared" si="61"/>
        <v>0</v>
      </c>
      <c r="BH60" s="135">
        <f t="shared" si="61"/>
        <v>0</v>
      </c>
      <c r="BI60" s="135">
        <f t="shared" si="61"/>
        <v>0</v>
      </c>
      <c r="BJ60" s="135">
        <f t="shared" si="61"/>
        <v>0</v>
      </c>
      <c r="BK60" s="135">
        <f t="shared" si="61"/>
        <v>0</v>
      </c>
      <c r="BL60" s="135">
        <f t="shared" si="61"/>
        <v>0</v>
      </c>
      <c r="BM60" s="135">
        <f t="shared" si="61"/>
        <v>0</v>
      </c>
      <c r="BN60" s="135">
        <f t="shared" si="61"/>
        <v>0</v>
      </c>
      <c r="BO60" s="135">
        <f t="shared" si="61"/>
        <v>0</v>
      </c>
      <c r="BP60" s="135">
        <f t="shared" si="61"/>
        <v>0</v>
      </c>
      <c r="BQ60" s="135">
        <f t="shared" si="61"/>
        <v>0</v>
      </c>
      <c r="BR60" s="136">
        <f t="shared" si="62"/>
        <v>0</v>
      </c>
      <c r="BS60" s="135">
        <f t="shared" si="63"/>
        <v>0</v>
      </c>
      <c r="BT60" s="135">
        <f t="shared" si="63"/>
        <v>0</v>
      </c>
      <c r="BU60" s="135">
        <f t="shared" si="63"/>
        <v>0</v>
      </c>
      <c r="BV60" s="135">
        <f t="shared" si="63"/>
        <v>0</v>
      </c>
      <c r="BW60" s="135">
        <f t="shared" si="63"/>
        <v>0</v>
      </c>
      <c r="BX60" s="135">
        <f t="shared" si="63"/>
        <v>0</v>
      </c>
      <c r="BY60" s="135">
        <f t="shared" si="63"/>
        <v>0</v>
      </c>
      <c r="BZ60" s="135">
        <f t="shared" si="63"/>
        <v>0</v>
      </c>
      <c r="CA60" s="135">
        <f t="shared" si="63"/>
        <v>0</v>
      </c>
      <c r="CB60" s="135">
        <f t="shared" si="63"/>
        <v>0</v>
      </c>
      <c r="CC60" s="135">
        <f t="shared" si="63"/>
        <v>0</v>
      </c>
      <c r="CD60" s="135">
        <f t="shared" si="63"/>
        <v>0</v>
      </c>
      <c r="CE60" s="136">
        <f t="shared" si="64"/>
        <v>0</v>
      </c>
      <c r="CF60" s="135">
        <f t="shared" si="65"/>
        <v>0</v>
      </c>
      <c r="CG60" s="135">
        <f t="shared" si="65"/>
        <v>0</v>
      </c>
      <c r="CH60" s="135">
        <f t="shared" si="65"/>
        <v>0</v>
      </c>
      <c r="CI60" s="135">
        <f t="shared" si="65"/>
        <v>0</v>
      </c>
      <c r="CJ60" s="135">
        <f t="shared" si="65"/>
        <v>0</v>
      </c>
      <c r="CK60" s="135">
        <f t="shared" si="65"/>
        <v>0</v>
      </c>
      <c r="CL60" s="135">
        <f t="shared" si="65"/>
        <v>0</v>
      </c>
      <c r="CM60" s="135">
        <f t="shared" si="65"/>
        <v>0</v>
      </c>
      <c r="CN60" s="135">
        <f t="shared" si="65"/>
        <v>0</v>
      </c>
      <c r="CO60" s="135">
        <f t="shared" si="65"/>
        <v>0</v>
      </c>
      <c r="CP60" s="135">
        <f t="shared" si="65"/>
        <v>0</v>
      </c>
      <c r="CQ60" s="135">
        <f t="shared" si="65"/>
        <v>0</v>
      </c>
      <c r="CR60" s="136">
        <f t="shared" si="66"/>
        <v>0</v>
      </c>
    </row>
    <row r="61" spans="1:102" ht="15" customHeight="1">
      <c r="A61" s="646"/>
      <c r="B61" s="649"/>
      <c r="C61" s="240"/>
      <c r="D61" s="133">
        <f t="shared" si="52"/>
        <v>0</v>
      </c>
      <c r="E61" s="137"/>
      <c r="F61" s="135">
        <f t="shared" si="53"/>
        <v>0</v>
      </c>
      <c r="G61" s="135">
        <f t="shared" si="53"/>
        <v>0</v>
      </c>
      <c r="H61" s="135">
        <f t="shared" si="53"/>
        <v>0</v>
      </c>
      <c r="I61" s="135">
        <f t="shared" si="53"/>
        <v>0</v>
      </c>
      <c r="J61" s="135">
        <f t="shared" si="53"/>
        <v>0</v>
      </c>
      <c r="K61" s="135">
        <f t="shared" si="53"/>
        <v>0</v>
      </c>
      <c r="L61" s="135">
        <f t="shared" si="53"/>
        <v>0</v>
      </c>
      <c r="M61" s="135">
        <f t="shared" si="53"/>
        <v>0</v>
      </c>
      <c r="N61" s="135">
        <f t="shared" si="53"/>
        <v>0</v>
      </c>
      <c r="O61" s="135">
        <f t="shared" si="53"/>
        <v>0</v>
      </c>
      <c r="P61" s="135">
        <f t="shared" si="53"/>
        <v>0</v>
      </c>
      <c r="Q61" s="135">
        <f t="shared" si="53"/>
        <v>0</v>
      </c>
      <c r="R61" s="136">
        <f t="shared" si="54"/>
        <v>0</v>
      </c>
      <c r="S61" s="135">
        <f t="shared" si="55"/>
        <v>0</v>
      </c>
      <c r="T61" s="135">
        <f t="shared" si="55"/>
        <v>0</v>
      </c>
      <c r="U61" s="135">
        <f t="shared" si="55"/>
        <v>0</v>
      </c>
      <c r="V61" s="135">
        <f t="shared" si="55"/>
        <v>0</v>
      </c>
      <c r="W61" s="135">
        <f t="shared" si="55"/>
        <v>0</v>
      </c>
      <c r="X61" s="135">
        <f t="shared" si="55"/>
        <v>0</v>
      </c>
      <c r="Y61" s="135">
        <f t="shared" si="55"/>
        <v>0</v>
      </c>
      <c r="Z61" s="135">
        <f t="shared" si="55"/>
        <v>0</v>
      </c>
      <c r="AA61" s="135">
        <f t="shared" si="55"/>
        <v>0</v>
      </c>
      <c r="AB61" s="135">
        <f t="shared" si="55"/>
        <v>0</v>
      </c>
      <c r="AC61" s="135">
        <f t="shared" si="55"/>
        <v>0</v>
      </c>
      <c r="AD61" s="135">
        <f t="shared" si="55"/>
        <v>0</v>
      </c>
      <c r="AE61" s="136">
        <f t="shared" si="56"/>
        <v>0</v>
      </c>
      <c r="AF61" s="135">
        <f t="shared" si="57"/>
        <v>0</v>
      </c>
      <c r="AG61" s="135">
        <f t="shared" si="57"/>
        <v>0</v>
      </c>
      <c r="AH61" s="135">
        <f t="shared" si="57"/>
        <v>0</v>
      </c>
      <c r="AI61" s="135">
        <f t="shared" si="57"/>
        <v>0</v>
      </c>
      <c r="AJ61" s="135">
        <f t="shared" si="57"/>
        <v>0</v>
      </c>
      <c r="AK61" s="135">
        <f t="shared" si="57"/>
        <v>0</v>
      </c>
      <c r="AL61" s="135">
        <f t="shared" si="57"/>
        <v>0</v>
      </c>
      <c r="AM61" s="135">
        <f t="shared" si="57"/>
        <v>0</v>
      </c>
      <c r="AN61" s="135">
        <f t="shared" si="57"/>
        <v>0</v>
      </c>
      <c r="AO61" s="135">
        <f t="shared" si="57"/>
        <v>0</v>
      </c>
      <c r="AP61" s="135">
        <f t="shared" si="57"/>
        <v>0</v>
      </c>
      <c r="AQ61" s="135">
        <f t="shared" si="57"/>
        <v>0</v>
      </c>
      <c r="AR61" s="136">
        <f t="shared" si="58"/>
        <v>0</v>
      </c>
      <c r="AS61" s="135">
        <f t="shared" si="59"/>
        <v>0</v>
      </c>
      <c r="AT61" s="135">
        <f t="shared" si="59"/>
        <v>0</v>
      </c>
      <c r="AU61" s="135">
        <f t="shared" si="59"/>
        <v>0</v>
      </c>
      <c r="AV61" s="135">
        <f t="shared" si="59"/>
        <v>0</v>
      </c>
      <c r="AW61" s="135">
        <f t="shared" si="59"/>
        <v>0</v>
      </c>
      <c r="AX61" s="135">
        <f t="shared" si="59"/>
        <v>0</v>
      </c>
      <c r="AY61" s="135">
        <f t="shared" si="59"/>
        <v>0</v>
      </c>
      <c r="AZ61" s="135">
        <f t="shared" si="59"/>
        <v>0</v>
      </c>
      <c r="BA61" s="135">
        <f t="shared" si="59"/>
        <v>0</v>
      </c>
      <c r="BB61" s="135">
        <f t="shared" si="59"/>
        <v>0</v>
      </c>
      <c r="BC61" s="135">
        <f t="shared" si="59"/>
        <v>0</v>
      </c>
      <c r="BD61" s="135">
        <f t="shared" si="59"/>
        <v>0</v>
      </c>
      <c r="BE61" s="136">
        <f t="shared" si="60"/>
        <v>0</v>
      </c>
      <c r="BF61" s="135">
        <f t="shared" si="61"/>
        <v>0</v>
      </c>
      <c r="BG61" s="135">
        <f t="shared" si="61"/>
        <v>0</v>
      </c>
      <c r="BH61" s="135">
        <f t="shared" si="61"/>
        <v>0</v>
      </c>
      <c r="BI61" s="135">
        <f t="shared" si="61"/>
        <v>0</v>
      </c>
      <c r="BJ61" s="135">
        <f t="shared" si="61"/>
        <v>0</v>
      </c>
      <c r="BK61" s="135">
        <f t="shared" si="61"/>
        <v>0</v>
      </c>
      <c r="BL61" s="135">
        <f t="shared" si="61"/>
        <v>0</v>
      </c>
      <c r="BM61" s="135">
        <f t="shared" si="61"/>
        <v>0</v>
      </c>
      <c r="BN61" s="135">
        <f t="shared" si="61"/>
        <v>0</v>
      </c>
      <c r="BO61" s="135">
        <f t="shared" si="61"/>
        <v>0</v>
      </c>
      <c r="BP61" s="135">
        <f t="shared" si="61"/>
        <v>0</v>
      </c>
      <c r="BQ61" s="135">
        <f t="shared" si="61"/>
        <v>0</v>
      </c>
      <c r="BR61" s="136">
        <f t="shared" si="62"/>
        <v>0</v>
      </c>
      <c r="BS61" s="135">
        <f t="shared" si="63"/>
        <v>0</v>
      </c>
      <c r="BT61" s="135">
        <f t="shared" si="63"/>
        <v>0</v>
      </c>
      <c r="BU61" s="135">
        <f t="shared" si="63"/>
        <v>0</v>
      </c>
      <c r="BV61" s="135">
        <f t="shared" si="63"/>
        <v>0</v>
      </c>
      <c r="BW61" s="135">
        <f t="shared" si="63"/>
        <v>0</v>
      </c>
      <c r="BX61" s="135">
        <f t="shared" si="63"/>
        <v>0</v>
      </c>
      <c r="BY61" s="135">
        <f t="shared" si="63"/>
        <v>0</v>
      </c>
      <c r="BZ61" s="135">
        <f t="shared" si="63"/>
        <v>0</v>
      </c>
      <c r="CA61" s="135">
        <f t="shared" si="63"/>
        <v>0</v>
      </c>
      <c r="CB61" s="135">
        <f t="shared" si="63"/>
        <v>0</v>
      </c>
      <c r="CC61" s="135">
        <f t="shared" si="63"/>
        <v>0</v>
      </c>
      <c r="CD61" s="135">
        <f t="shared" si="63"/>
        <v>0</v>
      </c>
      <c r="CE61" s="136">
        <f t="shared" si="64"/>
        <v>0</v>
      </c>
      <c r="CF61" s="135">
        <f t="shared" si="65"/>
        <v>0</v>
      </c>
      <c r="CG61" s="135">
        <f t="shared" si="65"/>
        <v>0</v>
      </c>
      <c r="CH61" s="135">
        <f t="shared" si="65"/>
        <v>0</v>
      </c>
      <c r="CI61" s="135">
        <f t="shared" si="65"/>
        <v>0</v>
      </c>
      <c r="CJ61" s="135">
        <f t="shared" si="65"/>
        <v>0</v>
      </c>
      <c r="CK61" s="135">
        <f t="shared" si="65"/>
        <v>0</v>
      </c>
      <c r="CL61" s="135">
        <f t="shared" si="65"/>
        <v>0</v>
      </c>
      <c r="CM61" s="135">
        <f t="shared" si="65"/>
        <v>0</v>
      </c>
      <c r="CN61" s="135">
        <f t="shared" si="65"/>
        <v>0</v>
      </c>
      <c r="CO61" s="135">
        <f t="shared" si="65"/>
        <v>0</v>
      </c>
      <c r="CP61" s="135">
        <f t="shared" si="65"/>
        <v>0</v>
      </c>
      <c r="CQ61" s="135">
        <f t="shared" si="65"/>
        <v>0</v>
      </c>
      <c r="CR61" s="136">
        <f t="shared" si="66"/>
        <v>0</v>
      </c>
    </row>
    <row r="62" spans="1:102" ht="15" customHeight="1">
      <c r="A62" s="646"/>
      <c r="B62" s="649"/>
      <c r="C62" s="240"/>
      <c r="D62" s="133">
        <f t="shared" si="52"/>
        <v>0</v>
      </c>
      <c r="E62" s="137"/>
      <c r="F62" s="135">
        <f>$D62</f>
        <v>0</v>
      </c>
      <c r="G62" s="135">
        <f>$D62</f>
        <v>0</v>
      </c>
      <c r="H62" s="135">
        <f>$D62</f>
        <v>0</v>
      </c>
      <c r="I62" s="135">
        <f>$D62</f>
        <v>0</v>
      </c>
      <c r="J62" s="135">
        <f t="shared" si="53"/>
        <v>0</v>
      </c>
      <c r="K62" s="135">
        <f t="shared" si="53"/>
        <v>0</v>
      </c>
      <c r="L62" s="135">
        <f t="shared" si="53"/>
        <v>0</v>
      </c>
      <c r="M62" s="135">
        <f t="shared" si="53"/>
        <v>0</v>
      </c>
      <c r="N62" s="135">
        <f t="shared" si="53"/>
        <v>0</v>
      </c>
      <c r="O62" s="135">
        <f t="shared" si="53"/>
        <v>0</v>
      </c>
      <c r="P62" s="135">
        <f t="shared" si="53"/>
        <v>0</v>
      </c>
      <c r="Q62" s="135">
        <f t="shared" si="53"/>
        <v>0</v>
      </c>
      <c r="R62" s="136">
        <f t="shared" si="54"/>
        <v>0</v>
      </c>
      <c r="S62" s="135">
        <f>$D62</f>
        <v>0</v>
      </c>
      <c r="T62" s="135">
        <f>$D62</f>
        <v>0</v>
      </c>
      <c r="U62" s="135">
        <f>$D62</f>
        <v>0</v>
      </c>
      <c r="V62" s="135">
        <f>$D62</f>
        <v>0</v>
      </c>
      <c r="W62" s="135">
        <f t="shared" si="55"/>
        <v>0</v>
      </c>
      <c r="X62" s="135">
        <f t="shared" si="55"/>
        <v>0</v>
      </c>
      <c r="Y62" s="135">
        <f t="shared" si="55"/>
        <v>0</v>
      </c>
      <c r="Z62" s="135">
        <f t="shared" si="55"/>
        <v>0</v>
      </c>
      <c r="AA62" s="135">
        <f t="shared" si="55"/>
        <v>0</v>
      </c>
      <c r="AB62" s="135">
        <f t="shared" si="55"/>
        <v>0</v>
      </c>
      <c r="AC62" s="135">
        <f t="shared" si="55"/>
        <v>0</v>
      </c>
      <c r="AD62" s="135">
        <f t="shared" si="55"/>
        <v>0</v>
      </c>
      <c r="AE62" s="136">
        <f t="shared" si="56"/>
        <v>0</v>
      </c>
      <c r="AF62" s="135">
        <f>$D62</f>
        <v>0</v>
      </c>
      <c r="AG62" s="135">
        <f>$D62</f>
        <v>0</v>
      </c>
      <c r="AH62" s="135">
        <f>$D62</f>
        <v>0</v>
      </c>
      <c r="AI62" s="135">
        <f>$D62</f>
        <v>0</v>
      </c>
      <c r="AJ62" s="135">
        <f t="shared" si="57"/>
        <v>0</v>
      </c>
      <c r="AK62" s="135">
        <f t="shared" si="57"/>
        <v>0</v>
      </c>
      <c r="AL62" s="135">
        <f t="shared" si="57"/>
        <v>0</v>
      </c>
      <c r="AM62" s="135">
        <f t="shared" si="57"/>
        <v>0</v>
      </c>
      <c r="AN62" s="135">
        <f t="shared" si="57"/>
        <v>0</v>
      </c>
      <c r="AO62" s="135">
        <f t="shared" si="57"/>
        <v>0</v>
      </c>
      <c r="AP62" s="135">
        <f t="shared" si="57"/>
        <v>0</v>
      </c>
      <c r="AQ62" s="135">
        <f t="shared" si="57"/>
        <v>0</v>
      </c>
      <c r="AR62" s="136">
        <f t="shared" si="58"/>
        <v>0</v>
      </c>
      <c r="AS62" s="135">
        <f>$D62</f>
        <v>0</v>
      </c>
      <c r="AT62" s="135">
        <f>$D62</f>
        <v>0</v>
      </c>
      <c r="AU62" s="135">
        <f>$D62</f>
        <v>0</v>
      </c>
      <c r="AV62" s="135">
        <f>$D62</f>
        <v>0</v>
      </c>
      <c r="AW62" s="135">
        <f t="shared" si="59"/>
        <v>0</v>
      </c>
      <c r="AX62" s="135">
        <f t="shared" si="59"/>
        <v>0</v>
      </c>
      <c r="AY62" s="135">
        <f t="shared" si="59"/>
        <v>0</v>
      </c>
      <c r="AZ62" s="135">
        <f t="shared" si="59"/>
        <v>0</v>
      </c>
      <c r="BA62" s="135">
        <f t="shared" si="59"/>
        <v>0</v>
      </c>
      <c r="BB62" s="135">
        <f t="shared" si="59"/>
        <v>0</v>
      </c>
      <c r="BC62" s="135">
        <f t="shared" si="59"/>
        <v>0</v>
      </c>
      <c r="BD62" s="135">
        <f t="shared" si="59"/>
        <v>0</v>
      </c>
      <c r="BE62" s="136">
        <f t="shared" si="60"/>
        <v>0</v>
      </c>
      <c r="BF62" s="135">
        <f>$D62</f>
        <v>0</v>
      </c>
      <c r="BG62" s="135">
        <f>$D62</f>
        <v>0</v>
      </c>
      <c r="BH62" s="135">
        <f>$D62</f>
        <v>0</v>
      </c>
      <c r="BI62" s="135">
        <f>$D62</f>
        <v>0</v>
      </c>
      <c r="BJ62" s="135">
        <f t="shared" si="61"/>
        <v>0</v>
      </c>
      <c r="BK62" s="135">
        <f t="shared" si="61"/>
        <v>0</v>
      </c>
      <c r="BL62" s="135">
        <f t="shared" si="61"/>
        <v>0</v>
      </c>
      <c r="BM62" s="135">
        <f t="shared" si="61"/>
        <v>0</v>
      </c>
      <c r="BN62" s="135">
        <f t="shared" si="61"/>
        <v>0</v>
      </c>
      <c r="BO62" s="135">
        <f t="shared" si="61"/>
        <v>0</v>
      </c>
      <c r="BP62" s="135">
        <f t="shared" si="61"/>
        <v>0</v>
      </c>
      <c r="BQ62" s="135">
        <f t="shared" si="61"/>
        <v>0</v>
      </c>
      <c r="BR62" s="136">
        <f t="shared" si="62"/>
        <v>0</v>
      </c>
      <c r="BS62" s="135">
        <f>$D62</f>
        <v>0</v>
      </c>
      <c r="BT62" s="135">
        <f>$D62</f>
        <v>0</v>
      </c>
      <c r="BU62" s="135">
        <f>$D62</f>
        <v>0</v>
      </c>
      <c r="BV62" s="135">
        <f>$D62</f>
        <v>0</v>
      </c>
      <c r="BW62" s="135">
        <f t="shared" si="63"/>
        <v>0</v>
      </c>
      <c r="BX62" s="135">
        <f t="shared" si="63"/>
        <v>0</v>
      </c>
      <c r="BY62" s="135">
        <f t="shared" si="63"/>
        <v>0</v>
      </c>
      <c r="BZ62" s="135">
        <f t="shared" si="63"/>
        <v>0</v>
      </c>
      <c r="CA62" s="135">
        <f t="shared" si="63"/>
        <v>0</v>
      </c>
      <c r="CB62" s="135">
        <f t="shared" si="63"/>
        <v>0</v>
      </c>
      <c r="CC62" s="135">
        <f t="shared" si="63"/>
        <v>0</v>
      </c>
      <c r="CD62" s="135">
        <f t="shared" si="63"/>
        <v>0</v>
      </c>
      <c r="CE62" s="136">
        <f t="shared" si="64"/>
        <v>0</v>
      </c>
      <c r="CF62" s="135">
        <f>$D62</f>
        <v>0</v>
      </c>
      <c r="CG62" s="135">
        <f>$D62</f>
        <v>0</v>
      </c>
      <c r="CH62" s="135">
        <f>$D62</f>
        <v>0</v>
      </c>
      <c r="CI62" s="135">
        <f>$D62</f>
        <v>0</v>
      </c>
      <c r="CJ62" s="135">
        <f t="shared" si="65"/>
        <v>0</v>
      </c>
      <c r="CK62" s="135">
        <f t="shared" si="65"/>
        <v>0</v>
      </c>
      <c r="CL62" s="135">
        <f t="shared" si="65"/>
        <v>0</v>
      </c>
      <c r="CM62" s="135">
        <f t="shared" si="65"/>
        <v>0</v>
      </c>
      <c r="CN62" s="135">
        <f t="shared" si="65"/>
        <v>0</v>
      </c>
      <c r="CO62" s="135">
        <f t="shared" si="65"/>
        <v>0</v>
      </c>
      <c r="CP62" s="135">
        <f t="shared" si="65"/>
        <v>0</v>
      </c>
      <c r="CQ62" s="135">
        <f t="shared" si="65"/>
        <v>0</v>
      </c>
      <c r="CR62" s="136">
        <f t="shared" si="66"/>
        <v>0</v>
      </c>
    </row>
    <row r="63" spans="1:102" ht="15" customHeight="1">
      <c r="A63" s="646"/>
      <c r="B63" s="649"/>
      <c r="C63" s="240"/>
      <c r="D63" s="133">
        <f t="shared" si="52"/>
        <v>0</v>
      </c>
      <c r="E63" s="137"/>
      <c r="F63" s="135">
        <f t="shared" si="53"/>
        <v>0</v>
      </c>
      <c r="G63" s="135">
        <f t="shared" si="53"/>
        <v>0</v>
      </c>
      <c r="H63" s="135">
        <f t="shared" si="53"/>
        <v>0</v>
      </c>
      <c r="I63" s="135">
        <f t="shared" si="53"/>
        <v>0</v>
      </c>
      <c r="J63" s="135">
        <f t="shared" si="53"/>
        <v>0</v>
      </c>
      <c r="K63" s="135">
        <f t="shared" si="53"/>
        <v>0</v>
      </c>
      <c r="L63" s="135">
        <f t="shared" si="53"/>
        <v>0</v>
      </c>
      <c r="M63" s="135">
        <f t="shared" si="53"/>
        <v>0</v>
      </c>
      <c r="N63" s="135">
        <f t="shared" si="53"/>
        <v>0</v>
      </c>
      <c r="O63" s="135">
        <f t="shared" si="53"/>
        <v>0</v>
      </c>
      <c r="P63" s="135">
        <f t="shared" si="53"/>
        <v>0</v>
      </c>
      <c r="Q63" s="135">
        <f t="shared" si="53"/>
        <v>0</v>
      </c>
      <c r="R63" s="136">
        <f t="shared" si="54"/>
        <v>0</v>
      </c>
      <c r="S63" s="135">
        <f t="shared" si="55"/>
        <v>0</v>
      </c>
      <c r="T63" s="135">
        <f t="shared" si="55"/>
        <v>0</v>
      </c>
      <c r="U63" s="135">
        <f t="shared" si="55"/>
        <v>0</v>
      </c>
      <c r="V63" s="135">
        <f t="shared" si="55"/>
        <v>0</v>
      </c>
      <c r="W63" s="135">
        <f t="shared" si="55"/>
        <v>0</v>
      </c>
      <c r="X63" s="135">
        <f t="shared" si="55"/>
        <v>0</v>
      </c>
      <c r="Y63" s="135">
        <f t="shared" si="55"/>
        <v>0</v>
      </c>
      <c r="Z63" s="135">
        <f t="shared" si="55"/>
        <v>0</v>
      </c>
      <c r="AA63" s="135">
        <f t="shared" si="55"/>
        <v>0</v>
      </c>
      <c r="AB63" s="135">
        <f t="shared" si="55"/>
        <v>0</v>
      </c>
      <c r="AC63" s="135">
        <f t="shared" si="55"/>
        <v>0</v>
      </c>
      <c r="AD63" s="135">
        <f t="shared" si="55"/>
        <v>0</v>
      </c>
      <c r="AE63" s="136">
        <f t="shared" si="56"/>
        <v>0</v>
      </c>
      <c r="AF63" s="135">
        <f t="shared" si="57"/>
        <v>0</v>
      </c>
      <c r="AG63" s="135">
        <f t="shared" si="57"/>
        <v>0</v>
      </c>
      <c r="AH63" s="135">
        <f t="shared" si="57"/>
        <v>0</v>
      </c>
      <c r="AI63" s="135">
        <f t="shared" si="57"/>
        <v>0</v>
      </c>
      <c r="AJ63" s="135">
        <f t="shared" si="57"/>
        <v>0</v>
      </c>
      <c r="AK63" s="135">
        <f t="shared" si="57"/>
        <v>0</v>
      </c>
      <c r="AL63" s="135">
        <f t="shared" si="57"/>
        <v>0</v>
      </c>
      <c r="AM63" s="135">
        <f t="shared" si="57"/>
        <v>0</v>
      </c>
      <c r="AN63" s="135">
        <f t="shared" si="57"/>
        <v>0</v>
      </c>
      <c r="AO63" s="135">
        <f t="shared" si="57"/>
        <v>0</v>
      </c>
      <c r="AP63" s="135">
        <f t="shared" si="57"/>
        <v>0</v>
      </c>
      <c r="AQ63" s="135">
        <f t="shared" si="57"/>
        <v>0</v>
      </c>
      <c r="AR63" s="136">
        <f t="shared" si="58"/>
        <v>0</v>
      </c>
      <c r="AS63" s="135">
        <f t="shared" si="59"/>
        <v>0</v>
      </c>
      <c r="AT63" s="135">
        <f t="shared" si="59"/>
        <v>0</v>
      </c>
      <c r="AU63" s="135">
        <f t="shared" si="59"/>
        <v>0</v>
      </c>
      <c r="AV63" s="135">
        <f t="shared" si="59"/>
        <v>0</v>
      </c>
      <c r="AW63" s="135">
        <f t="shared" si="59"/>
        <v>0</v>
      </c>
      <c r="AX63" s="135">
        <f t="shared" si="59"/>
        <v>0</v>
      </c>
      <c r="AY63" s="135">
        <f t="shared" si="59"/>
        <v>0</v>
      </c>
      <c r="AZ63" s="135">
        <f t="shared" si="59"/>
        <v>0</v>
      </c>
      <c r="BA63" s="135">
        <f t="shared" si="59"/>
        <v>0</v>
      </c>
      <c r="BB63" s="135">
        <f t="shared" si="59"/>
        <v>0</v>
      </c>
      <c r="BC63" s="135">
        <f t="shared" si="59"/>
        <v>0</v>
      </c>
      <c r="BD63" s="135">
        <f t="shared" si="59"/>
        <v>0</v>
      </c>
      <c r="BE63" s="136">
        <f t="shared" si="60"/>
        <v>0</v>
      </c>
      <c r="BF63" s="135">
        <f t="shared" si="61"/>
        <v>0</v>
      </c>
      <c r="BG63" s="135">
        <f t="shared" si="61"/>
        <v>0</v>
      </c>
      <c r="BH63" s="135">
        <f t="shared" si="61"/>
        <v>0</v>
      </c>
      <c r="BI63" s="135">
        <f t="shared" si="61"/>
        <v>0</v>
      </c>
      <c r="BJ63" s="135">
        <f t="shared" si="61"/>
        <v>0</v>
      </c>
      <c r="BK63" s="135">
        <f t="shared" si="61"/>
        <v>0</v>
      </c>
      <c r="BL63" s="135">
        <f t="shared" si="61"/>
        <v>0</v>
      </c>
      <c r="BM63" s="135">
        <f t="shared" si="61"/>
        <v>0</v>
      </c>
      <c r="BN63" s="135">
        <f t="shared" si="61"/>
        <v>0</v>
      </c>
      <c r="BO63" s="135">
        <f t="shared" si="61"/>
        <v>0</v>
      </c>
      <c r="BP63" s="135">
        <f t="shared" si="61"/>
        <v>0</v>
      </c>
      <c r="BQ63" s="135">
        <f t="shared" si="61"/>
        <v>0</v>
      </c>
      <c r="BR63" s="136">
        <f t="shared" si="62"/>
        <v>0</v>
      </c>
      <c r="BS63" s="135">
        <f t="shared" si="63"/>
        <v>0</v>
      </c>
      <c r="BT63" s="135">
        <f t="shared" si="63"/>
        <v>0</v>
      </c>
      <c r="BU63" s="135">
        <f t="shared" si="63"/>
        <v>0</v>
      </c>
      <c r="BV63" s="135">
        <f t="shared" si="63"/>
        <v>0</v>
      </c>
      <c r="BW63" s="135">
        <f t="shared" si="63"/>
        <v>0</v>
      </c>
      <c r="BX63" s="135">
        <f t="shared" si="63"/>
        <v>0</v>
      </c>
      <c r="BY63" s="135">
        <f t="shared" si="63"/>
        <v>0</v>
      </c>
      <c r="BZ63" s="135">
        <f t="shared" si="63"/>
        <v>0</v>
      </c>
      <c r="CA63" s="135">
        <f t="shared" si="63"/>
        <v>0</v>
      </c>
      <c r="CB63" s="135">
        <f t="shared" si="63"/>
        <v>0</v>
      </c>
      <c r="CC63" s="135">
        <f t="shared" si="63"/>
        <v>0</v>
      </c>
      <c r="CD63" s="135">
        <f t="shared" si="63"/>
        <v>0</v>
      </c>
      <c r="CE63" s="136">
        <f t="shared" si="64"/>
        <v>0</v>
      </c>
      <c r="CF63" s="135">
        <f t="shared" si="65"/>
        <v>0</v>
      </c>
      <c r="CG63" s="135">
        <f t="shared" si="65"/>
        <v>0</v>
      </c>
      <c r="CH63" s="135">
        <f t="shared" si="65"/>
        <v>0</v>
      </c>
      <c r="CI63" s="135">
        <f t="shared" si="65"/>
        <v>0</v>
      </c>
      <c r="CJ63" s="135">
        <f t="shared" si="65"/>
        <v>0</v>
      </c>
      <c r="CK63" s="135">
        <f t="shared" si="65"/>
        <v>0</v>
      </c>
      <c r="CL63" s="135">
        <f t="shared" si="65"/>
        <v>0</v>
      </c>
      <c r="CM63" s="135">
        <f t="shared" si="65"/>
        <v>0</v>
      </c>
      <c r="CN63" s="135">
        <f t="shared" si="65"/>
        <v>0</v>
      </c>
      <c r="CO63" s="135">
        <f t="shared" si="65"/>
        <v>0</v>
      </c>
      <c r="CP63" s="135">
        <f t="shared" si="65"/>
        <v>0</v>
      </c>
      <c r="CQ63" s="135">
        <f t="shared" si="65"/>
        <v>0</v>
      </c>
      <c r="CR63" s="136">
        <f t="shared" si="66"/>
        <v>0</v>
      </c>
    </row>
    <row r="64" spans="1:102" ht="15" customHeight="1">
      <c r="A64" s="646"/>
      <c r="B64" s="649"/>
      <c r="C64" s="240"/>
      <c r="D64" s="133">
        <f t="shared" si="52"/>
        <v>0</v>
      </c>
      <c r="E64" s="137"/>
      <c r="F64" s="135">
        <f t="shared" si="53"/>
        <v>0</v>
      </c>
      <c r="G64" s="135">
        <f t="shared" si="53"/>
        <v>0</v>
      </c>
      <c r="H64" s="135">
        <f t="shared" si="53"/>
        <v>0</v>
      </c>
      <c r="I64" s="135">
        <f t="shared" si="53"/>
        <v>0</v>
      </c>
      <c r="J64" s="135">
        <f t="shared" si="53"/>
        <v>0</v>
      </c>
      <c r="K64" s="135">
        <f t="shared" si="53"/>
        <v>0</v>
      </c>
      <c r="L64" s="135">
        <f t="shared" si="53"/>
        <v>0</v>
      </c>
      <c r="M64" s="135">
        <f t="shared" si="53"/>
        <v>0</v>
      </c>
      <c r="N64" s="135">
        <f t="shared" si="53"/>
        <v>0</v>
      </c>
      <c r="O64" s="135">
        <f t="shared" si="53"/>
        <v>0</v>
      </c>
      <c r="P64" s="135">
        <f t="shared" si="53"/>
        <v>0</v>
      </c>
      <c r="Q64" s="135">
        <f t="shared" si="53"/>
        <v>0</v>
      </c>
      <c r="R64" s="136">
        <f t="shared" si="54"/>
        <v>0</v>
      </c>
      <c r="S64" s="135">
        <f t="shared" si="55"/>
        <v>0</v>
      </c>
      <c r="T64" s="135">
        <f t="shared" si="55"/>
        <v>0</v>
      </c>
      <c r="U64" s="135">
        <f t="shared" si="55"/>
        <v>0</v>
      </c>
      <c r="V64" s="135">
        <f t="shared" si="55"/>
        <v>0</v>
      </c>
      <c r="W64" s="135">
        <f t="shared" si="55"/>
        <v>0</v>
      </c>
      <c r="X64" s="135">
        <f t="shared" si="55"/>
        <v>0</v>
      </c>
      <c r="Y64" s="135">
        <f t="shared" si="55"/>
        <v>0</v>
      </c>
      <c r="Z64" s="135">
        <f t="shared" si="55"/>
        <v>0</v>
      </c>
      <c r="AA64" s="135">
        <f t="shared" si="55"/>
        <v>0</v>
      </c>
      <c r="AB64" s="135">
        <f t="shared" si="55"/>
        <v>0</v>
      </c>
      <c r="AC64" s="135">
        <f t="shared" si="55"/>
        <v>0</v>
      </c>
      <c r="AD64" s="135">
        <f t="shared" si="55"/>
        <v>0</v>
      </c>
      <c r="AE64" s="136">
        <f t="shared" si="56"/>
        <v>0</v>
      </c>
      <c r="AF64" s="135">
        <f t="shared" si="57"/>
        <v>0</v>
      </c>
      <c r="AG64" s="135">
        <f t="shared" si="57"/>
        <v>0</v>
      </c>
      <c r="AH64" s="135">
        <f t="shared" si="57"/>
        <v>0</v>
      </c>
      <c r="AI64" s="135">
        <f t="shared" si="57"/>
        <v>0</v>
      </c>
      <c r="AJ64" s="135">
        <f t="shared" si="57"/>
        <v>0</v>
      </c>
      <c r="AK64" s="135">
        <f t="shared" si="57"/>
        <v>0</v>
      </c>
      <c r="AL64" s="135">
        <f t="shared" si="57"/>
        <v>0</v>
      </c>
      <c r="AM64" s="135">
        <f t="shared" si="57"/>
        <v>0</v>
      </c>
      <c r="AN64" s="135">
        <f t="shared" si="57"/>
        <v>0</v>
      </c>
      <c r="AO64" s="135">
        <f t="shared" si="57"/>
        <v>0</v>
      </c>
      <c r="AP64" s="135">
        <f t="shared" si="57"/>
        <v>0</v>
      </c>
      <c r="AQ64" s="135">
        <f t="shared" si="57"/>
        <v>0</v>
      </c>
      <c r="AR64" s="136">
        <f t="shared" si="58"/>
        <v>0</v>
      </c>
      <c r="AS64" s="135">
        <f t="shared" si="59"/>
        <v>0</v>
      </c>
      <c r="AT64" s="135">
        <f t="shared" si="59"/>
        <v>0</v>
      </c>
      <c r="AU64" s="135">
        <f t="shared" si="59"/>
        <v>0</v>
      </c>
      <c r="AV64" s="135">
        <f t="shared" si="59"/>
        <v>0</v>
      </c>
      <c r="AW64" s="135">
        <f t="shared" si="59"/>
        <v>0</v>
      </c>
      <c r="AX64" s="135">
        <f t="shared" si="59"/>
        <v>0</v>
      </c>
      <c r="AY64" s="135">
        <f t="shared" si="59"/>
        <v>0</v>
      </c>
      <c r="AZ64" s="135">
        <f t="shared" si="59"/>
        <v>0</v>
      </c>
      <c r="BA64" s="135">
        <f t="shared" si="59"/>
        <v>0</v>
      </c>
      <c r="BB64" s="135">
        <f t="shared" si="59"/>
        <v>0</v>
      </c>
      <c r="BC64" s="135">
        <f t="shared" si="59"/>
        <v>0</v>
      </c>
      <c r="BD64" s="135">
        <f t="shared" si="59"/>
        <v>0</v>
      </c>
      <c r="BE64" s="136">
        <f t="shared" si="60"/>
        <v>0</v>
      </c>
      <c r="BF64" s="135">
        <f t="shared" si="61"/>
        <v>0</v>
      </c>
      <c r="BG64" s="135">
        <f t="shared" si="61"/>
        <v>0</v>
      </c>
      <c r="BH64" s="135">
        <f t="shared" si="61"/>
        <v>0</v>
      </c>
      <c r="BI64" s="135">
        <f t="shared" si="61"/>
        <v>0</v>
      </c>
      <c r="BJ64" s="135">
        <f t="shared" si="61"/>
        <v>0</v>
      </c>
      <c r="BK64" s="135">
        <f t="shared" si="61"/>
        <v>0</v>
      </c>
      <c r="BL64" s="135">
        <f t="shared" si="61"/>
        <v>0</v>
      </c>
      <c r="BM64" s="135">
        <f t="shared" si="61"/>
        <v>0</v>
      </c>
      <c r="BN64" s="135">
        <f t="shared" si="61"/>
        <v>0</v>
      </c>
      <c r="BO64" s="135">
        <f t="shared" si="61"/>
        <v>0</v>
      </c>
      <c r="BP64" s="135">
        <f t="shared" si="61"/>
        <v>0</v>
      </c>
      <c r="BQ64" s="135">
        <f t="shared" si="61"/>
        <v>0</v>
      </c>
      <c r="BR64" s="136">
        <f t="shared" si="62"/>
        <v>0</v>
      </c>
      <c r="BS64" s="135">
        <f t="shared" si="63"/>
        <v>0</v>
      </c>
      <c r="BT64" s="135">
        <f t="shared" si="63"/>
        <v>0</v>
      </c>
      <c r="BU64" s="135">
        <f t="shared" si="63"/>
        <v>0</v>
      </c>
      <c r="BV64" s="135">
        <f t="shared" si="63"/>
        <v>0</v>
      </c>
      <c r="BW64" s="135">
        <f t="shared" si="63"/>
        <v>0</v>
      </c>
      <c r="BX64" s="135">
        <f t="shared" si="63"/>
        <v>0</v>
      </c>
      <c r="BY64" s="135">
        <f t="shared" si="63"/>
        <v>0</v>
      </c>
      <c r="BZ64" s="135">
        <f t="shared" si="63"/>
        <v>0</v>
      </c>
      <c r="CA64" s="135">
        <f t="shared" si="63"/>
        <v>0</v>
      </c>
      <c r="CB64" s="135">
        <f t="shared" si="63"/>
        <v>0</v>
      </c>
      <c r="CC64" s="135">
        <f t="shared" si="63"/>
        <v>0</v>
      </c>
      <c r="CD64" s="135">
        <f t="shared" si="63"/>
        <v>0</v>
      </c>
      <c r="CE64" s="136">
        <f t="shared" si="64"/>
        <v>0</v>
      </c>
      <c r="CF64" s="135">
        <f t="shared" si="65"/>
        <v>0</v>
      </c>
      <c r="CG64" s="135">
        <f t="shared" si="65"/>
        <v>0</v>
      </c>
      <c r="CH64" s="135">
        <f t="shared" si="65"/>
        <v>0</v>
      </c>
      <c r="CI64" s="135">
        <f t="shared" si="65"/>
        <v>0</v>
      </c>
      <c r="CJ64" s="135">
        <f t="shared" si="65"/>
        <v>0</v>
      </c>
      <c r="CK64" s="135">
        <f t="shared" si="65"/>
        <v>0</v>
      </c>
      <c r="CL64" s="135">
        <f t="shared" si="65"/>
        <v>0</v>
      </c>
      <c r="CM64" s="135">
        <f t="shared" si="65"/>
        <v>0</v>
      </c>
      <c r="CN64" s="135">
        <f t="shared" si="65"/>
        <v>0</v>
      </c>
      <c r="CO64" s="135">
        <f t="shared" si="65"/>
        <v>0</v>
      </c>
      <c r="CP64" s="135">
        <f t="shared" si="65"/>
        <v>0</v>
      </c>
      <c r="CQ64" s="135">
        <f t="shared" si="65"/>
        <v>0</v>
      </c>
      <c r="CR64" s="136">
        <f t="shared" si="66"/>
        <v>0</v>
      </c>
    </row>
    <row r="65" spans="1:96" ht="15" customHeight="1">
      <c r="A65" s="646"/>
      <c r="B65" s="649"/>
      <c r="C65" s="240"/>
      <c r="D65" s="133">
        <f t="shared" si="52"/>
        <v>0</v>
      </c>
      <c r="E65" s="137"/>
      <c r="F65" s="135">
        <f t="shared" si="53"/>
        <v>0</v>
      </c>
      <c r="G65" s="135">
        <f t="shared" si="53"/>
        <v>0</v>
      </c>
      <c r="H65" s="135">
        <f t="shared" si="53"/>
        <v>0</v>
      </c>
      <c r="I65" s="135">
        <f t="shared" si="53"/>
        <v>0</v>
      </c>
      <c r="J65" s="135">
        <f t="shared" si="53"/>
        <v>0</v>
      </c>
      <c r="K65" s="135">
        <f t="shared" si="53"/>
        <v>0</v>
      </c>
      <c r="L65" s="135">
        <f t="shared" si="53"/>
        <v>0</v>
      </c>
      <c r="M65" s="135">
        <f t="shared" si="53"/>
        <v>0</v>
      </c>
      <c r="N65" s="135">
        <f t="shared" si="53"/>
        <v>0</v>
      </c>
      <c r="O65" s="135">
        <f t="shared" si="53"/>
        <v>0</v>
      </c>
      <c r="P65" s="135">
        <f t="shared" si="53"/>
        <v>0</v>
      </c>
      <c r="Q65" s="135">
        <f t="shared" si="53"/>
        <v>0</v>
      </c>
      <c r="R65" s="136">
        <f t="shared" si="54"/>
        <v>0</v>
      </c>
      <c r="S65" s="135">
        <f t="shared" si="55"/>
        <v>0</v>
      </c>
      <c r="T65" s="135">
        <f t="shared" si="55"/>
        <v>0</v>
      </c>
      <c r="U65" s="135">
        <f t="shared" si="55"/>
        <v>0</v>
      </c>
      <c r="V65" s="135">
        <f t="shared" si="55"/>
        <v>0</v>
      </c>
      <c r="W65" s="135">
        <f t="shared" si="55"/>
        <v>0</v>
      </c>
      <c r="X65" s="135">
        <f t="shared" si="55"/>
        <v>0</v>
      </c>
      <c r="Y65" s="135">
        <f t="shared" si="55"/>
        <v>0</v>
      </c>
      <c r="Z65" s="135">
        <f t="shared" si="55"/>
        <v>0</v>
      </c>
      <c r="AA65" s="135">
        <f t="shared" si="55"/>
        <v>0</v>
      </c>
      <c r="AB65" s="135">
        <f t="shared" si="55"/>
        <v>0</v>
      </c>
      <c r="AC65" s="135">
        <f t="shared" si="55"/>
        <v>0</v>
      </c>
      <c r="AD65" s="135">
        <f t="shared" si="55"/>
        <v>0</v>
      </c>
      <c r="AE65" s="136">
        <f t="shared" si="56"/>
        <v>0</v>
      </c>
      <c r="AF65" s="135">
        <f t="shared" si="57"/>
        <v>0</v>
      </c>
      <c r="AG65" s="135">
        <f t="shared" si="57"/>
        <v>0</v>
      </c>
      <c r="AH65" s="135">
        <f t="shared" si="57"/>
        <v>0</v>
      </c>
      <c r="AI65" s="135">
        <f t="shared" si="57"/>
        <v>0</v>
      </c>
      <c r="AJ65" s="135">
        <f t="shared" si="57"/>
        <v>0</v>
      </c>
      <c r="AK65" s="135">
        <f t="shared" si="57"/>
        <v>0</v>
      </c>
      <c r="AL65" s="135">
        <f t="shared" si="57"/>
        <v>0</v>
      </c>
      <c r="AM65" s="135">
        <f t="shared" si="57"/>
        <v>0</v>
      </c>
      <c r="AN65" s="135">
        <f t="shared" si="57"/>
        <v>0</v>
      </c>
      <c r="AO65" s="135">
        <f t="shared" si="57"/>
        <v>0</v>
      </c>
      <c r="AP65" s="135">
        <f t="shared" si="57"/>
        <v>0</v>
      </c>
      <c r="AQ65" s="135">
        <f t="shared" si="57"/>
        <v>0</v>
      </c>
      <c r="AR65" s="136">
        <f t="shared" si="58"/>
        <v>0</v>
      </c>
      <c r="AS65" s="135">
        <f t="shared" si="59"/>
        <v>0</v>
      </c>
      <c r="AT65" s="135">
        <f t="shared" si="59"/>
        <v>0</v>
      </c>
      <c r="AU65" s="135">
        <f t="shared" si="59"/>
        <v>0</v>
      </c>
      <c r="AV65" s="135">
        <f t="shared" si="59"/>
        <v>0</v>
      </c>
      <c r="AW65" s="135">
        <f t="shared" si="59"/>
        <v>0</v>
      </c>
      <c r="AX65" s="135">
        <f t="shared" si="59"/>
        <v>0</v>
      </c>
      <c r="AY65" s="135">
        <f t="shared" si="59"/>
        <v>0</v>
      </c>
      <c r="AZ65" s="135">
        <f t="shared" si="59"/>
        <v>0</v>
      </c>
      <c r="BA65" s="135">
        <f t="shared" si="59"/>
        <v>0</v>
      </c>
      <c r="BB65" s="135">
        <f t="shared" si="59"/>
        <v>0</v>
      </c>
      <c r="BC65" s="135">
        <f t="shared" si="59"/>
        <v>0</v>
      </c>
      <c r="BD65" s="135">
        <f t="shared" si="59"/>
        <v>0</v>
      </c>
      <c r="BE65" s="136">
        <f t="shared" si="60"/>
        <v>0</v>
      </c>
      <c r="BF65" s="135">
        <f t="shared" si="61"/>
        <v>0</v>
      </c>
      <c r="BG65" s="135">
        <f t="shared" si="61"/>
        <v>0</v>
      </c>
      <c r="BH65" s="135">
        <f t="shared" si="61"/>
        <v>0</v>
      </c>
      <c r="BI65" s="135">
        <f t="shared" si="61"/>
        <v>0</v>
      </c>
      <c r="BJ65" s="135">
        <f t="shared" si="61"/>
        <v>0</v>
      </c>
      <c r="BK65" s="135">
        <f t="shared" si="61"/>
        <v>0</v>
      </c>
      <c r="BL65" s="135">
        <f t="shared" si="61"/>
        <v>0</v>
      </c>
      <c r="BM65" s="135">
        <f t="shared" si="61"/>
        <v>0</v>
      </c>
      <c r="BN65" s="135">
        <f t="shared" si="61"/>
        <v>0</v>
      </c>
      <c r="BO65" s="135">
        <f t="shared" si="61"/>
        <v>0</v>
      </c>
      <c r="BP65" s="135">
        <f t="shared" si="61"/>
        <v>0</v>
      </c>
      <c r="BQ65" s="135">
        <f t="shared" si="61"/>
        <v>0</v>
      </c>
      <c r="BR65" s="136">
        <f t="shared" si="62"/>
        <v>0</v>
      </c>
      <c r="BS65" s="135">
        <f t="shared" si="63"/>
        <v>0</v>
      </c>
      <c r="BT65" s="135">
        <f t="shared" si="63"/>
        <v>0</v>
      </c>
      <c r="BU65" s="135">
        <f t="shared" si="63"/>
        <v>0</v>
      </c>
      <c r="BV65" s="135">
        <f t="shared" si="63"/>
        <v>0</v>
      </c>
      <c r="BW65" s="135">
        <f t="shared" si="63"/>
        <v>0</v>
      </c>
      <c r="BX65" s="135">
        <f t="shared" si="63"/>
        <v>0</v>
      </c>
      <c r="BY65" s="135">
        <f t="shared" si="63"/>
        <v>0</v>
      </c>
      <c r="BZ65" s="135">
        <f t="shared" si="63"/>
        <v>0</v>
      </c>
      <c r="CA65" s="135">
        <f t="shared" si="63"/>
        <v>0</v>
      </c>
      <c r="CB65" s="135">
        <f t="shared" si="63"/>
        <v>0</v>
      </c>
      <c r="CC65" s="135">
        <f t="shared" si="63"/>
        <v>0</v>
      </c>
      <c r="CD65" s="135">
        <f t="shared" si="63"/>
        <v>0</v>
      </c>
      <c r="CE65" s="136">
        <f t="shared" si="64"/>
        <v>0</v>
      </c>
      <c r="CF65" s="135">
        <f t="shared" si="65"/>
        <v>0</v>
      </c>
      <c r="CG65" s="135">
        <f t="shared" si="65"/>
        <v>0</v>
      </c>
      <c r="CH65" s="135">
        <f t="shared" si="65"/>
        <v>0</v>
      </c>
      <c r="CI65" s="135">
        <f t="shared" si="65"/>
        <v>0</v>
      </c>
      <c r="CJ65" s="135">
        <f t="shared" si="65"/>
        <v>0</v>
      </c>
      <c r="CK65" s="135">
        <f t="shared" si="65"/>
        <v>0</v>
      </c>
      <c r="CL65" s="135">
        <f t="shared" si="65"/>
        <v>0</v>
      </c>
      <c r="CM65" s="135">
        <f t="shared" si="65"/>
        <v>0</v>
      </c>
      <c r="CN65" s="135">
        <f t="shared" si="65"/>
        <v>0</v>
      </c>
      <c r="CO65" s="135">
        <f t="shared" si="65"/>
        <v>0</v>
      </c>
      <c r="CP65" s="135">
        <f t="shared" si="65"/>
        <v>0</v>
      </c>
      <c r="CQ65" s="135">
        <f t="shared" si="65"/>
        <v>0</v>
      </c>
      <c r="CR65" s="136">
        <f t="shared" si="66"/>
        <v>0</v>
      </c>
    </row>
    <row r="66" spans="1:96" ht="15" customHeight="1">
      <c r="A66" s="646"/>
      <c r="B66" s="649"/>
      <c r="C66" s="240"/>
      <c r="D66" s="133">
        <f t="shared" si="52"/>
        <v>0</v>
      </c>
      <c r="E66" s="137"/>
      <c r="F66" s="135">
        <f t="shared" si="53"/>
        <v>0</v>
      </c>
      <c r="G66" s="135">
        <f t="shared" si="53"/>
        <v>0</v>
      </c>
      <c r="H66" s="135">
        <f t="shared" si="53"/>
        <v>0</v>
      </c>
      <c r="I66" s="135">
        <f t="shared" si="53"/>
        <v>0</v>
      </c>
      <c r="J66" s="135">
        <f t="shared" si="53"/>
        <v>0</v>
      </c>
      <c r="K66" s="135">
        <f t="shared" si="53"/>
        <v>0</v>
      </c>
      <c r="L66" s="135">
        <f t="shared" si="53"/>
        <v>0</v>
      </c>
      <c r="M66" s="135">
        <f t="shared" si="53"/>
        <v>0</v>
      </c>
      <c r="N66" s="135">
        <f t="shared" si="53"/>
        <v>0</v>
      </c>
      <c r="O66" s="135">
        <f t="shared" si="53"/>
        <v>0</v>
      </c>
      <c r="P66" s="135">
        <f t="shared" si="53"/>
        <v>0</v>
      </c>
      <c r="Q66" s="135">
        <f t="shared" si="53"/>
        <v>0</v>
      </c>
      <c r="R66" s="136">
        <f t="shared" si="54"/>
        <v>0</v>
      </c>
      <c r="S66" s="135">
        <f t="shared" si="55"/>
        <v>0</v>
      </c>
      <c r="T66" s="135">
        <f t="shared" si="55"/>
        <v>0</v>
      </c>
      <c r="U66" s="135">
        <f t="shared" si="55"/>
        <v>0</v>
      </c>
      <c r="V66" s="135">
        <f t="shared" si="55"/>
        <v>0</v>
      </c>
      <c r="W66" s="135">
        <f t="shared" si="55"/>
        <v>0</v>
      </c>
      <c r="X66" s="135">
        <f t="shared" si="55"/>
        <v>0</v>
      </c>
      <c r="Y66" s="135">
        <f t="shared" si="55"/>
        <v>0</v>
      </c>
      <c r="Z66" s="135">
        <f t="shared" si="55"/>
        <v>0</v>
      </c>
      <c r="AA66" s="135">
        <f t="shared" si="55"/>
        <v>0</v>
      </c>
      <c r="AB66" s="135">
        <f t="shared" si="55"/>
        <v>0</v>
      </c>
      <c r="AC66" s="135">
        <f t="shared" si="55"/>
        <v>0</v>
      </c>
      <c r="AD66" s="135">
        <f t="shared" si="55"/>
        <v>0</v>
      </c>
      <c r="AE66" s="136">
        <f t="shared" si="56"/>
        <v>0</v>
      </c>
      <c r="AF66" s="135">
        <f t="shared" si="57"/>
        <v>0</v>
      </c>
      <c r="AG66" s="135">
        <f t="shared" si="57"/>
        <v>0</v>
      </c>
      <c r="AH66" s="135">
        <f t="shared" si="57"/>
        <v>0</v>
      </c>
      <c r="AI66" s="135">
        <f t="shared" si="57"/>
        <v>0</v>
      </c>
      <c r="AJ66" s="135">
        <f t="shared" si="57"/>
        <v>0</v>
      </c>
      <c r="AK66" s="135">
        <f t="shared" si="57"/>
        <v>0</v>
      </c>
      <c r="AL66" s="135">
        <f t="shared" si="57"/>
        <v>0</v>
      </c>
      <c r="AM66" s="135">
        <f t="shared" si="57"/>
        <v>0</v>
      </c>
      <c r="AN66" s="135">
        <f t="shared" si="57"/>
        <v>0</v>
      </c>
      <c r="AO66" s="135">
        <f t="shared" si="57"/>
        <v>0</v>
      </c>
      <c r="AP66" s="135">
        <f t="shared" si="57"/>
        <v>0</v>
      </c>
      <c r="AQ66" s="135">
        <f t="shared" si="57"/>
        <v>0</v>
      </c>
      <c r="AR66" s="136">
        <f t="shared" si="58"/>
        <v>0</v>
      </c>
      <c r="AS66" s="135">
        <f t="shared" si="59"/>
        <v>0</v>
      </c>
      <c r="AT66" s="135">
        <f t="shared" si="59"/>
        <v>0</v>
      </c>
      <c r="AU66" s="135">
        <f t="shared" si="59"/>
        <v>0</v>
      </c>
      <c r="AV66" s="135">
        <f t="shared" si="59"/>
        <v>0</v>
      </c>
      <c r="AW66" s="135">
        <f t="shared" si="59"/>
        <v>0</v>
      </c>
      <c r="AX66" s="135">
        <f t="shared" si="59"/>
        <v>0</v>
      </c>
      <c r="AY66" s="135">
        <f t="shared" si="59"/>
        <v>0</v>
      </c>
      <c r="AZ66" s="135">
        <f t="shared" si="59"/>
        <v>0</v>
      </c>
      <c r="BA66" s="135">
        <f t="shared" si="59"/>
        <v>0</v>
      </c>
      <c r="BB66" s="135">
        <f t="shared" si="59"/>
        <v>0</v>
      </c>
      <c r="BC66" s="135">
        <f t="shared" si="59"/>
        <v>0</v>
      </c>
      <c r="BD66" s="135">
        <f t="shared" si="59"/>
        <v>0</v>
      </c>
      <c r="BE66" s="136">
        <f t="shared" si="60"/>
        <v>0</v>
      </c>
      <c r="BF66" s="135">
        <f t="shared" si="61"/>
        <v>0</v>
      </c>
      <c r="BG66" s="135">
        <f t="shared" si="61"/>
        <v>0</v>
      </c>
      <c r="BH66" s="135">
        <f t="shared" si="61"/>
        <v>0</v>
      </c>
      <c r="BI66" s="135">
        <f t="shared" si="61"/>
        <v>0</v>
      </c>
      <c r="BJ66" s="135">
        <f t="shared" si="61"/>
        <v>0</v>
      </c>
      <c r="BK66" s="135">
        <f t="shared" si="61"/>
        <v>0</v>
      </c>
      <c r="BL66" s="135">
        <f t="shared" si="61"/>
        <v>0</v>
      </c>
      <c r="BM66" s="135">
        <f t="shared" si="61"/>
        <v>0</v>
      </c>
      <c r="BN66" s="135">
        <f t="shared" si="61"/>
        <v>0</v>
      </c>
      <c r="BO66" s="135">
        <f t="shared" si="61"/>
        <v>0</v>
      </c>
      <c r="BP66" s="135">
        <f t="shared" si="61"/>
        <v>0</v>
      </c>
      <c r="BQ66" s="135">
        <f t="shared" si="61"/>
        <v>0</v>
      </c>
      <c r="BR66" s="136">
        <f t="shared" si="62"/>
        <v>0</v>
      </c>
      <c r="BS66" s="135">
        <f t="shared" si="63"/>
        <v>0</v>
      </c>
      <c r="BT66" s="135">
        <f t="shared" si="63"/>
        <v>0</v>
      </c>
      <c r="BU66" s="135">
        <f t="shared" si="63"/>
        <v>0</v>
      </c>
      <c r="BV66" s="135">
        <f t="shared" si="63"/>
        <v>0</v>
      </c>
      <c r="BW66" s="135">
        <f t="shared" si="63"/>
        <v>0</v>
      </c>
      <c r="BX66" s="135">
        <f t="shared" si="63"/>
        <v>0</v>
      </c>
      <c r="BY66" s="135">
        <f t="shared" si="63"/>
        <v>0</v>
      </c>
      <c r="BZ66" s="135">
        <f t="shared" si="63"/>
        <v>0</v>
      </c>
      <c r="CA66" s="135">
        <f t="shared" si="63"/>
        <v>0</v>
      </c>
      <c r="CB66" s="135">
        <f t="shared" si="63"/>
        <v>0</v>
      </c>
      <c r="CC66" s="135">
        <f t="shared" si="63"/>
        <v>0</v>
      </c>
      <c r="CD66" s="135">
        <f t="shared" si="63"/>
        <v>0</v>
      </c>
      <c r="CE66" s="136">
        <f t="shared" si="64"/>
        <v>0</v>
      </c>
      <c r="CF66" s="135">
        <f t="shared" si="65"/>
        <v>0</v>
      </c>
      <c r="CG66" s="135">
        <f t="shared" si="65"/>
        <v>0</v>
      </c>
      <c r="CH66" s="135">
        <f t="shared" si="65"/>
        <v>0</v>
      </c>
      <c r="CI66" s="135">
        <f t="shared" si="65"/>
        <v>0</v>
      </c>
      <c r="CJ66" s="135">
        <f t="shared" si="65"/>
        <v>0</v>
      </c>
      <c r="CK66" s="135">
        <f t="shared" si="65"/>
        <v>0</v>
      </c>
      <c r="CL66" s="135">
        <f t="shared" si="65"/>
        <v>0</v>
      </c>
      <c r="CM66" s="135">
        <f t="shared" si="65"/>
        <v>0</v>
      </c>
      <c r="CN66" s="135">
        <f t="shared" si="65"/>
        <v>0</v>
      </c>
      <c r="CO66" s="135">
        <f t="shared" si="65"/>
        <v>0</v>
      </c>
      <c r="CP66" s="135">
        <f t="shared" si="65"/>
        <v>0</v>
      </c>
      <c r="CQ66" s="135">
        <f t="shared" si="65"/>
        <v>0</v>
      </c>
      <c r="CR66" s="136">
        <f t="shared" si="66"/>
        <v>0</v>
      </c>
    </row>
    <row r="67" spans="1:96" ht="15" customHeight="1">
      <c r="A67" s="646"/>
      <c r="B67" s="649"/>
      <c r="C67" s="240"/>
      <c r="D67" s="133">
        <f t="shared" si="52"/>
        <v>0</v>
      </c>
      <c r="E67" s="137"/>
      <c r="F67" s="135">
        <f t="shared" si="53"/>
        <v>0</v>
      </c>
      <c r="G67" s="135">
        <f t="shared" si="53"/>
        <v>0</v>
      </c>
      <c r="H67" s="135">
        <f t="shared" si="53"/>
        <v>0</v>
      </c>
      <c r="I67" s="135">
        <f t="shared" si="53"/>
        <v>0</v>
      </c>
      <c r="J67" s="135">
        <f t="shared" si="53"/>
        <v>0</v>
      </c>
      <c r="K67" s="135">
        <f t="shared" si="53"/>
        <v>0</v>
      </c>
      <c r="L67" s="135">
        <f t="shared" si="53"/>
        <v>0</v>
      </c>
      <c r="M67" s="135">
        <f t="shared" si="53"/>
        <v>0</v>
      </c>
      <c r="N67" s="135">
        <f t="shared" si="53"/>
        <v>0</v>
      </c>
      <c r="O67" s="135">
        <f t="shared" si="53"/>
        <v>0</v>
      </c>
      <c r="P67" s="135">
        <f t="shared" si="53"/>
        <v>0</v>
      </c>
      <c r="Q67" s="135">
        <f t="shared" si="53"/>
        <v>0</v>
      </c>
      <c r="R67" s="136">
        <f t="shared" si="54"/>
        <v>0</v>
      </c>
      <c r="S67" s="135">
        <f t="shared" si="55"/>
        <v>0</v>
      </c>
      <c r="T67" s="135">
        <f t="shared" si="55"/>
        <v>0</v>
      </c>
      <c r="U67" s="135">
        <f t="shared" si="55"/>
        <v>0</v>
      </c>
      <c r="V67" s="135">
        <f t="shared" si="55"/>
        <v>0</v>
      </c>
      <c r="W67" s="135">
        <f t="shared" si="55"/>
        <v>0</v>
      </c>
      <c r="X67" s="135">
        <f t="shared" si="55"/>
        <v>0</v>
      </c>
      <c r="Y67" s="135">
        <f t="shared" si="55"/>
        <v>0</v>
      </c>
      <c r="Z67" s="135">
        <f t="shared" si="55"/>
        <v>0</v>
      </c>
      <c r="AA67" s="135">
        <f t="shared" si="55"/>
        <v>0</v>
      </c>
      <c r="AB67" s="135">
        <f t="shared" si="55"/>
        <v>0</v>
      </c>
      <c r="AC67" s="135">
        <f t="shared" si="55"/>
        <v>0</v>
      </c>
      <c r="AD67" s="135">
        <f t="shared" si="55"/>
        <v>0</v>
      </c>
      <c r="AE67" s="136">
        <f t="shared" si="56"/>
        <v>0</v>
      </c>
      <c r="AF67" s="135">
        <f t="shared" si="57"/>
        <v>0</v>
      </c>
      <c r="AG67" s="135">
        <f t="shared" si="57"/>
        <v>0</v>
      </c>
      <c r="AH67" s="135">
        <f t="shared" si="57"/>
        <v>0</v>
      </c>
      <c r="AI67" s="135">
        <f t="shared" si="57"/>
        <v>0</v>
      </c>
      <c r="AJ67" s="135">
        <f t="shared" si="57"/>
        <v>0</v>
      </c>
      <c r="AK67" s="135">
        <f t="shared" si="57"/>
        <v>0</v>
      </c>
      <c r="AL67" s="135">
        <f t="shared" si="57"/>
        <v>0</v>
      </c>
      <c r="AM67" s="135">
        <f t="shared" si="57"/>
        <v>0</v>
      </c>
      <c r="AN67" s="135">
        <f t="shared" si="57"/>
        <v>0</v>
      </c>
      <c r="AO67" s="135">
        <f t="shared" si="57"/>
        <v>0</v>
      </c>
      <c r="AP67" s="135">
        <f t="shared" si="57"/>
        <v>0</v>
      </c>
      <c r="AQ67" s="135">
        <f t="shared" si="57"/>
        <v>0</v>
      </c>
      <c r="AR67" s="136">
        <f t="shared" si="58"/>
        <v>0</v>
      </c>
      <c r="AS67" s="135">
        <f t="shared" si="59"/>
        <v>0</v>
      </c>
      <c r="AT67" s="135">
        <f t="shared" si="59"/>
        <v>0</v>
      </c>
      <c r="AU67" s="135">
        <f t="shared" si="59"/>
        <v>0</v>
      </c>
      <c r="AV67" s="135">
        <f t="shared" si="59"/>
        <v>0</v>
      </c>
      <c r="AW67" s="135">
        <f t="shared" si="59"/>
        <v>0</v>
      </c>
      <c r="AX67" s="135">
        <f t="shared" si="59"/>
        <v>0</v>
      </c>
      <c r="AY67" s="135">
        <f t="shared" si="59"/>
        <v>0</v>
      </c>
      <c r="AZ67" s="135">
        <f t="shared" si="59"/>
        <v>0</v>
      </c>
      <c r="BA67" s="135">
        <f t="shared" si="59"/>
        <v>0</v>
      </c>
      <c r="BB67" s="135">
        <f t="shared" si="59"/>
        <v>0</v>
      </c>
      <c r="BC67" s="135">
        <f t="shared" si="59"/>
        <v>0</v>
      </c>
      <c r="BD67" s="135">
        <f t="shared" si="59"/>
        <v>0</v>
      </c>
      <c r="BE67" s="136">
        <f t="shared" si="60"/>
        <v>0</v>
      </c>
      <c r="BF67" s="135">
        <f t="shared" si="61"/>
        <v>0</v>
      </c>
      <c r="BG67" s="135">
        <f t="shared" si="61"/>
        <v>0</v>
      </c>
      <c r="BH67" s="135">
        <f t="shared" si="61"/>
        <v>0</v>
      </c>
      <c r="BI67" s="135">
        <f t="shared" si="61"/>
        <v>0</v>
      </c>
      <c r="BJ67" s="135">
        <f t="shared" si="61"/>
        <v>0</v>
      </c>
      <c r="BK67" s="135">
        <f t="shared" si="61"/>
        <v>0</v>
      </c>
      <c r="BL67" s="135">
        <f t="shared" si="61"/>
        <v>0</v>
      </c>
      <c r="BM67" s="135">
        <f t="shared" si="61"/>
        <v>0</v>
      </c>
      <c r="BN67" s="135">
        <f t="shared" si="61"/>
        <v>0</v>
      </c>
      <c r="BO67" s="135">
        <f t="shared" si="61"/>
        <v>0</v>
      </c>
      <c r="BP67" s="135">
        <f t="shared" si="61"/>
        <v>0</v>
      </c>
      <c r="BQ67" s="135">
        <f t="shared" si="61"/>
        <v>0</v>
      </c>
      <c r="BR67" s="136">
        <f t="shared" si="62"/>
        <v>0</v>
      </c>
      <c r="BS67" s="135">
        <f t="shared" si="63"/>
        <v>0</v>
      </c>
      <c r="BT67" s="135">
        <f t="shared" si="63"/>
        <v>0</v>
      </c>
      <c r="BU67" s="135">
        <f t="shared" si="63"/>
        <v>0</v>
      </c>
      <c r="BV67" s="135">
        <f t="shared" si="63"/>
        <v>0</v>
      </c>
      <c r="BW67" s="135">
        <f t="shared" si="63"/>
        <v>0</v>
      </c>
      <c r="BX67" s="135">
        <f t="shared" si="63"/>
        <v>0</v>
      </c>
      <c r="BY67" s="135">
        <f t="shared" si="63"/>
        <v>0</v>
      </c>
      <c r="BZ67" s="135">
        <f t="shared" si="63"/>
        <v>0</v>
      </c>
      <c r="CA67" s="135">
        <f t="shared" si="63"/>
        <v>0</v>
      </c>
      <c r="CB67" s="135">
        <f t="shared" si="63"/>
        <v>0</v>
      </c>
      <c r="CC67" s="135">
        <f t="shared" si="63"/>
        <v>0</v>
      </c>
      <c r="CD67" s="135">
        <f t="shared" si="63"/>
        <v>0</v>
      </c>
      <c r="CE67" s="136">
        <f t="shared" si="64"/>
        <v>0</v>
      </c>
      <c r="CF67" s="135">
        <f t="shared" si="65"/>
        <v>0</v>
      </c>
      <c r="CG67" s="135">
        <f t="shared" si="65"/>
        <v>0</v>
      </c>
      <c r="CH67" s="135">
        <f t="shared" si="65"/>
        <v>0</v>
      </c>
      <c r="CI67" s="135">
        <f t="shared" si="65"/>
        <v>0</v>
      </c>
      <c r="CJ67" s="135">
        <f t="shared" si="65"/>
        <v>0</v>
      </c>
      <c r="CK67" s="135">
        <f t="shared" si="65"/>
        <v>0</v>
      </c>
      <c r="CL67" s="135">
        <f t="shared" si="65"/>
        <v>0</v>
      </c>
      <c r="CM67" s="135">
        <f t="shared" si="65"/>
        <v>0</v>
      </c>
      <c r="CN67" s="135">
        <f t="shared" si="65"/>
        <v>0</v>
      </c>
      <c r="CO67" s="135">
        <f t="shared" si="65"/>
        <v>0</v>
      </c>
      <c r="CP67" s="135">
        <f t="shared" si="65"/>
        <v>0</v>
      </c>
      <c r="CQ67" s="135">
        <f t="shared" si="65"/>
        <v>0</v>
      </c>
      <c r="CR67" s="136">
        <f t="shared" si="66"/>
        <v>0</v>
      </c>
    </row>
    <row r="68" spans="1:96" ht="15" customHeight="1">
      <c r="A68" s="646"/>
      <c r="B68" s="649"/>
      <c r="C68" s="240"/>
      <c r="D68" s="133">
        <f t="shared" si="52"/>
        <v>0</v>
      </c>
      <c r="E68" s="137"/>
      <c r="F68" s="135">
        <f t="shared" si="53"/>
        <v>0</v>
      </c>
      <c r="G68" s="135">
        <f t="shared" si="53"/>
        <v>0</v>
      </c>
      <c r="H68" s="135">
        <f t="shared" si="53"/>
        <v>0</v>
      </c>
      <c r="I68" s="135">
        <f t="shared" si="53"/>
        <v>0</v>
      </c>
      <c r="J68" s="135">
        <f t="shared" si="53"/>
        <v>0</v>
      </c>
      <c r="K68" s="135">
        <f t="shared" si="53"/>
        <v>0</v>
      </c>
      <c r="L68" s="135">
        <f t="shared" si="53"/>
        <v>0</v>
      </c>
      <c r="M68" s="135">
        <f t="shared" si="53"/>
        <v>0</v>
      </c>
      <c r="N68" s="135">
        <f t="shared" si="53"/>
        <v>0</v>
      </c>
      <c r="O68" s="135">
        <f t="shared" si="53"/>
        <v>0</v>
      </c>
      <c r="P68" s="135">
        <f t="shared" si="53"/>
        <v>0</v>
      </c>
      <c r="Q68" s="135">
        <f t="shared" si="53"/>
        <v>0</v>
      </c>
      <c r="R68" s="136">
        <f t="shared" si="54"/>
        <v>0</v>
      </c>
      <c r="S68" s="135">
        <f t="shared" si="55"/>
        <v>0</v>
      </c>
      <c r="T68" s="135">
        <f t="shared" si="55"/>
        <v>0</v>
      </c>
      <c r="U68" s="135">
        <f t="shared" si="55"/>
        <v>0</v>
      </c>
      <c r="V68" s="135">
        <f t="shared" si="55"/>
        <v>0</v>
      </c>
      <c r="W68" s="135">
        <f t="shared" si="55"/>
        <v>0</v>
      </c>
      <c r="X68" s="135">
        <f t="shared" si="55"/>
        <v>0</v>
      </c>
      <c r="Y68" s="135">
        <f t="shared" si="55"/>
        <v>0</v>
      </c>
      <c r="Z68" s="135">
        <f t="shared" si="55"/>
        <v>0</v>
      </c>
      <c r="AA68" s="135">
        <f t="shared" si="55"/>
        <v>0</v>
      </c>
      <c r="AB68" s="135">
        <f t="shared" si="55"/>
        <v>0</v>
      </c>
      <c r="AC68" s="135">
        <f t="shared" si="55"/>
        <v>0</v>
      </c>
      <c r="AD68" s="135">
        <f t="shared" si="55"/>
        <v>0</v>
      </c>
      <c r="AE68" s="136">
        <f t="shared" si="56"/>
        <v>0</v>
      </c>
      <c r="AF68" s="135">
        <f t="shared" si="57"/>
        <v>0</v>
      </c>
      <c r="AG68" s="135">
        <f t="shared" si="57"/>
        <v>0</v>
      </c>
      <c r="AH68" s="135">
        <f t="shared" si="57"/>
        <v>0</v>
      </c>
      <c r="AI68" s="135">
        <f t="shared" si="57"/>
        <v>0</v>
      </c>
      <c r="AJ68" s="135">
        <f t="shared" si="57"/>
        <v>0</v>
      </c>
      <c r="AK68" s="135">
        <f t="shared" si="57"/>
        <v>0</v>
      </c>
      <c r="AL68" s="135">
        <f t="shared" si="57"/>
        <v>0</v>
      </c>
      <c r="AM68" s="135">
        <f t="shared" si="57"/>
        <v>0</v>
      </c>
      <c r="AN68" s="135">
        <f t="shared" si="57"/>
        <v>0</v>
      </c>
      <c r="AO68" s="135">
        <f t="shared" si="57"/>
        <v>0</v>
      </c>
      <c r="AP68" s="135">
        <f t="shared" si="57"/>
        <v>0</v>
      </c>
      <c r="AQ68" s="135">
        <f t="shared" si="57"/>
        <v>0</v>
      </c>
      <c r="AR68" s="136">
        <f t="shared" si="58"/>
        <v>0</v>
      </c>
      <c r="AS68" s="135">
        <f t="shared" si="59"/>
        <v>0</v>
      </c>
      <c r="AT68" s="135">
        <f t="shared" si="59"/>
        <v>0</v>
      </c>
      <c r="AU68" s="135">
        <f t="shared" si="59"/>
        <v>0</v>
      </c>
      <c r="AV68" s="135">
        <f t="shared" si="59"/>
        <v>0</v>
      </c>
      <c r="AW68" s="135">
        <f t="shared" si="59"/>
        <v>0</v>
      </c>
      <c r="AX68" s="135">
        <f t="shared" si="59"/>
        <v>0</v>
      </c>
      <c r="AY68" s="135">
        <f t="shared" si="59"/>
        <v>0</v>
      </c>
      <c r="AZ68" s="135">
        <f t="shared" si="59"/>
        <v>0</v>
      </c>
      <c r="BA68" s="135">
        <f t="shared" si="59"/>
        <v>0</v>
      </c>
      <c r="BB68" s="135">
        <f t="shared" si="59"/>
        <v>0</v>
      </c>
      <c r="BC68" s="135">
        <f t="shared" si="59"/>
        <v>0</v>
      </c>
      <c r="BD68" s="135">
        <f t="shared" si="59"/>
        <v>0</v>
      </c>
      <c r="BE68" s="136">
        <f t="shared" si="60"/>
        <v>0</v>
      </c>
      <c r="BF68" s="135">
        <f t="shared" si="61"/>
        <v>0</v>
      </c>
      <c r="BG68" s="135">
        <f t="shared" si="61"/>
        <v>0</v>
      </c>
      <c r="BH68" s="135">
        <f t="shared" si="61"/>
        <v>0</v>
      </c>
      <c r="BI68" s="135">
        <f t="shared" si="61"/>
        <v>0</v>
      </c>
      <c r="BJ68" s="135">
        <f t="shared" si="61"/>
        <v>0</v>
      </c>
      <c r="BK68" s="135">
        <f t="shared" si="61"/>
        <v>0</v>
      </c>
      <c r="BL68" s="135">
        <f t="shared" si="61"/>
        <v>0</v>
      </c>
      <c r="BM68" s="135">
        <f t="shared" si="61"/>
        <v>0</v>
      </c>
      <c r="BN68" s="135">
        <f t="shared" si="61"/>
        <v>0</v>
      </c>
      <c r="BO68" s="135">
        <f t="shared" si="61"/>
        <v>0</v>
      </c>
      <c r="BP68" s="135">
        <f t="shared" si="61"/>
        <v>0</v>
      </c>
      <c r="BQ68" s="135">
        <f t="shared" si="61"/>
        <v>0</v>
      </c>
      <c r="BR68" s="136">
        <f t="shared" si="62"/>
        <v>0</v>
      </c>
      <c r="BS68" s="135">
        <f t="shared" si="63"/>
        <v>0</v>
      </c>
      <c r="BT68" s="135">
        <f t="shared" si="63"/>
        <v>0</v>
      </c>
      <c r="BU68" s="135">
        <f t="shared" si="63"/>
        <v>0</v>
      </c>
      <c r="BV68" s="135">
        <f t="shared" si="63"/>
        <v>0</v>
      </c>
      <c r="BW68" s="135">
        <f t="shared" si="63"/>
        <v>0</v>
      </c>
      <c r="BX68" s="135">
        <f t="shared" si="63"/>
        <v>0</v>
      </c>
      <c r="BY68" s="135">
        <f t="shared" si="63"/>
        <v>0</v>
      </c>
      <c r="BZ68" s="135">
        <f t="shared" si="63"/>
        <v>0</v>
      </c>
      <c r="CA68" s="135">
        <f t="shared" si="63"/>
        <v>0</v>
      </c>
      <c r="CB68" s="135">
        <f t="shared" si="63"/>
        <v>0</v>
      </c>
      <c r="CC68" s="135">
        <f t="shared" si="63"/>
        <v>0</v>
      </c>
      <c r="CD68" s="135">
        <f t="shared" si="63"/>
        <v>0</v>
      </c>
      <c r="CE68" s="136">
        <f t="shared" si="64"/>
        <v>0</v>
      </c>
      <c r="CF68" s="135">
        <f t="shared" si="65"/>
        <v>0</v>
      </c>
      <c r="CG68" s="135">
        <f t="shared" si="65"/>
        <v>0</v>
      </c>
      <c r="CH68" s="135">
        <f t="shared" si="65"/>
        <v>0</v>
      </c>
      <c r="CI68" s="135">
        <f t="shared" si="65"/>
        <v>0</v>
      </c>
      <c r="CJ68" s="135">
        <f t="shared" si="65"/>
        <v>0</v>
      </c>
      <c r="CK68" s="135">
        <f t="shared" si="65"/>
        <v>0</v>
      </c>
      <c r="CL68" s="135">
        <f t="shared" si="65"/>
        <v>0</v>
      </c>
      <c r="CM68" s="135">
        <f t="shared" si="65"/>
        <v>0</v>
      </c>
      <c r="CN68" s="135">
        <f t="shared" si="65"/>
        <v>0</v>
      </c>
      <c r="CO68" s="135">
        <f t="shared" si="65"/>
        <v>0</v>
      </c>
      <c r="CP68" s="135">
        <f t="shared" si="65"/>
        <v>0</v>
      </c>
      <c r="CQ68" s="135">
        <f t="shared" si="65"/>
        <v>0</v>
      </c>
      <c r="CR68" s="136">
        <f t="shared" si="66"/>
        <v>0</v>
      </c>
    </row>
    <row r="69" spans="1:96" ht="15" customHeight="1">
      <c r="A69" s="646"/>
      <c r="B69" s="649"/>
      <c r="C69" s="240"/>
      <c r="D69" s="133"/>
      <c r="E69" s="137"/>
      <c r="F69" s="135"/>
      <c r="G69" s="135"/>
      <c r="H69" s="135"/>
      <c r="I69" s="135"/>
      <c r="J69" s="135"/>
      <c r="K69" s="135"/>
      <c r="L69" s="135"/>
      <c r="M69" s="135"/>
      <c r="N69" s="135"/>
      <c r="O69" s="135"/>
      <c r="P69" s="135"/>
      <c r="Q69" s="135"/>
      <c r="R69" s="136"/>
      <c r="S69" s="135"/>
      <c r="T69" s="135"/>
      <c r="U69" s="135"/>
      <c r="V69" s="135"/>
      <c r="W69" s="135"/>
      <c r="X69" s="135"/>
      <c r="Y69" s="135"/>
      <c r="Z69" s="135"/>
      <c r="AA69" s="135"/>
      <c r="AB69" s="135"/>
      <c r="AC69" s="135"/>
      <c r="AD69" s="135"/>
      <c r="AE69" s="136"/>
      <c r="AF69" s="135"/>
      <c r="AG69" s="135"/>
      <c r="AH69" s="135"/>
      <c r="AI69" s="135"/>
      <c r="AJ69" s="135"/>
      <c r="AK69" s="135"/>
      <c r="AL69" s="135"/>
      <c r="AM69" s="135"/>
      <c r="AN69" s="135"/>
      <c r="AO69" s="135"/>
      <c r="AP69" s="135"/>
      <c r="AQ69" s="135"/>
      <c r="AR69" s="136"/>
      <c r="AS69" s="135"/>
      <c r="AT69" s="135"/>
      <c r="AU69" s="135"/>
      <c r="AV69" s="135"/>
      <c r="AW69" s="135"/>
      <c r="AX69" s="135"/>
      <c r="AY69" s="135"/>
      <c r="AZ69" s="135"/>
      <c r="BA69" s="135"/>
      <c r="BB69" s="135"/>
      <c r="BC69" s="135"/>
      <c r="BD69" s="135"/>
      <c r="BE69" s="136"/>
      <c r="BF69" s="135"/>
      <c r="BG69" s="135"/>
      <c r="BH69" s="135"/>
      <c r="BI69" s="135"/>
      <c r="BJ69" s="135"/>
      <c r="BK69" s="135"/>
      <c r="BL69" s="135"/>
      <c r="BM69" s="135"/>
      <c r="BN69" s="135"/>
      <c r="BO69" s="135"/>
      <c r="BP69" s="135"/>
      <c r="BQ69" s="135"/>
      <c r="BR69" s="136"/>
      <c r="BS69" s="135"/>
      <c r="BT69" s="135"/>
      <c r="BU69" s="135"/>
      <c r="BV69" s="135"/>
      <c r="BW69" s="135"/>
      <c r="BX69" s="135"/>
      <c r="BY69" s="135"/>
      <c r="BZ69" s="135"/>
      <c r="CA69" s="135"/>
      <c r="CB69" s="135"/>
      <c r="CC69" s="135"/>
      <c r="CD69" s="135"/>
      <c r="CE69" s="136"/>
      <c r="CF69" s="135"/>
      <c r="CG69" s="135"/>
      <c r="CH69" s="135"/>
      <c r="CI69" s="135"/>
      <c r="CJ69" s="135"/>
      <c r="CK69" s="135"/>
      <c r="CL69" s="135"/>
      <c r="CM69" s="135"/>
      <c r="CN69" s="135"/>
      <c r="CO69" s="135"/>
      <c r="CP69" s="135"/>
      <c r="CQ69" s="135"/>
      <c r="CR69" s="136"/>
    </row>
    <row r="70" spans="1:96" ht="15" customHeight="1">
      <c r="A70" s="646"/>
      <c r="B70" s="649"/>
      <c r="C70" s="240"/>
      <c r="D70" s="133"/>
      <c r="E70" s="137"/>
      <c r="F70" s="135"/>
      <c r="G70" s="135"/>
      <c r="H70" s="135"/>
      <c r="I70" s="135"/>
      <c r="J70" s="135"/>
      <c r="K70" s="135"/>
      <c r="L70" s="135"/>
      <c r="M70" s="135"/>
      <c r="N70" s="135"/>
      <c r="O70" s="135"/>
      <c r="P70" s="135"/>
      <c r="Q70" s="135"/>
      <c r="R70" s="136"/>
      <c r="S70" s="135"/>
      <c r="T70" s="135"/>
      <c r="U70" s="135"/>
      <c r="V70" s="135"/>
      <c r="W70" s="135"/>
      <c r="X70" s="135"/>
      <c r="Y70" s="135"/>
      <c r="Z70" s="135"/>
      <c r="AA70" s="135"/>
      <c r="AB70" s="135"/>
      <c r="AC70" s="135"/>
      <c r="AD70" s="135"/>
      <c r="AE70" s="136"/>
      <c r="AF70" s="135"/>
      <c r="AG70" s="135"/>
      <c r="AH70" s="135"/>
      <c r="AI70" s="135"/>
      <c r="AJ70" s="135"/>
      <c r="AK70" s="135"/>
      <c r="AL70" s="135"/>
      <c r="AM70" s="135"/>
      <c r="AN70" s="135"/>
      <c r="AO70" s="135"/>
      <c r="AP70" s="135"/>
      <c r="AQ70" s="135"/>
      <c r="AR70" s="136"/>
      <c r="AS70" s="135"/>
      <c r="AT70" s="135"/>
      <c r="AU70" s="135"/>
      <c r="AV70" s="135"/>
      <c r="AW70" s="135"/>
      <c r="AX70" s="135"/>
      <c r="AY70" s="135"/>
      <c r="AZ70" s="135"/>
      <c r="BA70" s="135"/>
      <c r="BB70" s="135"/>
      <c r="BC70" s="135"/>
      <c r="BD70" s="135"/>
      <c r="BE70" s="136"/>
      <c r="BF70" s="135"/>
      <c r="BG70" s="135"/>
      <c r="BH70" s="135"/>
      <c r="BI70" s="135"/>
      <c r="BJ70" s="135"/>
      <c r="BK70" s="135"/>
      <c r="BL70" s="135"/>
      <c r="BM70" s="135"/>
      <c r="BN70" s="135"/>
      <c r="BO70" s="135"/>
      <c r="BP70" s="135"/>
      <c r="BQ70" s="135"/>
      <c r="BR70" s="136"/>
      <c r="BS70" s="135"/>
      <c r="BT70" s="135"/>
      <c r="BU70" s="135"/>
      <c r="BV70" s="135"/>
      <c r="BW70" s="135"/>
      <c r="BX70" s="135"/>
      <c r="BY70" s="135"/>
      <c r="BZ70" s="135"/>
      <c r="CA70" s="135"/>
      <c r="CB70" s="135"/>
      <c r="CC70" s="135"/>
      <c r="CD70" s="135"/>
      <c r="CE70" s="136"/>
      <c r="CF70" s="135"/>
      <c r="CG70" s="135"/>
      <c r="CH70" s="135"/>
      <c r="CI70" s="135"/>
      <c r="CJ70" s="135"/>
      <c r="CK70" s="135"/>
      <c r="CL70" s="135"/>
      <c r="CM70" s="135"/>
      <c r="CN70" s="135"/>
      <c r="CO70" s="135"/>
      <c r="CP70" s="135"/>
      <c r="CQ70" s="135"/>
      <c r="CR70" s="136"/>
    </row>
    <row r="71" spans="1:96" ht="15" customHeight="1">
      <c r="A71" s="646"/>
      <c r="B71" s="649"/>
      <c r="C71" s="240"/>
      <c r="D71" s="133"/>
      <c r="E71" s="137"/>
      <c r="F71" s="135"/>
      <c r="G71" s="135"/>
      <c r="H71" s="135"/>
      <c r="I71" s="135"/>
      <c r="J71" s="135"/>
      <c r="K71" s="135"/>
      <c r="L71" s="135"/>
      <c r="M71" s="135"/>
      <c r="N71" s="135"/>
      <c r="O71" s="135"/>
      <c r="P71" s="135"/>
      <c r="Q71" s="135"/>
      <c r="R71" s="136"/>
      <c r="S71" s="135"/>
      <c r="T71" s="135"/>
      <c r="U71" s="135"/>
      <c r="V71" s="135"/>
      <c r="W71" s="135"/>
      <c r="X71" s="135"/>
      <c r="Y71" s="135"/>
      <c r="Z71" s="135"/>
      <c r="AA71" s="135"/>
      <c r="AB71" s="135"/>
      <c r="AC71" s="135"/>
      <c r="AD71" s="135"/>
      <c r="AE71" s="136"/>
      <c r="AF71" s="135"/>
      <c r="AG71" s="135"/>
      <c r="AH71" s="135"/>
      <c r="AI71" s="135"/>
      <c r="AJ71" s="135"/>
      <c r="AK71" s="135"/>
      <c r="AL71" s="135"/>
      <c r="AM71" s="135"/>
      <c r="AN71" s="135"/>
      <c r="AO71" s="135"/>
      <c r="AP71" s="135"/>
      <c r="AQ71" s="135"/>
      <c r="AR71" s="136"/>
      <c r="AS71" s="135"/>
      <c r="AT71" s="135"/>
      <c r="AU71" s="135"/>
      <c r="AV71" s="135"/>
      <c r="AW71" s="135"/>
      <c r="AX71" s="135"/>
      <c r="AY71" s="135"/>
      <c r="AZ71" s="135"/>
      <c r="BA71" s="135"/>
      <c r="BB71" s="135"/>
      <c r="BC71" s="135"/>
      <c r="BD71" s="135"/>
      <c r="BE71" s="136"/>
      <c r="BF71" s="135"/>
      <c r="BG71" s="135"/>
      <c r="BH71" s="135"/>
      <c r="BI71" s="135"/>
      <c r="BJ71" s="135"/>
      <c r="BK71" s="135"/>
      <c r="BL71" s="135"/>
      <c r="BM71" s="135"/>
      <c r="BN71" s="135"/>
      <c r="BO71" s="135"/>
      <c r="BP71" s="135"/>
      <c r="BQ71" s="135"/>
      <c r="BR71" s="136"/>
      <c r="BS71" s="135"/>
      <c r="BT71" s="135"/>
      <c r="BU71" s="135"/>
      <c r="BV71" s="135"/>
      <c r="BW71" s="135"/>
      <c r="BX71" s="135"/>
      <c r="BY71" s="135"/>
      <c r="BZ71" s="135"/>
      <c r="CA71" s="135"/>
      <c r="CB71" s="135"/>
      <c r="CC71" s="135"/>
      <c r="CD71" s="135"/>
      <c r="CE71" s="136"/>
      <c r="CF71" s="135"/>
      <c r="CG71" s="135"/>
      <c r="CH71" s="135"/>
      <c r="CI71" s="135"/>
      <c r="CJ71" s="135"/>
      <c r="CK71" s="135"/>
      <c r="CL71" s="135"/>
      <c r="CM71" s="135"/>
      <c r="CN71" s="135"/>
      <c r="CO71" s="135"/>
      <c r="CP71" s="135"/>
      <c r="CQ71" s="135"/>
      <c r="CR71" s="136"/>
    </row>
    <row r="72" spans="1:96" ht="15" customHeight="1">
      <c r="A72" s="646"/>
      <c r="B72" s="649"/>
      <c r="C72" s="240"/>
      <c r="D72" s="133"/>
      <c r="E72" s="137"/>
      <c r="F72" s="135"/>
      <c r="G72" s="135"/>
      <c r="H72" s="135"/>
      <c r="I72" s="135"/>
      <c r="J72" s="135"/>
      <c r="K72" s="135"/>
      <c r="L72" s="135"/>
      <c r="M72" s="135"/>
      <c r="N72" s="135"/>
      <c r="O72" s="135"/>
      <c r="P72" s="135"/>
      <c r="Q72" s="135"/>
      <c r="R72" s="136"/>
      <c r="S72" s="135"/>
      <c r="T72" s="135"/>
      <c r="U72" s="135"/>
      <c r="V72" s="135"/>
      <c r="W72" s="135"/>
      <c r="X72" s="135"/>
      <c r="Y72" s="135"/>
      <c r="Z72" s="135"/>
      <c r="AA72" s="135"/>
      <c r="AB72" s="135"/>
      <c r="AC72" s="135"/>
      <c r="AD72" s="135"/>
      <c r="AE72" s="136"/>
      <c r="AF72" s="135"/>
      <c r="AG72" s="135"/>
      <c r="AH72" s="135"/>
      <c r="AI72" s="135"/>
      <c r="AJ72" s="135"/>
      <c r="AK72" s="135"/>
      <c r="AL72" s="135"/>
      <c r="AM72" s="135"/>
      <c r="AN72" s="135"/>
      <c r="AO72" s="135"/>
      <c r="AP72" s="135"/>
      <c r="AQ72" s="135"/>
      <c r="AR72" s="136"/>
      <c r="AS72" s="135"/>
      <c r="AT72" s="135"/>
      <c r="AU72" s="135"/>
      <c r="AV72" s="135"/>
      <c r="AW72" s="135"/>
      <c r="AX72" s="135"/>
      <c r="AY72" s="135"/>
      <c r="AZ72" s="135"/>
      <c r="BA72" s="135"/>
      <c r="BB72" s="135"/>
      <c r="BC72" s="135"/>
      <c r="BD72" s="135"/>
      <c r="BE72" s="136"/>
      <c r="BF72" s="135"/>
      <c r="BG72" s="135"/>
      <c r="BH72" s="135"/>
      <c r="BI72" s="135"/>
      <c r="BJ72" s="135"/>
      <c r="BK72" s="135"/>
      <c r="BL72" s="135"/>
      <c r="BM72" s="135"/>
      <c r="BN72" s="135"/>
      <c r="BO72" s="135"/>
      <c r="BP72" s="135"/>
      <c r="BQ72" s="135"/>
      <c r="BR72" s="136"/>
      <c r="BS72" s="135"/>
      <c r="BT72" s="135"/>
      <c r="BU72" s="135"/>
      <c r="BV72" s="135"/>
      <c r="BW72" s="135"/>
      <c r="BX72" s="135"/>
      <c r="BY72" s="135"/>
      <c r="BZ72" s="135"/>
      <c r="CA72" s="135"/>
      <c r="CB72" s="135"/>
      <c r="CC72" s="135"/>
      <c r="CD72" s="135"/>
      <c r="CE72" s="136"/>
      <c r="CF72" s="135"/>
      <c r="CG72" s="135"/>
      <c r="CH72" s="135"/>
      <c r="CI72" s="135"/>
      <c r="CJ72" s="135"/>
      <c r="CK72" s="135"/>
      <c r="CL72" s="135"/>
      <c r="CM72" s="135"/>
      <c r="CN72" s="135"/>
      <c r="CO72" s="135"/>
      <c r="CP72" s="135"/>
      <c r="CQ72" s="135"/>
      <c r="CR72" s="136"/>
    </row>
    <row r="73" spans="1:96" ht="15" customHeight="1">
      <c r="A73" s="646"/>
      <c r="B73" s="649"/>
      <c r="C73" s="240"/>
      <c r="D73" s="133"/>
      <c r="E73" s="137"/>
      <c r="F73" s="135"/>
      <c r="G73" s="135"/>
      <c r="H73" s="135"/>
      <c r="I73" s="135"/>
      <c r="J73" s="135"/>
      <c r="K73" s="135"/>
      <c r="L73" s="135"/>
      <c r="M73" s="135"/>
      <c r="N73" s="135"/>
      <c r="O73" s="135"/>
      <c r="P73" s="135"/>
      <c r="Q73" s="135"/>
      <c r="R73" s="136"/>
      <c r="S73" s="135"/>
      <c r="T73" s="135"/>
      <c r="U73" s="135"/>
      <c r="V73" s="135"/>
      <c r="W73" s="135"/>
      <c r="X73" s="135"/>
      <c r="Y73" s="135"/>
      <c r="Z73" s="135"/>
      <c r="AA73" s="135"/>
      <c r="AB73" s="135"/>
      <c r="AC73" s="135"/>
      <c r="AD73" s="135"/>
      <c r="AE73" s="136"/>
      <c r="AF73" s="135"/>
      <c r="AG73" s="135"/>
      <c r="AH73" s="135"/>
      <c r="AI73" s="135"/>
      <c r="AJ73" s="135"/>
      <c r="AK73" s="135"/>
      <c r="AL73" s="135"/>
      <c r="AM73" s="135"/>
      <c r="AN73" s="135"/>
      <c r="AO73" s="135"/>
      <c r="AP73" s="135"/>
      <c r="AQ73" s="135"/>
      <c r="AR73" s="136"/>
      <c r="AS73" s="135"/>
      <c r="AT73" s="135"/>
      <c r="AU73" s="135"/>
      <c r="AV73" s="135"/>
      <c r="AW73" s="135"/>
      <c r="AX73" s="135"/>
      <c r="AY73" s="135"/>
      <c r="AZ73" s="135"/>
      <c r="BA73" s="135"/>
      <c r="BB73" s="135"/>
      <c r="BC73" s="135"/>
      <c r="BD73" s="135"/>
      <c r="BE73" s="136"/>
      <c r="BF73" s="135"/>
      <c r="BG73" s="135"/>
      <c r="BH73" s="135"/>
      <c r="BI73" s="135"/>
      <c r="BJ73" s="135"/>
      <c r="BK73" s="135"/>
      <c r="BL73" s="135"/>
      <c r="BM73" s="135"/>
      <c r="BN73" s="135"/>
      <c r="BO73" s="135"/>
      <c r="BP73" s="135"/>
      <c r="BQ73" s="135"/>
      <c r="BR73" s="136"/>
      <c r="BS73" s="135"/>
      <c r="BT73" s="135"/>
      <c r="BU73" s="135"/>
      <c r="BV73" s="135"/>
      <c r="BW73" s="135"/>
      <c r="BX73" s="135"/>
      <c r="BY73" s="135"/>
      <c r="BZ73" s="135"/>
      <c r="CA73" s="135"/>
      <c r="CB73" s="135"/>
      <c r="CC73" s="135"/>
      <c r="CD73" s="135"/>
      <c r="CE73" s="136"/>
      <c r="CF73" s="135"/>
      <c r="CG73" s="135"/>
      <c r="CH73" s="135"/>
      <c r="CI73" s="135"/>
      <c r="CJ73" s="135"/>
      <c r="CK73" s="135"/>
      <c r="CL73" s="135"/>
      <c r="CM73" s="135"/>
      <c r="CN73" s="135"/>
      <c r="CO73" s="135"/>
      <c r="CP73" s="135"/>
      <c r="CQ73" s="135"/>
      <c r="CR73" s="136"/>
    </row>
    <row r="74" spans="1:96" ht="15" customHeight="1">
      <c r="A74" s="646"/>
      <c r="B74" s="649"/>
      <c r="C74" s="240"/>
      <c r="D74" s="133"/>
      <c r="E74" s="137"/>
      <c r="F74" s="135"/>
      <c r="G74" s="135"/>
      <c r="H74" s="135"/>
      <c r="I74" s="135"/>
      <c r="J74" s="135"/>
      <c r="K74" s="135"/>
      <c r="L74" s="135"/>
      <c r="M74" s="135"/>
      <c r="N74" s="135"/>
      <c r="O74" s="135"/>
      <c r="P74" s="135"/>
      <c r="Q74" s="135"/>
      <c r="R74" s="136"/>
      <c r="S74" s="135"/>
      <c r="T74" s="135"/>
      <c r="U74" s="135"/>
      <c r="V74" s="135"/>
      <c r="W74" s="135"/>
      <c r="X74" s="135"/>
      <c r="Y74" s="135"/>
      <c r="Z74" s="135"/>
      <c r="AA74" s="135"/>
      <c r="AB74" s="135"/>
      <c r="AC74" s="135"/>
      <c r="AD74" s="135"/>
      <c r="AE74" s="136"/>
      <c r="AF74" s="135"/>
      <c r="AG74" s="135"/>
      <c r="AH74" s="135"/>
      <c r="AI74" s="135"/>
      <c r="AJ74" s="135"/>
      <c r="AK74" s="135"/>
      <c r="AL74" s="135"/>
      <c r="AM74" s="135"/>
      <c r="AN74" s="135"/>
      <c r="AO74" s="135"/>
      <c r="AP74" s="135"/>
      <c r="AQ74" s="135"/>
      <c r="AR74" s="136"/>
      <c r="AS74" s="135"/>
      <c r="AT74" s="135"/>
      <c r="AU74" s="135"/>
      <c r="AV74" s="135"/>
      <c r="AW74" s="135"/>
      <c r="AX74" s="135"/>
      <c r="AY74" s="135"/>
      <c r="AZ74" s="135"/>
      <c r="BA74" s="135"/>
      <c r="BB74" s="135"/>
      <c r="BC74" s="135"/>
      <c r="BD74" s="135"/>
      <c r="BE74" s="136"/>
      <c r="BF74" s="135"/>
      <c r="BG74" s="135"/>
      <c r="BH74" s="135"/>
      <c r="BI74" s="135"/>
      <c r="BJ74" s="135"/>
      <c r="BK74" s="135"/>
      <c r="BL74" s="135"/>
      <c r="BM74" s="135"/>
      <c r="BN74" s="135"/>
      <c r="BO74" s="135"/>
      <c r="BP74" s="135"/>
      <c r="BQ74" s="135"/>
      <c r="BR74" s="136"/>
      <c r="BS74" s="135"/>
      <c r="BT74" s="135"/>
      <c r="BU74" s="135"/>
      <c r="BV74" s="135"/>
      <c r="BW74" s="135"/>
      <c r="BX74" s="135"/>
      <c r="BY74" s="135"/>
      <c r="BZ74" s="135"/>
      <c r="CA74" s="135"/>
      <c r="CB74" s="135"/>
      <c r="CC74" s="135"/>
      <c r="CD74" s="135"/>
      <c r="CE74" s="136"/>
      <c r="CF74" s="135"/>
      <c r="CG74" s="135"/>
      <c r="CH74" s="135"/>
      <c r="CI74" s="135"/>
      <c r="CJ74" s="135"/>
      <c r="CK74" s="135"/>
      <c r="CL74" s="135"/>
      <c r="CM74" s="135"/>
      <c r="CN74" s="135"/>
      <c r="CO74" s="135"/>
      <c r="CP74" s="135"/>
      <c r="CQ74" s="135"/>
      <c r="CR74" s="136"/>
    </row>
    <row r="75" spans="1:96" ht="15" customHeight="1">
      <c r="A75" s="646"/>
      <c r="B75" s="649"/>
      <c r="C75" s="240"/>
      <c r="D75" s="133"/>
      <c r="E75" s="137"/>
      <c r="F75" s="135"/>
      <c r="G75" s="135"/>
      <c r="H75" s="135"/>
      <c r="I75" s="135"/>
      <c r="J75" s="135"/>
      <c r="K75" s="135"/>
      <c r="L75" s="135"/>
      <c r="M75" s="135"/>
      <c r="N75" s="135"/>
      <c r="O75" s="135"/>
      <c r="P75" s="135"/>
      <c r="Q75" s="135"/>
      <c r="R75" s="136"/>
      <c r="S75" s="135"/>
      <c r="T75" s="135"/>
      <c r="U75" s="135"/>
      <c r="V75" s="135"/>
      <c r="W75" s="135"/>
      <c r="X75" s="135"/>
      <c r="Y75" s="135"/>
      <c r="Z75" s="135"/>
      <c r="AA75" s="135"/>
      <c r="AB75" s="135"/>
      <c r="AC75" s="135"/>
      <c r="AD75" s="135"/>
      <c r="AE75" s="136"/>
      <c r="AF75" s="135"/>
      <c r="AG75" s="135"/>
      <c r="AH75" s="135"/>
      <c r="AI75" s="135"/>
      <c r="AJ75" s="135"/>
      <c r="AK75" s="135"/>
      <c r="AL75" s="135"/>
      <c r="AM75" s="135"/>
      <c r="AN75" s="135"/>
      <c r="AO75" s="135"/>
      <c r="AP75" s="135"/>
      <c r="AQ75" s="135"/>
      <c r="AR75" s="136"/>
      <c r="AS75" s="135"/>
      <c r="AT75" s="135"/>
      <c r="AU75" s="135"/>
      <c r="AV75" s="135"/>
      <c r="AW75" s="135"/>
      <c r="AX75" s="135"/>
      <c r="AY75" s="135"/>
      <c r="AZ75" s="135"/>
      <c r="BA75" s="135"/>
      <c r="BB75" s="135"/>
      <c r="BC75" s="135"/>
      <c r="BD75" s="135"/>
      <c r="BE75" s="136"/>
      <c r="BF75" s="135"/>
      <c r="BG75" s="135"/>
      <c r="BH75" s="135"/>
      <c r="BI75" s="135"/>
      <c r="BJ75" s="135"/>
      <c r="BK75" s="135"/>
      <c r="BL75" s="135"/>
      <c r="BM75" s="135"/>
      <c r="BN75" s="135"/>
      <c r="BO75" s="135"/>
      <c r="BP75" s="135"/>
      <c r="BQ75" s="135"/>
      <c r="BR75" s="136"/>
      <c r="BS75" s="135"/>
      <c r="BT75" s="135"/>
      <c r="BU75" s="135"/>
      <c r="BV75" s="135"/>
      <c r="BW75" s="135"/>
      <c r="BX75" s="135"/>
      <c r="BY75" s="135"/>
      <c r="BZ75" s="135"/>
      <c r="CA75" s="135"/>
      <c r="CB75" s="135"/>
      <c r="CC75" s="135"/>
      <c r="CD75" s="135"/>
      <c r="CE75" s="136"/>
      <c r="CF75" s="135"/>
      <c r="CG75" s="135"/>
      <c r="CH75" s="135"/>
      <c r="CI75" s="135"/>
      <c r="CJ75" s="135"/>
      <c r="CK75" s="135"/>
      <c r="CL75" s="135"/>
      <c r="CM75" s="135"/>
      <c r="CN75" s="135"/>
      <c r="CO75" s="135"/>
      <c r="CP75" s="135"/>
      <c r="CQ75" s="135"/>
      <c r="CR75" s="136"/>
    </row>
    <row r="76" spans="1:96" ht="15" customHeight="1">
      <c r="A76" s="646"/>
      <c r="B76" s="649"/>
      <c r="C76" s="240"/>
      <c r="D76" s="133"/>
      <c r="E76" s="137"/>
      <c r="F76" s="135"/>
      <c r="G76" s="135"/>
      <c r="H76" s="135"/>
      <c r="I76" s="135"/>
      <c r="J76" s="135"/>
      <c r="K76" s="135"/>
      <c r="L76" s="135"/>
      <c r="M76" s="135"/>
      <c r="N76" s="135"/>
      <c r="O76" s="135"/>
      <c r="P76" s="135"/>
      <c r="Q76" s="135"/>
      <c r="R76" s="136"/>
      <c r="S76" s="135"/>
      <c r="T76" s="135"/>
      <c r="U76" s="135"/>
      <c r="V76" s="135"/>
      <c r="W76" s="135"/>
      <c r="X76" s="135"/>
      <c r="Y76" s="135"/>
      <c r="Z76" s="135"/>
      <c r="AA76" s="135"/>
      <c r="AB76" s="135"/>
      <c r="AC76" s="135"/>
      <c r="AD76" s="135"/>
      <c r="AE76" s="136"/>
      <c r="AF76" s="135"/>
      <c r="AG76" s="135"/>
      <c r="AH76" s="135"/>
      <c r="AI76" s="135"/>
      <c r="AJ76" s="135"/>
      <c r="AK76" s="135"/>
      <c r="AL76" s="135"/>
      <c r="AM76" s="135"/>
      <c r="AN76" s="135"/>
      <c r="AO76" s="135"/>
      <c r="AP76" s="135"/>
      <c r="AQ76" s="135"/>
      <c r="AR76" s="136"/>
      <c r="AS76" s="135"/>
      <c r="AT76" s="135"/>
      <c r="AU76" s="135"/>
      <c r="AV76" s="135"/>
      <c r="AW76" s="135"/>
      <c r="AX76" s="135"/>
      <c r="AY76" s="135"/>
      <c r="AZ76" s="135"/>
      <c r="BA76" s="135"/>
      <c r="BB76" s="135"/>
      <c r="BC76" s="135"/>
      <c r="BD76" s="135"/>
      <c r="BE76" s="136"/>
      <c r="BF76" s="135"/>
      <c r="BG76" s="135"/>
      <c r="BH76" s="135"/>
      <c r="BI76" s="135"/>
      <c r="BJ76" s="135"/>
      <c r="BK76" s="135"/>
      <c r="BL76" s="135"/>
      <c r="BM76" s="135"/>
      <c r="BN76" s="135"/>
      <c r="BO76" s="135"/>
      <c r="BP76" s="135"/>
      <c r="BQ76" s="135"/>
      <c r="BR76" s="136"/>
      <c r="BS76" s="135"/>
      <c r="BT76" s="135"/>
      <c r="BU76" s="135"/>
      <c r="BV76" s="135"/>
      <c r="BW76" s="135"/>
      <c r="BX76" s="135"/>
      <c r="BY76" s="135"/>
      <c r="BZ76" s="135"/>
      <c r="CA76" s="135"/>
      <c r="CB76" s="135"/>
      <c r="CC76" s="135"/>
      <c r="CD76" s="135"/>
      <c r="CE76" s="136"/>
      <c r="CF76" s="135"/>
      <c r="CG76" s="135"/>
      <c r="CH76" s="135"/>
      <c r="CI76" s="135"/>
      <c r="CJ76" s="135"/>
      <c r="CK76" s="135"/>
      <c r="CL76" s="135"/>
      <c r="CM76" s="135"/>
      <c r="CN76" s="135"/>
      <c r="CO76" s="135"/>
      <c r="CP76" s="135"/>
      <c r="CQ76" s="135"/>
      <c r="CR76" s="136"/>
    </row>
    <row r="77" spans="1:96" ht="15" customHeight="1">
      <c r="A77" s="646"/>
      <c r="B77" s="649"/>
      <c r="C77" s="240"/>
      <c r="D77" s="133"/>
      <c r="E77" s="137"/>
      <c r="F77" s="135"/>
      <c r="G77" s="135"/>
      <c r="H77" s="135"/>
      <c r="I77" s="135"/>
      <c r="J77" s="135"/>
      <c r="K77" s="135"/>
      <c r="L77" s="135"/>
      <c r="M77" s="135"/>
      <c r="N77" s="135"/>
      <c r="O77" s="135"/>
      <c r="P77" s="135"/>
      <c r="Q77" s="135"/>
      <c r="R77" s="136"/>
      <c r="S77" s="135"/>
      <c r="T77" s="135"/>
      <c r="U77" s="135"/>
      <c r="V77" s="135"/>
      <c r="W77" s="135"/>
      <c r="X77" s="135"/>
      <c r="Y77" s="135"/>
      <c r="Z77" s="135"/>
      <c r="AA77" s="135"/>
      <c r="AB77" s="135"/>
      <c r="AC77" s="135"/>
      <c r="AD77" s="135"/>
      <c r="AE77" s="136"/>
      <c r="AF77" s="135"/>
      <c r="AG77" s="135"/>
      <c r="AH77" s="135"/>
      <c r="AI77" s="135"/>
      <c r="AJ77" s="135"/>
      <c r="AK77" s="135"/>
      <c r="AL77" s="135"/>
      <c r="AM77" s="135"/>
      <c r="AN77" s="135"/>
      <c r="AO77" s="135"/>
      <c r="AP77" s="135"/>
      <c r="AQ77" s="135"/>
      <c r="AR77" s="136"/>
      <c r="AS77" s="135"/>
      <c r="AT77" s="135"/>
      <c r="AU77" s="135"/>
      <c r="AV77" s="135"/>
      <c r="AW77" s="135"/>
      <c r="AX77" s="135"/>
      <c r="AY77" s="135"/>
      <c r="AZ77" s="135"/>
      <c r="BA77" s="135"/>
      <c r="BB77" s="135"/>
      <c r="BC77" s="135"/>
      <c r="BD77" s="135"/>
      <c r="BE77" s="136"/>
      <c r="BF77" s="135"/>
      <c r="BG77" s="135"/>
      <c r="BH77" s="135"/>
      <c r="BI77" s="135"/>
      <c r="BJ77" s="135"/>
      <c r="BK77" s="135"/>
      <c r="BL77" s="135"/>
      <c r="BM77" s="135"/>
      <c r="BN77" s="135"/>
      <c r="BO77" s="135"/>
      <c r="BP77" s="135"/>
      <c r="BQ77" s="135"/>
      <c r="BR77" s="136"/>
      <c r="BS77" s="135"/>
      <c r="BT77" s="135"/>
      <c r="BU77" s="135"/>
      <c r="BV77" s="135"/>
      <c r="BW77" s="135"/>
      <c r="BX77" s="135"/>
      <c r="BY77" s="135"/>
      <c r="BZ77" s="135"/>
      <c r="CA77" s="135"/>
      <c r="CB77" s="135"/>
      <c r="CC77" s="135"/>
      <c r="CD77" s="135"/>
      <c r="CE77" s="136"/>
      <c r="CF77" s="135"/>
      <c r="CG77" s="135"/>
      <c r="CH77" s="135"/>
      <c r="CI77" s="135"/>
      <c r="CJ77" s="135"/>
      <c r="CK77" s="135"/>
      <c r="CL77" s="135"/>
      <c r="CM77" s="135"/>
      <c r="CN77" s="135"/>
      <c r="CO77" s="135"/>
      <c r="CP77" s="135"/>
      <c r="CQ77" s="135"/>
      <c r="CR77" s="136"/>
    </row>
    <row r="78" spans="1:96" ht="15" customHeight="1">
      <c r="A78" s="646"/>
      <c r="B78" s="649"/>
      <c r="C78" s="240"/>
      <c r="D78" s="133"/>
      <c r="E78" s="137"/>
      <c r="F78" s="135"/>
      <c r="G78" s="135"/>
      <c r="H78" s="135"/>
      <c r="I78" s="135"/>
      <c r="J78" s="135"/>
      <c r="K78" s="135"/>
      <c r="L78" s="135"/>
      <c r="M78" s="135"/>
      <c r="N78" s="135"/>
      <c r="O78" s="135"/>
      <c r="P78" s="135"/>
      <c r="Q78" s="135"/>
      <c r="R78" s="136"/>
      <c r="S78" s="135"/>
      <c r="T78" s="135"/>
      <c r="U78" s="135"/>
      <c r="V78" s="135"/>
      <c r="W78" s="135"/>
      <c r="X78" s="135"/>
      <c r="Y78" s="135"/>
      <c r="Z78" s="135"/>
      <c r="AA78" s="135"/>
      <c r="AB78" s="135"/>
      <c r="AC78" s="135"/>
      <c r="AD78" s="135"/>
      <c r="AE78" s="136"/>
      <c r="AF78" s="135"/>
      <c r="AG78" s="135"/>
      <c r="AH78" s="135"/>
      <c r="AI78" s="135"/>
      <c r="AJ78" s="135"/>
      <c r="AK78" s="135"/>
      <c r="AL78" s="135"/>
      <c r="AM78" s="135"/>
      <c r="AN78" s="135"/>
      <c r="AO78" s="135"/>
      <c r="AP78" s="135"/>
      <c r="AQ78" s="135"/>
      <c r="AR78" s="136"/>
      <c r="AS78" s="135"/>
      <c r="AT78" s="135"/>
      <c r="AU78" s="135"/>
      <c r="AV78" s="135"/>
      <c r="AW78" s="135"/>
      <c r="AX78" s="135"/>
      <c r="AY78" s="135"/>
      <c r="AZ78" s="135"/>
      <c r="BA78" s="135"/>
      <c r="BB78" s="135"/>
      <c r="BC78" s="135"/>
      <c r="BD78" s="135"/>
      <c r="BE78" s="136"/>
      <c r="BF78" s="135"/>
      <c r="BG78" s="135"/>
      <c r="BH78" s="135"/>
      <c r="BI78" s="135"/>
      <c r="BJ78" s="135"/>
      <c r="BK78" s="135"/>
      <c r="BL78" s="135"/>
      <c r="BM78" s="135"/>
      <c r="BN78" s="135"/>
      <c r="BO78" s="135"/>
      <c r="BP78" s="135"/>
      <c r="BQ78" s="135"/>
      <c r="BR78" s="136"/>
      <c r="BS78" s="135"/>
      <c r="BT78" s="135"/>
      <c r="BU78" s="135"/>
      <c r="BV78" s="135"/>
      <c r="BW78" s="135"/>
      <c r="BX78" s="135"/>
      <c r="BY78" s="135"/>
      <c r="BZ78" s="135"/>
      <c r="CA78" s="135"/>
      <c r="CB78" s="135"/>
      <c r="CC78" s="135"/>
      <c r="CD78" s="135"/>
      <c r="CE78" s="136"/>
      <c r="CF78" s="135"/>
      <c r="CG78" s="135"/>
      <c r="CH78" s="135"/>
      <c r="CI78" s="135"/>
      <c r="CJ78" s="135"/>
      <c r="CK78" s="135"/>
      <c r="CL78" s="135"/>
      <c r="CM78" s="135"/>
      <c r="CN78" s="135"/>
      <c r="CO78" s="135"/>
      <c r="CP78" s="135"/>
      <c r="CQ78" s="135"/>
      <c r="CR78" s="136"/>
    </row>
    <row r="79" spans="1:96" ht="15" customHeight="1">
      <c r="A79" s="646"/>
      <c r="B79" s="649"/>
      <c r="C79" s="240"/>
      <c r="D79" s="133"/>
      <c r="E79" s="137"/>
      <c r="F79" s="135"/>
      <c r="G79" s="135"/>
      <c r="H79" s="135"/>
      <c r="I79" s="135"/>
      <c r="J79" s="135"/>
      <c r="K79" s="135"/>
      <c r="L79" s="135"/>
      <c r="M79" s="135"/>
      <c r="N79" s="135"/>
      <c r="O79" s="135"/>
      <c r="P79" s="135"/>
      <c r="Q79" s="135"/>
      <c r="R79" s="136"/>
      <c r="S79" s="135"/>
      <c r="T79" s="135"/>
      <c r="U79" s="135"/>
      <c r="V79" s="135"/>
      <c r="W79" s="135"/>
      <c r="X79" s="135"/>
      <c r="Y79" s="135"/>
      <c r="Z79" s="135"/>
      <c r="AA79" s="135"/>
      <c r="AB79" s="135"/>
      <c r="AC79" s="135"/>
      <c r="AD79" s="135"/>
      <c r="AE79" s="136"/>
      <c r="AF79" s="135"/>
      <c r="AG79" s="135"/>
      <c r="AH79" s="135"/>
      <c r="AI79" s="135"/>
      <c r="AJ79" s="135"/>
      <c r="AK79" s="135"/>
      <c r="AL79" s="135"/>
      <c r="AM79" s="135"/>
      <c r="AN79" s="135"/>
      <c r="AO79" s="135"/>
      <c r="AP79" s="135"/>
      <c r="AQ79" s="135"/>
      <c r="AR79" s="136"/>
      <c r="AS79" s="135"/>
      <c r="AT79" s="135"/>
      <c r="AU79" s="135"/>
      <c r="AV79" s="135"/>
      <c r="AW79" s="135"/>
      <c r="AX79" s="135"/>
      <c r="AY79" s="135"/>
      <c r="AZ79" s="135"/>
      <c r="BA79" s="135"/>
      <c r="BB79" s="135"/>
      <c r="BC79" s="135"/>
      <c r="BD79" s="135"/>
      <c r="BE79" s="136"/>
      <c r="BF79" s="135"/>
      <c r="BG79" s="135"/>
      <c r="BH79" s="135"/>
      <c r="BI79" s="135"/>
      <c r="BJ79" s="135"/>
      <c r="BK79" s="135"/>
      <c r="BL79" s="135"/>
      <c r="BM79" s="135"/>
      <c r="BN79" s="135"/>
      <c r="BO79" s="135"/>
      <c r="BP79" s="135"/>
      <c r="BQ79" s="135"/>
      <c r="BR79" s="136"/>
      <c r="BS79" s="135"/>
      <c r="BT79" s="135"/>
      <c r="BU79" s="135"/>
      <c r="BV79" s="135"/>
      <c r="BW79" s="135"/>
      <c r="BX79" s="135"/>
      <c r="BY79" s="135"/>
      <c r="BZ79" s="135"/>
      <c r="CA79" s="135"/>
      <c r="CB79" s="135"/>
      <c r="CC79" s="135"/>
      <c r="CD79" s="135"/>
      <c r="CE79" s="136"/>
      <c r="CF79" s="135"/>
      <c r="CG79" s="135"/>
      <c r="CH79" s="135"/>
      <c r="CI79" s="135"/>
      <c r="CJ79" s="135"/>
      <c r="CK79" s="135"/>
      <c r="CL79" s="135"/>
      <c r="CM79" s="135"/>
      <c r="CN79" s="135"/>
      <c r="CO79" s="135"/>
      <c r="CP79" s="135"/>
      <c r="CQ79" s="135"/>
      <c r="CR79" s="136"/>
    </row>
    <row r="80" spans="1:96" ht="15" customHeight="1">
      <c r="A80" s="646"/>
      <c r="B80" s="649"/>
      <c r="C80" s="240"/>
      <c r="D80" s="133"/>
      <c r="E80" s="137"/>
      <c r="F80" s="135"/>
      <c r="G80" s="135"/>
      <c r="H80" s="135"/>
      <c r="I80" s="135"/>
      <c r="J80" s="135"/>
      <c r="K80" s="135"/>
      <c r="L80" s="135"/>
      <c r="M80" s="135"/>
      <c r="N80" s="135"/>
      <c r="O80" s="135"/>
      <c r="P80" s="135"/>
      <c r="Q80" s="135"/>
      <c r="R80" s="136"/>
      <c r="S80" s="135"/>
      <c r="T80" s="135"/>
      <c r="U80" s="135"/>
      <c r="V80" s="135"/>
      <c r="W80" s="135"/>
      <c r="X80" s="135"/>
      <c r="Y80" s="135"/>
      <c r="Z80" s="135"/>
      <c r="AA80" s="135"/>
      <c r="AB80" s="135"/>
      <c r="AC80" s="135"/>
      <c r="AD80" s="135"/>
      <c r="AE80" s="136"/>
      <c r="AF80" s="135"/>
      <c r="AG80" s="135"/>
      <c r="AH80" s="135"/>
      <c r="AI80" s="135"/>
      <c r="AJ80" s="135"/>
      <c r="AK80" s="135"/>
      <c r="AL80" s="135"/>
      <c r="AM80" s="135"/>
      <c r="AN80" s="135"/>
      <c r="AO80" s="135"/>
      <c r="AP80" s="135"/>
      <c r="AQ80" s="135"/>
      <c r="AR80" s="136"/>
      <c r="AS80" s="135"/>
      <c r="AT80" s="135"/>
      <c r="AU80" s="135"/>
      <c r="AV80" s="135"/>
      <c r="AW80" s="135"/>
      <c r="AX80" s="135"/>
      <c r="AY80" s="135"/>
      <c r="AZ80" s="135"/>
      <c r="BA80" s="135"/>
      <c r="BB80" s="135"/>
      <c r="BC80" s="135"/>
      <c r="BD80" s="135"/>
      <c r="BE80" s="136"/>
      <c r="BF80" s="135"/>
      <c r="BG80" s="135"/>
      <c r="BH80" s="135"/>
      <c r="BI80" s="135"/>
      <c r="BJ80" s="135"/>
      <c r="BK80" s="135"/>
      <c r="BL80" s="135"/>
      <c r="BM80" s="135"/>
      <c r="BN80" s="135"/>
      <c r="BO80" s="135"/>
      <c r="BP80" s="135"/>
      <c r="BQ80" s="135"/>
      <c r="BR80" s="136"/>
      <c r="BS80" s="135"/>
      <c r="BT80" s="135"/>
      <c r="BU80" s="135"/>
      <c r="BV80" s="135"/>
      <c r="BW80" s="135"/>
      <c r="BX80" s="135"/>
      <c r="BY80" s="135"/>
      <c r="BZ80" s="135"/>
      <c r="CA80" s="135"/>
      <c r="CB80" s="135"/>
      <c r="CC80" s="135"/>
      <c r="CD80" s="135"/>
      <c r="CE80" s="136"/>
      <c r="CF80" s="135"/>
      <c r="CG80" s="135"/>
      <c r="CH80" s="135"/>
      <c r="CI80" s="135"/>
      <c r="CJ80" s="135"/>
      <c r="CK80" s="135"/>
      <c r="CL80" s="135"/>
      <c r="CM80" s="135"/>
      <c r="CN80" s="135"/>
      <c r="CO80" s="135"/>
      <c r="CP80" s="135"/>
      <c r="CQ80" s="135"/>
      <c r="CR80" s="136"/>
    </row>
    <row r="81" spans="1:102" ht="15" customHeight="1">
      <c r="A81" s="646"/>
      <c r="B81" s="649"/>
      <c r="C81" s="240"/>
      <c r="D81" s="133"/>
      <c r="E81" s="137"/>
      <c r="F81" s="135"/>
      <c r="G81" s="135"/>
      <c r="H81" s="135"/>
      <c r="I81" s="135"/>
      <c r="J81" s="135"/>
      <c r="K81" s="135"/>
      <c r="L81" s="135"/>
      <c r="M81" s="135"/>
      <c r="N81" s="135"/>
      <c r="O81" s="135"/>
      <c r="P81" s="135"/>
      <c r="Q81" s="135"/>
      <c r="R81" s="136"/>
      <c r="S81" s="135"/>
      <c r="T81" s="135"/>
      <c r="U81" s="135"/>
      <c r="V81" s="135"/>
      <c r="W81" s="135"/>
      <c r="X81" s="135"/>
      <c r="Y81" s="135"/>
      <c r="Z81" s="135"/>
      <c r="AA81" s="135"/>
      <c r="AB81" s="135"/>
      <c r="AC81" s="135"/>
      <c r="AD81" s="135"/>
      <c r="AE81" s="136"/>
      <c r="AF81" s="135"/>
      <c r="AG81" s="135"/>
      <c r="AH81" s="135"/>
      <c r="AI81" s="135"/>
      <c r="AJ81" s="135"/>
      <c r="AK81" s="135"/>
      <c r="AL81" s="135"/>
      <c r="AM81" s="135"/>
      <c r="AN81" s="135"/>
      <c r="AO81" s="135"/>
      <c r="AP81" s="135"/>
      <c r="AQ81" s="135"/>
      <c r="AR81" s="136"/>
      <c r="AS81" s="135"/>
      <c r="AT81" s="135"/>
      <c r="AU81" s="135"/>
      <c r="AV81" s="135"/>
      <c r="AW81" s="135"/>
      <c r="AX81" s="135"/>
      <c r="AY81" s="135"/>
      <c r="AZ81" s="135"/>
      <c r="BA81" s="135"/>
      <c r="BB81" s="135"/>
      <c r="BC81" s="135"/>
      <c r="BD81" s="135"/>
      <c r="BE81" s="136"/>
      <c r="BF81" s="135"/>
      <c r="BG81" s="135"/>
      <c r="BH81" s="135"/>
      <c r="BI81" s="135"/>
      <c r="BJ81" s="135"/>
      <c r="BK81" s="135"/>
      <c r="BL81" s="135"/>
      <c r="BM81" s="135"/>
      <c r="BN81" s="135"/>
      <c r="BO81" s="135"/>
      <c r="BP81" s="135"/>
      <c r="BQ81" s="135"/>
      <c r="BR81" s="136"/>
      <c r="BS81" s="135"/>
      <c r="BT81" s="135"/>
      <c r="BU81" s="135"/>
      <c r="BV81" s="135"/>
      <c r="BW81" s="135"/>
      <c r="BX81" s="135"/>
      <c r="BY81" s="135"/>
      <c r="BZ81" s="135"/>
      <c r="CA81" s="135"/>
      <c r="CB81" s="135"/>
      <c r="CC81" s="135"/>
      <c r="CD81" s="135"/>
      <c r="CE81" s="136"/>
      <c r="CF81" s="135"/>
      <c r="CG81" s="135"/>
      <c r="CH81" s="135"/>
      <c r="CI81" s="135"/>
      <c r="CJ81" s="135"/>
      <c r="CK81" s="135"/>
      <c r="CL81" s="135"/>
      <c r="CM81" s="135"/>
      <c r="CN81" s="135"/>
      <c r="CO81" s="135"/>
      <c r="CP81" s="135"/>
      <c r="CQ81" s="135"/>
      <c r="CR81" s="136"/>
    </row>
    <row r="82" spans="1:102" ht="15" customHeight="1">
      <c r="A82" s="646"/>
      <c r="B82" s="649"/>
      <c r="C82" s="240"/>
      <c r="D82" s="133">
        <f t="shared" si="52"/>
        <v>0</v>
      </c>
      <c r="E82" s="137"/>
      <c r="F82" s="135">
        <f t="shared" si="53"/>
        <v>0</v>
      </c>
      <c r="G82" s="135">
        <f t="shared" si="53"/>
        <v>0</v>
      </c>
      <c r="H82" s="135">
        <f t="shared" si="53"/>
        <v>0</v>
      </c>
      <c r="I82" s="135">
        <f t="shared" si="53"/>
        <v>0</v>
      </c>
      <c r="J82" s="135">
        <f t="shared" si="53"/>
        <v>0</v>
      </c>
      <c r="K82" s="135">
        <f t="shared" si="53"/>
        <v>0</v>
      </c>
      <c r="L82" s="135">
        <f t="shared" si="53"/>
        <v>0</v>
      </c>
      <c r="M82" s="135">
        <f t="shared" si="53"/>
        <v>0</v>
      </c>
      <c r="N82" s="135">
        <f t="shared" si="53"/>
        <v>0</v>
      </c>
      <c r="O82" s="135">
        <f t="shared" si="53"/>
        <v>0</v>
      </c>
      <c r="P82" s="135">
        <f t="shared" si="53"/>
        <v>0</v>
      </c>
      <c r="Q82" s="135">
        <f t="shared" si="53"/>
        <v>0</v>
      </c>
      <c r="R82" s="136">
        <f t="shared" si="54"/>
        <v>0</v>
      </c>
      <c r="S82" s="135">
        <f t="shared" si="55"/>
        <v>0</v>
      </c>
      <c r="T82" s="135">
        <f t="shared" si="55"/>
        <v>0</v>
      </c>
      <c r="U82" s="135">
        <f t="shared" si="55"/>
        <v>0</v>
      </c>
      <c r="V82" s="135">
        <f t="shared" si="55"/>
        <v>0</v>
      </c>
      <c r="W82" s="135">
        <f t="shared" si="55"/>
        <v>0</v>
      </c>
      <c r="X82" s="135">
        <f t="shared" si="55"/>
        <v>0</v>
      </c>
      <c r="Y82" s="135">
        <f t="shared" si="55"/>
        <v>0</v>
      </c>
      <c r="Z82" s="135">
        <f t="shared" si="55"/>
        <v>0</v>
      </c>
      <c r="AA82" s="135">
        <f t="shared" si="55"/>
        <v>0</v>
      </c>
      <c r="AB82" s="135">
        <f t="shared" si="55"/>
        <v>0</v>
      </c>
      <c r="AC82" s="135">
        <f t="shared" si="55"/>
        <v>0</v>
      </c>
      <c r="AD82" s="135">
        <f t="shared" si="55"/>
        <v>0</v>
      </c>
      <c r="AE82" s="136">
        <f t="shared" si="56"/>
        <v>0</v>
      </c>
      <c r="AF82" s="135">
        <f t="shared" si="57"/>
        <v>0</v>
      </c>
      <c r="AG82" s="135">
        <f t="shared" si="57"/>
        <v>0</v>
      </c>
      <c r="AH82" s="135">
        <f t="shared" si="57"/>
        <v>0</v>
      </c>
      <c r="AI82" s="135">
        <f t="shared" si="57"/>
        <v>0</v>
      </c>
      <c r="AJ82" s="135">
        <f t="shared" si="57"/>
        <v>0</v>
      </c>
      <c r="AK82" s="135">
        <f t="shared" si="57"/>
        <v>0</v>
      </c>
      <c r="AL82" s="135">
        <f t="shared" si="57"/>
        <v>0</v>
      </c>
      <c r="AM82" s="135">
        <f t="shared" si="57"/>
        <v>0</v>
      </c>
      <c r="AN82" s="135">
        <f t="shared" si="57"/>
        <v>0</v>
      </c>
      <c r="AO82" s="135">
        <f t="shared" si="57"/>
        <v>0</v>
      </c>
      <c r="AP82" s="135">
        <f t="shared" si="57"/>
        <v>0</v>
      </c>
      <c r="AQ82" s="135">
        <f t="shared" si="57"/>
        <v>0</v>
      </c>
      <c r="AR82" s="136">
        <f t="shared" si="58"/>
        <v>0</v>
      </c>
      <c r="AS82" s="135">
        <f t="shared" si="59"/>
        <v>0</v>
      </c>
      <c r="AT82" s="135">
        <f t="shared" si="59"/>
        <v>0</v>
      </c>
      <c r="AU82" s="135">
        <f t="shared" si="59"/>
        <v>0</v>
      </c>
      <c r="AV82" s="135">
        <f t="shared" si="59"/>
        <v>0</v>
      </c>
      <c r="AW82" s="135">
        <f t="shared" si="59"/>
        <v>0</v>
      </c>
      <c r="AX82" s="135">
        <f t="shared" si="59"/>
        <v>0</v>
      </c>
      <c r="AY82" s="135">
        <f t="shared" si="59"/>
        <v>0</v>
      </c>
      <c r="AZ82" s="135">
        <f t="shared" si="59"/>
        <v>0</v>
      </c>
      <c r="BA82" s="135">
        <f t="shared" si="59"/>
        <v>0</v>
      </c>
      <c r="BB82" s="135">
        <f t="shared" si="59"/>
        <v>0</v>
      </c>
      <c r="BC82" s="135">
        <f t="shared" si="59"/>
        <v>0</v>
      </c>
      <c r="BD82" s="135">
        <f t="shared" si="59"/>
        <v>0</v>
      </c>
      <c r="BE82" s="136">
        <f t="shared" si="60"/>
        <v>0</v>
      </c>
      <c r="BF82" s="135">
        <f t="shared" si="61"/>
        <v>0</v>
      </c>
      <c r="BG82" s="135">
        <f t="shared" si="61"/>
        <v>0</v>
      </c>
      <c r="BH82" s="135">
        <f t="shared" si="61"/>
        <v>0</v>
      </c>
      <c r="BI82" s="135">
        <f t="shared" si="61"/>
        <v>0</v>
      </c>
      <c r="BJ82" s="135">
        <f t="shared" si="61"/>
        <v>0</v>
      </c>
      <c r="BK82" s="135">
        <f t="shared" si="61"/>
        <v>0</v>
      </c>
      <c r="BL82" s="135">
        <f t="shared" si="61"/>
        <v>0</v>
      </c>
      <c r="BM82" s="135">
        <f t="shared" si="61"/>
        <v>0</v>
      </c>
      <c r="BN82" s="135">
        <f t="shared" si="61"/>
        <v>0</v>
      </c>
      <c r="BO82" s="135">
        <f t="shared" si="61"/>
        <v>0</v>
      </c>
      <c r="BP82" s="135">
        <f t="shared" si="61"/>
        <v>0</v>
      </c>
      <c r="BQ82" s="135">
        <f t="shared" si="61"/>
        <v>0</v>
      </c>
      <c r="BR82" s="136">
        <f t="shared" si="62"/>
        <v>0</v>
      </c>
      <c r="BS82" s="135">
        <f t="shared" si="63"/>
        <v>0</v>
      </c>
      <c r="BT82" s="135">
        <f t="shared" si="63"/>
        <v>0</v>
      </c>
      <c r="BU82" s="135">
        <f t="shared" si="63"/>
        <v>0</v>
      </c>
      <c r="BV82" s="135">
        <f t="shared" si="63"/>
        <v>0</v>
      </c>
      <c r="BW82" s="135">
        <f t="shared" si="63"/>
        <v>0</v>
      </c>
      <c r="BX82" s="135">
        <f t="shared" si="63"/>
        <v>0</v>
      </c>
      <c r="BY82" s="135">
        <f t="shared" si="63"/>
        <v>0</v>
      </c>
      <c r="BZ82" s="135">
        <f t="shared" si="63"/>
        <v>0</v>
      </c>
      <c r="CA82" s="135">
        <f t="shared" si="63"/>
        <v>0</v>
      </c>
      <c r="CB82" s="135">
        <f t="shared" si="63"/>
        <v>0</v>
      </c>
      <c r="CC82" s="135">
        <f t="shared" si="63"/>
        <v>0</v>
      </c>
      <c r="CD82" s="135">
        <f t="shared" si="63"/>
        <v>0</v>
      </c>
      <c r="CE82" s="136">
        <f t="shared" si="64"/>
        <v>0</v>
      </c>
      <c r="CF82" s="135">
        <f t="shared" si="65"/>
        <v>0</v>
      </c>
      <c r="CG82" s="135">
        <f t="shared" si="65"/>
        <v>0</v>
      </c>
      <c r="CH82" s="135">
        <f t="shared" si="65"/>
        <v>0</v>
      </c>
      <c r="CI82" s="135">
        <f t="shared" si="65"/>
        <v>0</v>
      </c>
      <c r="CJ82" s="135">
        <f t="shared" si="65"/>
        <v>0</v>
      </c>
      <c r="CK82" s="135">
        <f t="shared" si="65"/>
        <v>0</v>
      </c>
      <c r="CL82" s="135">
        <f t="shared" si="65"/>
        <v>0</v>
      </c>
      <c r="CM82" s="135">
        <f t="shared" si="65"/>
        <v>0</v>
      </c>
      <c r="CN82" s="135">
        <f t="shared" si="65"/>
        <v>0</v>
      </c>
      <c r="CO82" s="135">
        <f t="shared" si="65"/>
        <v>0</v>
      </c>
      <c r="CP82" s="135">
        <f t="shared" si="65"/>
        <v>0</v>
      </c>
      <c r="CQ82" s="135">
        <f t="shared" si="65"/>
        <v>0</v>
      </c>
      <c r="CR82" s="136">
        <f t="shared" si="66"/>
        <v>0</v>
      </c>
    </row>
    <row r="83" spans="1:102" ht="15" customHeight="1">
      <c r="A83" s="646"/>
      <c r="B83" s="649"/>
      <c r="C83" s="240"/>
      <c r="D83" s="133">
        <f t="shared" si="52"/>
        <v>0</v>
      </c>
      <c r="E83" s="137"/>
      <c r="F83" s="135">
        <f t="shared" si="53"/>
        <v>0</v>
      </c>
      <c r="G83" s="135">
        <f t="shared" si="53"/>
        <v>0</v>
      </c>
      <c r="H83" s="135">
        <f t="shared" si="53"/>
        <v>0</v>
      </c>
      <c r="I83" s="135">
        <f t="shared" si="53"/>
        <v>0</v>
      </c>
      <c r="J83" s="135">
        <f t="shared" si="53"/>
        <v>0</v>
      </c>
      <c r="K83" s="135">
        <f t="shared" si="53"/>
        <v>0</v>
      </c>
      <c r="L83" s="135">
        <f t="shared" si="53"/>
        <v>0</v>
      </c>
      <c r="M83" s="135">
        <f t="shared" si="53"/>
        <v>0</v>
      </c>
      <c r="N83" s="135">
        <f t="shared" si="53"/>
        <v>0</v>
      </c>
      <c r="O83" s="135">
        <f t="shared" si="53"/>
        <v>0</v>
      </c>
      <c r="P83" s="135">
        <f t="shared" si="53"/>
        <v>0</v>
      </c>
      <c r="Q83" s="135">
        <f t="shared" si="53"/>
        <v>0</v>
      </c>
      <c r="R83" s="136">
        <f t="shared" si="54"/>
        <v>0</v>
      </c>
      <c r="S83" s="135">
        <f t="shared" si="55"/>
        <v>0</v>
      </c>
      <c r="T83" s="135">
        <f t="shared" si="55"/>
        <v>0</v>
      </c>
      <c r="U83" s="135">
        <f t="shared" si="55"/>
        <v>0</v>
      </c>
      <c r="V83" s="135">
        <f t="shared" si="55"/>
        <v>0</v>
      </c>
      <c r="W83" s="135">
        <f t="shared" si="55"/>
        <v>0</v>
      </c>
      <c r="X83" s="135">
        <f t="shared" si="55"/>
        <v>0</v>
      </c>
      <c r="Y83" s="135">
        <f t="shared" si="55"/>
        <v>0</v>
      </c>
      <c r="Z83" s="135">
        <f t="shared" si="55"/>
        <v>0</v>
      </c>
      <c r="AA83" s="135">
        <f t="shared" si="55"/>
        <v>0</v>
      </c>
      <c r="AB83" s="135">
        <f t="shared" si="55"/>
        <v>0</v>
      </c>
      <c r="AC83" s="135">
        <f t="shared" si="55"/>
        <v>0</v>
      </c>
      <c r="AD83" s="135">
        <f t="shared" si="55"/>
        <v>0</v>
      </c>
      <c r="AE83" s="136">
        <f t="shared" si="56"/>
        <v>0</v>
      </c>
      <c r="AF83" s="135">
        <f t="shared" si="57"/>
        <v>0</v>
      </c>
      <c r="AG83" s="135">
        <f t="shared" si="57"/>
        <v>0</v>
      </c>
      <c r="AH83" s="135">
        <f t="shared" si="57"/>
        <v>0</v>
      </c>
      <c r="AI83" s="135">
        <f t="shared" si="57"/>
        <v>0</v>
      </c>
      <c r="AJ83" s="135">
        <f t="shared" si="57"/>
        <v>0</v>
      </c>
      <c r="AK83" s="135">
        <f t="shared" si="57"/>
        <v>0</v>
      </c>
      <c r="AL83" s="135">
        <f t="shared" si="57"/>
        <v>0</v>
      </c>
      <c r="AM83" s="135">
        <f t="shared" si="57"/>
        <v>0</v>
      </c>
      <c r="AN83" s="135">
        <f t="shared" si="57"/>
        <v>0</v>
      </c>
      <c r="AO83" s="135">
        <f t="shared" si="57"/>
        <v>0</v>
      </c>
      <c r="AP83" s="135">
        <f t="shared" si="57"/>
        <v>0</v>
      </c>
      <c r="AQ83" s="135">
        <f t="shared" si="57"/>
        <v>0</v>
      </c>
      <c r="AR83" s="136">
        <f t="shared" si="58"/>
        <v>0</v>
      </c>
      <c r="AS83" s="135">
        <f t="shared" si="59"/>
        <v>0</v>
      </c>
      <c r="AT83" s="135">
        <f t="shared" si="59"/>
        <v>0</v>
      </c>
      <c r="AU83" s="135">
        <f t="shared" si="59"/>
        <v>0</v>
      </c>
      <c r="AV83" s="135">
        <f t="shared" si="59"/>
        <v>0</v>
      </c>
      <c r="AW83" s="135">
        <f t="shared" si="59"/>
        <v>0</v>
      </c>
      <c r="AX83" s="135">
        <f t="shared" si="59"/>
        <v>0</v>
      </c>
      <c r="AY83" s="135">
        <f t="shared" si="59"/>
        <v>0</v>
      </c>
      <c r="AZ83" s="135">
        <f t="shared" si="59"/>
        <v>0</v>
      </c>
      <c r="BA83" s="135">
        <f t="shared" si="59"/>
        <v>0</v>
      </c>
      <c r="BB83" s="135">
        <f t="shared" si="59"/>
        <v>0</v>
      </c>
      <c r="BC83" s="135">
        <f t="shared" si="59"/>
        <v>0</v>
      </c>
      <c r="BD83" s="135">
        <f t="shared" si="59"/>
        <v>0</v>
      </c>
      <c r="BE83" s="136">
        <f t="shared" si="60"/>
        <v>0</v>
      </c>
      <c r="BF83" s="135">
        <f t="shared" si="61"/>
        <v>0</v>
      </c>
      <c r="BG83" s="135">
        <f t="shared" si="61"/>
        <v>0</v>
      </c>
      <c r="BH83" s="135">
        <f t="shared" si="61"/>
        <v>0</v>
      </c>
      <c r="BI83" s="135">
        <f t="shared" si="61"/>
        <v>0</v>
      </c>
      <c r="BJ83" s="135">
        <f t="shared" si="61"/>
        <v>0</v>
      </c>
      <c r="BK83" s="135">
        <f t="shared" si="61"/>
        <v>0</v>
      </c>
      <c r="BL83" s="135">
        <f t="shared" si="61"/>
        <v>0</v>
      </c>
      <c r="BM83" s="135">
        <f t="shared" si="61"/>
        <v>0</v>
      </c>
      <c r="BN83" s="135">
        <f t="shared" si="61"/>
        <v>0</v>
      </c>
      <c r="BO83" s="135">
        <f t="shared" si="61"/>
        <v>0</v>
      </c>
      <c r="BP83" s="135">
        <f t="shared" si="61"/>
        <v>0</v>
      </c>
      <c r="BQ83" s="135">
        <f t="shared" si="61"/>
        <v>0</v>
      </c>
      <c r="BR83" s="136">
        <f t="shared" si="62"/>
        <v>0</v>
      </c>
      <c r="BS83" s="135">
        <f t="shared" si="63"/>
        <v>0</v>
      </c>
      <c r="BT83" s="135">
        <f t="shared" si="63"/>
        <v>0</v>
      </c>
      <c r="BU83" s="135">
        <f t="shared" si="63"/>
        <v>0</v>
      </c>
      <c r="BV83" s="135">
        <f t="shared" si="63"/>
        <v>0</v>
      </c>
      <c r="BW83" s="135">
        <f t="shared" si="63"/>
        <v>0</v>
      </c>
      <c r="BX83" s="135">
        <f t="shared" si="63"/>
        <v>0</v>
      </c>
      <c r="BY83" s="135">
        <f t="shared" si="63"/>
        <v>0</v>
      </c>
      <c r="BZ83" s="135">
        <f t="shared" si="63"/>
        <v>0</v>
      </c>
      <c r="CA83" s="135">
        <f t="shared" si="63"/>
        <v>0</v>
      </c>
      <c r="CB83" s="135">
        <f t="shared" si="63"/>
        <v>0</v>
      </c>
      <c r="CC83" s="135">
        <f t="shared" si="63"/>
        <v>0</v>
      </c>
      <c r="CD83" s="135">
        <f t="shared" si="63"/>
        <v>0</v>
      </c>
      <c r="CE83" s="136">
        <f t="shared" si="64"/>
        <v>0</v>
      </c>
      <c r="CF83" s="135">
        <f t="shared" si="65"/>
        <v>0</v>
      </c>
      <c r="CG83" s="135">
        <f t="shared" si="65"/>
        <v>0</v>
      </c>
      <c r="CH83" s="135">
        <f t="shared" si="65"/>
        <v>0</v>
      </c>
      <c r="CI83" s="135">
        <f t="shared" si="65"/>
        <v>0</v>
      </c>
      <c r="CJ83" s="135">
        <f t="shared" si="65"/>
        <v>0</v>
      </c>
      <c r="CK83" s="135">
        <f t="shared" si="65"/>
        <v>0</v>
      </c>
      <c r="CL83" s="135">
        <f t="shared" si="65"/>
        <v>0</v>
      </c>
      <c r="CM83" s="135">
        <f t="shared" si="65"/>
        <v>0</v>
      </c>
      <c r="CN83" s="135">
        <f t="shared" si="65"/>
        <v>0</v>
      </c>
      <c r="CO83" s="135">
        <f t="shared" si="65"/>
        <v>0</v>
      </c>
      <c r="CP83" s="135">
        <f t="shared" si="65"/>
        <v>0</v>
      </c>
      <c r="CQ83" s="135">
        <f t="shared" si="65"/>
        <v>0</v>
      </c>
      <c r="CR83" s="136">
        <f t="shared" si="66"/>
        <v>0</v>
      </c>
    </row>
    <row r="84" spans="1:102" ht="15" customHeight="1">
      <c r="A84" s="646"/>
      <c r="B84" s="649"/>
      <c r="C84" s="240"/>
      <c r="D84" s="133">
        <f t="shared" si="52"/>
        <v>0</v>
      </c>
      <c r="E84" s="137"/>
      <c r="F84" s="135">
        <f t="shared" si="53"/>
        <v>0</v>
      </c>
      <c r="G84" s="135">
        <f t="shared" si="53"/>
        <v>0</v>
      </c>
      <c r="H84" s="135">
        <f t="shared" si="53"/>
        <v>0</v>
      </c>
      <c r="I84" s="135">
        <f t="shared" si="53"/>
        <v>0</v>
      </c>
      <c r="J84" s="135">
        <f t="shared" si="53"/>
        <v>0</v>
      </c>
      <c r="K84" s="135">
        <f t="shared" si="53"/>
        <v>0</v>
      </c>
      <c r="L84" s="135">
        <f t="shared" si="53"/>
        <v>0</v>
      </c>
      <c r="M84" s="135">
        <f t="shared" si="53"/>
        <v>0</v>
      </c>
      <c r="N84" s="135">
        <f t="shared" si="53"/>
        <v>0</v>
      </c>
      <c r="O84" s="135">
        <f t="shared" si="53"/>
        <v>0</v>
      </c>
      <c r="P84" s="135">
        <f t="shared" si="53"/>
        <v>0</v>
      </c>
      <c r="Q84" s="135">
        <f t="shared" si="53"/>
        <v>0</v>
      </c>
      <c r="R84" s="136">
        <f t="shared" si="54"/>
        <v>0</v>
      </c>
      <c r="S84" s="135">
        <f t="shared" si="55"/>
        <v>0</v>
      </c>
      <c r="T84" s="135">
        <f t="shared" si="55"/>
        <v>0</v>
      </c>
      <c r="U84" s="135">
        <f t="shared" si="55"/>
        <v>0</v>
      </c>
      <c r="V84" s="135">
        <f t="shared" si="55"/>
        <v>0</v>
      </c>
      <c r="W84" s="135">
        <f t="shared" si="55"/>
        <v>0</v>
      </c>
      <c r="X84" s="135">
        <f t="shared" si="55"/>
        <v>0</v>
      </c>
      <c r="Y84" s="135">
        <f t="shared" si="55"/>
        <v>0</v>
      </c>
      <c r="Z84" s="135">
        <f t="shared" si="55"/>
        <v>0</v>
      </c>
      <c r="AA84" s="135">
        <f t="shared" si="55"/>
        <v>0</v>
      </c>
      <c r="AB84" s="135">
        <f t="shared" si="55"/>
        <v>0</v>
      </c>
      <c r="AC84" s="135">
        <f t="shared" si="55"/>
        <v>0</v>
      </c>
      <c r="AD84" s="135">
        <f t="shared" si="55"/>
        <v>0</v>
      </c>
      <c r="AE84" s="136">
        <f t="shared" si="56"/>
        <v>0</v>
      </c>
      <c r="AF84" s="135">
        <f t="shared" si="57"/>
        <v>0</v>
      </c>
      <c r="AG84" s="135">
        <f t="shared" si="57"/>
        <v>0</v>
      </c>
      <c r="AH84" s="135">
        <f t="shared" si="57"/>
        <v>0</v>
      </c>
      <c r="AI84" s="135">
        <f t="shared" si="57"/>
        <v>0</v>
      </c>
      <c r="AJ84" s="135">
        <f t="shared" si="57"/>
        <v>0</v>
      </c>
      <c r="AK84" s="135">
        <f t="shared" si="57"/>
        <v>0</v>
      </c>
      <c r="AL84" s="135">
        <f t="shared" si="57"/>
        <v>0</v>
      </c>
      <c r="AM84" s="135">
        <f t="shared" si="57"/>
        <v>0</v>
      </c>
      <c r="AN84" s="135">
        <f t="shared" si="57"/>
        <v>0</v>
      </c>
      <c r="AO84" s="135">
        <f t="shared" si="57"/>
        <v>0</v>
      </c>
      <c r="AP84" s="135">
        <f t="shared" si="57"/>
        <v>0</v>
      </c>
      <c r="AQ84" s="135">
        <f t="shared" si="57"/>
        <v>0</v>
      </c>
      <c r="AR84" s="136">
        <f t="shared" si="58"/>
        <v>0</v>
      </c>
      <c r="AS84" s="135">
        <f t="shared" si="59"/>
        <v>0</v>
      </c>
      <c r="AT84" s="135">
        <f t="shared" si="59"/>
        <v>0</v>
      </c>
      <c r="AU84" s="135">
        <f t="shared" si="59"/>
        <v>0</v>
      </c>
      <c r="AV84" s="135">
        <f t="shared" si="59"/>
        <v>0</v>
      </c>
      <c r="AW84" s="135">
        <f t="shared" si="59"/>
        <v>0</v>
      </c>
      <c r="AX84" s="135">
        <f t="shared" si="59"/>
        <v>0</v>
      </c>
      <c r="AY84" s="135">
        <f t="shared" si="59"/>
        <v>0</v>
      </c>
      <c r="AZ84" s="135">
        <f t="shared" si="59"/>
        <v>0</v>
      </c>
      <c r="BA84" s="135">
        <f t="shared" si="59"/>
        <v>0</v>
      </c>
      <c r="BB84" s="135">
        <f t="shared" si="59"/>
        <v>0</v>
      </c>
      <c r="BC84" s="135">
        <f t="shared" si="59"/>
        <v>0</v>
      </c>
      <c r="BD84" s="135">
        <f t="shared" si="59"/>
        <v>0</v>
      </c>
      <c r="BE84" s="136">
        <f t="shared" si="60"/>
        <v>0</v>
      </c>
      <c r="BF84" s="135">
        <f t="shared" si="61"/>
        <v>0</v>
      </c>
      <c r="BG84" s="135">
        <f t="shared" si="61"/>
        <v>0</v>
      </c>
      <c r="BH84" s="135">
        <f t="shared" si="61"/>
        <v>0</v>
      </c>
      <c r="BI84" s="135">
        <f t="shared" si="61"/>
        <v>0</v>
      </c>
      <c r="BJ84" s="135">
        <f t="shared" si="61"/>
        <v>0</v>
      </c>
      <c r="BK84" s="135">
        <f t="shared" si="61"/>
        <v>0</v>
      </c>
      <c r="BL84" s="135">
        <f t="shared" si="61"/>
        <v>0</v>
      </c>
      <c r="BM84" s="135">
        <f t="shared" si="61"/>
        <v>0</v>
      </c>
      <c r="BN84" s="135">
        <f t="shared" si="61"/>
        <v>0</v>
      </c>
      <c r="BO84" s="135">
        <f t="shared" si="61"/>
        <v>0</v>
      </c>
      <c r="BP84" s="135">
        <f t="shared" si="61"/>
        <v>0</v>
      </c>
      <c r="BQ84" s="135">
        <f t="shared" si="61"/>
        <v>0</v>
      </c>
      <c r="BR84" s="136">
        <f t="shared" si="62"/>
        <v>0</v>
      </c>
      <c r="BS84" s="135">
        <f t="shared" si="63"/>
        <v>0</v>
      </c>
      <c r="BT84" s="135">
        <f t="shared" si="63"/>
        <v>0</v>
      </c>
      <c r="BU84" s="135">
        <f t="shared" si="63"/>
        <v>0</v>
      </c>
      <c r="BV84" s="135">
        <f t="shared" si="63"/>
        <v>0</v>
      </c>
      <c r="BW84" s="135">
        <f t="shared" si="63"/>
        <v>0</v>
      </c>
      <c r="BX84" s="135">
        <f t="shared" si="63"/>
        <v>0</v>
      </c>
      <c r="BY84" s="135">
        <f t="shared" si="63"/>
        <v>0</v>
      </c>
      <c r="BZ84" s="135">
        <f t="shared" si="63"/>
        <v>0</v>
      </c>
      <c r="CA84" s="135">
        <f t="shared" si="63"/>
        <v>0</v>
      </c>
      <c r="CB84" s="135">
        <f t="shared" si="63"/>
        <v>0</v>
      </c>
      <c r="CC84" s="135">
        <f t="shared" si="63"/>
        <v>0</v>
      </c>
      <c r="CD84" s="135">
        <f t="shared" si="63"/>
        <v>0</v>
      </c>
      <c r="CE84" s="136">
        <f t="shared" si="64"/>
        <v>0</v>
      </c>
      <c r="CF84" s="135">
        <f t="shared" si="65"/>
        <v>0</v>
      </c>
      <c r="CG84" s="135">
        <f t="shared" si="65"/>
        <v>0</v>
      </c>
      <c r="CH84" s="135">
        <f t="shared" si="65"/>
        <v>0</v>
      </c>
      <c r="CI84" s="135">
        <f t="shared" si="65"/>
        <v>0</v>
      </c>
      <c r="CJ84" s="135">
        <f t="shared" si="65"/>
        <v>0</v>
      </c>
      <c r="CK84" s="135">
        <f t="shared" si="65"/>
        <v>0</v>
      </c>
      <c r="CL84" s="135">
        <f t="shared" si="65"/>
        <v>0</v>
      </c>
      <c r="CM84" s="135">
        <f t="shared" si="65"/>
        <v>0</v>
      </c>
      <c r="CN84" s="135">
        <f t="shared" si="65"/>
        <v>0</v>
      </c>
      <c r="CO84" s="135">
        <f t="shared" si="65"/>
        <v>0</v>
      </c>
      <c r="CP84" s="135">
        <f t="shared" si="65"/>
        <v>0</v>
      </c>
      <c r="CQ84" s="135">
        <f t="shared" si="65"/>
        <v>0</v>
      </c>
      <c r="CR84" s="136">
        <f t="shared" si="66"/>
        <v>0</v>
      </c>
    </row>
    <row r="85" spans="1:102" ht="15" customHeight="1">
      <c r="A85" s="646"/>
      <c r="B85" s="649"/>
      <c r="C85" s="240"/>
      <c r="D85" s="133">
        <f t="shared" si="52"/>
        <v>0</v>
      </c>
      <c r="E85" s="137"/>
      <c r="F85" s="135">
        <f t="shared" si="53"/>
        <v>0</v>
      </c>
      <c r="G85" s="135">
        <f t="shared" si="53"/>
        <v>0</v>
      </c>
      <c r="H85" s="135">
        <f t="shared" si="53"/>
        <v>0</v>
      </c>
      <c r="I85" s="135">
        <f t="shared" si="53"/>
        <v>0</v>
      </c>
      <c r="J85" s="135">
        <f t="shared" si="53"/>
        <v>0</v>
      </c>
      <c r="K85" s="135">
        <f t="shared" si="53"/>
        <v>0</v>
      </c>
      <c r="L85" s="135">
        <f t="shared" si="53"/>
        <v>0</v>
      </c>
      <c r="M85" s="135">
        <f t="shared" si="53"/>
        <v>0</v>
      </c>
      <c r="N85" s="135">
        <f t="shared" si="53"/>
        <v>0</v>
      </c>
      <c r="O85" s="135">
        <f t="shared" si="53"/>
        <v>0</v>
      </c>
      <c r="P85" s="135">
        <f t="shared" si="53"/>
        <v>0</v>
      </c>
      <c r="Q85" s="135">
        <f t="shared" si="53"/>
        <v>0</v>
      </c>
      <c r="R85" s="136">
        <f t="shared" si="54"/>
        <v>0</v>
      </c>
      <c r="S85" s="135">
        <f t="shared" si="55"/>
        <v>0</v>
      </c>
      <c r="T85" s="135">
        <f t="shared" si="55"/>
        <v>0</v>
      </c>
      <c r="U85" s="135">
        <f t="shared" si="55"/>
        <v>0</v>
      </c>
      <c r="V85" s="135">
        <f t="shared" si="55"/>
        <v>0</v>
      </c>
      <c r="W85" s="135">
        <f t="shared" si="55"/>
        <v>0</v>
      </c>
      <c r="X85" s="135">
        <f t="shared" si="55"/>
        <v>0</v>
      </c>
      <c r="Y85" s="135">
        <f t="shared" si="55"/>
        <v>0</v>
      </c>
      <c r="Z85" s="135">
        <f t="shared" si="55"/>
        <v>0</v>
      </c>
      <c r="AA85" s="135">
        <f t="shared" si="55"/>
        <v>0</v>
      </c>
      <c r="AB85" s="135">
        <f t="shared" si="55"/>
        <v>0</v>
      </c>
      <c r="AC85" s="135">
        <f t="shared" si="55"/>
        <v>0</v>
      </c>
      <c r="AD85" s="135">
        <f t="shared" si="55"/>
        <v>0</v>
      </c>
      <c r="AE85" s="136">
        <f t="shared" si="56"/>
        <v>0</v>
      </c>
      <c r="AF85" s="135">
        <f t="shared" si="57"/>
        <v>0</v>
      </c>
      <c r="AG85" s="135">
        <f t="shared" si="57"/>
        <v>0</v>
      </c>
      <c r="AH85" s="135">
        <f t="shared" si="57"/>
        <v>0</v>
      </c>
      <c r="AI85" s="135">
        <f t="shared" si="57"/>
        <v>0</v>
      </c>
      <c r="AJ85" s="135">
        <f t="shared" si="57"/>
        <v>0</v>
      </c>
      <c r="AK85" s="135">
        <f t="shared" si="57"/>
        <v>0</v>
      </c>
      <c r="AL85" s="135">
        <f t="shared" si="57"/>
        <v>0</v>
      </c>
      <c r="AM85" s="135">
        <f t="shared" si="57"/>
        <v>0</v>
      </c>
      <c r="AN85" s="135">
        <f t="shared" si="57"/>
        <v>0</v>
      </c>
      <c r="AO85" s="135">
        <f t="shared" si="57"/>
        <v>0</v>
      </c>
      <c r="AP85" s="135">
        <f t="shared" si="57"/>
        <v>0</v>
      </c>
      <c r="AQ85" s="135">
        <f t="shared" si="57"/>
        <v>0</v>
      </c>
      <c r="AR85" s="136">
        <f t="shared" si="58"/>
        <v>0</v>
      </c>
      <c r="AS85" s="135">
        <f t="shared" si="59"/>
        <v>0</v>
      </c>
      <c r="AT85" s="135">
        <f t="shared" si="59"/>
        <v>0</v>
      </c>
      <c r="AU85" s="135">
        <f t="shared" si="59"/>
        <v>0</v>
      </c>
      <c r="AV85" s="135">
        <f t="shared" si="59"/>
        <v>0</v>
      </c>
      <c r="AW85" s="135">
        <f t="shared" si="59"/>
        <v>0</v>
      </c>
      <c r="AX85" s="135">
        <f t="shared" si="59"/>
        <v>0</v>
      </c>
      <c r="AY85" s="135">
        <f t="shared" si="59"/>
        <v>0</v>
      </c>
      <c r="AZ85" s="135">
        <f t="shared" si="59"/>
        <v>0</v>
      </c>
      <c r="BA85" s="135">
        <f t="shared" si="59"/>
        <v>0</v>
      </c>
      <c r="BB85" s="135">
        <f t="shared" si="59"/>
        <v>0</v>
      </c>
      <c r="BC85" s="135">
        <f t="shared" si="59"/>
        <v>0</v>
      </c>
      <c r="BD85" s="135">
        <f t="shared" si="59"/>
        <v>0</v>
      </c>
      <c r="BE85" s="136">
        <f t="shared" si="60"/>
        <v>0</v>
      </c>
      <c r="BF85" s="135">
        <f t="shared" si="61"/>
        <v>0</v>
      </c>
      <c r="BG85" s="135">
        <f t="shared" si="61"/>
        <v>0</v>
      </c>
      <c r="BH85" s="135">
        <f t="shared" si="61"/>
        <v>0</v>
      </c>
      <c r="BI85" s="135">
        <f t="shared" si="61"/>
        <v>0</v>
      </c>
      <c r="BJ85" s="135">
        <f t="shared" si="61"/>
        <v>0</v>
      </c>
      <c r="BK85" s="135">
        <f t="shared" si="61"/>
        <v>0</v>
      </c>
      <c r="BL85" s="135">
        <f t="shared" si="61"/>
        <v>0</v>
      </c>
      <c r="BM85" s="135">
        <f t="shared" si="61"/>
        <v>0</v>
      </c>
      <c r="BN85" s="135">
        <f t="shared" si="61"/>
        <v>0</v>
      </c>
      <c r="BO85" s="135">
        <f t="shared" si="61"/>
        <v>0</v>
      </c>
      <c r="BP85" s="135">
        <f t="shared" si="61"/>
        <v>0</v>
      </c>
      <c r="BQ85" s="135">
        <f t="shared" si="61"/>
        <v>0</v>
      </c>
      <c r="BR85" s="136">
        <f t="shared" si="62"/>
        <v>0</v>
      </c>
      <c r="BS85" s="135">
        <f t="shared" si="63"/>
        <v>0</v>
      </c>
      <c r="BT85" s="135">
        <f t="shared" si="63"/>
        <v>0</v>
      </c>
      <c r="BU85" s="135">
        <f t="shared" si="63"/>
        <v>0</v>
      </c>
      <c r="BV85" s="135">
        <f t="shared" si="63"/>
        <v>0</v>
      </c>
      <c r="BW85" s="135">
        <f t="shared" si="63"/>
        <v>0</v>
      </c>
      <c r="BX85" s="135">
        <f t="shared" si="63"/>
        <v>0</v>
      </c>
      <c r="BY85" s="135">
        <f t="shared" si="63"/>
        <v>0</v>
      </c>
      <c r="BZ85" s="135">
        <f t="shared" si="63"/>
        <v>0</v>
      </c>
      <c r="CA85" s="135">
        <f t="shared" si="63"/>
        <v>0</v>
      </c>
      <c r="CB85" s="135">
        <f t="shared" si="63"/>
        <v>0</v>
      </c>
      <c r="CC85" s="135">
        <f t="shared" si="63"/>
        <v>0</v>
      </c>
      <c r="CD85" s="135">
        <f t="shared" si="63"/>
        <v>0</v>
      </c>
      <c r="CE85" s="136">
        <f t="shared" si="64"/>
        <v>0</v>
      </c>
      <c r="CF85" s="135">
        <f t="shared" si="65"/>
        <v>0</v>
      </c>
      <c r="CG85" s="135">
        <f t="shared" si="65"/>
        <v>0</v>
      </c>
      <c r="CH85" s="135">
        <f t="shared" si="65"/>
        <v>0</v>
      </c>
      <c r="CI85" s="135">
        <f t="shared" si="65"/>
        <v>0</v>
      </c>
      <c r="CJ85" s="135">
        <f t="shared" si="65"/>
        <v>0</v>
      </c>
      <c r="CK85" s="135">
        <f t="shared" si="65"/>
        <v>0</v>
      </c>
      <c r="CL85" s="135">
        <f t="shared" si="65"/>
        <v>0</v>
      </c>
      <c r="CM85" s="135">
        <f t="shared" si="65"/>
        <v>0</v>
      </c>
      <c r="CN85" s="135">
        <f t="shared" si="65"/>
        <v>0</v>
      </c>
      <c r="CO85" s="135">
        <f t="shared" si="65"/>
        <v>0</v>
      </c>
      <c r="CP85" s="135">
        <f t="shared" si="65"/>
        <v>0</v>
      </c>
      <c r="CQ85" s="135">
        <f t="shared" si="65"/>
        <v>0</v>
      </c>
      <c r="CR85" s="136">
        <f t="shared" si="66"/>
        <v>0</v>
      </c>
    </row>
    <row r="86" spans="1:102" ht="15" customHeight="1">
      <c r="A86" s="646"/>
      <c r="B86" s="649"/>
      <c r="C86" s="240"/>
      <c r="D86" s="133">
        <f t="shared" si="52"/>
        <v>0</v>
      </c>
      <c r="E86" s="137"/>
      <c r="F86" s="135">
        <f t="shared" ref="F86:U89" si="67">$D86</f>
        <v>0</v>
      </c>
      <c r="G86" s="135">
        <f t="shared" si="67"/>
        <v>0</v>
      </c>
      <c r="H86" s="135">
        <f t="shared" si="67"/>
        <v>0</v>
      </c>
      <c r="I86" s="135">
        <f t="shared" si="67"/>
        <v>0</v>
      </c>
      <c r="J86" s="135">
        <f t="shared" si="67"/>
        <v>0</v>
      </c>
      <c r="K86" s="135">
        <f t="shared" si="67"/>
        <v>0</v>
      </c>
      <c r="L86" s="135">
        <f t="shared" si="67"/>
        <v>0</v>
      </c>
      <c r="M86" s="135">
        <f t="shared" si="67"/>
        <v>0</v>
      </c>
      <c r="N86" s="135">
        <f t="shared" si="67"/>
        <v>0</v>
      </c>
      <c r="O86" s="135">
        <f t="shared" si="67"/>
        <v>0</v>
      </c>
      <c r="P86" s="135">
        <f t="shared" si="67"/>
        <v>0</v>
      </c>
      <c r="Q86" s="135">
        <f t="shared" si="67"/>
        <v>0</v>
      </c>
      <c r="R86" s="136">
        <f t="shared" si="54"/>
        <v>0</v>
      </c>
      <c r="S86" s="135">
        <f t="shared" si="67"/>
        <v>0</v>
      </c>
      <c r="T86" s="135">
        <f t="shared" si="67"/>
        <v>0</v>
      </c>
      <c r="U86" s="135">
        <f t="shared" si="67"/>
        <v>0</v>
      </c>
      <c r="V86" s="135">
        <f t="shared" si="55"/>
        <v>0</v>
      </c>
      <c r="W86" s="135">
        <f t="shared" si="55"/>
        <v>0</v>
      </c>
      <c r="X86" s="135">
        <f t="shared" si="55"/>
        <v>0</v>
      </c>
      <c r="Y86" s="135">
        <f t="shared" si="55"/>
        <v>0</v>
      </c>
      <c r="Z86" s="135">
        <f t="shared" si="55"/>
        <v>0</v>
      </c>
      <c r="AA86" s="135">
        <f t="shared" si="55"/>
        <v>0</v>
      </c>
      <c r="AB86" s="135">
        <f t="shared" si="55"/>
        <v>0</v>
      </c>
      <c r="AC86" s="135">
        <f t="shared" si="55"/>
        <v>0</v>
      </c>
      <c r="AD86" s="135">
        <f t="shared" si="55"/>
        <v>0</v>
      </c>
      <c r="AE86" s="136">
        <f t="shared" si="56"/>
        <v>0</v>
      </c>
      <c r="AF86" s="135">
        <f t="shared" si="57"/>
        <v>0</v>
      </c>
      <c r="AG86" s="135">
        <f t="shared" si="57"/>
        <v>0</v>
      </c>
      <c r="AH86" s="135">
        <f t="shared" si="57"/>
        <v>0</v>
      </c>
      <c r="AI86" s="135">
        <f t="shared" si="57"/>
        <v>0</v>
      </c>
      <c r="AJ86" s="135">
        <f t="shared" si="57"/>
        <v>0</v>
      </c>
      <c r="AK86" s="135">
        <f t="shared" si="57"/>
        <v>0</v>
      </c>
      <c r="AL86" s="135">
        <f t="shared" si="57"/>
        <v>0</v>
      </c>
      <c r="AM86" s="135">
        <f t="shared" si="57"/>
        <v>0</v>
      </c>
      <c r="AN86" s="135">
        <f t="shared" si="57"/>
        <v>0</v>
      </c>
      <c r="AO86" s="135">
        <f t="shared" si="57"/>
        <v>0</v>
      </c>
      <c r="AP86" s="135">
        <f t="shared" si="57"/>
        <v>0</v>
      </c>
      <c r="AQ86" s="135">
        <f t="shared" si="57"/>
        <v>0</v>
      </c>
      <c r="AR86" s="136">
        <f t="shared" si="58"/>
        <v>0</v>
      </c>
      <c r="AS86" s="135">
        <f t="shared" si="59"/>
        <v>0</v>
      </c>
      <c r="AT86" s="135">
        <f t="shared" si="59"/>
        <v>0</v>
      </c>
      <c r="AU86" s="135">
        <f t="shared" si="59"/>
        <v>0</v>
      </c>
      <c r="AV86" s="135">
        <f t="shared" si="59"/>
        <v>0</v>
      </c>
      <c r="AW86" s="135">
        <f t="shared" si="59"/>
        <v>0</v>
      </c>
      <c r="AX86" s="135">
        <f t="shared" si="59"/>
        <v>0</v>
      </c>
      <c r="AY86" s="135">
        <f t="shared" si="59"/>
        <v>0</v>
      </c>
      <c r="AZ86" s="135">
        <f t="shared" si="59"/>
        <v>0</v>
      </c>
      <c r="BA86" s="135">
        <f t="shared" si="59"/>
        <v>0</v>
      </c>
      <c r="BB86" s="135">
        <f t="shared" si="59"/>
        <v>0</v>
      </c>
      <c r="BC86" s="135">
        <f t="shared" si="59"/>
        <v>0</v>
      </c>
      <c r="BD86" s="135">
        <f t="shared" si="59"/>
        <v>0</v>
      </c>
      <c r="BE86" s="136">
        <f t="shared" si="60"/>
        <v>0</v>
      </c>
      <c r="BF86" s="135">
        <f t="shared" si="61"/>
        <v>0</v>
      </c>
      <c r="BG86" s="135">
        <f t="shared" si="61"/>
        <v>0</v>
      </c>
      <c r="BH86" s="135">
        <f t="shared" si="61"/>
        <v>0</v>
      </c>
      <c r="BI86" s="135">
        <f t="shared" si="61"/>
        <v>0</v>
      </c>
      <c r="BJ86" s="135">
        <f t="shared" si="61"/>
        <v>0</v>
      </c>
      <c r="BK86" s="135">
        <f t="shared" si="61"/>
        <v>0</v>
      </c>
      <c r="BL86" s="135">
        <f t="shared" si="61"/>
        <v>0</v>
      </c>
      <c r="BM86" s="135">
        <f t="shared" si="61"/>
        <v>0</v>
      </c>
      <c r="BN86" s="135">
        <f t="shared" si="61"/>
        <v>0</v>
      </c>
      <c r="BO86" s="135">
        <f t="shared" si="61"/>
        <v>0</v>
      </c>
      <c r="BP86" s="135">
        <f t="shared" si="61"/>
        <v>0</v>
      </c>
      <c r="BQ86" s="135">
        <f t="shared" si="61"/>
        <v>0</v>
      </c>
      <c r="BR86" s="136">
        <f t="shared" si="62"/>
        <v>0</v>
      </c>
      <c r="BS86" s="135">
        <f t="shared" si="63"/>
        <v>0</v>
      </c>
      <c r="BT86" s="135">
        <f t="shared" si="63"/>
        <v>0</v>
      </c>
      <c r="BU86" s="135">
        <f t="shared" si="63"/>
        <v>0</v>
      </c>
      <c r="BV86" s="135">
        <f t="shared" si="63"/>
        <v>0</v>
      </c>
      <c r="BW86" s="135">
        <f t="shared" si="63"/>
        <v>0</v>
      </c>
      <c r="BX86" s="135">
        <f t="shared" si="63"/>
        <v>0</v>
      </c>
      <c r="BY86" s="135">
        <f t="shared" si="63"/>
        <v>0</v>
      </c>
      <c r="BZ86" s="135">
        <f t="shared" si="63"/>
        <v>0</v>
      </c>
      <c r="CA86" s="135">
        <f t="shared" si="63"/>
        <v>0</v>
      </c>
      <c r="CB86" s="135">
        <f t="shared" si="63"/>
        <v>0</v>
      </c>
      <c r="CC86" s="135">
        <f t="shared" si="63"/>
        <v>0</v>
      </c>
      <c r="CD86" s="135">
        <f t="shared" si="63"/>
        <v>0</v>
      </c>
      <c r="CE86" s="136">
        <f t="shared" si="64"/>
        <v>0</v>
      </c>
      <c r="CF86" s="135">
        <f t="shared" si="65"/>
        <v>0</v>
      </c>
      <c r="CG86" s="135">
        <f t="shared" si="65"/>
        <v>0</v>
      </c>
      <c r="CH86" s="135">
        <f t="shared" si="65"/>
        <v>0</v>
      </c>
      <c r="CI86" s="135">
        <f t="shared" si="65"/>
        <v>0</v>
      </c>
      <c r="CJ86" s="135">
        <f t="shared" si="65"/>
        <v>0</v>
      </c>
      <c r="CK86" s="135">
        <f t="shared" si="65"/>
        <v>0</v>
      </c>
      <c r="CL86" s="135">
        <f t="shared" si="65"/>
        <v>0</v>
      </c>
      <c r="CM86" s="135">
        <f t="shared" si="65"/>
        <v>0</v>
      </c>
      <c r="CN86" s="135">
        <f t="shared" si="65"/>
        <v>0</v>
      </c>
      <c r="CO86" s="135">
        <f t="shared" si="65"/>
        <v>0</v>
      </c>
      <c r="CP86" s="135">
        <f t="shared" si="65"/>
        <v>0</v>
      </c>
      <c r="CQ86" s="135">
        <f t="shared" si="65"/>
        <v>0</v>
      </c>
      <c r="CR86" s="136">
        <f t="shared" si="66"/>
        <v>0</v>
      </c>
    </row>
    <row r="87" spans="1:102" ht="15" customHeight="1">
      <c r="A87" s="646"/>
      <c r="B87" s="649"/>
      <c r="C87" s="240"/>
      <c r="D87" s="133">
        <f t="shared" si="52"/>
        <v>0</v>
      </c>
      <c r="E87" s="137"/>
      <c r="F87" s="135">
        <f t="shared" si="67"/>
        <v>0</v>
      </c>
      <c r="G87" s="135">
        <f t="shared" si="67"/>
        <v>0</v>
      </c>
      <c r="H87" s="135">
        <f t="shared" si="67"/>
        <v>0</v>
      </c>
      <c r="I87" s="135">
        <f t="shared" si="67"/>
        <v>0</v>
      </c>
      <c r="J87" s="135">
        <f t="shared" si="67"/>
        <v>0</v>
      </c>
      <c r="K87" s="135">
        <f t="shared" si="67"/>
        <v>0</v>
      </c>
      <c r="L87" s="135">
        <f t="shared" si="67"/>
        <v>0</v>
      </c>
      <c r="M87" s="135">
        <f t="shared" si="67"/>
        <v>0</v>
      </c>
      <c r="N87" s="135">
        <f t="shared" si="67"/>
        <v>0</v>
      </c>
      <c r="O87" s="135">
        <f t="shared" si="67"/>
        <v>0</v>
      </c>
      <c r="P87" s="135">
        <f t="shared" si="67"/>
        <v>0</v>
      </c>
      <c r="Q87" s="135">
        <f t="shared" si="67"/>
        <v>0</v>
      </c>
      <c r="R87" s="136">
        <f t="shared" si="54"/>
        <v>0</v>
      </c>
      <c r="S87" s="135">
        <f t="shared" ref="S87:AD89" si="68">$D87</f>
        <v>0</v>
      </c>
      <c r="T87" s="135">
        <f t="shared" si="68"/>
        <v>0</v>
      </c>
      <c r="U87" s="135">
        <f t="shared" si="68"/>
        <v>0</v>
      </c>
      <c r="V87" s="135">
        <f t="shared" si="68"/>
        <v>0</v>
      </c>
      <c r="W87" s="135">
        <f t="shared" si="68"/>
        <v>0</v>
      </c>
      <c r="X87" s="135">
        <f t="shared" si="68"/>
        <v>0</v>
      </c>
      <c r="Y87" s="135">
        <f t="shared" si="68"/>
        <v>0</v>
      </c>
      <c r="Z87" s="135">
        <f t="shared" si="68"/>
        <v>0</v>
      </c>
      <c r="AA87" s="135">
        <f t="shared" si="68"/>
        <v>0</v>
      </c>
      <c r="AB87" s="135">
        <f t="shared" si="68"/>
        <v>0</v>
      </c>
      <c r="AC87" s="135">
        <f t="shared" si="68"/>
        <v>0</v>
      </c>
      <c r="AD87" s="135">
        <f t="shared" si="68"/>
        <v>0</v>
      </c>
      <c r="AE87" s="136">
        <f t="shared" si="56"/>
        <v>0</v>
      </c>
      <c r="AF87" s="135">
        <f t="shared" ref="AF87:AU89" si="69">$D87</f>
        <v>0</v>
      </c>
      <c r="AG87" s="135">
        <f t="shared" si="69"/>
        <v>0</v>
      </c>
      <c r="AH87" s="135">
        <f t="shared" si="69"/>
        <v>0</v>
      </c>
      <c r="AI87" s="135">
        <f t="shared" si="69"/>
        <v>0</v>
      </c>
      <c r="AJ87" s="135">
        <f t="shared" si="69"/>
        <v>0</v>
      </c>
      <c r="AK87" s="135">
        <f t="shared" si="69"/>
        <v>0</v>
      </c>
      <c r="AL87" s="135">
        <f t="shared" si="69"/>
        <v>0</v>
      </c>
      <c r="AM87" s="135">
        <f t="shared" si="69"/>
        <v>0</v>
      </c>
      <c r="AN87" s="135">
        <f t="shared" si="69"/>
        <v>0</v>
      </c>
      <c r="AO87" s="135">
        <f t="shared" si="69"/>
        <v>0</v>
      </c>
      <c r="AP87" s="135">
        <f t="shared" si="69"/>
        <v>0</v>
      </c>
      <c r="AQ87" s="135">
        <f t="shared" si="69"/>
        <v>0</v>
      </c>
      <c r="AR87" s="136">
        <f t="shared" si="58"/>
        <v>0</v>
      </c>
      <c r="AS87" s="135">
        <f t="shared" si="69"/>
        <v>0</v>
      </c>
      <c r="AT87" s="135">
        <f t="shared" si="69"/>
        <v>0</v>
      </c>
      <c r="AU87" s="135">
        <f t="shared" si="69"/>
        <v>0</v>
      </c>
      <c r="AV87" s="135">
        <f t="shared" ref="AS87:BD89" si="70">$D87</f>
        <v>0</v>
      </c>
      <c r="AW87" s="135">
        <f t="shared" si="70"/>
        <v>0</v>
      </c>
      <c r="AX87" s="135">
        <f t="shared" si="70"/>
        <v>0</v>
      </c>
      <c r="AY87" s="135">
        <f t="shared" si="70"/>
        <v>0</v>
      </c>
      <c r="AZ87" s="135">
        <f t="shared" si="70"/>
        <v>0</v>
      </c>
      <c r="BA87" s="135">
        <f t="shared" si="70"/>
        <v>0</v>
      </c>
      <c r="BB87" s="135">
        <f t="shared" si="70"/>
        <v>0</v>
      </c>
      <c r="BC87" s="135">
        <f t="shared" si="70"/>
        <v>0</v>
      </c>
      <c r="BD87" s="135">
        <f t="shared" si="70"/>
        <v>0</v>
      </c>
      <c r="BE87" s="136">
        <f t="shared" si="60"/>
        <v>0</v>
      </c>
      <c r="BF87" s="135">
        <f t="shared" ref="BF87:BU89" si="71">$D87</f>
        <v>0</v>
      </c>
      <c r="BG87" s="135">
        <f t="shared" si="71"/>
        <v>0</v>
      </c>
      <c r="BH87" s="135">
        <f t="shared" si="71"/>
        <v>0</v>
      </c>
      <c r="BI87" s="135">
        <f t="shared" si="71"/>
        <v>0</v>
      </c>
      <c r="BJ87" s="135">
        <f t="shared" si="71"/>
        <v>0</v>
      </c>
      <c r="BK87" s="135">
        <f t="shared" si="71"/>
        <v>0</v>
      </c>
      <c r="BL87" s="135">
        <f t="shared" si="71"/>
        <v>0</v>
      </c>
      <c r="BM87" s="135">
        <f t="shared" si="71"/>
        <v>0</v>
      </c>
      <c r="BN87" s="135">
        <f t="shared" si="71"/>
        <v>0</v>
      </c>
      <c r="BO87" s="135">
        <f t="shared" si="71"/>
        <v>0</v>
      </c>
      <c r="BP87" s="135">
        <f t="shared" si="71"/>
        <v>0</v>
      </c>
      <c r="BQ87" s="135">
        <f t="shared" si="71"/>
        <v>0</v>
      </c>
      <c r="BR87" s="136">
        <f t="shared" si="62"/>
        <v>0</v>
      </c>
      <c r="BS87" s="135">
        <f t="shared" si="71"/>
        <v>0</v>
      </c>
      <c r="BT87" s="135">
        <f t="shared" si="71"/>
        <v>0</v>
      </c>
      <c r="BU87" s="135">
        <f t="shared" si="71"/>
        <v>0</v>
      </c>
      <c r="BV87" s="135">
        <f t="shared" ref="BS87:CD89" si="72">$D87</f>
        <v>0</v>
      </c>
      <c r="BW87" s="135">
        <f t="shared" si="72"/>
        <v>0</v>
      </c>
      <c r="BX87" s="135">
        <f t="shared" si="72"/>
        <v>0</v>
      </c>
      <c r="BY87" s="135">
        <f t="shared" si="72"/>
        <v>0</v>
      </c>
      <c r="BZ87" s="135">
        <f t="shared" si="72"/>
        <v>0</v>
      </c>
      <c r="CA87" s="135">
        <f t="shared" si="72"/>
        <v>0</v>
      </c>
      <c r="CB87" s="135">
        <f t="shared" si="72"/>
        <v>0</v>
      </c>
      <c r="CC87" s="135">
        <f t="shared" si="72"/>
        <v>0</v>
      </c>
      <c r="CD87" s="135">
        <f t="shared" si="72"/>
        <v>0</v>
      </c>
      <c r="CE87" s="136">
        <f t="shared" si="64"/>
        <v>0</v>
      </c>
      <c r="CF87" s="135">
        <f t="shared" ref="CF87:CQ89" si="73">$D87</f>
        <v>0</v>
      </c>
      <c r="CG87" s="135">
        <f t="shared" si="73"/>
        <v>0</v>
      </c>
      <c r="CH87" s="135">
        <f t="shared" si="73"/>
        <v>0</v>
      </c>
      <c r="CI87" s="135">
        <f t="shared" si="73"/>
        <v>0</v>
      </c>
      <c r="CJ87" s="135">
        <f t="shared" si="73"/>
        <v>0</v>
      </c>
      <c r="CK87" s="135">
        <f t="shared" si="73"/>
        <v>0</v>
      </c>
      <c r="CL87" s="135">
        <f t="shared" si="73"/>
        <v>0</v>
      </c>
      <c r="CM87" s="135">
        <f t="shared" si="73"/>
        <v>0</v>
      </c>
      <c r="CN87" s="135">
        <f t="shared" si="73"/>
        <v>0</v>
      </c>
      <c r="CO87" s="135">
        <f t="shared" si="73"/>
        <v>0</v>
      </c>
      <c r="CP87" s="135">
        <f t="shared" si="73"/>
        <v>0</v>
      </c>
      <c r="CQ87" s="135">
        <f t="shared" si="73"/>
        <v>0</v>
      </c>
      <c r="CR87" s="136">
        <f t="shared" si="66"/>
        <v>0</v>
      </c>
    </row>
    <row r="88" spans="1:102" ht="15" customHeight="1">
      <c r="A88" s="646"/>
      <c r="B88" s="649"/>
      <c r="C88" s="240"/>
      <c r="D88" s="133">
        <f t="shared" si="52"/>
        <v>0</v>
      </c>
      <c r="E88" s="137"/>
      <c r="F88" s="135">
        <f t="shared" si="67"/>
        <v>0</v>
      </c>
      <c r="G88" s="135">
        <f t="shared" si="67"/>
        <v>0</v>
      </c>
      <c r="H88" s="135">
        <f t="shared" si="67"/>
        <v>0</v>
      </c>
      <c r="I88" s="135">
        <f t="shared" si="67"/>
        <v>0</v>
      </c>
      <c r="J88" s="135">
        <f t="shared" si="67"/>
        <v>0</v>
      </c>
      <c r="K88" s="135">
        <f t="shared" si="67"/>
        <v>0</v>
      </c>
      <c r="L88" s="135">
        <f t="shared" si="67"/>
        <v>0</v>
      </c>
      <c r="M88" s="135">
        <f t="shared" si="67"/>
        <v>0</v>
      </c>
      <c r="N88" s="135">
        <f t="shared" si="67"/>
        <v>0</v>
      </c>
      <c r="O88" s="135">
        <f t="shared" si="67"/>
        <v>0</v>
      </c>
      <c r="P88" s="135">
        <f t="shared" si="67"/>
        <v>0</v>
      </c>
      <c r="Q88" s="135">
        <f t="shared" si="67"/>
        <v>0</v>
      </c>
      <c r="R88" s="136">
        <f t="shared" si="54"/>
        <v>0</v>
      </c>
      <c r="S88" s="135">
        <f t="shared" si="68"/>
        <v>0</v>
      </c>
      <c r="T88" s="135">
        <f t="shared" si="68"/>
        <v>0</v>
      </c>
      <c r="U88" s="135">
        <f t="shared" si="68"/>
        <v>0</v>
      </c>
      <c r="V88" s="135">
        <f t="shared" si="68"/>
        <v>0</v>
      </c>
      <c r="W88" s="135">
        <f t="shared" si="68"/>
        <v>0</v>
      </c>
      <c r="X88" s="135">
        <f t="shared" si="68"/>
        <v>0</v>
      </c>
      <c r="Y88" s="135">
        <f t="shared" si="68"/>
        <v>0</v>
      </c>
      <c r="Z88" s="135">
        <f t="shared" si="68"/>
        <v>0</v>
      </c>
      <c r="AA88" s="135">
        <f t="shared" si="68"/>
        <v>0</v>
      </c>
      <c r="AB88" s="135">
        <f t="shared" si="68"/>
        <v>0</v>
      </c>
      <c r="AC88" s="135">
        <f t="shared" si="68"/>
        <v>0</v>
      </c>
      <c r="AD88" s="135">
        <f t="shared" si="68"/>
        <v>0</v>
      </c>
      <c r="AE88" s="136">
        <f t="shared" si="56"/>
        <v>0</v>
      </c>
      <c r="AF88" s="135">
        <f t="shared" si="69"/>
        <v>0</v>
      </c>
      <c r="AG88" s="135">
        <f t="shared" si="69"/>
        <v>0</v>
      </c>
      <c r="AH88" s="135">
        <f t="shared" si="69"/>
        <v>0</v>
      </c>
      <c r="AI88" s="135">
        <f t="shared" si="69"/>
        <v>0</v>
      </c>
      <c r="AJ88" s="135">
        <f t="shared" si="69"/>
        <v>0</v>
      </c>
      <c r="AK88" s="135">
        <f t="shared" si="69"/>
        <v>0</v>
      </c>
      <c r="AL88" s="135">
        <f t="shared" si="69"/>
        <v>0</v>
      </c>
      <c r="AM88" s="135">
        <f t="shared" si="69"/>
        <v>0</v>
      </c>
      <c r="AN88" s="135">
        <f t="shared" si="69"/>
        <v>0</v>
      </c>
      <c r="AO88" s="135">
        <f t="shared" si="69"/>
        <v>0</v>
      </c>
      <c r="AP88" s="135">
        <f t="shared" si="69"/>
        <v>0</v>
      </c>
      <c r="AQ88" s="135">
        <f t="shared" si="69"/>
        <v>0</v>
      </c>
      <c r="AR88" s="136">
        <f t="shared" si="58"/>
        <v>0</v>
      </c>
      <c r="AS88" s="135">
        <f t="shared" si="70"/>
        <v>0</v>
      </c>
      <c r="AT88" s="135">
        <f t="shared" si="70"/>
        <v>0</v>
      </c>
      <c r="AU88" s="135">
        <f t="shared" si="70"/>
        <v>0</v>
      </c>
      <c r="AV88" s="135">
        <f t="shared" si="70"/>
        <v>0</v>
      </c>
      <c r="AW88" s="135">
        <f t="shared" si="70"/>
        <v>0</v>
      </c>
      <c r="AX88" s="135">
        <f t="shared" si="70"/>
        <v>0</v>
      </c>
      <c r="AY88" s="135">
        <f t="shared" si="70"/>
        <v>0</v>
      </c>
      <c r="AZ88" s="135">
        <f t="shared" si="70"/>
        <v>0</v>
      </c>
      <c r="BA88" s="135">
        <f t="shared" si="70"/>
        <v>0</v>
      </c>
      <c r="BB88" s="135">
        <f t="shared" si="70"/>
        <v>0</v>
      </c>
      <c r="BC88" s="135">
        <f t="shared" si="70"/>
        <v>0</v>
      </c>
      <c r="BD88" s="135">
        <f t="shared" si="70"/>
        <v>0</v>
      </c>
      <c r="BE88" s="136">
        <f t="shared" si="60"/>
        <v>0</v>
      </c>
      <c r="BF88" s="135">
        <f t="shared" si="71"/>
        <v>0</v>
      </c>
      <c r="BG88" s="135">
        <f t="shared" si="71"/>
        <v>0</v>
      </c>
      <c r="BH88" s="135">
        <f t="shared" si="71"/>
        <v>0</v>
      </c>
      <c r="BI88" s="135">
        <f t="shared" si="71"/>
        <v>0</v>
      </c>
      <c r="BJ88" s="135">
        <f t="shared" si="71"/>
        <v>0</v>
      </c>
      <c r="BK88" s="135">
        <f t="shared" si="71"/>
        <v>0</v>
      </c>
      <c r="BL88" s="135">
        <f t="shared" si="71"/>
        <v>0</v>
      </c>
      <c r="BM88" s="135">
        <f t="shared" si="71"/>
        <v>0</v>
      </c>
      <c r="BN88" s="135">
        <f t="shared" si="71"/>
        <v>0</v>
      </c>
      <c r="BO88" s="135">
        <f t="shared" si="71"/>
        <v>0</v>
      </c>
      <c r="BP88" s="135">
        <f t="shared" si="71"/>
        <v>0</v>
      </c>
      <c r="BQ88" s="135">
        <f t="shared" si="71"/>
        <v>0</v>
      </c>
      <c r="BR88" s="136">
        <f t="shared" si="62"/>
        <v>0</v>
      </c>
      <c r="BS88" s="135">
        <f t="shared" si="72"/>
        <v>0</v>
      </c>
      <c r="BT88" s="135">
        <f t="shared" si="72"/>
        <v>0</v>
      </c>
      <c r="BU88" s="135">
        <f t="shared" si="72"/>
        <v>0</v>
      </c>
      <c r="BV88" s="135">
        <f t="shared" si="72"/>
        <v>0</v>
      </c>
      <c r="BW88" s="135">
        <f t="shared" si="72"/>
        <v>0</v>
      </c>
      <c r="BX88" s="135">
        <f t="shared" si="72"/>
        <v>0</v>
      </c>
      <c r="BY88" s="135">
        <f t="shared" si="72"/>
        <v>0</v>
      </c>
      <c r="BZ88" s="135">
        <f t="shared" si="72"/>
        <v>0</v>
      </c>
      <c r="CA88" s="135">
        <f t="shared" si="72"/>
        <v>0</v>
      </c>
      <c r="CB88" s="135">
        <f t="shared" si="72"/>
        <v>0</v>
      </c>
      <c r="CC88" s="135">
        <f t="shared" si="72"/>
        <v>0</v>
      </c>
      <c r="CD88" s="135">
        <f t="shared" si="72"/>
        <v>0</v>
      </c>
      <c r="CE88" s="136">
        <f t="shared" si="64"/>
        <v>0</v>
      </c>
      <c r="CF88" s="135">
        <f t="shared" si="73"/>
        <v>0</v>
      </c>
      <c r="CG88" s="135">
        <f t="shared" si="73"/>
        <v>0</v>
      </c>
      <c r="CH88" s="135">
        <f t="shared" si="73"/>
        <v>0</v>
      </c>
      <c r="CI88" s="135">
        <f t="shared" si="73"/>
        <v>0</v>
      </c>
      <c r="CJ88" s="135">
        <f t="shared" si="73"/>
        <v>0</v>
      </c>
      <c r="CK88" s="135">
        <f t="shared" si="73"/>
        <v>0</v>
      </c>
      <c r="CL88" s="135">
        <f t="shared" si="73"/>
        <v>0</v>
      </c>
      <c r="CM88" s="135">
        <f t="shared" si="73"/>
        <v>0</v>
      </c>
      <c r="CN88" s="135">
        <f t="shared" si="73"/>
        <v>0</v>
      </c>
      <c r="CO88" s="135">
        <f t="shared" si="73"/>
        <v>0</v>
      </c>
      <c r="CP88" s="135">
        <f t="shared" si="73"/>
        <v>0</v>
      </c>
      <c r="CQ88" s="135">
        <f t="shared" si="73"/>
        <v>0</v>
      </c>
      <c r="CR88" s="136">
        <f t="shared" si="66"/>
        <v>0</v>
      </c>
    </row>
    <row r="89" spans="1:102" ht="15" customHeight="1" thickBot="1">
      <c r="A89" s="240"/>
      <c r="B89" s="649"/>
      <c r="C89" s="240"/>
      <c r="D89" s="133">
        <f t="shared" si="52"/>
        <v>0</v>
      </c>
      <c r="E89" s="137"/>
      <c r="F89" s="135">
        <f t="shared" si="67"/>
        <v>0</v>
      </c>
      <c r="G89" s="135">
        <f t="shared" si="67"/>
        <v>0</v>
      </c>
      <c r="H89" s="135">
        <f t="shared" si="67"/>
        <v>0</v>
      </c>
      <c r="I89" s="135">
        <f t="shared" si="67"/>
        <v>0</v>
      </c>
      <c r="J89" s="135">
        <f t="shared" si="67"/>
        <v>0</v>
      </c>
      <c r="K89" s="135">
        <f t="shared" si="67"/>
        <v>0</v>
      </c>
      <c r="L89" s="135">
        <f t="shared" si="67"/>
        <v>0</v>
      </c>
      <c r="M89" s="135">
        <f t="shared" si="67"/>
        <v>0</v>
      </c>
      <c r="N89" s="135">
        <f t="shared" si="67"/>
        <v>0</v>
      </c>
      <c r="O89" s="135">
        <f t="shared" si="67"/>
        <v>0</v>
      </c>
      <c r="P89" s="135">
        <f t="shared" si="67"/>
        <v>0</v>
      </c>
      <c r="Q89" s="135">
        <f t="shared" si="67"/>
        <v>0</v>
      </c>
      <c r="R89" s="136">
        <f t="shared" si="54"/>
        <v>0</v>
      </c>
      <c r="S89" s="135">
        <f t="shared" si="68"/>
        <v>0</v>
      </c>
      <c r="T89" s="135">
        <f t="shared" si="68"/>
        <v>0</v>
      </c>
      <c r="U89" s="135">
        <f t="shared" si="68"/>
        <v>0</v>
      </c>
      <c r="V89" s="135">
        <f t="shared" si="68"/>
        <v>0</v>
      </c>
      <c r="W89" s="135">
        <f t="shared" si="68"/>
        <v>0</v>
      </c>
      <c r="X89" s="135">
        <f t="shared" si="68"/>
        <v>0</v>
      </c>
      <c r="Y89" s="135">
        <f t="shared" si="68"/>
        <v>0</v>
      </c>
      <c r="Z89" s="135">
        <f t="shared" si="68"/>
        <v>0</v>
      </c>
      <c r="AA89" s="135">
        <f t="shared" si="68"/>
        <v>0</v>
      </c>
      <c r="AB89" s="135">
        <f t="shared" si="68"/>
        <v>0</v>
      </c>
      <c r="AC89" s="135">
        <f t="shared" si="68"/>
        <v>0</v>
      </c>
      <c r="AD89" s="135">
        <f t="shared" si="68"/>
        <v>0</v>
      </c>
      <c r="AE89" s="136">
        <f t="shared" si="56"/>
        <v>0</v>
      </c>
      <c r="AF89" s="135">
        <f t="shared" si="69"/>
        <v>0</v>
      </c>
      <c r="AG89" s="135">
        <f t="shared" si="69"/>
        <v>0</v>
      </c>
      <c r="AH89" s="135">
        <f t="shared" si="69"/>
        <v>0</v>
      </c>
      <c r="AI89" s="135">
        <f t="shared" si="69"/>
        <v>0</v>
      </c>
      <c r="AJ89" s="135">
        <f t="shared" si="69"/>
        <v>0</v>
      </c>
      <c r="AK89" s="135">
        <f t="shared" si="69"/>
        <v>0</v>
      </c>
      <c r="AL89" s="135">
        <f t="shared" si="69"/>
        <v>0</v>
      </c>
      <c r="AM89" s="135">
        <f t="shared" si="69"/>
        <v>0</v>
      </c>
      <c r="AN89" s="135">
        <f t="shared" si="69"/>
        <v>0</v>
      </c>
      <c r="AO89" s="135">
        <f t="shared" si="69"/>
        <v>0</v>
      </c>
      <c r="AP89" s="135">
        <f t="shared" si="69"/>
        <v>0</v>
      </c>
      <c r="AQ89" s="135">
        <f t="shared" si="69"/>
        <v>0</v>
      </c>
      <c r="AR89" s="136">
        <f t="shared" si="58"/>
        <v>0</v>
      </c>
      <c r="AS89" s="135">
        <f t="shared" si="70"/>
        <v>0</v>
      </c>
      <c r="AT89" s="135">
        <f t="shared" si="70"/>
        <v>0</v>
      </c>
      <c r="AU89" s="135">
        <f t="shared" si="70"/>
        <v>0</v>
      </c>
      <c r="AV89" s="135">
        <f t="shared" si="70"/>
        <v>0</v>
      </c>
      <c r="AW89" s="135">
        <f t="shared" si="70"/>
        <v>0</v>
      </c>
      <c r="AX89" s="135">
        <f t="shared" si="70"/>
        <v>0</v>
      </c>
      <c r="AY89" s="135">
        <f t="shared" si="70"/>
        <v>0</v>
      </c>
      <c r="AZ89" s="135">
        <f t="shared" si="70"/>
        <v>0</v>
      </c>
      <c r="BA89" s="135">
        <f t="shared" si="70"/>
        <v>0</v>
      </c>
      <c r="BB89" s="135">
        <f t="shared" si="70"/>
        <v>0</v>
      </c>
      <c r="BC89" s="135">
        <f t="shared" si="70"/>
        <v>0</v>
      </c>
      <c r="BD89" s="135">
        <f t="shared" si="70"/>
        <v>0</v>
      </c>
      <c r="BE89" s="136">
        <f t="shared" si="60"/>
        <v>0</v>
      </c>
      <c r="BF89" s="135">
        <f t="shared" si="71"/>
        <v>0</v>
      </c>
      <c r="BG89" s="135">
        <f t="shared" si="71"/>
        <v>0</v>
      </c>
      <c r="BH89" s="135">
        <f t="shared" si="71"/>
        <v>0</v>
      </c>
      <c r="BI89" s="135">
        <f t="shared" si="71"/>
        <v>0</v>
      </c>
      <c r="BJ89" s="135">
        <f t="shared" si="71"/>
        <v>0</v>
      </c>
      <c r="BK89" s="135">
        <f t="shared" si="71"/>
        <v>0</v>
      </c>
      <c r="BL89" s="135">
        <f t="shared" si="71"/>
        <v>0</v>
      </c>
      <c r="BM89" s="135">
        <f t="shared" si="71"/>
        <v>0</v>
      </c>
      <c r="BN89" s="135">
        <f t="shared" si="71"/>
        <v>0</v>
      </c>
      <c r="BO89" s="135">
        <f t="shared" si="71"/>
        <v>0</v>
      </c>
      <c r="BP89" s="135">
        <f t="shared" si="71"/>
        <v>0</v>
      </c>
      <c r="BQ89" s="135">
        <f t="shared" si="71"/>
        <v>0</v>
      </c>
      <c r="BR89" s="136">
        <f t="shared" si="62"/>
        <v>0</v>
      </c>
      <c r="BS89" s="135">
        <f t="shared" si="72"/>
        <v>0</v>
      </c>
      <c r="BT89" s="135">
        <f t="shared" si="72"/>
        <v>0</v>
      </c>
      <c r="BU89" s="135">
        <f t="shared" si="72"/>
        <v>0</v>
      </c>
      <c r="BV89" s="135">
        <f t="shared" si="72"/>
        <v>0</v>
      </c>
      <c r="BW89" s="135">
        <f t="shared" si="72"/>
        <v>0</v>
      </c>
      <c r="BX89" s="135">
        <f t="shared" si="72"/>
        <v>0</v>
      </c>
      <c r="BY89" s="135">
        <f t="shared" si="72"/>
        <v>0</v>
      </c>
      <c r="BZ89" s="135">
        <f t="shared" si="72"/>
        <v>0</v>
      </c>
      <c r="CA89" s="135">
        <f t="shared" si="72"/>
        <v>0</v>
      </c>
      <c r="CB89" s="135">
        <f t="shared" si="72"/>
        <v>0</v>
      </c>
      <c r="CC89" s="135">
        <f t="shared" si="72"/>
        <v>0</v>
      </c>
      <c r="CD89" s="135">
        <f t="shared" si="72"/>
        <v>0</v>
      </c>
      <c r="CE89" s="136">
        <f t="shared" si="64"/>
        <v>0</v>
      </c>
      <c r="CF89" s="135">
        <f t="shared" si="73"/>
        <v>0</v>
      </c>
      <c r="CG89" s="135">
        <f t="shared" si="73"/>
        <v>0</v>
      </c>
      <c r="CH89" s="135">
        <f t="shared" si="73"/>
        <v>0</v>
      </c>
      <c r="CI89" s="135">
        <f t="shared" si="73"/>
        <v>0</v>
      </c>
      <c r="CJ89" s="135">
        <f t="shared" si="73"/>
        <v>0</v>
      </c>
      <c r="CK89" s="135">
        <f t="shared" si="73"/>
        <v>0</v>
      </c>
      <c r="CL89" s="135">
        <f t="shared" si="73"/>
        <v>0</v>
      </c>
      <c r="CM89" s="135">
        <f t="shared" si="73"/>
        <v>0</v>
      </c>
      <c r="CN89" s="135">
        <f t="shared" si="73"/>
        <v>0</v>
      </c>
      <c r="CO89" s="135">
        <f t="shared" si="73"/>
        <v>0</v>
      </c>
      <c r="CP89" s="135">
        <f t="shared" si="73"/>
        <v>0</v>
      </c>
      <c r="CQ89" s="135">
        <f t="shared" si="73"/>
        <v>0</v>
      </c>
      <c r="CR89" s="136">
        <f t="shared" si="66"/>
        <v>0</v>
      </c>
    </row>
    <row r="90" spans="1:102" ht="18.75" thickBot="1">
      <c r="A90" s="805" t="s">
        <v>110</v>
      </c>
      <c r="B90" s="806"/>
      <c r="C90" s="806"/>
      <c r="D90" s="806"/>
      <c r="E90" s="138">
        <f t="shared" ref="E90:R90" si="74">SUM(E57:E89)</f>
        <v>0</v>
      </c>
      <c r="F90" s="139">
        <f t="shared" si="74"/>
        <v>0</v>
      </c>
      <c r="G90" s="139">
        <f t="shared" si="74"/>
        <v>0</v>
      </c>
      <c r="H90" s="139">
        <f t="shared" si="74"/>
        <v>0</v>
      </c>
      <c r="I90" s="139">
        <f t="shared" si="74"/>
        <v>0</v>
      </c>
      <c r="J90" s="139">
        <f t="shared" si="74"/>
        <v>0</v>
      </c>
      <c r="K90" s="139">
        <f t="shared" si="74"/>
        <v>0</v>
      </c>
      <c r="L90" s="139">
        <f t="shared" si="74"/>
        <v>0</v>
      </c>
      <c r="M90" s="139">
        <f t="shared" si="74"/>
        <v>0</v>
      </c>
      <c r="N90" s="139">
        <f t="shared" si="74"/>
        <v>0</v>
      </c>
      <c r="O90" s="139">
        <f t="shared" si="74"/>
        <v>0</v>
      </c>
      <c r="P90" s="139">
        <f t="shared" si="74"/>
        <v>0</v>
      </c>
      <c r="Q90" s="139">
        <f t="shared" si="74"/>
        <v>0</v>
      </c>
      <c r="R90" s="139">
        <f t="shared" si="74"/>
        <v>0</v>
      </c>
      <c r="S90" s="139">
        <f t="shared" ref="S90:AR90" si="75">SUM(S57:S89)</f>
        <v>0</v>
      </c>
      <c r="T90" s="139">
        <f t="shared" si="75"/>
        <v>0</v>
      </c>
      <c r="U90" s="139">
        <f t="shared" si="75"/>
        <v>0</v>
      </c>
      <c r="V90" s="139">
        <f t="shared" si="75"/>
        <v>0</v>
      </c>
      <c r="W90" s="139">
        <f t="shared" si="75"/>
        <v>0</v>
      </c>
      <c r="X90" s="139">
        <f t="shared" si="75"/>
        <v>0</v>
      </c>
      <c r="Y90" s="139">
        <f t="shared" si="75"/>
        <v>0</v>
      </c>
      <c r="Z90" s="139">
        <f t="shared" si="75"/>
        <v>0</v>
      </c>
      <c r="AA90" s="139">
        <f t="shared" si="75"/>
        <v>0</v>
      </c>
      <c r="AB90" s="139">
        <f t="shared" si="75"/>
        <v>0</v>
      </c>
      <c r="AC90" s="139">
        <f t="shared" si="75"/>
        <v>0</v>
      </c>
      <c r="AD90" s="139">
        <f t="shared" si="75"/>
        <v>0</v>
      </c>
      <c r="AE90" s="139">
        <f t="shared" si="75"/>
        <v>0</v>
      </c>
      <c r="AF90" s="139">
        <f t="shared" si="75"/>
        <v>0</v>
      </c>
      <c r="AG90" s="139">
        <f t="shared" si="75"/>
        <v>0</v>
      </c>
      <c r="AH90" s="139">
        <f t="shared" si="75"/>
        <v>0</v>
      </c>
      <c r="AI90" s="139">
        <f t="shared" si="75"/>
        <v>0</v>
      </c>
      <c r="AJ90" s="139">
        <f t="shared" si="75"/>
        <v>0</v>
      </c>
      <c r="AK90" s="139">
        <f t="shared" si="75"/>
        <v>0</v>
      </c>
      <c r="AL90" s="139">
        <f t="shared" si="75"/>
        <v>0</v>
      </c>
      <c r="AM90" s="139">
        <f t="shared" si="75"/>
        <v>0</v>
      </c>
      <c r="AN90" s="139">
        <f t="shared" si="75"/>
        <v>0</v>
      </c>
      <c r="AO90" s="139">
        <f t="shared" si="75"/>
        <v>0</v>
      </c>
      <c r="AP90" s="139">
        <f t="shared" si="75"/>
        <v>0</v>
      </c>
      <c r="AQ90" s="139">
        <f t="shared" si="75"/>
        <v>0</v>
      </c>
      <c r="AR90" s="139">
        <f t="shared" si="75"/>
        <v>0</v>
      </c>
      <c r="AS90" s="139">
        <f t="shared" ref="AS90:BE90" si="76">SUM(AS57:AS89)</f>
        <v>0</v>
      </c>
      <c r="AT90" s="139">
        <f t="shared" si="76"/>
        <v>0</v>
      </c>
      <c r="AU90" s="139">
        <f t="shared" si="76"/>
        <v>0</v>
      </c>
      <c r="AV90" s="139">
        <f t="shared" si="76"/>
        <v>0</v>
      </c>
      <c r="AW90" s="139">
        <f t="shared" si="76"/>
        <v>0</v>
      </c>
      <c r="AX90" s="139">
        <f t="shared" si="76"/>
        <v>0</v>
      </c>
      <c r="AY90" s="139">
        <f t="shared" si="76"/>
        <v>0</v>
      </c>
      <c r="AZ90" s="139">
        <f t="shared" si="76"/>
        <v>0</v>
      </c>
      <c r="BA90" s="139">
        <f t="shared" si="76"/>
        <v>0</v>
      </c>
      <c r="BB90" s="139">
        <f t="shared" si="76"/>
        <v>0</v>
      </c>
      <c r="BC90" s="139">
        <f t="shared" si="76"/>
        <v>0</v>
      </c>
      <c r="BD90" s="139">
        <f t="shared" si="76"/>
        <v>0</v>
      </c>
      <c r="BE90" s="139">
        <f t="shared" si="76"/>
        <v>0</v>
      </c>
      <c r="BF90" s="139">
        <f t="shared" ref="BF90:BR90" si="77">SUM(BF57:BF89)</f>
        <v>0</v>
      </c>
      <c r="BG90" s="139">
        <f t="shared" si="77"/>
        <v>0</v>
      </c>
      <c r="BH90" s="139">
        <f t="shared" si="77"/>
        <v>0</v>
      </c>
      <c r="BI90" s="139">
        <f t="shared" si="77"/>
        <v>0</v>
      </c>
      <c r="BJ90" s="139">
        <f t="shared" si="77"/>
        <v>0</v>
      </c>
      <c r="BK90" s="139">
        <f t="shared" si="77"/>
        <v>0</v>
      </c>
      <c r="BL90" s="139">
        <f t="shared" si="77"/>
        <v>0</v>
      </c>
      <c r="BM90" s="139">
        <f t="shared" si="77"/>
        <v>0</v>
      </c>
      <c r="BN90" s="139">
        <f t="shared" si="77"/>
        <v>0</v>
      </c>
      <c r="BO90" s="139">
        <f t="shared" si="77"/>
        <v>0</v>
      </c>
      <c r="BP90" s="139">
        <f t="shared" si="77"/>
        <v>0</v>
      </c>
      <c r="BQ90" s="139">
        <f t="shared" si="77"/>
        <v>0</v>
      </c>
      <c r="BR90" s="139">
        <f t="shared" si="77"/>
        <v>0</v>
      </c>
      <c r="BS90" s="139">
        <f t="shared" ref="BS90:CR90" si="78">SUM(BS57:BS89)</f>
        <v>0</v>
      </c>
      <c r="BT90" s="139">
        <f t="shared" si="78"/>
        <v>0</v>
      </c>
      <c r="BU90" s="139">
        <f t="shared" si="78"/>
        <v>0</v>
      </c>
      <c r="BV90" s="139">
        <f t="shared" si="78"/>
        <v>0</v>
      </c>
      <c r="BW90" s="139">
        <f t="shared" si="78"/>
        <v>0</v>
      </c>
      <c r="BX90" s="139">
        <f t="shared" si="78"/>
        <v>0</v>
      </c>
      <c r="BY90" s="139">
        <f t="shared" si="78"/>
        <v>0</v>
      </c>
      <c r="BZ90" s="139">
        <f t="shared" si="78"/>
        <v>0</v>
      </c>
      <c r="CA90" s="139">
        <f t="shared" si="78"/>
        <v>0</v>
      </c>
      <c r="CB90" s="139">
        <f t="shared" si="78"/>
        <v>0</v>
      </c>
      <c r="CC90" s="139">
        <f t="shared" si="78"/>
        <v>0</v>
      </c>
      <c r="CD90" s="139">
        <f t="shared" si="78"/>
        <v>0</v>
      </c>
      <c r="CE90" s="139">
        <f t="shared" si="78"/>
        <v>0</v>
      </c>
      <c r="CF90" s="139">
        <f t="shared" si="78"/>
        <v>0</v>
      </c>
      <c r="CG90" s="139">
        <f t="shared" si="78"/>
        <v>0</v>
      </c>
      <c r="CH90" s="139">
        <f t="shared" si="78"/>
        <v>0</v>
      </c>
      <c r="CI90" s="139">
        <f t="shared" si="78"/>
        <v>0</v>
      </c>
      <c r="CJ90" s="139">
        <f t="shared" si="78"/>
        <v>0</v>
      </c>
      <c r="CK90" s="139">
        <f t="shared" si="78"/>
        <v>0</v>
      </c>
      <c r="CL90" s="139">
        <f t="shared" si="78"/>
        <v>0</v>
      </c>
      <c r="CM90" s="139">
        <f t="shared" si="78"/>
        <v>0</v>
      </c>
      <c r="CN90" s="139">
        <f t="shared" si="78"/>
        <v>0</v>
      </c>
      <c r="CO90" s="139">
        <f t="shared" si="78"/>
        <v>0</v>
      </c>
      <c r="CP90" s="139">
        <f t="shared" si="78"/>
        <v>0</v>
      </c>
      <c r="CQ90" s="139">
        <f t="shared" si="78"/>
        <v>0</v>
      </c>
      <c r="CR90" s="139">
        <f t="shared" si="78"/>
        <v>0</v>
      </c>
      <c r="CS90" s="133"/>
      <c r="CT90" s="133"/>
      <c r="CU90" s="133"/>
      <c r="CV90" s="133"/>
      <c r="CW90" s="133"/>
      <c r="CX90" s="133"/>
    </row>
    <row r="92" spans="1:102">
      <c r="A92" s="804" t="s">
        <v>562</v>
      </c>
      <c r="B92" s="804"/>
      <c r="C92" s="804"/>
      <c r="D92" s="804"/>
    </row>
    <row r="93" spans="1:102" ht="18.75" thickBot="1">
      <c r="A93" s="282" t="s">
        <v>560</v>
      </c>
      <c r="B93" s="282"/>
      <c r="C93" s="282"/>
      <c r="D93" s="282"/>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c r="CQ93" s="133"/>
      <c r="CR93" s="133"/>
    </row>
    <row r="94" spans="1:102" ht="19.5" thickTop="1" thickBot="1">
      <c r="A94" s="140" t="str">
        <f>CONCATENATE("Currency: "," ",'Summary. Assumptions. Inputs'!$J$7)</f>
        <v>Currency:  USD</v>
      </c>
      <c r="B94" s="654"/>
      <c r="C94" s="141"/>
      <c r="D94" s="141"/>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c r="CQ94" s="133"/>
      <c r="CR94" s="133"/>
    </row>
    <row r="95" spans="1:102" ht="48" thickBot="1">
      <c r="A95" s="288" t="s">
        <v>462</v>
      </c>
      <c r="B95" s="289" t="s">
        <v>543</v>
      </c>
      <c r="C95" s="290" t="s">
        <v>511</v>
      </c>
      <c r="D95" s="290" t="s">
        <v>544</v>
      </c>
      <c r="E95" s="291" t="str">
        <f>E55</f>
        <v>Pre-Operation</v>
      </c>
      <c r="F95" s="428" t="s">
        <v>347</v>
      </c>
      <c r="G95" s="428" t="s">
        <v>348</v>
      </c>
      <c r="H95" s="428" t="s">
        <v>349</v>
      </c>
      <c r="I95" s="428" t="s">
        <v>350</v>
      </c>
      <c r="J95" s="428" t="s">
        <v>351</v>
      </c>
      <c r="K95" s="428" t="s">
        <v>352</v>
      </c>
      <c r="L95" s="428" t="s">
        <v>353</v>
      </c>
      <c r="M95" s="428" t="s">
        <v>354</v>
      </c>
      <c r="N95" s="428" t="s">
        <v>355</v>
      </c>
      <c r="O95" s="428" t="s">
        <v>356</v>
      </c>
      <c r="P95" s="428" t="s">
        <v>357</v>
      </c>
      <c r="Q95" s="428" t="s">
        <v>358</v>
      </c>
      <c r="R95" s="291" t="s">
        <v>110</v>
      </c>
      <c r="S95" s="428" t="s">
        <v>360</v>
      </c>
      <c r="T95" s="428" t="s">
        <v>361</v>
      </c>
      <c r="U95" s="428" t="s">
        <v>362</v>
      </c>
      <c r="V95" s="428" t="s">
        <v>363</v>
      </c>
      <c r="W95" s="428" t="s">
        <v>364</v>
      </c>
      <c r="X95" s="428" t="s">
        <v>365</v>
      </c>
      <c r="Y95" s="428" t="s">
        <v>366</v>
      </c>
      <c r="Z95" s="428" t="s">
        <v>367</v>
      </c>
      <c r="AA95" s="428" t="s">
        <v>368</v>
      </c>
      <c r="AB95" s="428" t="s">
        <v>369</v>
      </c>
      <c r="AC95" s="428" t="s">
        <v>370</v>
      </c>
      <c r="AD95" s="428" t="s">
        <v>371</v>
      </c>
      <c r="AE95" s="428" t="s">
        <v>372</v>
      </c>
      <c r="AF95" s="428" t="s">
        <v>373</v>
      </c>
      <c r="AG95" s="428" t="s">
        <v>374</v>
      </c>
      <c r="AH95" s="428" t="s">
        <v>375</v>
      </c>
      <c r="AI95" s="428" t="s">
        <v>376</v>
      </c>
      <c r="AJ95" s="428" t="s">
        <v>377</v>
      </c>
      <c r="AK95" s="428" t="s">
        <v>378</v>
      </c>
      <c r="AL95" s="428" t="s">
        <v>379</v>
      </c>
      <c r="AM95" s="428" t="s">
        <v>380</v>
      </c>
      <c r="AN95" s="428" t="s">
        <v>381</v>
      </c>
      <c r="AO95" s="428" t="s">
        <v>382</v>
      </c>
      <c r="AP95" s="428" t="s">
        <v>383</v>
      </c>
      <c r="AQ95" s="428" t="s">
        <v>384</v>
      </c>
      <c r="AR95" s="428" t="s">
        <v>385</v>
      </c>
      <c r="AS95" s="428" t="s">
        <v>386</v>
      </c>
      <c r="AT95" s="428" t="s">
        <v>387</v>
      </c>
      <c r="AU95" s="428" t="s">
        <v>388</v>
      </c>
      <c r="AV95" s="428" t="s">
        <v>389</v>
      </c>
      <c r="AW95" s="428" t="s">
        <v>390</v>
      </c>
      <c r="AX95" s="428" t="s">
        <v>391</v>
      </c>
      <c r="AY95" s="428" t="s">
        <v>392</v>
      </c>
      <c r="AZ95" s="428" t="s">
        <v>393</v>
      </c>
      <c r="BA95" s="428" t="s">
        <v>394</v>
      </c>
      <c r="BB95" s="428" t="s">
        <v>395</v>
      </c>
      <c r="BC95" s="428" t="s">
        <v>396</v>
      </c>
      <c r="BD95" s="428" t="s">
        <v>397</v>
      </c>
      <c r="BE95" s="428" t="s">
        <v>398</v>
      </c>
      <c r="BF95" s="428" t="s">
        <v>399</v>
      </c>
      <c r="BG95" s="428" t="s">
        <v>400</v>
      </c>
      <c r="BH95" s="428" t="s">
        <v>401</v>
      </c>
      <c r="BI95" s="428" t="s">
        <v>402</v>
      </c>
      <c r="BJ95" s="428" t="s">
        <v>403</v>
      </c>
      <c r="BK95" s="428" t="s">
        <v>404</v>
      </c>
      <c r="BL95" s="428" t="s">
        <v>405</v>
      </c>
      <c r="BM95" s="428" t="s">
        <v>406</v>
      </c>
      <c r="BN95" s="428" t="s">
        <v>407</v>
      </c>
      <c r="BO95" s="428" t="s">
        <v>408</v>
      </c>
      <c r="BP95" s="428" t="s">
        <v>409</v>
      </c>
      <c r="BQ95" s="428" t="s">
        <v>410</v>
      </c>
      <c r="BR95" s="428" t="s">
        <v>411</v>
      </c>
      <c r="BS95" s="428" t="s">
        <v>412</v>
      </c>
      <c r="BT95" s="428" t="s">
        <v>413</v>
      </c>
      <c r="BU95" s="428" t="s">
        <v>414</v>
      </c>
      <c r="BV95" s="428" t="s">
        <v>415</v>
      </c>
      <c r="BW95" s="428" t="s">
        <v>416</v>
      </c>
      <c r="BX95" s="428" t="s">
        <v>417</v>
      </c>
      <c r="BY95" s="428" t="s">
        <v>418</v>
      </c>
      <c r="BZ95" s="428" t="s">
        <v>419</v>
      </c>
      <c r="CA95" s="428" t="s">
        <v>420</v>
      </c>
      <c r="CB95" s="428" t="s">
        <v>421</v>
      </c>
      <c r="CC95" s="428" t="s">
        <v>422</v>
      </c>
      <c r="CD95" s="428" t="s">
        <v>423</v>
      </c>
      <c r="CE95" s="428" t="s">
        <v>424</v>
      </c>
      <c r="CF95" s="428" t="s">
        <v>425</v>
      </c>
      <c r="CG95" s="428" t="s">
        <v>426</v>
      </c>
      <c r="CH95" s="428" t="s">
        <v>427</v>
      </c>
      <c r="CI95" s="428" t="s">
        <v>428</v>
      </c>
      <c r="CJ95" s="428" t="s">
        <v>429</v>
      </c>
      <c r="CK95" s="428" t="s">
        <v>430</v>
      </c>
      <c r="CL95" s="428" t="s">
        <v>431</v>
      </c>
      <c r="CM95" s="428" t="s">
        <v>432</v>
      </c>
      <c r="CN95" s="428" t="s">
        <v>433</v>
      </c>
      <c r="CO95" s="428" t="s">
        <v>434</v>
      </c>
      <c r="CP95" s="428" t="s">
        <v>435</v>
      </c>
      <c r="CQ95" s="428" t="s">
        <v>436</v>
      </c>
      <c r="CR95" s="428" t="s">
        <v>437</v>
      </c>
    </row>
    <row r="96" spans="1:102">
      <c r="A96" s="647"/>
      <c r="B96" s="649"/>
      <c r="C96" s="240"/>
      <c r="D96" s="133">
        <f t="shared" ref="D96:D115" si="79">PRODUCT(B96:C96)/USD_RATE</f>
        <v>0</v>
      </c>
      <c r="E96" s="134"/>
      <c r="F96" s="135"/>
      <c r="G96" s="135"/>
      <c r="H96" s="135"/>
      <c r="I96" s="135"/>
      <c r="J96" s="135"/>
      <c r="K96" s="135"/>
      <c r="L96" s="135"/>
      <c r="M96" s="135"/>
      <c r="N96" s="135"/>
      <c r="O96" s="135"/>
      <c r="P96" s="135"/>
      <c r="Q96" s="135"/>
      <c r="R96" s="136">
        <f>SUM(F96:Q96)</f>
        <v>0</v>
      </c>
      <c r="S96" s="135"/>
      <c r="T96" s="135"/>
      <c r="U96" s="135"/>
      <c r="V96" s="135"/>
      <c r="W96" s="135"/>
      <c r="X96" s="135"/>
      <c r="Y96" s="135"/>
      <c r="Z96" s="135"/>
      <c r="AA96" s="135"/>
      <c r="AB96" s="135"/>
      <c r="AC96" s="135"/>
      <c r="AD96" s="135"/>
      <c r="AE96" s="136">
        <f>SUM(S96:AD96)</f>
        <v>0</v>
      </c>
      <c r="AF96" s="135"/>
      <c r="AG96" s="135"/>
      <c r="AH96" s="135"/>
      <c r="AI96" s="135"/>
      <c r="AJ96" s="135"/>
      <c r="AK96" s="135"/>
      <c r="AL96" s="135"/>
      <c r="AM96" s="135"/>
      <c r="AN96" s="135"/>
      <c r="AO96" s="135"/>
      <c r="AP96" s="135"/>
      <c r="AQ96" s="135"/>
      <c r="AR96" s="136">
        <f>SUM(AF96:AQ96)</f>
        <v>0</v>
      </c>
      <c r="AS96" s="135"/>
      <c r="AT96" s="135"/>
      <c r="AU96" s="135"/>
      <c r="AV96" s="135"/>
      <c r="AW96" s="135"/>
      <c r="AX96" s="135"/>
      <c r="AY96" s="135"/>
      <c r="AZ96" s="135"/>
      <c r="BA96" s="135"/>
      <c r="BB96" s="135"/>
      <c r="BC96" s="135"/>
      <c r="BD96" s="135"/>
      <c r="BE96" s="136">
        <f>SUM(AS96:BD96)</f>
        <v>0</v>
      </c>
      <c r="BF96" s="135"/>
      <c r="BG96" s="135"/>
      <c r="BH96" s="135"/>
      <c r="BI96" s="135"/>
      <c r="BJ96" s="135"/>
      <c r="BK96" s="135"/>
      <c r="BL96" s="135"/>
      <c r="BM96" s="135"/>
      <c r="BN96" s="135"/>
      <c r="BO96" s="135"/>
      <c r="BP96" s="135"/>
      <c r="BQ96" s="135"/>
      <c r="BR96" s="136">
        <f>SUM(BF96:BQ96)</f>
        <v>0</v>
      </c>
      <c r="BS96" s="135"/>
      <c r="BT96" s="135"/>
      <c r="BU96" s="135"/>
      <c r="BV96" s="135"/>
      <c r="BW96" s="135"/>
      <c r="BX96" s="135"/>
      <c r="BY96" s="135"/>
      <c r="BZ96" s="135"/>
      <c r="CA96" s="135"/>
      <c r="CB96" s="135"/>
      <c r="CC96" s="135"/>
      <c r="CD96" s="135"/>
      <c r="CE96" s="136">
        <f>SUM(BS96:CD96)</f>
        <v>0</v>
      </c>
      <c r="CF96" s="135"/>
      <c r="CG96" s="135"/>
      <c r="CH96" s="135"/>
      <c r="CI96" s="135"/>
      <c r="CJ96" s="135"/>
      <c r="CK96" s="135"/>
      <c r="CL96" s="135"/>
      <c r="CM96" s="135"/>
      <c r="CN96" s="135"/>
      <c r="CO96" s="135"/>
      <c r="CP96" s="135"/>
      <c r="CQ96" s="135"/>
      <c r="CR96" s="136">
        <f>SUM(CF96:CQ96)</f>
        <v>0</v>
      </c>
    </row>
    <row r="97" spans="1:96">
      <c r="A97" s="647"/>
      <c r="B97" s="649">
        <f t="shared" ref="B97:C107" si="80">B58</f>
        <v>0</v>
      </c>
      <c r="C97" s="240">
        <f t="shared" si="80"/>
        <v>0</v>
      </c>
      <c r="D97" s="133">
        <f t="shared" si="79"/>
        <v>0</v>
      </c>
      <c r="E97" s="137"/>
      <c r="F97" s="135">
        <f t="shared" ref="F97:U112" si="81">$D97</f>
        <v>0</v>
      </c>
      <c r="G97" s="135">
        <f t="shared" si="81"/>
        <v>0</v>
      </c>
      <c r="H97" s="135">
        <f t="shared" si="81"/>
        <v>0</v>
      </c>
      <c r="I97" s="135">
        <f t="shared" si="81"/>
        <v>0</v>
      </c>
      <c r="J97" s="135">
        <f t="shared" si="81"/>
        <v>0</v>
      </c>
      <c r="K97" s="135">
        <f t="shared" si="81"/>
        <v>0</v>
      </c>
      <c r="L97" s="135">
        <f t="shared" si="81"/>
        <v>0</v>
      </c>
      <c r="M97" s="135">
        <f t="shared" si="81"/>
        <v>0</v>
      </c>
      <c r="N97" s="135">
        <f t="shared" si="81"/>
        <v>0</v>
      </c>
      <c r="O97" s="135">
        <f t="shared" si="81"/>
        <v>0</v>
      </c>
      <c r="P97" s="135">
        <f t="shared" si="81"/>
        <v>0</v>
      </c>
      <c r="Q97" s="135">
        <f t="shared" si="81"/>
        <v>0</v>
      </c>
      <c r="R97" s="136">
        <f t="shared" ref="R97:R115" si="82">SUM(F97:Q97)</f>
        <v>0</v>
      </c>
      <c r="S97" s="135">
        <f t="shared" si="81"/>
        <v>0</v>
      </c>
      <c r="T97" s="135">
        <f t="shared" si="81"/>
        <v>0</v>
      </c>
      <c r="U97" s="135">
        <f t="shared" si="81"/>
        <v>0</v>
      </c>
      <c r="V97" s="135">
        <f t="shared" ref="S97:AD112" si="83">$D97</f>
        <v>0</v>
      </c>
      <c r="W97" s="135">
        <f t="shared" si="83"/>
        <v>0</v>
      </c>
      <c r="X97" s="135">
        <f t="shared" si="83"/>
        <v>0</v>
      </c>
      <c r="Y97" s="135">
        <f t="shared" si="83"/>
        <v>0</v>
      </c>
      <c r="Z97" s="135">
        <f t="shared" si="83"/>
        <v>0</v>
      </c>
      <c r="AA97" s="135">
        <f t="shared" si="83"/>
        <v>0</v>
      </c>
      <c r="AB97" s="135">
        <f t="shared" si="83"/>
        <v>0</v>
      </c>
      <c r="AC97" s="135">
        <f t="shared" si="83"/>
        <v>0</v>
      </c>
      <c r="AD97" s="135">
        <f t="shared" si="83"/>
        <v>0</v>
      </c>
      <c r="AE97" s="136">
        <f t="shared" ref="AE97:AE115" si="84">SUM(S97:AD97)</f>
        <v>0</v>
      </c>
      <c r="AF97" s="135">
        <f t="shared" ref="AF97:AU112" si="85">$D97</f>
        <v>0</v>
      </c>
      <c r="AG97" s="135">
        <f t="shared" si="85"/>
        <v>0</v>
      </c>
      <c r="AH97" s="135">
        <f t="shared" si="85"/>
        <v>0</v>
      </c>
      <c r="AI97" s="135">
        <f t="shared" si="85"/>
        <v>0</v>
      </c>
      <c r="AJ97" s="135">
        <f t="shared" si="85"/>
        <v>0</v>
      </c>
      <c r="AK97" s="135">
        <f t="shared" si="85"/>
        <v>0</v>
      </c>
      <c r="AL97" s="135">
        <f t="shared" si="85"/>
        <v>0</v>
      </c>
      <c r="AM97" s="135">
        <f t="shared" si="85"/>
        <v>0</v>
      </c>
      <c r="AN97" s="135">
        <f t="shared" si="85"/>
        <v>0</v>
      </c>
      <c r="AO97" s="135">
        <f t="shared" si="85"/>
        <v>0</v>
      </c>
      <c r="AP97" s="135">
        <f t="shared" si="85"/>
        <v>0</v>
      </c>
      <c r="AQ97" s="135">
        <f t="shared" si="85"/>
        <v>0</v>
      </c>
      <c r="AR97" s="136">
        <f t="shared" ref="AR97:AR115" si="86">SUM(AF97:AQ97)</f>
        <v>0</v>
      </c>
      <c r="AS97" s="135">
        <f t="shared" si="85"/>
        <v>0</v>
      </c>
      <c r="AT97" s="135">
        <f t="shared" si="85"/>
        <v>0</v>
      </c>
      <c r="AU97" s="135">
        <f t="shared" si="85"/>
        <v>0</v>
      </c>
      <c r="AV97" s="135">
        <f t="shared" ref="AS97:BD112" si="87">$D97</f>
        <v>0</v>
      </c>
      <c r="AW97" s="135">
        <f t="shared" si="87"/>
        <v>0</v>
      </c>
      <c r="AX97" s="135">
        <f t="shared" si="87"/>
        <v>0</v>
      </c>
      <c r="AY97" s="135">
        <f t="shared" si="87"/>
        <v>0</v>
      </c>
      <c r="AZ97" s="135">
        <f t="shared" si="87"/>
        <v>0</v>
      </c>
      <c r="BA97" s="135">
        <f t="shared" si="87"/>
        <v>0</v>
      </c>
      <c r="BB97" s="135">
        <f t="shared" si="87"/>
        <v>0</v>
      </c>
      <c r="BC97" s="135">
        <f t="shared" si="87"/>
        <v>0</v>
      </c>
      <c r="BD97" s="135">
        <f t="shared" si="87"/>
        <v>0</v>
      </c>
      <c r="BE97" s="136">
        <f t="shared" ref="BE97:BE115" si="88">SUM(AS97:BD97)</f>
        <v>0</v>
      </c>
      <c r="BF97" s="135">
        <f t="shared" ref="BF97:BU112" si="89">$D97</f>
        <v>0</v>
      </c>
      <c r="BG97" s="135">
        <f t="shared" si="89"/>
        <v>0</v>
      </c>
      <c r="BH97" s="135">
        <f t="shared" si="89"/>
        <v>0</v>
      </c>
      <c r="BI97" s="135">
        <f t="shared" si="89"/>
        <v>0</v>
      </c>
      <c r="BJ97" s="135">
        <f t="shared" si="89"/>
        <v>0</v>
      </c>
      <c r="BK97" s="135">
        <f t="shared" si="89"/>
        <v>0</v>
      </c>
      <c r="BL97" s="135">
        <f t="shared" si="89"/>
        <v>0</v>
      </c>
      <c r="BM97" s="135">
        <f t="shared" si="89"/>
        <v>0</v>
      </c>
      <c r="BN97" s="135">
        <f t="shared" si="89"/>
        <v>0</v>
      </c>
      <c r="BO97" s="135">
        <f t="shared" si="89"/>
        <v>0</v>
      </c>
      <c r="BP97" s="135">
        <f t="shared" si="89"/>
        <v>0</v>
      </c>
      <c r="BQ97" s="135">
        <f t="shared" si="89"/>
        <v>0</v>
      </c>
      <c r="BR97" s="136">
        <f t="shared" ref="BR97:BR115" si="90">SUM(BF97:BQ97)</f>
        <v>0</v>
      </c>
      <c r="BS97" s="135">
        <f t="shared" si="89"/>
        <v>0</v>
      </c>
      <c r="BT97" s="135">
        <f t="shared" si="89"/>
        <v>0</v>
      </c>
      <c r="BU97" s="135">
        <f t="shared" si="89"/>
        <v>0</v>
      </c>
      <c r="BV97" s="135">
        <f t="shared" ref="BS97:CD112" si="91">$D97</f>
        <v>0</v>
      </c>
      <c r="BW97" s="135">
        <f t="shared" si="91"/>
        <v>0</v>
      </c>
      <c r="BX97" s="135">
        <f t="shared" si="91"/>
        <v>0</v>
      </c>
      <c r="BY97" s="135">
        <f t="shared" si="91"/>
        <v>0</v>
      </c>
      <c r="BZ97" s="135">
        <f t="shared" si="91"/>
        <v>0</v>
      </c>
      <c r="CA97" s="135">
        <f t="shared" si="91"/>
        <v>0</v>
      </c>
      <c r="CB97" s="135">
        <f t="shared" si="91"/>
        <v>0</v>
      </c>
      <c r="CC97" s="135">
        <f t="shared" si="91"/>
        <v>0</v>
      </c>
      <c r="CD97" s="135">
        <f t="shared" si="91"/>
        <v>0</v>
      </c>
      <c r="CE97" s="136">
        <f t="shared" ref="CE97:CE115" si="92">SUM(BS97:CD97)</f>
        <v>0</v>
      </c>
      <c r="CF97" s="135">
        <f t="shared" ref="CF97:CQ112" si="93">$D97</f>
        <v>0</v>
      </c>
      <c r="CG97" s="135">
        <f t="shared" si="93"/>
        <v>0</v>
      </c>
      <c r="CH97" s="135">
        <f t="shared" si="93"/>
        <v>0</v>
      </c>
      <c r="CI97" s="135">
        <f t="shared" si="93"/>
        <v>0</v>
      </c>
      <c r="CJ97" s="135">
        <f t="shared" si="93"/>
        <v>0</v>
      </c>
      <c r="CK97" s="135">
        <f t="shared" si="93"/>
        <v>0</v>
      </c>
      <c r="CL97" s="135">
        <f t="shared" si="93"/>
        <v>0</v>
      </c>
      <c r="CM97" s="135">
        <f t="shared" si="93"/>
        <v>0</v>
      </c>
      <c r="CN97" s="135">
        <f t="shared" si="93"/>
        <v>0</v>
      </c>
      <c r="CO97" s="135">
        <f t="shared" si="93"/>
        <v>0</v>
      </c>
      <c r="CP97" s="135">
        <f t="shared" si="93"/>
        <v>0</v>
      </c>
      <c r="CQ97" s="135">
        <f t="shared" si="93"/>
        <v>0</v>
      </c>
      <c r="CR97" s="136">
        <f t="shared" ref="CR97:CR115" si="94">SUM(CF97:CQ97)</f>
        <v>0</v>
      </c>
    </row>
    <row r="98" spans="1:96">
      <c r="A98" s="647"/>
      <c r="B98" s="649">
        <f t="shared" si="80"/>
        <v>0</v>
      </c>
      <c r="C98" s="240">
        <f t="shared" si="80"/>
        <v>0</v>
      </c>
      <c r="D98" s="133">
        <f t="shared" si="79"/>
        <v>0</v>
      </c>
      <c r="E98" s="137"/>
      <c r="F98" s="135">
        <f t="shared" si="81"/>
        <v>0</v>
      </c>
      <c r="G98" s="135">
        <f t="shared" si="81"/>
        <v>0</v>
      </c>
      <c r="H98" s="135">
        <f t="shared" si="81"/>
        <v>0</v>
      </c>
      <c r="I98" s="135">
        <f t="shared" si="81"/>
        <v>0</v>
      </c>
      <c r="J98" s="135">
        <f t="shared" si="81"/>
        <v>0</v>
      </c>
      <c r="K98" s="135">
        <f t="shared" si="81"/>
        <v>0</v>
      </c>
      <c r="L98" s="135">
        <f t="shared" si="81"/>
        <v>0</v>
      </c>
      <c r="M98" s="135">
        <f t="shared" si="81"/>
        <v>0</v>
      </c>
      <c r="N98" s="135">
        <f t="shared" si="81"/>
        <v>0</v>
      </c>
      <c r="O98" s="135">
        <f t="shared" si="81"/>
        <v>0</v>
      </c>
      <c r="P98" s="135">
        <f t="shared" si="81"/>
        <v>0</v>
      </c>
      <c r="Q98" s="135">
        <f t="shared" si="81"/>
        <v>0</v>
      </c>
      <c r="R98" s="136">
        <f t="shared" si="82"/>
        <v>0</v>
      </c>
      <c r="S98" s="135">
        <f t="shared" si="83"/>
        <v>0</v>
      </c>
      <c r="T98" s="135">
        <f t="shared" si="83"/>
        <v>0</v>
      </c>
      <c r="U98" s="135">
        <f t="shared" si="83"/>
        <v>0</v>
      </c>
      <c r="V98" s="135">
        <f t="shared" si="83"/>
        <v>0</v>
      </c>
      <c r="W98" s="135">
        <f t="shared" si="83"/>
        <v>0</v>
      </c>
      <c r="X98" s="135">
        <f t="shared" si="83"/>
        <v>0</v>
      </c>
      <c r="Y98" s="135">
        <f t="shared" si="83"/>
        <v>0</v>
      </c>
      <c r="Z98" s="135">
        <f t="shared" si="83"/>
        <v>0</v>
      </c>
      <c r="AA98" s="135">
        <f t="shared" si="83"/>
        <v>0</v>
      </c>
      <c r="AB98" s="135">
        <f t="shared" si="83"/>
        <v>0</v>
      </c>
      <c r="AC98" s="135">
        <f t="shared" si="83"/>
        <v>0</v>
      </c>
      <c r="AD98" s="135">
        <f t="shared" si="83"/>
        <v>0</v>
      </c>
      <c r="AE98" s="136">
        <f t="shared" si="84"/>
        <v>0</v>
      </c>
      <c r="AF98" s="135">
        <f t="shared" si="85"/>
        <v>0</v>
      </c>
      <c r="AG98" s="135">
        <f t="shared" si="85"/>
        <v>0</v>
      </c>
      <c r="AH98" s="135">
        <f t="shared" si="85"/>
        <v>0</v>
      </c>
      <c r="AI98" s="135">
        <f t="shared" si="85"/>
        <v>0</v>
      </c>
      <c r="AJ98" s="135">
        <f t="shared" si="85"/>
        <v>0</v>
      </c>
      <c r="AK98" s="135">
        <f t="shared" si="85"/>
        <v>0</v>
      </c>
      <c r="AL98" s="135">
        <f t="shared" si="85"/>
        <v>0</v>
      </c>
      <c r="AM98" s="135">
        <f t="shared" si="85"/>
        <v>0</v>
      </c>
      <c r="AN98" s="135">
        <f t="shared" si="85"/>
        <v>0</v>
      </c>
      <c r="AO98" s="135">
        <f t="shared" si="85"/>
        <v>0</v>
      </c>
      <c r="AP98" s="135">
        <f t="shared" si="85"/>
        <v>0</v>
      </c>
      <c r="AQ98" s="135">
        <f t="shared" si="85"/>
        <v>0</v>
      </c>
      <c r="AR98" s="136">
        <f t="shared" si="86"/>
        <v>0</v>
      </c>
      <c r="AS98" s="135">
        <f t="shared" si="87"/>
        <v>0</v>
      </c>
      <c r="AT98" s="135">
        <f t="shared" si="87"/>
        <v>0</v>
      </c>
      <c r="AU98" s="135">
        <f t="shared" si="87"/>
        <v>0</v>
      </c>
      <c r="AV98" s="135">
        <f t="shared" si="87"/>
        <v>0</v>
      </c>
      <c r="AW98" s="135">
        <f t="shared" si="87"/>
        <v>0</v>
      </c>
      <c r="AX98" s="135">
        <f t="shared" si="87"/>
        <v>0</v>
      </c>
      <c r="AY98" s="135">
        <f t="shared" si="87"/>
        <v>0</v>
      </c>
      <c r="AZ98" s="135">
        <f t="shared" si="87"/>
        <v>0</v>
      </c>
      <c r="BA98" s="135">
        <f t="shared" si="87"/>
        <v>0</v>
      </c>
      <c r="BB98" s="135">
        <f t="shared" si="87"/>
        <v>0</v>
      </c>
      <c r="BC98" s="135">
        <f t="shared" si="87"/>
        <v>0</v>
      </c>
      <c r="BD98" s="135">
        <f t="shared" si="87"/>
        <v>0</v>
      </c>
      <c r="BE98" s="136">
        <f t="shared" si="88"/>
        <v>0</v>
      </c>
      <c r="BF98" s="135">
        <f t="shared" si="89"/>
        <v>0</v>
      </c>
      <c r="BG98" s="135">
        <f t="shared" si="89"/>
        <v>0</v>
      </c>
      <c r="BH98" s="135">
        <f t="shared" si="89"/>
        <v>0</v>
      </c>
      <c r="BI98" s="135">
        <f t="shared" si="89"/>
        <v>0</v>
      </c>
      <c r="BJ98" s="135">
        <f t="shared" si="89"/>
        <v>0</v>
      </c>
      <c r="BK98" s="135">
        <f t="shared" si="89"/>
        <v>0</v>
      </c>
      <c r="BL98" s="135">
        <f t="shared" si="89"/>
        <v>0</v>
      </c>
      <c r="BM98" s="135">
        <f t="shared" si="89"/>
        <v>0</v>
      </c>
      <c r="BN98" s="135">
        <f t="shared" si="89"/>
        <v>0</v>
      </c>
      <c r="BO98" s="135">
        <f t="shared" si="89"/>
        <v>0</v>
      </c>
      <c r="BP98" s="135">
        <f t="shared" si="89"/>
        <v>0</v>
      </c>
      <c r="BQ98" s="135">
        <f t="shared" si="89"/>
        <v>0</v>
      </c>
      <c r="BR98" s="136">
        <f t="shared" si="90"/>
        <v>0</v>
      </c>
      <c r="BS98" s="135">
        <f t="shared" si="91"/>
        <v>0</v>
      </c>
      <c r="BT98" s="135">
        <f t="shared" si="91"/>
        <v>0</v>
      </c>
      <c r="BU98" s="135">
        <f t="shared" si="91"/>
        <v>0</v>
      </c>
      <c r="BV98" s="135">
        <f t="shared" si="91"/>
        <v>0</v>
      </c>
      <c r="BW98" s="135">
        <f t="shared" si="91"/>
        <v>0</v>
      </c>
      <c r="BX98" s="135">
        <f t="shared" si="91"/>
        <v>0</v>
      </c>
      <c r="BY98" s="135">
        <f t="shared" si="91"/>
        <v>0</v>
      </c>
      <c r="BZ98" s="135">
        <f t="shared" si="91"/>
        <v>0</v>
      </c>
      <c r="CA98" s="135">
        <f t="shared" si="91"/>
        <v>0</v>
      </c>
      <c r="CB98" s="135">
        <f t="shared" si="91"/>
        <v>0</v>
      </c>
      <c r="CC98" s="135">
        <f t="shared" si="91"/>
        <v>0</v>
      </c>
      <c r="CD98" s="135">
        <f t="shared" si="91"/>
        <v>0</v>
      </c>
      <c r="CE98" s="136">
        <f t="shared" si="92"/>
        <v>0</v>
      </c>
      <c r="CF98" s="135">
        <f t="shared" si="93"/>
        <v>0</v>
      </c>
      <c r="CG98" s="135">
        <f t="shared" si="93"/>
        <v>0</v>
      </c>
      <c r="CH98" s="135">
        <f t="shared" si="93"/>
        <v>0</v>
      </c>
      <c r="CI98" s="135">
        <f t="shared" si="93"/>
        <v>0</v>
      </c>
      <c r="CJ98" s="135">
        <f t="shared" si="93"/>
        <v>0</v>
      </c>
      <c r="CK98" s="135">
        <f t="shared" si="93"/>
        <v>0</v>
      </c>
      <c r="CL98" s="135">
        <f t="shared" si="93"/>
        <v>0</v>
      </c>
      <c r="CM98" s="135">
        <f t="shared" si="93"/>
        <v>0</v>
      </c>
      <c r="CN98" s="135">
        <f t="shared" si="93"/>
        <v>0</v>
      </c>
      <c r="CO98" s="135">
        <f t="shared" si="93"/>
        <v>0</v>
      </c>
      <c r="CP98" s="135">
        <f t="shared" si="93"/>
        <v>0</v>
      </c>
      <c r="CQ98" s="135">
        <f t="shared" si="93"/>
        <v>0</v>
      </c>
      <c r="CR98" s="136">
        <f t="shared" si="94"/>
        <v>0</v>
      </c>
    </row>
    <row r="99" spans="1:96">
      <c r="A99" s="647"/>
      <c r="B99" s="649">
        <f t="shared" si="80"/>
        <v>0</v>
      </c>
      <c r="C99" s="240">
        <f t="shared" si="80"/>
        <v>0</v>
      </c>
      <c r="D99" s="133">
        <f t="shared" si="79"/>
        <v>0</v>
      </c>
      <c r="E99" s="137"/>
      <c r="F99" s="135">
        <f t="shared" si="81"/>
        <v>0</v>
      </c>
      <c r="G99" s="135">
        <f t="shared" si="81"/>
        <v>0</v>
      </c>
      <c r="H99" s="135">
        <f t="shared" si="81"/>
        <v>0</v>
      </c>
      <c r="I99" s="135">
        <f t="shared" si="81"/>
        <v>0</v>
      </c>
      <c r="J99" s="135">
        <f t="shared" si="81"/>
        <v>0</v>
      </c>
      <c r="K99" s="135">
        <f t="shared" si="81"/>
        <v>0</v>
      </c>
      <c r="L99" s="135">
        <f t="shared" si="81"/>
        <v>0</v>
      </c>
      <c r="M99" s="135">
        <f t="shared" si="81"/>
        <v>0</v>
      </c>
      <c r="N99" s="135">
        <f t="shared" si="81"/>
        <v>0</v>
      </c>
      <c r="O99" s="135">
        <f t="shared" si="81"/>
        <v>0</v>
      </c>
      <c r="P99" s="135">
        <f t="shared" si="81"/>
        <v>0</v>
      </c>
      <c r="Q99" s="135">
        <f t="shared" si="81"/>
        <v>0</v>
      </c>
      <c r="R99" s="136">
        <f t="shared" si="82"/>
        <v>0</v>
      </c>
      <c r="S99" s="135">
        <f t="shared" si="83"/>
        <v>0</v>
      </c>
      <c r="T99" s="135">
        <f t="shared" si="83"/>
        <v>0</v>
      </c>
      <c r="U99" s="135">
        <f t="shared" si="83"/>
        <v>0</v>
      </c>
      <c r="V99" s="135">
        <f t="shared" si="83"/>
        <v>0</v>
      </c>
      <c r="W99" s="135">
        <f t="shared" si="83"/>
        <v>0</v>
      </c>
      <c r="X99" s="135">
        <f t="shared" si="83"/>
        <v>0</v>
      </c>
      <c r="Y99" s="135">
        <f t="shared" si="83"/>
        <v>0</v>
      </c>
      <c r="Z99" s="135">
        <f t="shared" si="83"/>
        <v>0</v>
      </c>
      <c r="AA99" s="135">
        <f t="shared" si="83"/>
        <v>0</v>
      </c>
      <c r="AB99" s="135">
        <f t="shared" si="83"/>
        <v>0</v>
      </c>
      <c r="AC99" s="135">
        <f t="shared" si="83"/>
        <v>0</v>
      </c>
      <c r="AD99" s="135">
        <f t="shared" si="83"/>
        <v>0</v>
      </c>
      <c r="AE99" s="136">
        <f t="shared" si="84"/>
        <v>0</v>
      </c>
      <c r="AF99" s="135">
        <f t="shared" si="85"/>
        <v>0</v>
      </c>
      <c r="AG99" s="135">
        <f t="shared" si="85"/>
        <v>0</v>
      </c>
      <c r="AH99" s="135">
        <f t="shared" si="85"/>
        <v>0</v>
      </c>
      <c r="AI99" s="135">
        <f t="shared" si="85"/>
        <v>0</v>
      </c>
      <c r="AJ99" s="135">
        <f t="shared" si="85"/>
        <v>0</v>
      </c>
      <c r="AK99" s="135">
        <f t="shared" si="85"/>
        <v>0</v>
      </c>
      <c r="AL99" s="135">
        <f t="shared" si="85"/>
        <v>0</v>
      </c>
      <c r="AM99" s="135">
        <f t="shared" si="85"/>
        <v>0</v>
      </c>
      <c r="AN99" s="135">
        <f t="shared" si="85"/>
        <v>0</v>
      </c>
      <c r="AO99" s="135">
        <f t="shared" si="85"/>
        <v>0</v>
      </c>
      <c r="AP99" s="135">
        <f t="shared" si="85"/>
        <v>0</v>
      </c>
      <c r="AQ99" s="135">
        <f t="shared" si="85"/>
        <v>0</v>
      </c>
      <c r="AR99" s="136">
        <f t="shared" si="86"/>
        <v>0</v>
      </c>
      <c r="AS99" s="135">
        <f t="shared" si="87"/>
        <v>0</v>
      </c>
      <c r="AT99" s="135">
        <f t="shared" si="87"/>
        <v>0</v>
      </c>
      <c r="AU99" s="135">
        <f t="shared" si="87"/>
        <v>0</v>
      </c>
      <c r="AV99" s="135">
        <f t="shared" si="87"/>
        <v>0</v>
      </c>
      <c r="AW99" s="135">
        <f t="shared" si="87"/>
        <v>0</v>
      </c>
      <c r="AX99" s="135">
        <f t="shared" si="87"/>
        <v>0</v>
      </c>
      <c r="AY99" s="135">
        <f t="shared" si="87"/>
        <v>0</v>
      </c>
      <c r="AZ99" s="135">
        <f t="shared" si="87"/>
        <v>0</v>
      </c>
      <c r="BA99" s="135">
        <f t="shared" si="87"/>
        <v>0</v>
      </c>
      <c r="BB99" s="135">
        <f t="shared" si="87"/>
        <v>0</v>
      </c>
      <c r="BC99" s="135">
        <f t="shared" si="87"/>
        <v>0</v>
      </c>
      <c r="BD99" s="135">
        <f t="shared" si="87"/>
        <v>0</v>
      </c>
      <c r="BE99" s="136">
        <f t="shared" si="88"/>
        <v>0</v>
      </c>
      <c r="BF99" s="135">
        <f t="shared" si="89"/>
        <v>0</v>
      </c>
      <c r="BG99" s="135">
        <f t="shared" si="89"/>
        <v>0</v>
      </c>
      <c r="BH99" s="135">
        <f t="shared" si="89"/>
        <v>0</v>
      </c>
      <c r="BI99" s="135">
        <f t="shared" si="89"/>
        <v>0</v>
      </c>
      <c r="BJ99" s="135">
        <f t="shared" si="89"/>
        <v>0</v>
      </c>
      <c r="BK99" s="135">
        <f t="shared" si="89"/>
        <v>0</v>
      </c>
      <c r="BL99" s="135">
        <f t="shared" si="89"/>
        <v>0</v>
      </c>
      <c r="BM99" s="135">
        <f t="shared" si="89"/>
        <v>0</v>
      </c>
      <c r="BN99" s="135">
        <f t="shared" si="89"/>
        <v>0</v>
      </c>
      <c r="BO99" s="135">
        <f t="shared" si="89"/>
        <v>0</v>
      </c>
      <c r="BP99" s="135">
        <f t="shared" si="89"/>
        <v>0</v>
      </c>
      <c r="BQ99" s="135">
        <f t="shared" si="89"/>
        <v>0</v>
      </c>
      <c r="BR99" s="136">
        <f t="shared" si="90"/>
        <v>0</v>
      </c>
      <c r="BS99" s="135">
        <f t="shared" si="91"/>
        <v>0</v>
      </c>
      <c r="BT99" s="135">
        <f t="shared" si="91"/>
        <v>0</v>
      </c>
      <c r="BU99" s="135">
        <f t="shared" si="91"/>
        <v>0</v>
      </c>
      <c r="BV99" s="135">
        <f t="shared" si="91"/>
        <v>0</v>
      </c>
      <c r="BW99" s="135">
        <f t="shared" si="91"/>
        <v>0</v>
      </c>
      <c r="BX99" s="135">
        <f t="shared" si="91"/>
        <v>0</v>
      </c>
      <c r="BY99" s="135">
        <f t="shared" si="91"/>
        <v>0</v>
      </c>
      <c r="BZ99" s="135">
        <f t="shared" si="91"/>
        <v>0</v>
      </c>
      <c r="CA99" s="135">
        <f t="shared" si="91"/>
        <v>0</v>
      </c>
      <c r="CB99" s="135">
        <f t="shared" si="91"/>
        <v>0</v>
      </c>
      <c r="CC99" s="135">
        <f t="shared" si="91"/>
        <v>0</v>
      </c>
      <c r="CD99" s="135">
        <f t="shared" si="91"/>
        <v>0</v>
      </c>
      <c r="CE99" s="136">
        <f t="shared" si="92"/>
        <v>0</v>
      </c>
      <c r="CF99" s="135">
        <f t="shared" si="93"/>
        <v>0</v>
      </c>
      <c r="CG99" s="135">
        <f t="shared" si="93"/>
        <v>0</v>
      </c>
      <c r="CH99" s="135">
        <f t="shared" si="93"/>
        <v>0</v>
      </c>
      <c r="CI99" s="135">
        <f t="shared" si="93"/>
        <v>0</v>
      </c>
      <c r="CJ99" s="135">
        <f t="shared" si="93"/>
        <v>0</v>
      </c>
      <c r="CK99" s="135">
        <f t="shared" si="93"/>
        <v>0</v>
      </c>
      <c r="CL99" s="135">
        <f t="shared" si="93"/>
        <v>0</v>
      </c>
      <c r="CM99" s="135">
        <f t="shared" si="93"/>
        <v>0</v>
      </c>
      <c r="CN99" s="135">
        <f t="shared" si="93"/>
        <v>0</v>
      </c>
      <c r="CO99" s="135">
        <f t="shared" si="93"/>
        <v>0</v>
      </c>
      <c r="CP99" s="135">
        <f t="shared" si="93"/>
        <v>0</v>
      </c>
      <c r="CQ99" s="135">
        <f t="shared" si="93"/>
        <v>0</v>
      </c>
      <c r="CR99" s="136">
        <f t="shared" si="94"/>
        <v>0</v>
      </c>
    </row>
    <row r="100" spans="1:96">
      <c r="A100" s="647"/>
      <c r="B100" s="649">
        <f t="shared" si="80"/>
        <v>0</v>
      </c>
      <c r="C100" s="240">
        <f t="shared" si="80"/>
        <v>0</v>
      </c>
      <c r="D100" s="133">
        <f t="shared" si="79"/>
        <v>0</v>
      </c>
      <c r="E100" s="137"/>
      <c r="F100" s="135">
        <f t="shared" si="81"/>
        <v>0</v>
      </c>
      <c r="G100" s="135">
        <f t="shared" si="81"/>
        <v>0</v>
      </c>
      <c r="H100" s="135">
        <f t="shared" si="81"/>
        <v>0</v>
      </c>
      <c r="I100" s="135">
        <f t="shared" si="81"/>
        <v>0</v>
      </c>
      <c r="J100" s="135">
        <f t="shared" si="81"/>
        <v>0</v>
      </c>
      <c r="K100" s="135">
        <f t="shared" si="81"/>
        <v>0</v>
      </c>
      <c r="L100" s="135">
        <f t="shared" si="81"/>
        <v>0</v>
      </c>
      <c r="M100" s="135">
        <f t="shared" si="81"/>
        <v>0</v>
      </c>
      <c r="N100" s="135">
        <f t="shared" si="81"/>
        <v>0</v>
      </c>
      <c r="O100" s="135">
        <f t="shared" si="81"/>
        <v>0</v>
      </c>
      <c r="P100" s="135">
        <f t="shared" si="81"/>
        <v>0</v>
      </c>
      <c r="Q100" s="135">
        <f t="shared" si="81"/>
        <v>0</v>
      </c>
      <c r="R100" s="136">
        <f t="shared" si="82"/>
        <v>0</v>
      </c>
      <c r="S100" s="135">
        <f t="shared" si="83"/>
        <v>0</v>
      </c>
      <c r="T100" s="135">
        <f t="shared" si="83"/>
        <v>0</v>
      </c>
      <c r="U100" s="135">
        <f t="shared" si="83"/>
        <v>0</v>
      </c>
      <c r="V100" s="135">
        <f t="shared" si="83"/>
        <v>0</v>
      </c>
      <c r="W100" s="135">
        <f t="shared" si="83"/>
        <v>0</v>
      </c>
      <c r="X100" s="135">
        <f t="shared" si="83"/>
        <v>0</v>
      </c>
      <c r="Y100" s="135">
        <f t="shared" si="83"/>
        <v>0</v>
      </c>
      <c r="Z100" s="135">
        <f t="shared" si="83"/>
        <v>0</v>
      </c>
      <c r="AA100" s="135">
        <f t="shared" si="83"/>
        <v>0</v>
      </c>
      <c r="AB100" s="135">
        <f t="shared" si="83"/>
        <v>0</v>
      </c>
      <c r="AC100" s="135">
        <f t="shared" si="83"/>
        <v>0</v>
      </c>
      <c r="AD100" s="135">
        <f t="shared" si="83"/>
        <v>0</v>
      </c>
      <c r="AE100" s="136">
        <f t="shared" si="84"/>
        <v>0</v>
      </c>
      <c r="AF100" s="135">
        <f t="shared" si="85"/>
        <v>0</v>
      </c>
      <c r="AG100" s="135">
        <f t="shared" si="85"/>
        <v>0</v>
      </c>
      <c r="AH100" s="135">
        <f t="shared" si="85"/>
        <v>0</v>
      </c>
      <c r="AI100" s="135">
        <f t="shared" si="85"/>
        <v>0</v>
      </c>
      <c r="AJ100" s="135">
        <f t="shared" si="85"/>
        <v>0</v>
      </c>
      <c r="AK100" s="135">
        <f t="shared" si="85"/>
        <v>0</v>
      </c>
      <c r="AL100" s="135">
        <f t="shared" si="85"/>
        <v>0</v>
      </c>
      <c r="AM100" s="135">
        <f t="shared" si="85"/>
        <v>0</v>
      </c>
      <c r="AN100" s="135">
        <f t="shared" si="85"/>
        <v>0</v>
      </c>
      <c r="AO100" s="135">
        <f t="shared" si="85"/>
        <v>0</v>
      </c>
      <c r="AP100" s="135">
        <f t="shared" si="85"/>
        <v>0</v>
      </c>
      <c r="AQ100" s="135">
        <f t="shared" si="85"/>
        <v>0</v>
      </c>
      <c r="AR100" s="136">
        <f t="shared" si="86"/>
        <v>0</v>
      </c>
      <c r="AS100" s="135">
        <f t="shared" si="87"/>
        <v>0</v>
      </c>
      <c r="AT100" s="135">
        <f t="shared" si="87"/>
        <v>0</v>
      </c>
      <c r="AU100" s="135">
        <f t="shared" si="87"/>
        <v>0</v>
      </c>
      <c r="AV100" s="135">
        <f t="shared" si="87"/>
        <v>0</v>
      </c>
      <c r="AW100" s="135">
        <f t="shared" si="87"/>
        <v>0</v>
      </c>
      <c r="AX100" s="135">
        <f t="shared" si="87"/>
        <v>0</v>
      </c>
      <c r="AY100" s="135">
        <f t="shared" si="87"/>
        <v>0</v>
      </c>
      <c r="AZ100" s="135">
        <f t="shared" si="87"/>
        <v>0</v>
      </c>
      <c r="BA100" s="135">
        <f t="shared" si="87"/>
        <v>0</v>
      </c>
      <c r="BB100" s="135">
        <f t="shared" si="87"/>
        <v>0</v>
      </c>
      <c r="BC100" s="135">
        <f t="shared" si="87"/>
        <v>0</v>
      </c>
      <c r="BD100" s="135">
        <f t="shared" si="87"/>
        <v>0</v>
      </c>
      <c r="BE100" s="136">
        <f t="shared" si="88"/>
        <v>0</v>
      </c>
      <c r="BF100" s="135">
        <f t="shared" si="89"/>
        <v>0</v>
      </c>
      <c r="BG100" s="135">
        <f t="shared" si="89"/>
        <v>0</v>
      </c>
      <c r="BH100" s="135">
        <f t="shared" si="89"/>
        <v>0</v>
      </c>
      <c r="BI100" s="135">
        <f t="shared" si="89"/>
        <v>0</v>
      </c>
      <c r="BJ100" s="135">
        <f t="shared" si="89"/>
        <v>0</v>
      </c>
      <c r="BK100" s="135">
        <f t="shared" si="89"/>
        <v>0</v>
      </c>
      <c r="BL100" s="135">
        <f t="shared" si="89"/>
        <v>0</v>
      </c>
      <c r="BM100" s="135">
        <f t="shared" si="89"/>
        <v>0</v>
      </c>
      <c r="BN100" s="135">
        <f t="shared" si="89"/>
        <v>0</v>
      </c>
      <c r="BO100" s="135">
        <f t="shared" si="89"/>
        <v>0</v>
      </c>
      <c r="BP100" s="135">
        <f t="shared" si="89"/>
        <v>0</v>
      </c>
      <c r="BQ100" s="135">
        <f t="shared" si="89"/>
        <v>0</v>
      </c>
      <c r="BR100" s="136">
        <f t="shared" si="90"/>
        <v>0</v>
      </c>
      <c r="BS100" s="135">
        <f t="shared" si="91"/>
        <v>0</v>
      </c>
      <c r="BT100" s="135">
        <f t="shared" si="91"/>
        <v>0</v>
      </c>
      <c r="BU100" s="135">
        <f t="shared" si="91"/>
        <v>0</v>
      </c>
      <c r="BV100" s="135">
        <f t="shared" si="91"/>
        <v>0</v>
      </c>
      <c r="BW100" s="135">
        <f t="shared" si="91"/>
        <v>0</v>
      </c>
      <c r="BX100" s="135">
        <f t="shared" si="91"/>
        <v>0</v>
      </c>
      <c r="BY100" s="135">
        <f t="shared" si="91"/>
        <v>0</v>
      </c>
      <c r="BZ100" s="135">
        <f t="shared" si="91"/>
        <v>0</v>
      </c>
      <c r="CA100" s="135">
        <f t="shared" si="91"/>
        <v>0</v>
      </c>
      <c r="CB100" s="135">
        <f t="shared" si="91"/>
        <v>0</v>
      </c>
      <c r="CC100" s="135">
        <f t="shared" si="91"/>
        <v>0</v>
      </c>
      <c r="CD100" s="135">
        <f t="shared" si="91"/>
        <v>0</v>
      </c>
      <c r="CE100" s="136">
        <f t="shared" si="92"/>
        <v>0</v>
      </c>
      <c r="CF100" s="135">
        <f t="shared" si="93"/>
        <v>0</v>
      </c>
      <c r="CG100" s="135">
        <f t="shared" si="93"/>
        <v>0</v>
      </c>
      <c r="CH100" s="135">
        <f t="shared" si="93"/>
        <v>0</v>
      </c>
      <c r="CI100" s="135">
        <f t="shared" si="93"/>
        <v>0</v>
      </c>
      <c r="CJ100" s="135">
        <f t="shared" si="93"/>
        <v>0</v>
      </c>
      <c r="CK100" s="135">
        <f t="shared" si="93"/>
        <v>0</v>
      </c>
      <c r="CL100" s="135">
        <f t="shared" si="93"/>
        <v>0</v>
      </c>
      <c r="CM100" s="135">
        <f t="shared" si="93"/>
        <v>0</v>
      </c>
      <c r="CN100" s="135">
        <f t="shared" si="93"/>
        <v>0</v>
      </c>
      <c r="CO100" s="135">
        <f t="shared" si="93"/>
        <v>0</v>
      </c>
      <c r="CP100" s="135">
        <f t="shared" si="93"/>
        <v>0</v>
      </c>
      <c r="CQ100" s="135">
        <f t="shared" si="93"/>
        <v>0</v>
      </c>
      <c r="CR100" s="136">
        <f t="shared" si="94"/>
        <v>0</v>
      </c>
    </row>
    <row r="101" spans="1:96">
      <c r="A101" s="647"/>
      <c r="B101" s="649">
        <f t="shared" si="80"/>
        <v>0</v>
      </c>
      <c r="C101" s="240">
        <f t="shared" si="80"/>
        <v>0</v>
      </c>
      <c r="D101" s="133">
        <f t="shared" si="79"/>
        <v>0</v>
      </c>
      <c r="E101" s="137"/>
      <c r="F101" s="135">
        <f>$D101</f>
        <v>0</v>
      </c>
      <c r="G101" s="135">
        <f>$D101</f>
        <v>0</v>
      </c>
      <c r="H101" s="135">
        <f>$D101</f>
        <v>0</v>
      </c>
      <c r="I101" s="135">
        <f>$D101</f>
        <v>0</v>
      </c>
      <c r="J101" s="135">
        <f t="shared" si="81"/>
        <v>0</v>
      </c>
      <c r="K101" s="135">
        <f t="shared" si="81"/>
        <v>0</v>
      </c>
      <c r="L101" s="135">
        <f t="shared" si="81"/>
        <v>0</v>
      </c>
      <c r="M101" s="135">
        <f t="shared" si="81"/>
        <v>0</v>
      </c>
      <c r="N101" s="135">
        <f t="shared" si="81"/>
        <v>0</v>
      </c>
      <c r="O101" s="135">
        <f t="shared" si="81"/>
        <v>0</v>
      </c>
      <c r="P101" s="135">
        <f t="shared" si="81"/>
        <v>0</v>
      </c>
      <c r="Q101" s="135">
        <f t="shared" si="81"/>
        <v>0</v>
      </c>
      <c r="R101" s="136">
        <f t="shared" si="82"/>
        <v>0</v>
      </c>
      <c r="S101" s="135">
        <f>$D101</f>
        <v>0</v>
      </c>
      <c r="T101" s="135">
        <f>$D101</f>
        <v>0</v>
      </c>
      <c r="U101" s="135">
        <f>$D101</f>
        <v>0</v>
      </c>
      <c r="V101" s="135">
        <f>$D101</f>
        <v>0</v>
      </c>
      <c r="W101" s="135">
        <f t="shared" si="83"/>
        <v>0</v>
      </c>
      <c r="X101" s="135">
        <f t="shared" si="83"/>
        <v>0</v>
      </c>
      <c r="Y101" s="135">
        <f t="shared" si="83"/>
        <v>0</v>
      </c>
      <c r="Z101" s="135">
        <f t="shared" si="83"/>
        <v>0</v>
      </c>
      <c r="AA101" s="135">
        <f t="shared" si="83"/>
        <v>0</v>
      </c>
      <c r="AB101" s="135">
        <f t="shared" si="83"/>
        <v>0</v>
      </c>
      <c r="AC101" s="135">
        <f t="shared" si="83"/>
        <v>0</v>
      </c>
      <c r="AD101" s="135">
        <f t="shared" si="83"/>
        <v>0</v>
      </c>
      <c r="AE101" s="136">
        <f t="shared" si="84"/>
        <v>0</v>
      </c>
      <c r="AF101" s="135">
        <f>$D101</f>
        <v>0</v>
      </c>
      <c r="AG101" s="135">
        <f>$D101</f>
        <v>0</v>
      </c>
      <c r="AH101" s="135">
        <f>$D101</f>
        <v>0</v>
      </c>
      <c r="AI101" s="135">
        <f>$D101</f>
        <v>0</v>
      </c>
      <c r="AJ101" s="135">
        <f t="shared" si="85"/>
        <v>0</v>
      </c>
      <c r="AK101" s="135">
        <f t="shared" si="85"/>
        <v>0</v>
      </c>
      <c r="AL101" s="135">
        <f t="shared" si="85"/>
        <v>0</v>
      </c>
      <c r="AM101" s="135">
        <f t="shared" si="85"/>
        <v>0</v>
      </c>
      <c r="AN101" s="135">
        <f t="shared" si="85"/>
        <v>0</v>
      </c>
      <c r="AO101" s="135">
        <f t="shared" si="85"/>
        <v>0</v>
      </c>
      <c r="AP101" s="135">
        <f t="shared" si="85"/>
        <v>0</v>
      </c>
      <c r="AQ101" s="135">
        <f t="shared" si="85"/>
        <v>0</v>
      </c>
      <c r="AR101" s="136">
        <f t="shared" si="86"/>
        <v>0</v>
      </c>
      <c r="AS101" s="135">
        <f>$D101</f>
        <v>0</v>
      </c>
      <c r="AT101" s="135">
        <f>$D101</f>
        <v>0</v>
      </c>
      <c r="AU101" s="135">
        <f>$D101</f>
        <v>0</v>
      </c>
      <c r="AV101" s="135">
        <f>$D101</f>
        <v>0</v>
      </c>
      <c r="AW101" s="135">
        <f t="shared" si="87"/>
        <v>0</v>
      </c>
      <c r="AX101" s="135">
        <f t="shared" si="87"/>
        <v>0</v>
      </c>
      <c r="AY101" s="135">
        <f t="shared" si="87"/>
        <v>0</v>
      </c>
      <c r="AZ101" s="135">
        <f t="shared" si="87"/>
        <v>0</v>
      </c>
      <c r="BA101" s="135">
        <f t="shared" si="87"/>
        <v>0</v>
      </c>
      <c r="BB101" s="135">
        <f t="shared" si="87"/>
        <v>0</v>
      </c>
      <c r="BC101" s="135">
        <f t="shared" si="87"/>
        <v>0</v>
      </c>
      <c r="BD101" s="135">
        <f t="shared" si="87"/>
        <v>0</v>
      </c>
      <c r="BE101" s="136">
        <f t="shared" si="88"/>
        <v>0</v>
      </c>
      <c r="BF101" s="135">
        <f>$D101</f>
        <v>0</v>
      </c>
      <c r="BG101" s="135">
        <f>$D101</f>
        <v>0</v>
      </c>
      <c r="BH101" s="135">
        <f>$D101</f>
        <v>0</v>
      </c>
      <c r="BI101" s="135">
        <f>$D101</f>
        <v>0</v>
      </c>
      <c r="BJ101" s="135">
        <f t="shared" si="89"/>
        <v>0</v>
      </c>
      <c r="BK101" s="135">
        <f t="shared" si="89"/>
        <v>0</v>
      </c>
      <c r="BL101" s="135">
        <f t="shared" si="89"/>
        <v>0</v>
      </c>
      <c r="BM101" s="135">
        <f t="shared" si="89"/>
        <v>0</v>
      </c>
      <c r="BN101" s="135">
        <f t="shared" si="89"/>
        <v>0</v>
      </c>
      <c r="BO101" s="135">
        <f t="shared" si="89"/>
        <v>0</v>
      </c>
      <c r="BP101" s="135">
        <f t="shared" si="89"/>
        <v>0</v>
      </c>
      <c r="BQ101" s="135">
        <f t="shared" si="89"/>
        <v>0</v>
      </c>
      <c r="BR101" s="136">
        <f t="shared" si="90"/>
        <v>0</v>
      </c>
      <c r="BS101" s="135">
        <f>$D101</f>
        <v>0</v>
      </c>
      <c r="BT101" s="135">
        <f>$D101</f>
        <v>0</v>
      </c>
      <c r="BU101" s="135">
        <f>$D101</f>
        <v>0</v>
      </c>
      <c r="BV101" s="135">
        <f>$D101</f>
        <v>0</v>
      </c>
      <c r="BW101" s="135">
        <f t="shared" si="91"/>
        <v>0</v>
      </c>
      <c r="BX101" s="135">
        <f t="shared" si="91"/>
        <v>0</v>
      </c>
      <c r="BY101" s="135">
        <f t="shared" si="91"/>
        <v>0</v>
      </c>
      <c r="BZ101" s="135">
        <f t="shared" si="91"/>
        <v>0</v>
      </c>
      <c r="CA101" s="135">
        <f t="shared" si="91"/>
        <v>0</v>
      </c>
      <c r="CB101" s="135">
        <f t="shared" si="91"/>
        <v>0</v>
      </c>
      <c r="CC101" s="135">
        <f t="shared" si="91"/>
        <v>0</v>
      </c>
      <c r="CD101" s="135">
        <f t="shared" si="91"/>
        <v>0</v>
      </c>
      <c r="CE101" s="136">
        <f t="shared" si="92"/>
        <v>0</v>
      </c>
      <c r="CF101" s="135">
        <f>$D101</f>
        <v>0</v>
      </c>
      <c r="CG101" s="135">
        <f>$D101</f>
        <v>0</v>
      </c>
      <c r="CH101" s="135">
        <f>$D101</f>
        <v>0</v>
      </c>
      <c r="CI101" s="135">
        <f>$D101</f>
        <v>0</v>
      </c>
      <c r="CJ101" s="135">
        <f t="shared" si="93"/>
        <v>0</v>
      </c>
      <c r="CK101" s="135">
        <f t="shared" si="93"/>
        <v>0</v>
      </c>
      <c r="CL101" s="135">
        <f t="shared" si="93"/>
        <v>0</v>
      </c>
      <c r="CM101" s="135">
        <f t="shared" si="93"/>
        <v>0</v>
      </c>
      <c r="CN101" s="135">
        <f t="shared" si="93"/>
        <v>0</v>
      </c>
      <c r="CO101" s="135">
        <f t="shared" si="93"/>
        <v>0</v>
      </c>
      <c r="CP101" s="135">
        <f t="shared" si="93"/>
        <v>0</v>
      </c>
      <c r="CQ101" s="135">
        <f t="shared" si="93"/>
        <v>0</v>
      </c>
      <c r="CR101" s="136">
        <f t="shared" si="94"/>
        <v>0</v>
      </c>
    </row>
    <row r="102" spans="1:96">
      <c r="A102" s="647"/>
      <c r="B102" s="649">
        <f t="shared" si="80"/>
        <v>0</v>
      </c>
      <c r="C102" s="240">
        <f t="shared" si="80"/>
        <v>0</v>
      </c>
      <c r="D102" s="133">
        <f t="shared" si="79"/>
        <v>0</v>
      </c>
      <c r="E102" s="137"/>
      <c r="F102" s="135">
        <f t="shared" si="81"/>
        <v>0</v>
      </c>
      <c r="G102" s="135">
        <f t="shared" si="81"/>
        <v>0</v>
      </c>
      <c r="H102" s="135">
        <f t="shared" si="81"/>
        <v>0</v>
      </c>
      <c r="I102" s="135">
        <f t="shared" si="81"/>
        <v>0</v>
      </c>
      <c r="J102" s="135">
        <f t="shared" si="81"/>
        <v>0</v>
      </c>
      <c r="K102" s="135">
        <f t="shared" si="81"/>
        <v>0</v>
      </c>
      <c r="L102" s="135">
        <f t="shared" si="81"/>
        <v>0</v>
      </c>
      <c r="M102" s="135">
        <f t="shared" si="81"/>
        <v>0</v>
      </c>
      <c r="N102" s="135">
        <f t="shared" si="81"/>
        <v>0</v>
      </c>
      <c r="O102" s="135">
        <f t="shared" si="81"/>
        <v>0</v>
      </c>
      <c r="P102" s="135">
        <f t="shared" si="81"/>
        <v>0</v>
      </c>
      <c r="Q102" s="135">
        <f t="shared" si="81"/>
        <v>0</v>
      </c>
      <c r="R102" s="136">
        <f t="shared" si="82"/>
        <v>0</v>
      </c>
      <c r="S102" s="135">
        <f t="shared" si="83"/>
        <v>0</v>
      </c>
      <c r="T102" s="135">
        <f t="shared" si="83"/>
        <v>0</v>
      </c>
      <c r="U102" s="135">
        <f t="shared" si="83"/>
        <v>0</v>
      </c>
      <c r="V102" s="135">
        <f t="shared" si="83"/>
        <v>0</v>
      </c>
      <c r="W102" s="135">
        <f t="shared" si="83"/>
        <v>0</v>
      </c>
      <c r="X102" s="135">
        <f t="shared" si="83"/>
        <v>0</v>
      </c>
      <c r="Y102" s="135">
        <f t="shared" si="83"/>
        <v>0</v>
      </c>
      <c r="Z102" s="135">
        <f t="shared" si="83"/>
        <v>0</v>
      </c>
      <c r="AA102" s="135">
        <f t="shared" si="83"/>
        <v>0</v>
      </c>
      <c r="AB102" s="135">
        <f t="shared" si="83"/>
        <v>0</v>
      </c>
      <c r="AC102" s="135">
        <f t="shared" si="83"/>
        <v>0</v>
      </c>
      <c r="AD102" s="135">
        <f t="shared" si="83"/>
        <v>0</v>
      </c>
      <c r="AE102" s="136">
        <f t="shared" si="84"/>
        <v>0</v>
      </c>
      <c r="AF102" s="135">
        <f t="shared" si="85"/>
        <v>0</v>
      </c>
      <c r="AG102" s="135">
        <f t="shared" si="85"/>
        <v>0</v>
      </c>
      <c r="AH102" s="135">
        <f t="shared" si="85"/>
        <v>0</v>
      </c>
      <c r="AI102" s="135">
        <f t="shared" si="85"/>
        <v>0</v>
      </c>
      <c r="AJ102" s="135">
        <f t="shared" si="85"/>
        <v>0</v>
      </c>
      <c r="AK102" s="135">
        <f t="shared" si="85"/>
        <v>0</v>
      </c>
      <c r="AL102" s="135">
        <f t="shared" si="85"/>
        <v>0</v>
      </c>
      <c r="AM102" s="135">
        <f t="shared" si="85"/>
        <v>0</v>
      </c>
      <c r="AN102" s="135">
        <f t="shared" si="85"/>
        <v>0</v>
      </c>
      <c r="AO102" s="135">
        <f t="shared" si="85"/>
        <v>0</v>
      </c>
      <c r="AP102" s="135">
        <f t="shared" si="85"/>
        <v>0</v>
      </c>
      <c r="AQ102" s="135">
        <f t="shared" si="85"/>
        <v>0</v>
      </c>
      <c r="AR102" s="136">
        <f t="shared" si="86"/>
        <v>0</v>
      </c>
      <c r="AS102" s="135">
        <f t="shared" si="87"/>
        <v>0</v>
      </c>
      <c r="AT102" s="135">
        <f t="shared" si="87"/>
        <v>0</v>
      </c>
      <c r="AU102" s="135">
        <f t="shared" si="87"/>
        <v>0</v>
      </c>
      <c r="AV102" s="135">
        <f t="shared" si="87"/>
        <v>0</v>
      </c>
      <c r="AW102" s="135">
        <f t="shared" si="87"/>
        <v>0</v>
      </c>
      <c r="AX102" s="135">
        <f t="shared" si="87"/>
        <v>0</v>
      </c>
      <c r="AY102" s="135">
        <f t="shared" si="87"/>
        <v>0</v>
      </c>
      <c r="AZ102" s="135">
        <f t="shared" si="87"/>
        <v>0</v>
      </c>
      <c r="BA102" s="135">
        <f t="shared" si="87"/>
        <v>0</v>
      </c>
      <c r="BB102" s="135">
        <f t="shared" si="87"/>
        <v>0</v>
      </c>
      <c r="BC102" s="135">
        <f t="shared" si="87"/>
        <v>0</v>
      </c>
      <c r="BD102" s="135">
        <f t="shared" si="87"/>
        <v>0</v>
      </c>
      <c r="BE102" s="136">
        <f t="shared" si="88"/>
        <v>0</v>
      </c>
      <c r="BF102" s="135">
        <f t="shared" si="89"/>
        <v>0</v>
      </c>
      <c r="BG102" s="135">
        <f t="shared" si="89"/>
        <v>0</v>
      </c>
      <c r="BH102" s="135">
        <f t="shared" si="89"/>
        <v>0</v>
      </c>
      <c r="BI102" s="135">
        <f t="shared" si="89"/>
        <v>0</v>
      </c>
      <c r="BJ102" s="135">
        <f t="shared" si="89"/>
        <v>0</v>
      </c>
      <c r="BK102" s="135">
        <f t="shared" si="89"/>
        <v>0</v>
      </c>
      <c r="BL102" s="135">
        <f t="shared" si="89"/>
        <v>0</v>
      </c>
      <c r="BM102" s="135">
        <f t="shared" si="89"/>
        <v>0</v>
      </c>
      <c r="BN102" s="135">
        <f t="shared" si="89"/>
        <v>0</v>
      </c>
      <c r="BO102" s="135">
        <f t="shared" si="89"/>
        <v>0</v>
      </c>
      <c r="BP102" s="135">
        <f t="shared" si="89"/>
        <v>0</v>
      </c>
      <c r="BQ102" s="135">
        <f t="shared" si="89"/>
        <v>0</v>
      </c>
      <c r="BR102" s="136">
        <f t="shared" si="90"/>
        <v>0</v>
      </c>
      <c r="BS102" s="135">
        <f t="shared" si="91"/>
        <v>0</v>
      </c>
      <c r="BT102" s="135">
        <f t="shared" si="91"/>
        <v>0</v>
      </c>
      <c r="BU102" s="135">
        <f t="shared" si="91"/>
        <v>0</v>
      </c>
      <c r="BV102" s="135">
        <f t="shared" si="91"/>
        <v>0</v>
      </c>
      <c r="BW102" s="135">
        <f t="shared" si="91"/>
        <v>0</v>
      </c>
      <c r="BX102" s="135">
        <f t="shared" si="91"/>
        <v>0</v>
      </c>
      <c r="BY102" s="135">
        <f t="shared" si="91"/>
        <v>0</v>
      </c>
      <c r="BZ102" s="135">
        <f t="shared" si="91"/>
        <v>0</v>
      </c>
      <c r="CA102" s="135">
        <f t="shared" si="91"/>
        <v>0</v>
      </c>
      <c r="CB102" s="135">
        <f t="shared" si="91"/>
        <v>0</v>
      </c>
      <c r="CC102" s="135">
        <f t="shared" si="91"/>
        <v>0</v>
      </c>
      <c r="CD102" s="135">
        <f t="shared" si="91"/>
        <v>0</v>
      </c>
      <c r="CE102" s="136">
        <f t="shared" si="92"/>
        <v>0</v>
      </c>
      <c r="CF102" s="135">
        <f t="shared" si="93"/>
        <v>0</v>
      </c>
      <c r="CG102" s="135">
        <f t="shared" si="93"/>
        <v>0</v>
      </c>
      <c r="CH102" s="135">
        <f t="shared" si="93"/>
        <v>0</v>
      </c>
      <c r="CI102" s="135">
        <f t="shared" si="93"/>
        <v>0</v>
      </c>
      <c r="CJ102" s="135">
        <f t="shared" si="93"/>
        <v>0</v>
      </c>
      <c r="CK102" s="135">
        <f t="shared" si="93"/>
        <v>0</v>
      </c>
      <c r="CL102" s="135">
        <f t="shared" si="93"/>
        <v>0</v>
      </c>
      <c r="CM102" s="135">
        <f t="shared" si="93"/>
        <v>0</v>
      </c>
      <c r="CN102" s="135">
        <f t="shared" si="93"/>
        <v>0</v>
      </c>
      <c r="CO102" s="135">
        <f t="shared" si="93"/>
        <v>0</v>
      </c>
      <c r="CP102" s="135">
        <f t="shared" si="93"/>
        <v>0</v>
      </c>
      <c r="CQ102" s="135">
        <f t="shared" si="93"/>
        <v>0</v>
      </c>
      <c r="CR102" s="136">
        <f t="shared" si="94"/>
        <v>0</v>
      </c>
    </row>
    <row r="103" spans="1:96">
      <c r="A103" s="647"/>
      <c r="B103" s="649">
        <f t="shared" si="80"/>
        <v>0</v>
      </c>
      <c r="C103" s="240">
        <f t="shared" si="80"/>
        <v>0</v>
      </c>
      <c r="D103" s="133">
        <f t="shared" si="79"/>
        <v>0</v>
      </c>
      <c r="E103" s="137"/>
      <c r="F103" s="135">
        <f t="shared" si="81"/>
        <v>0</v>
      </c>
      <c r="G103" s="135">
        <f t="shared" si="81"/>
        <v>0</v>
      </c>
      <c r="H103" s="135">
        <f t="shared" si="81"/>
        <v>0</v>
      </c>
      <c r="I103" s="135">
        <f t="shared" si="81"/>
        <v>0</v>
      </c>
      <c r="J103" s="135">
        <f t="shared" si="81"/>
        <v>0</v>
      </c>
      <c r="K103" s="135">
        <f t="shared" si="81"/>
        <v>0</v>
      </c>
      <c r="L103" s="135">
        <f t="shared" si="81"/>
        <v>0</v>
      </c>
      <c r="M103" s="135">
        <f t="shared" si="81"/>
        <v>0</v>
      </c>
      <c r="N103" s="135">
        <f t="shared" si="81"/>
        <v>0</v>
      </c>
      <c r="O103" s="135">
        <f t="shared" si="81"/>
        <v>0</v>
      </c>
      <c r="P103" s="135">
        <f t="shared" si="81"/>
        <v>0</v>
      </c>
      <c r="Q103" s="135">
        <f t="shared" si="81"/>
        <v>0</v>
      </c>
      <c r="R103" s="136">
        <f t="shared" si="82"/>
        <v>0</v>
      </c>
      <c r="S103" s="135">
        <f t="shared" si="83"/>
        <v>0</v>
      </c>
      <c r="T103" s="135">
        <f t="shared" si="83"/>
        <v>0</v>
      </c>
      <c r="U103" s="135">
        <f t="shared" si="83"/>
        <v>0</v>
      </c>
      <c r="V103" s="135">
        <f t="shared" si="83"/>
        <v>0</v>
      </c>
      <c r="W103" s="135">
        <f t="shared" si="83"/>
        <v>0</v>
      </c>
      <c r="X103" s="135">
        <f t="shared" si="83"/>
        <v>0</v>
      </c>
      <c r="Y103" s="135">
        <f t="shared" si="83"/>
        <v>0</v>
      </c>
      <c r="Z103" s="135">
        <f t="shared" si="83"/>
        <v>0</v>
      </c>
      <c r="AA103" s="135">
        <f t="shared" si="83"/>
        <v>0</v>
      </c>
      <c r="AB103" s="135">
        <f t="shared" si="83"/>
        <v>0</v>
      </c>
      <c r="AC103" s="135">
        <f t="shared" si="83"/>
        <v>0</v>
      </c>
      <c r="AD103" s="135">
        <f t="shared" si="83"/>
        <v>0</v>
      </c>
      <c r="AE103" s="136">
        <f t="shared" si="84"/>
        <v>0</v>
      </c>
      <c r="AF103" s="135">
        <f t="shared" si="85"/>
        <v>0</v>
      </c>
      <c r="AG103" s="135">
        <f t="shared" si="85"/>
        <v>0</v>
      </c>
      <c r="AH103" s="135">
        <f t="shared" si="85"/>
        <v>0</v>
      </c>
      <c r="AI103" s="135">
        <f t="shared" si="85"/>
        <v>0</v>
      </c>
      <c r="AJ103" s="135">
        <f t="shared" si="85"/>
        <v>0</v>
      </c>
      <c r="AK103" s="135">
        <f t="shared" si="85"/>
        <v>0</v>
      </c>
      <c r="AL103" s="135">
        <f t="shared" si="85"/>
        <v>0</v>
      </c>
      <c r="AM103" s="135">
        <f t="shared" si="85"/>
        <v>0</v>
      </c>
      <c r="AN103" s="135">
        <f t="shared" si="85"/>
        <v>0</v>
      </c>
      <c r="AO103" s="135">
        <f t="shared" si="85"/>
        <v>0</v>
      </c>
      <c r="AP103" s="135">
        <f t="shared" si="85"/>
        <v>0</v>
      </c>
      <c r="AQ103" s="135">
        <f t="shared" si="85"/>
        <v>0</v>
      </c>
      <c r="AR103" s="136">
        <f t="shared" si="86"/>
        <v>0</v>
      </c>
      <c r="AS103" s="135">
        <f t="shared" si="87"/>
        <v>0</v>
      </c>
      <c r="AT103" s="135">
        <f t="shared" si="87"/>
        <v>0</v>
      </c>
      <c r="AU103" s="135">
        <f t="shared" si="87"/>
        <v>0</v>
      </c>
      <c r="AV103" s="135">
        <f t="shared" si="87"/>
        <v>0</v>
      </c>
      <c r="AW103" s="135">
        <f t="shared" si="87"/>
        <v>0</v>
      </c>
      <c r="AX103" s="135">
        <f t="shared" si="87"/>
        <v>0</v>
      </c>
      <c r="AY103" s="135">
        <f t="shared" si="87"/>
        <v>0</v>
      </c>
      <c r="AZ103" s="135">
        <f t="shared" si="87"/>
        <v>0</v>
      </c>
      <c r="BA103" s="135">
        <f t="shared" si="87"/>
        <v>0</v>
      </c>
      <c r="BB103" s="135">
        <f t="shared" si="87"/>
        <v>0</v>
      </c>
      <c r="BC103" s="135">
        <f t="shared" si="87"/>
        <v>0</v>
      </c>
      <c r="BD103" s="135">
        <f t="shared" si="87"/>
        <v>0</v>
      </c>
      <c r="BE103" s="136">
        <f t="shared" si="88"/>
        <v>0</v>
      </c>
      <c r="BF103" s="135">
        <f t="shared" si="89"/>
        <v>0</v>
      </c>
      <c r="BG103" s="135">
        <f t="shared" si="89"/>
        <v>0</v>
      </c>
      <c r="BH103" s="135">
        <f t="shared" si="89"/>
        <v>0</v>
      </c>
      <c r="BI103" s="135">
        <f t="shared" si="89"/>
        <v>0</v>
      </c>
      <c r="BJ103" s="135">
        <f t="shared" si="89"/>
        <v>0</v>
      </c>
      <c r="BK103" s="135">
        <f t="shared" si="89"/>
        <v>0</v>
      </c>
      <c r="BL103" s="135">
        <f t="shared" si="89"/>
        <v>0</v>
      </c>
      <c r="BM103" s="135">
        <f t="shared" si="89"/>
        <v>0</v>
      </c>
      <c r="BN103" s="135">
        <f t="shared" si="89"/>
        <v>0</v>
      </c>
      <c r="BO103" s="135">
        <f t="shared" si="89"/>
        <v>0</v>
      </c>
      <c r="BP103" s="135">
        <f t="shared" si="89"/>
        <v>0</v>
      </c>
      <c r="BQ103" s="135">
        <f t="shared" si="89"/>
        <v>0</v>
      </c>
      <c r="BR103" s="136">
        <f t="shared" si="90"/>
        <v>0</v>
      </c>
      <c r="BS103" s="135">
        <f t="shared" si="91"/>
        <v>0</v>
      </c>
      <c r="BT103" s="135">
        <f t="shared" si="91"/>
        <v>0</v>
      </c>
      <c r="BU103" s="135">
        <f t="shared" si="91"/>
        <v>0</v>
      </c>
      <c r="BV103" s="135">
        <f t="shared" si="91"/>
        <v>0</v>
      </c>
      <c r="BW103" s="135">
        <f t="shared" si="91"/>
        <v>0</v>
      </c>
      <c r="BX103" s="135">
        <f t="shared" si="91"/>
        <v>0</v>
      </c>
      <c r="BY103" s="135">
        <f t="shared" si="91"/>
        <v>0</v>
      </c>
      <c r="BZ103" s="135">
        <f t="shared" si="91"/>
        <v>0</v>
      </c>
      <c r="CA103" s="135">
        <f t="shared" si="91"/>
        <v>0</v>
      </c>
      <c r="CB103" s="135">
        <f t="shared" si="91"/>
        <v>0</v>
      </c>
      <c r="CC103" s="135">
        <f t="shared" si="91"/>
        <v>0</v>
      </c>
      <c r="CD103" s="135">
        <f t="shared" si="91"/>
        <v>0</v>
      </c>
      <c r="CE103" s="136">
        <f t="shared" si="92"/>
        <v>0</v>
      </c>
      <c r="CF103" s="135">
        <f t="shared" si="93"/>
        <v>0</v>
      </c>
      <c r="CG103" s="135">
        <f t="shared" si="93"/>
        <v>0</v>
      </c>
      <c r="CH103" s="135">
        <f t="shared" si="93"/>
        <v>0</v>
      </c>
      <c r="CI103" s="135">
        <f t="shared" si="93"/>
        <v>0</v>
      </c>
      <c r="CJ103" s="135">
        <f t="shared" si="93"/>
        <v>0</v>
      </c>
      <c r="CK103" s="135">
        <f t="shared" si="93"/>
        <v>0</v>
      </c>
      <c r="CL103" s="135">
        <f t="shared" si="93"/>
        <v>0</v>
      </c>
      <c r="CM103" s="135">
        <f t="shared" si="93"/>
        <v>0</v>
      </c>
      <c r="CN103" s="135">
        <f t="shared" si="93"/>
        <v>0</v>
      </c>
      <c r="CO103" s="135">
        <f t="shared" si="93"/>
        <v>0</v>
      </c>
      <c r="CP103" s="135">
        <f t="shared" si="93"/>
        <v>0</v>
      </c>
      <c r="CQ103" s="135">
        <f t="shared" si="93"/>
        <v>0</v>
      </c>
      <c r="CR103" s="136">
        <f t="shared" si="94"/>
        <v>0</v>
      </c>
    </row>
    <row r="104" spans="1:96">
      <c r="A104" s="647"/>
      <c r="B104" s="649">
        <f t="shared" si="80"/>
        <v>0</v>
      </c>
      <c r="C104" s="240">
        <f t="shared" si="80"/>
        <v>0</v>
      </c>
      <c r="D104" s="133">
        <f t="shared" si="79"/>
        <v>0</v>
      </c>
      <c r="E104" s="137"/>
      <c r="F104" s="135">
        <f t="shared" si="81"/>
        <v>0</v>
      </c>
      <c r="G104" s="135">
        <f t="shared" si="81"/>
        <v>0</v>
      </c>
      <c r="H104" s="135">
        <f t="shared" si="81"/>
        <v>0</v>
      </c>
      <c r="I104" s="135">
        <f t="shared" si="81"/>
        <v>0</v>
      </c>
      <c r="J104" s="135">
        <f t="shared" si="81"/>
        <v>0</v>
      </c>
      <c r="K104" s="135">
        <f t="shared" si="81"/>
        <v>0</v>
      </c>
      <c r="L104" s="135">
        <f t="shared" si="81"/>
        <v>0</v>
      </c>
      <c r="M104" s="135">
        <f t="shared" si="81"/>
        <v>0</v>
      </c>
      <c r="N104" s="135">
        <f t="shared" si="81"/>
        <v>0</v>
      </c>
      <c r="O104" s="135">
        <f t="shared" si="81"/>
        <v>0</v>
      </c>
      <c r="P104" s="135">
        <f t="shared" si="81"/>
        <v>0</v>
      </c>
      <c r="Q104" s="135">
        <f t="shared" si="81"/>
        <v>0</v>
      </c>
      <c r="R104" s="136">
        <f t="shared" si="82"/>
        <v>0</v>
      </c>
      <c r="S104" s="135">
        <f t="shared" si="83"/>
        <v>0</v>
      </c>
      <c r="T104" s="135">
        <f t="shared" si="83"/>
        <v>0</v>
      </c>
      <c r="U104" s="135">
        <f t="shared" si="83"/>
        <v>0</v>
      </c>
      <c r="V104" s="135">
        <f t="shared" si="83"/>
        <v>0</v>
      </c>
      <c r="W104" s="135">
        <f t="shared" si="83"/>
        <v>0</v>
      </c>
      <c r="X104" s="135">
        <f t="shared" si="83"/>
        <v>0</v>
      </c>
      <c r="Y104" s="135">
        <f t="shared" si="83"/>
        <v>0</v>
      </c>
      <c r="Z104" s="135">
        <f t="shared" si="83"/>
        <v>0</v>
      </c>
      <c r="AA104" s="135">
        <f t="shared" si="83"/>
        <v>0</v>
      </c>
      <c r="AB104" s="135">
        <f t="shared" si="83"/>
        <v>0</v>
      </c>
      <c r="AC104" s="135">
        <f t="shared" si="83"/>
        <v>0</v>
      </c>
      <c r="AD104" s="135">
        <f t="shared" si="83"/>
        <v>0</v>
      </c>
      <c r="AE104" s="136">
        <f t="shared" si="84"/>
        <v>0</v>
      </c>
      <c r="AF104" s="135">
        <f t="shared" si="85"/>
        <v>0</v>
      </c>
      <c r="AG104" s="135">
        <f t="shared" si="85"/>
        <v>0</v>
      </c>
      <c r="AH104" s="135">
        <f t="shared" si="85"/>
        <v>0</v>
      </c>
      <c r="AI104" s="135">
        <f t="shared" si="85"/>
        <v>0</v>
      </c>
      <c r="AJ104" s="135">
        <f t="shared" si="85"/>
        <v>0</v>
      </c>
      <c r="AK104" s="135">
        <f t="shared" si="85"/>
        <v>0</v>
      </c>
      <c r="AL104" s="135">
        <f t="shared" si="85"/>
        <v>0</v>
      </c>
      <c r="AM104" s="135">
        <f t="shared" si="85"/>
        <v>0</v>
      </c>
      <c r="AN104" s="135">
        <f t="shared" si="85"/>
        <v>0</v>
      </c>
      <c r="AO104" s="135">
        <f t="shared" si="85"/>
        <v>0</v>
      </c>
      <c r="AP104" s="135">
        <f t="shared" si="85"/>
        <v>0</v>
      </c>
      <c r="AQ104" s="135">
        <f t="shared" si="85"/>
        <v>0</v>
      </c>
      <c r="AR104" s="136">
        <f t="shared" si="86"/>
        <v>0</v>
      </c>
      <c r="AS104" s="135">
        <f t="shared" si="87"/>
        <v>0</v>
      </c>
      <c r="AT104" s="135">
        <f t="shared" si="87"/>
        <v>0</v>
      </c>
      <c r="AU104" s="135">
        <f t="shared" si="87"/>
        <v>0</v>
      </c>
      <c r="AV104" s="135">
        <f t="shared" si="87"/>
        <v>0</v>
      </c>
      <c r="AW104" s="135">
        <f t="shared" si="87"/>
        <v>0</v>
      </c>
      <c r="AX104" s="135">
        <f t="shared" si="87"/>
        <v>0</v>
      </c>
      <c r="AY104" s="135">
        <f t="shared" si="87"/>
        <v>0</v>
      </c>
      <c r="AZ104" s="135">
        <f t="shared" si="87"/>
        <v>0</v>
      </c>
      <c r="BA104" s="135">
        <f t="shared" si="87"/>
        <v>0</v>
      </c>
      <c r="BB104" s="135">
        <f t="shared" si="87"/>
        <v>0</v>
      </c>
      <c r="BC104" s="135">
        <f t="shared" si="87"/>
        <v>0</v>
      </c>
      <c r="BD104" s="135">
        <f t="shared" si="87"/>
        <v>0</v>
      </c>
      <c r="BE104" s="136">
        <f t="shared" si="88"/>
        <v>0</v>
      </c>
      <c r="BF104" s="135">
        <f t="shared" si="89"/>
        <v>0</v>
      </c>
      <c r="BG104" s="135">
        <f t="shared" si="89"/>
        <v>0</v>
      </c>
      <c r="BH104" s="135">
        <f t="shared" si="89"/>
        <v>0</v>
      </c>
      <c r="BI104" s="135">
        <f t="shared" si="89"/>
        <v>0</v>
      </c>
      <c r="BJ104" s="135">
        <f t="shared" si="89"/>
        <v>0</v>
      </c>
      <c r="BK104" s="135">
        <f t="shared" si="89"/>
        <v>0</v>
      </c>
      <c r="BL104" s="135">
        <f t="shared" si="89"/>
        <v>0</v>
      </c>
      <c r="BM104" s="135">
        <f t="shared" si="89"/>
        <v>0</v>
      </c>
      <c r="BN104" s="135">
        <f t="shared" si="89"/>
        <v>0</v>
      </c>
      <c r="BO104" s="135">
        <f t="shared" si="89"/>
        <v>0</v>
      </c>
      <c r="BP104" s="135">
        <f t="shared" si="89"/>
        <v>0</v>
      </c>
      <c r="BQ104" s="135">
        <f t="shared" si="89"/>
        <v>0</v>
      </c>
      <c r="BR104" s="136">
        <f t="shared" si="90"/>
        <v>0</v>
      </c>
      <c r="BS104" s="135">
        <f t="shared" si="91"/>
        <v>0</v>
      </c>
      <c r="BT104" s="135">
        <f t="shared" si="91"/>
        <v>0</v>
      </c>
      <c r="BU104" s="135">
        <f t="shared" si="91"/>
        <v>0</v>
      </c>
      <c r="BV104" s="135">
        <f t="shared" si="91"/>
        <v>0</v>
      </c>
      <c r="BW104" s="135">
        <f t="shared" si="91"/>
        <v>0</v>
      </c>
      <c r="BX104" s="135">
        <f t="shared" si="91"/>
        <v>0</v>
      </c>
      <c r="BY104" s="135">
        <f t="shared" si="91"/>
        <v>0</v>
      </c>
      <c r="BZ104" s="135">
        <f t="shared" si="91"/>
        <v>0</v>
      </c>
      <c r="CA104" s="135">
        <f t="shared" si="91"/>
        <v>0</v>
      </c>
      <c r="CB104" s="135">
        <f t="shared" si="91"/>
        <v>0</v>
      </c>
      <c r="CC104" s="135">
        <f t="shared" si="91"/>
        <v>0</v>
      </c>
      <c r="CD104" s="135">
        <f t="shared" si="91"/>
        <v>0</v>
      </c>
      <c r="CE104" s="136">
        <f t="shared" si="92"/>
        <v>0</v>
      </c>
      <c r="CF104" s="135">
        <f t="shared" si="93"/>
        <v>0</v>
      </c>
      <c r="CG104" s="135">
        <f t="shared" si="93"/>
        <v>0</v>
      </c>
      <c r="CH104" s="135">
        <f t="shared" si="93"/>
        <v>0</v>
      </c>
      <c r="CI104" s="135">
        <f t="shared" si="93"/>
        <v>0</v>
      </c>
      <c r="CJ104" s="135">
        <f t="shared" si="93"/>
        <v>0</v>
      </c>
      <c r="CK104" s="135">
        <f t="shared" si="93"/>
        <v>0</v>
      </c>
      <c r="CL104" s="135">
        <f t="shared" si="93"/>
        <v>0</v>
      </c>
      <c r="CM104" s="135">
        <f t="shared" si="93"/>
        <v>0</v>
      </c>
      <c r="CN104" s="135">
        <f t="shared" si="93"/>
        <v>0</v>
      </c>
      <c r="CO104" s="135">
        <f t="shared" si="93"/>
        <v>0</v>
      </c>
      <c r="CP104" s="135">
        <f t="shared" si="93"/>
        <v>0</v>
      </c>
      <c r="CQ104" s="135">
        <f t="shared" si="93"/>
        <v>0</v>
      </c>
      <c r="CR104" s="136">
        <f t="shared" si="94"/>
        <v>0</v>
      </c>
    </row>
    <row r="105" spans="1:96">
      <c r="A105" s="647"/>
      <c r="B105" s="649">
        <f t="shared" si="80"/>
        <v>0</v>
      </c>
      <c r="C105" s="240">
        <f t="shared" si="80"/>
        <v>0</v>
      </c>
      <c r="D105" s="133">
        <f t="shared" si="79"/>
        <v>0</v>
      </c>
      <c r="E105" s="137"/>
      <c r="F105" s="135">
        <f t="shared" si="81"/>
        <v>0</v>
      </c>
      <c r="G105" s="135">
        <f t="shared" si="81"/>
        <v>0</v>
      </c>
      <c r="H105" s="135">
        <f t="shared" si="81"/>
        <v>0</v>
      </c>
      <c r="I105" s="135">
        <f t="shared" si="81"/>
        <v>0</v>
      </c>
      <c r="J105" s="135">
        <f t="shared" si="81"/>
        <v>0</v>
      </c>
      <c r="K105" s="135">
        <f t="shared" si="81"/>
        <v>0</v>
      </c>
      <c r="L105" s="135">
        <f t="shared" si="81"/>
        <v>0</v>
      </c>
      <c r="M105" s="135">
        <f t="shared" si="81"/>
        <v>0</v>
      </c>
      <c r="N105" s="135">
        <f t="shared" si="81"/>
        <v>0</v>
      </c>
      <c r="O105" s="135">
        <f t="shared" si="81"/>
        <v>0</v>
      </c>
      <c r="P105" s="135">
        <f t="shared" si="81"/>
        <v>0</v>
      </c>
      <c r="Q105" s="135">
        <f t="shared" si="81"/>
        <v>0</v>
      </c>
      <c r="R105" s="136">
        <f t="shared" si="82"/>
        <v>0</v>
      </c>
      <c r="S105" s="135">
        <f t="shared" si="83"/>
        <v>0</v>
      </c>
      <c r="T105" s="135">
        <f t="shared" si="83"/>
        <v>0</v>
      </c>
      <c r="U105" s="135">
        <f t="shared" si="83"/>
        <v>0</v>
      </c>
      <c r="V105" s="135">
        <f t="shared" si="83"/>
        <v>0</v>
      </c>
      <c r="W105" s="135">
        <f t="shared" si="83"/>
        <v>0</v>
      </c>
      <c r="X105" s="135">
        <f t="shared" si="83"/>
        <v>0</v>
      </c>
      <c r="Y105" s="135">
        <f t="shared" si="83"/>
        <v>0</v>
      </c>
      <c r="Z105" s="135">
        <f t="shared" si="83"/>
        <v>0</v>
      </c>
      <c r="AA105" s="135">
        <f t="shared" si="83"/>
        <v>0</v>
      </c>
      <c r="AB105" s="135">
        <f t="shared" si="83"/>
        <v>0</v>
      </c>
      <c r="AC105" s="135">
        <f t="shared" si="83"/>
        <v>0</v>
      </c>
      <c r="AD105" s="135">
        <f t="shared" si="83"/>
        <v>0</v>
      </c>
      <c r="AE105" s="136">
        <f t="shared" si="84"/>
        <v>0</v>
      </c>
      <c r="AF105" s="135">
        <f t="shared" si="85"/>
        <v>0</v>
      </c>
      <c r="AG105" s="135">
        <f t="shared" si="85"/>
        <v>0</v>
      </c>
      <c r="AH105" s="135">
        <f t="shared" si="85"/>
        <v>0</v>
      </c>
      <c r="AI105" s="135">
        <f t="shared" si="85"/>
        <v>0</v>
      </c>
      <c r="AJ105" s="135">
        <f t="shared" si="85"/>
        <v>0</v>
      </c>
      <c r="AK105" s="135">
        <f t="shared" si="85"/>
        <v>0</v>
      </c>
      <c r="AL105" s="135">
        <f t="shared" si="85"/>
        <v>0</v>
      </c>
      <c r="AM105" s="135">
        <f t="shared" si="85"/>
        <v>0</v>
      </c>
      <c r="AN105" s="135">
        <f t="shared" si="85"/>
        <v>0</v>
      </c>
      <c r="AO105" s="135">
        <f t="shared" si="85"/>
        <v>0</v>
      </c>
      <c r="AP105" s="135">
        <f t="shared" si="85"/>
        <v>0</v>
      </c>
      <c r="AQ105" s="135">
        <f t="shared" si="85"/>
        <v>0</v>
      </c>
      <c r="AR105" s="136">
        <f t="shared" si="86"/>
        <v>0</v>
      </c>
      <c r="AS105" s="135">
        <f t="shared" si="87"/>
        <v>0</v>
      </c>
      <c r="AT105" s="135">
        <f t="shared" si="87"/>
        <v>0</v>
      </c>
      <c r="AU105" s="135">
        <f t="shared" si="87"/>
        <v>0</v>
      </c>
      <c r="AV105" s="135">
        <f t="shared" si="87"/>
        <v>0</v>
      </c>
      <c r="AW105" s="135">
        <f t="shared" si="87"/>
        <v>0</v>
      </c>
      <c r="AX105" s="135">
        <f t="shared" si="87"/>
        <v>0</v>
      </c>
      <c r="AY105" s="135">
        <f t="shared" si="87"/>
        <v>0</v>
      </c>
      <c r="AZ105" s="135">
        <f t="shared" si="87"/>
        <v>0</v>
      </c>
      <c r="BA105" s="135">
        <f t="shared" si="87"/>
        <v>0</v>
      </c>
      <c r="BB105" s="135">
        <f t="shared" si="87"/>
        <v>0</v>
      </c>
      <c r="BC105" s="135">
        <f t="shared" si="87"/>
        <v>0</v>
      </c>
      <c r="BD105" s="135">
        <f t="shared" si="87"/>
        <v>0</v>
      </c>
      <c r="BE105" s="136">
        <f t="shared" si="88"/>
        <v>0</v>
      </c>
      <c r="BF105" s="135">
        <f t="shared" si="89"/>
        <v>0</v>
      </c>
      <c r="BG105" s="135">
        <f t="shared" si="89"/>
        <v>0</v>
      </c>
      <c r="BH105" s="135">
        <f t="shared" si="89"/>
        <v>0</v>
      </c>
      <c r="BI105" s="135">
        <f t="shared" si="89"/>
        <v>0</v>
      </c>
      <c r="BJ105" s="135">
        <f t="shared" si="89"/>
        <v>0</v>
      </c>
      <c r="BK105" s="135">
        <f t="shared" si="89"/>
        <v>0</v>
      </c>
      <c r="BL105" s="135">
        <f t="shared" si="89"/>
        <v>0</v>
      </c>
      <c r="BM105" s="135">
        <f t="shared" si="89"/>
        <v>0</v>
      </c>
      <c r="BN105" s="135">
        <f t="shared" si="89"/>
        <v>0</v>
      </c>
      <c r="BO105" s="135">
        <f t="shared" si="89"/>
        <v>0</v>
      </c>
      <c r="BP105" s="135">
        <f t="shared" si="89"/>
        <v>0</v>
      </c>
      <c r="BQ105" s="135">
        <f t="shared" si="89"/>
        <v>0</v>
      </c>
      <c r="BR105" s="136">
        <f t="shared" si="90"/>
        <v>0</v>
      </c>
      <c r="BS105" s="135">
        <f t="shared" si="91"/>
        <v>0</v>
      </c>
      <c r="BT105" s="135">
        <f t="shared" si="91"/>
        <v>0</v>
      </c>
      <c r="BU105" s="135">
        <f t="shared" si="91"/>
        <v>0</v>
      </c>
      <c r="BV105" s="135">
        <f t="shared" si="91"/>
        <v>0</v>
      </c>
      <c r="BW105" s="135">
        <f t="shared" si="91"/>
        <v>0</v>
      </c>
      <c r="BX105" s="135">
        <f t="shared" si="91"/>
        <v>0</v>
      </c>
      <c r="BY105" s="135">
        <f t="shared" si="91"/>
        <v>0</v>
      </c>
      <c r="BZ105" s="135">
        <f t="shared" si="91"/>
        <v>0</v>
      </c>
      <c r="CA105" s="135">
        <f t="shared" si="91"/>
        <v>0</v>
      </c>
      <c r="CB105" s="135">
        <f t="shared" si="91"/>
        <v>0</v>
      </c>
      <c r="CC105" s="135">
        <f t="shared" si="91"/>
        <v>0</v>
      </c>
      <c r="CD105" s="135">
        <f t="shared" si="91"/>
        <v>0</v>
      </c>
      <c r="CE105" s="136">
        <f t="shared" si="92"/>
        <v>0</v>
      </c>
      <c r="CF105" s="135">
        <f t="shared" si="93"/>
        <v>0</v>
      </c>
      <c r="CG105" s="135">
        <f t="shared" si="93"/>
        <v>0</v>
      </c>
      <c r="CH105" s="135">
        <f t="shared" si="93"/>
        <v>0</v>
      </c>
      <c r="CI105" s="135">
        <f t="shared" si="93"/>
        <v>0</v>
      </c>
      <c r="CJ105" s="135">
        <f t="shared" si="93"/>
        <v>0</v>
      </c>
      <c r="CK105" s="135">
        <f t="shared" si="93"/>
        <v>0</v>
      </c>
      <c r="CL105" s="135">
        <f t="shared" si="93"/>
        <v>0</v>
      </c>
      <c r="CM105" s="135">
        <f t="shared" si="93"/>
        <v>0</v>
      </c>
      <c r="CN105" s="135">
        <f t="shared" si="93"/>
        <v>0</v>
      </c>
      <c r="CO105" s="135">
        <f t="shared" si="93"/>
        <v>0</v>
      </c>
      <c r="CP105" s="135">
        <f t="shared" si="93"/>
        <v>0</v>
      </c>
      <c r="CQ105" s="135">
        <f t="shared" si="93"/>
        <v>0</v>
      </c>
      <c r="CR105" s="136">
        <f t="shared" si="94"/>
        <v>0</v>
      </c>
    </row>
    <row r="106" spans="1:96">
      <c r="A106" s="647"/>
      <c r="B106" s="649">
        <f t="shared" si="80"/>
        <v>0</v>
      </c>
      <c r="C106" s="240">
        <f t="shared" si="80"/>
        <v>0</v>
      </c>
      <c r="D106" s="133">
        <f t="shared" si="79"/>
        <v>0</v>
      </c>
      <c r="E106" s="137"/>
      <c r="F106" s="135">
        <f t="shared" si="81"/>
        <v>0</v>
      </c>
      <c r="G106" s="135">
        <f t="shared" si="81"/>
        <v>0</v>
      </c>
      <c r="H106" s="135">
        <f t="shared" si="81"/>
        <v>0</v>
      </c>
      <c r="I106" s="135">
        <f t="shared" si="81"/>
        <v>0</v>
      </c>
      <c r="J106" s="135">
        <f t="shared" si="81"/>
        <v>0</v>
      </c>
      <c r="K106" s="135">
        <f t="shared" si="81"/>
        <v>0</v>
      </c>
      <c r="L106" s="135">
        <f t="shared" si="81"/>
        <v>0</v>
      </c>
      <c r="M106" s="135">
        <f t="shared" si="81"/>
        <v>0</v>
      </c>
      <c r="N106" s="135">
        <f t="shared" si="81"/>
        <v>0</v>
      </c>
      <c r="O106" s="135">
        <f t="shared" si="81"/>
        <v>0</v>
      </c>
      <c r="P106" s="135">
        <f t="shared" si="81"/>
        <v>0</v>
      </c>
      <c r="Q106" s="135">
        <f t="shared" si="81"/>
        <v>0</v>
      </c>
      <c r="R106" s="136">
        <f t="shared" si="82"/>
        <v>0</v>
      </c>
      <c r="S106" s="135">
        <f t="shared" si="83"/>
        <v>0</v>
      </c>
      <c r="T106" s="135">
        <f t="shared" si="83"/>
        <v>0</v>
      </c>
      <c r="U106" s="135">
        <f t="shared" si="83"/>
        <v>0</v>
      </c>
      <c r="V106" s="135">
        <f t="shared" si="83"/>
        <v>0</v>
      </c>
      <c r="W106" s="135">
        <f t="shared" si="83"/>
        <v>0</v>
      </c>
      <c r="X106" s="135">
        <f t="shared" si="83"/>
        <v>0</v>
      </c>
      <c r="Y106" s="135">
        <f t="shared" si="83"/>
        <v>0</v>
      </c>
      <c r="Z106" s="135">
        <f t="shared" si="83"/>
        <v>0</v>
      </c>
      <c r="AA106" s="135">
        <f t="shared" si="83"/>
        <v>0</v>
      </c>
      <c r="AB106" s="135">
        <f t="shared" si="83"/>
        <v>0</v>
      </c>
      <c r="AC106" s="135">
        <f t="shared" si="83"/>
        <v>0</v>
      </c>
      <c r="AD106" s="135">
        <f t="shared" si="83"/>
        <v>0</v>
      </c>
      <c r="AE106" s="136">
        <f t="shared" si="84"/>
        <v>0</v>
      </c>
      <c r="AF106" s="135">
        <f t="shared" si="85"/>
        <v>0</v>
      </c>
      <c r="AG106" s="135">
        <f t="shared" si="85"/>
        <v>0</v>
      </c>
      <c r="AH106" s="135">
        <f t="shared" si="85"/>
        <v>0</v>
      </c>
      <c r="AI106" s="135">
        <f t="shared" si="85"/>
        <v>0</v>
      </c>
      <c r="AJ106" s="135">
        <f t="shared" si="85"/>
        <v>0</v>
      </c>
      <c r="AK106" s="135">
        <f t="shared" si="85"/>
        <v>0</v>
      </c>
      <c r="AL106" s="135">
        <f t="shared" si="85"/>
        <v>0</v>
      </c>
      <c r="AM106" s="135">
        <f t="shared" si="85"/>
        <v>0</v>
      </c>
      <c r="AN106" s="135">
        <f t="shared" si="85"/>
        <v>0</v>
      </c>
      <c r="AO106" s="135">
        <f t="shared" si="85"/>
        <v>0</v>
      </c>
      <c r="AP106" s="135">
        <f t="shared" si="85"/>
        <v>0</v>
      </c>
      <c r="AQ106" s="135">
        <f t="shared" si="85"/>
        <v>0</v>
      </c>
      <c r="AR106" s="136">
        <f t="shared" si="86"/>
        <v>0</v>
      </c>
      <c r="AS106" s="135">
        <f t="shared" si="87"/>
        <v>0</v>
      </c>
      <c r="AT106" s="135">
        <f t="shared" si="87"/>
        <v>0</v>
      </c>
      <c r="AU106" s="135">
        <f t="shared" si="87"/>
        <v>0</v>
      </c>
      <c r="AV106" s="135">
        <f t="shared" si="87"/>
        <v>0</v>
      </c>
      <c r="AW106" s="135">
        <f t="shared" si="87"/>
        <v>0</v>
      </c>
      <c r="AX106" s="135">
        <f t="shared" si="87"/>
        <v>0</v>
      </c>
      <c r="AY106" s="135">
        <f t="shared" si="87"/>
        <v>0</v>
      </c>
      <c r="AZ106" s="135">
        <f t="shared" si="87"/>
        <v>0</v>
      </c>
      <c r="BA106" s="135">
        <f t="shared" si="87"/>
        <v>0</v>
      </c>
      <c r="BB106" s="135">
        <f t="shared" si="87"/>
        <v>0</v>
      </c>
      <c r="BC106" s="135">
        <f t="shared" si="87"/>
        <v>0</v>
      </c>
      <c r="BD106" s="135">
        <f t="shared" si="87"/>
        <v>0</v>
      </c>
      <c r="BE106" s="136">
        <f t="shared" si="88"/>
        <v>0</v>
      </c>
      <c r="BF106" s="135">
        <f t="shared" si="89"/>
        <v>0</v>
      </c>
      <c r="BG106" s="135">
        <f t="shared" si="89"/>
        <v>0</v>
      </c>
      <c r="BH106" s="135">
        <f t="shared" si="89"/>
        <v>0</v>
      </c>
      <c r="BI106" s="135">
        <f t="shared" si="89"/>
        <v>0</v>
      </c>
      <c r="BJ106" s="135">
        <f t="shared" si="89"/>
        <v>0</v>
      </c>
      <c r="BK106" s="135">
        <f t="shared" si="89"/>
        <v>0</v>
      </c>
      <c r="BL106" s="135">
        <f t="shared" si="89"/>
        <v>0</v>
      </c>
      <c r="BM106" s="135">
        <f t="shared" si="89"/>
        <v>0</v>
      </c>
      <c r="BN106" s="135">
        <f t="shared" si="89"/>
        <v>0</v>
      </c>
      <c r="BO106" s="135">
        <f t="shared" si="89"/>
        <v>0</v>
      </c>
      <c r="BP106" s="135">
        <f t="shared" si="89"/>
        <v>0</v>
      </c>
      <c r="BQ106" s="135">
        <f t="shared" si="89"/>
        <v>0</v>
      </c>
      <c r="BR106" s="136">
        <f t="shared" si="90"/>
        <v>0</v>
      </c>
      <c r="BS106" s="135">
        <f t="shared" si="91"/>
        <v>0</v>
      </c>
      <c r="BT106" s="135">
        <f t="shared" si="91"/>
        <v>0</v>
      </c>
      <c r="BU106" s="135">
        <f t="shared" si="91"/>
        <v>0</v>
      </c>
      <c r="BV106" s="135">
        <f t="shared" si="91"/>
        <v>0</v>
      </c>
      <c r="BW106" s="135">
        <f t="shared" si="91"/>
        <v>0</v>
      </c>
      <c r="BX106" s="135">
        <f t="shared" si="91"/>
        <v>0</v>
      </c>
      <c r="BY106" s="135">
        <f t="shared" si="91"/>
        <v>0</v>
      </c>
      <c r="BZ106" s="135">
        <f t="shared" si="91"/>
        <v>0</v>
      </c>
      <c r="CA106" s="135">
        <f t="shared" si="91"/>
        <v>0</v>
      </c>
      <c r="CB106" s="135">
        <f t="shared" si="91"/>
        <v>0</v>
      </c>
      <c r="CC106" s="135">
        <f t="shared" si="91"/>
        <v>0</v>
      </c>
      <c r="CD106" s="135">
        <f t="shared" si="91"/>
        <v>0</v>
      </c>
      <c r="CE106" s="136">
        <f t="shared" si="92"/>
        <v>0</v>
      </c>
      <c r="CF106" s="135">
        <f t="shared" si="93"/>
        <v>0</v>
      </c>
      <c r="CG106" s="135">
        <f t="shared" si="93"/>
        <v>0</v>
      </c>
      <c r="CH106" s="135">
        <f t="shared" si="93"/>
        <v>0</v>
      </c>
      <c r="CI106" s="135">
        <f t="shared" si="93"/>
        <v>0</v>
      </c>
      <c r="CJ106" s="135">
        <f t="shared" si="93"/>
        <v>0</v>
      </c>
      <c r="CK106" s="135">
        <f t="shared" si="93"/>
        <v>0</v>
      </c>
      <c r="CL106" s="135">
        <f t="shared" si="93"/>
        <v>0</v>
      </c>
      <c r="CM106" s="135">
        <f t="shared" si="93"/>
        <v>0</v>
      </c>
      <c r="CN106" s="135">
        <f t="shared" si="93"/>
        <v>0</v>
      </c>
      <c r="CO106" s="135">
        <f t="shared" si="93"/>
        <v>0</v>
      </c>
      <c r="CP106" s="135">
        <f t="shared" si="93"/>
        <v>0</v>
      </c>
      <c r="CQ106" s="135">
        <f t="shared" si="93"/>
        <v>0</v>
      </c>
      <c r="CR106" s="136">
        <f t="shared" si="94"/>
        <v>0</v>
      </c>
    </row>
    <row r="107" spans="1:96">
      <c r="A107" s="647"/>
      <c r="B107" s="649">
        <f t="shared" si="80"/>
        <v>0</v>
      </c>
      <c r="C107" s="240">
        <f t="shared" si="80"/>
        <v>0</v>
      </c>
      <c r="D107" s="133">
        <f t="shared" si="79"/>
        <v>0</v>
      </c>
      <c r="E107" s="137"/>
      <c r="F107" s="135">
        <f t="shared" si="81"/>
        <v>0</v>
      </c>
      <c r="G107" s="135">
        <f t="shared" si="81"/>
        <v>0</v>
      </c>
      <c r="H107" s="135">
        <f t="shared" si="81"/>
        <v>0</v>
      </c>
      <c r="I107" s="135">
        <f t="shared" si="81"/>
        <v>0</v>
      </c>
      <c r="J107" s="135">
        <f t="shared" si="81"/>
        <v>0</v>
      </c>
      <c r="K107" s="135">
        <f t="shared" si="81"/>
        <v>0</v>
      </c>
      <c r="L107" s="135">
        <f t="shared" si="81"/>
        <v>0</v>
      </c>
      <c r="M107" s="135">
        <f t="shared" si="81"/>
        <v>0</v>
      </c>
      <c r="N107" s="135">
        <f t="shared" si="81"/>
        <v>0</v>
      </c>
      <c r="O107" s="135">
        <f t="shared" si="81"/>
        <v>0</v>
      </c>
      <c r="P107" s="135">
        <f t="shared" si="81"/>
        <v>0</v>
      </c>
      <c r="Q107" s="135">
        <f t="shared" si="81"/>
        <v>0</v>
      </c>
      <c r="R107" s="136">
        <f t="shared" si="82"/>
        <v>0</v>
      </c>
      <c r="S107" s="135">
        <f t="shared" si="83"/>
        <v>0</v>
      </c>
      <c r="T107" s="135">
        <f t="shared" si="83"/>
        <v>0</v>
      </c>
      <c r="U107" s="135">
        <f t="shared" si="83"/>
        <v>0</v>
      </c>
      <c r="V107" s="135">
        <f t="shared" si="83"/>
        <v>0</v>
      </c>
      <c r="W107" s="135">
        <f t="shared" si="83"/>
        <v>0</v>
      </c>
      <c r="X107" s="135">
        <f t="shared" si="83"/>
        <v>0</v>
      </c>
      <c r="Y107" s="135">
        <f t="shared" si="83"/>
        <v>0</v>
      </c>
      <c r="Z107" s="135">
        <f t="shared" si="83"/>
        <v>0</v>
      </c>
      <c r="AA107" s="135">
        <f t="shared" si="83"/>
        <v>0</v>
      </c>
      <c r="AB107" s="135">
        <f t="shared" si="83"/>
        <v>0</v>
      </c>
      <c r="AC107" s="135">
        <f t="shared" si="83"/>
        <v>0</v>
      </c>
      <c r="AD107" s="135">
        <f t="shared" si="83"/>
        <v>0</v>
      </c>
      <c r="AE107" s="136">
        <f t="shared" si="84"/>
        <v>0</v>
      </c>
      <c r="AF107" s="135">
        <f t="shared" si="85"/>
        <v>0</v>
      </c>
      <c r="AG107" s="135">
        <f t="shared" si="85"/>
        <v>0</v>
      </c>
      <c r="AH107" s="135">
        <f t="shared" si="85"/>
        <v>0</v>
      </c>
      <c r="AI107" s="135">
        <f t="shared" si="85"/>
        <v>0</v>
      </c>
      <c r="AJ107" s="135">
        <f t="shared" si="85"/>
        <v>0</v>
      </c>
      <c r="AK107" s="135">
        <f t="shared" si="85"/>
        <v>0</v>
      </c>
      <c r="AL107" s="135">
        <f t="shared" si="85"/>
        <v>0</v>
      </c>
      <c r="AM107" s="135">
        <f t="shared" si="85"/>
        <v>0</v>
      </c>
      <c r="AN107" s="135">
        <f t="shared" si="85"/>
        <v>0</v>
      </c>
      <c r="AO107" s="135">
        <f t="shared" si="85"/>
        <v>0</v>
      </c>
      <c r="AP107" s="135">
        <f t="shared" si="85"/>
        <v>0</v>
      </c>
      <c r="AQ107" s="135">
        <f t="shared" si="85"/>
        <v>0</v>
      </c>
      <c r="AR107" s="136">
        <f t="shared" si="86"/>
        <v>0</v>
      </c>
      <c r="AS107" s="135">
        <f t="shared" si="87"/>
        <v>0</v>
      </c>
      <c r="AT107" s="135">
        <f t="shared" si="87"/>
        <v>0</v>
      </c>
      <c r="AU107" s="135">
        <f t="shared" si="87"/>
        <v>0</v>
      </c>
      <c r="AV107" s="135">
        <f t="shared" si="87"/>
        <v>0</v>
      </c>
      <c r="AW107" s="135">
        <f t="shared" si="87"/>
        <v>0</v>
      </c>
      <c r="AX107" s="135">
        <f t="shared" si="87"/>
        <v>0</v>
      </c>
      <c r="AY107" s="135">
        <f t="shared" si="87"/>
        <v>0</v>
      </c>
      <c r="AZ107" s="135">
        <f t="shared" si="87"/>
        <v>0</v>
      </c>
      <c r="BA107" s="135">
        <f t="shared" si="87"/>
        <v>0</v>
      </c>
      <c r="BB107" s="135">
        <f t="shared" si="87"/>
        <v>0</v>
      </c>
      <c r="BC107" s="135">
        <f t="shared" si="87"/>
        <v>0</v>
      </c>
      <c r="BD107" s="135">
        <f t="shared" si="87"/>
        <v>0</v>
      </c>
      <c r="BE107" s="136">
        <f t="shared" si="88"/>
        <v>0</v>
      </c>
      <c r="BF107" s="135">
        <f t="shared" si="89"/>
        <v>0</v>
      </c>
      <c r="BG107" s="135">
        <f t="shared" si="89"/>
        <v>0</v>
      </c>
      <c r="BH107" s="135">
        <f t="shared" si="89"/>
        <v>0</v>
      </c>
      <c r="BI107" s="135">
        <f t="shared" si="89"/>
        <v>0</v>
      </c>
      <c r="BJ107" s="135">
        <f t="shared" si="89"/>
        <v>0</v>
      </c>
      <c r="BK107" s="135">
        <f t="shared" si="89"/>
        <v>0</v>
      </c>
      <c r="BL107" s="135">
        <f t="shared" si="89"/>
        <v>0</v>
      </c>
      <c r="BM107" s="135">
        <f t="shared" si="89"/>
        <v>0</v>
      </c>
      <c r="BN107" s="135">
        <f t="shared" si="89"/>
        <v>0</v>
      </c>
      <c r="BO107" s="135">
        <f t="shared" si="89"/>
        <v>0</v>
      </c>
      <c r="BP107" s="135">
        <f t="shared" si="89"/>
        <v>0</v>
      </c>
      <c r="BQ107" s="135">
        <f t="shared" si="89"/>
        <v>0</v>
      </c>
      <c r="BR107" s="136">
        <f t="shared" si="90"/>
        <v>0</v>
      </c>
      <c r="BS107" s="135">
        <f t="shared" si="91"/>
        <v>0</v>
      </c>
      <c r="BT107" s="135">
        <f t="shared" si="91"/>
        <v>0</v>
      </c>
      <c r="BU107" s="135">
        <f t="shared" si="91"/>
        <v>0</v>
      </c>
      <c r="BV107" s="135">
        <f t="shared" si="91"/>
        <v>0</v>
      </c>
      <c r="BW107" s="135">
        <f t="shared" si="91"/>
        <v>0</v>
      </c>
      <c r="BX107" s="135">
        <f t="shared" si="91"/>
        <v>0</v>
      </c>
      <c r="BY107" s="135">
        <f t="shared" si="91"/>
        <v>0</v>
      </c>
      <c r="BZ107" s="135">
        <f t="shared" si="91"/>
        <v>0</v>
      </c>
      <c r="CA107" s="135">
        <f t="shared" si="91"/>
        <v>0</v>
      </c>
      <c r="CB107" s="135">
        <f t="shared" si="91"/>
        <v>0</v>
      </c>
      <c r="CC107" s="135">
        <f t="shared" si="91"/>
        <v>0</v>
      </c>
      <c r="CD107" s="135">
        <f t="shared" si="91"/>
        <v>0</v>
      </c>
      <c r="CE107" s="136">
        <f t="shared" si="92"/>
        <v>0</v>
      </c>
      <c r="CF107" s="135">
        <f t="shared" si="93"/>
        <v>0</v>
      </c>
      <c r="CG107" s="135">
        <f t="shared" si="93"/>
        <v>0</v>
      </c>
      <c r="CH107" s="135">
        <f t="shared" si="93"/>
        <v>0</v>
      </c>
      <c r="CI107" s="135">
        <f t="shared" si="93"/>
        <v>0</v>
      </c>
      <c r="CJ107" s="135">
        <f t="shared" si="93"/>
        <v>0</v>
      </c>
      <c r="CK107" s="135">
        <f t="shared" si="93"/>
        <v>0</v>
      </c>
      <c r="CL107" s="135">
        <f t="shared" si="93"/>
        <v>0</v>
      </c>
      <c r="CM107" s="135">
        <f t="shared" si="93"/>
        <v>0</v>
      </c>
      <c r="CN107" s="135">
        <f t="shared" si="93"/>
        <v>0</v>
      </c>
      <c r="CO107" s="135">
        <f t="shared" si="93"/>
        <v>0</v>
      </c>
      <c r="CP107" s="135">
        <f t="shared" si="93"/>
        <v>0</v>
      </c>
      <c r="CQ107" s="135">
        <f t="shared" si="93"/>
        <v>0</v>
      </c>
      <c r="CR107" s="136">
        <f t="shared" si="94"/>
        <v>0</v>
      </c>
    </row>
    <row r="108" spans="1:96">
      <c r="A108" s="647"/>
      <c r="B108" s="649">
        <f t="shared" ref="A108:C115" si="95">B82</f>
        <v>0</v>
      </c>
      <c r="C108" s="240">
        <f t="shared" si="95"/>
        <v>0</v>
      </c>
      <c r="D108" s="133">
        <f t="shared" si="79"/>
        <v>0</v>
      </c>
      <c r="E108" s="137"/>
      <c r="F108" s="135">
        <f t="shared" si="81"/>
        <v>0</v>
      </c>
      <c r="G108" s="135">
        <f t="shared" si="81"/>
        <v>0</v>
      </c>
      <c r="H108" s="135">
        <f t="shared" si="81"/>
        <v>0</v>
      </c>
      <c r="I108" s="135">
        <f t="shared" si="81"/>
        <v>0</v>
      </c>
      <c r="J108" s="135">
        <f t="shared" si="81"/>
        <v>0</v>
      </c>
      <c r="K108" s="135">
        <f t="shared" si="81"/>
        <v>0</v>
      </c>
      <c r="L108" s="135">
        <f t="shared" si="81"/>
        <v>0</v>
      </c>
      <c r="M108" s="135">
        <f t="shared" si="81"/>
        <v>0</v>
      </c>
      <c r="N108" s="135">
        <f t="shared" si="81"/>
        <v>0</v>
      </c>
      <c r="O108" s="135">
        <f t="shared" si="81"/>
        <v>0</v>
      </c>
      <c r="P108" s="135">
        <f t="shared" si="81"/>
        <v>0</v>
      </c>
      <c r="Q108" s="135">
        <f t="shared" si="81"/>
        <v>0</v>
      </c>
      <c r="R108" s="136">
        <f t="shared" si="82"/>
        <v>0</v>
      </c>
      <c r="S108" s="135">
        <f t="shared" si="83"/>
        <v>0</v>
      </c>
      <c r="T108" s="135">
        <f t="shared" si="83"/>
        <v>0</v>
      </c>
      <c r="U108" s="135">
        <f t="shared" si="83"/>
        <v>0</v>
      </c>
      <c r="V108" s="135">
        <f t="shared" si="83"/>
        <v>0</v>
      </c>
      <c r="W108" s="135">
        <f t="shared" si="83"/>
        <v>0</v>
      </c>
      <c r="X108" s="135">
        <f t="shared" si="83"/>
        <v>0</v>
      </c>
      <c r="Y108" s="135">
        <f t="shared" si="83"/>
        <v>0</v>
      </c>
      <c r="Z108" s="135">
        <f t="shared" si="83"/>
        <v>0</v>
      </c>
      <c r="AA108" s="135">
        <f t="shared" si="83"/>
        <v>0</v>
      </c>
      <c r="AB108" s="135">
        <f t="shared" si="83"/>
        <v>0</v>
      </c>
      <c r="AC108" s="135">
        <f t="shared" si="83"/>
        <v>0</v>
      </c>
      <c r="AD108" s="135">
        <f t="shared" si="83"/>
        <v>0</v>
      </c>
      <c r="AE108" s="136">
        <f t="shared" si="84"/>
        <v>0</v>
      </c>
      <c r="AF108" s="135">
        <f t="shared" si="85"/>
        <v>0</v>
      </c>
      <c r="AG108" s="135">
        <f t="shared" si="85"/>
        <v>0</v>
      </c>
      <c r="AH108" s="135">
        <f t="shared" si="85"/>
        <v>0</v>
      </c>
      <c r="AI108" s="135">
        <f t="shared" si="85"/>
        <v>0</v>
      </c>
      <c r="AJ108" s="135">
        <f t="shared" si="85"/>
        <v>0</v>
      </c>
      <c r="AK108" s="135">
        <f t="shared" si="85"/>
        <v>0</v>
      </c>
      <c r="AL108" s="135">
        <f t="shared" si="85"/>
        <v>0</v>
      </c>
      <c r="AM108" s="135">
        <f t="shared" si="85"/>
        <v>0</v>
      </c>
      <c r="AN108" s="135">
        <f t="shared" si="85"/>
        <v>0</v>
      </c>
      <c r="AO108" s="135">
        <f t="shared" si="85"/>
        <v>0</v>
      </c>
      <c r="AP108" s="135">
        <f t="shared" si="85"/>
        <v>0</v>
      </c>
      <c r="AQ108" s="135">
        <f t="shared" si="85"/>
        <v>0</v>
      </c>
      <c r="AR108" s="136">
        <f t="shared" si="86"/>
        <v>0</v>
      </c>
      <c r="AS108" s="135">
        <f t="shared" si="87"/>
        <v>0</v>
      </c>
      <c r="AT108" s="135">
        <f t="shared" si="87"/>
        <v>0</v>
      </c>
      <c r="AU108" s="135">
        <f t="shared" si="87"/>
        <v>0</v>
      </c>
      <c r="AV108" s="135">
        <f t="shared" si="87"/>
        <v>0</v>
      </c>
      <c r="AW108" s="135">
        <f t="shared" si="87"/>
        <v>0</v>
      </c>
      <c r="AX108" s="135">
        <f t="shared" si="87"/>
        <v>0</v>
      </c>
      <c r="AY108" s="135">
        <f t="shared" si="87"/>
        <v>0</v>
      </c>
      <c r="AZ108" s="135">
        <f t="shared" si="87"/>
        <v>0</v>
      </c>
      <c r="BA108" s="135">
        <f t="shared" si="87"/>
        <v>0</v>
      </c>
      <c r="BB108" s="135">
        <f t="shared" si="87"/>
        <v>0</v>
      </c>
      <c r="BC108" s="135">
        <f t="shared" si="87"/>
        <v>0</v>
      </c>
      <c r="BD108" s="135">
        <f t="shared" si="87"/>
        <v>0</v>
      </c>
      <c r="BE108" s="136">
        <f t="shared" si="88"/>
        <v>0</v>
      </c>
      <c r="BF108" s="135">
        <f t="shared" si="89"/>
        <v>0</v>
      </c>
      <c r="BG108" s="135">
        <f t="shared" si="89"/>
        <v>0</v>
      </c>
      <c r="BH108" s="135">
        <f t="shared" si="89"/>
        <v>0</v>
      </c>
      <c r="BI108" s="135">
        <f t="shared" si="89"/>
        <v>0</v>
      </c>
      <c r="BJ108" s="135">
        <f t="shared" si="89"/>
        <v>0</v>
      </c>
      <c r="BK108" s="135">
        <f t="shared" si="89"/>
        <v>0</v>
      </c>
      <c r="BL108" s="135">
        <f t="shared" si="89"/>
        <v>0</v>
      </c>
      <c r="BM108" s="135">
        <f t="shared" si="89"/>
        <v>0</v>
      </c>
      <c r="BN108" s="135">
        <f t="shared" si="89"/>
        <v>0</v>
      </c>
      <c r="BO108" s="135">
        <f t="shared" si="89"/>
        <v>0</v>
      </c>
      <c r="BP108" s="135">
        <f t="shared" si="89"/>
        <v>0</v>
      </c>
      <c r="BQ108" s="135">
        <f t="shared" si="89"/>
        <v>0</v>
      </c>
      <c r="BR108" s="136">
        <f t="shared" si="90"/>
        <v>0</v>
      </c>
      <c r="BS108" s="135">
        <f t="shared" si="91"/>
        <v>0</v>
      </c>
      <c r="BT108" s="135">
        <f t="shared" si="91"/>
        <v>0</v>
      </c>
      <c r="BU108" s="135">
        <f t="shared" si="91"/>
        <v>0</v>
      </c>
      <c r="BV108" s="135">
        <f t="shared" si="91"/>
        <v>0</v>
      </c>
      <c r="BW108" s="135">
        <f t="shared" si="91"/>
        <v>0</v>
      </c>
      <c r="BX108" s="135">
        <f t="shared" si="91"/>
        <v>0</v>
      </c>
      <c r="BY108" s="135">
        <f t="shared" si="91"/>
        <v>0</v>
      </c>
      <c r="BZ108" s="135">
        <f t="shared" si="91"/>
        <v>0</v>
      </c>
      <c r="CA108" s="135">
        <f t="shared" si="91"/>
        <v>0</v>
      </c>
      <c r="CB108" s="135">
        <f t="shared" si="91"/>
        <v>0</v>
      </c>
      <c r="CC108" s="135">
        <f t="shared" si="91"/>
        <v>0</v>
      </c>
      <c r="CD108" s="135">
        <f t="shared" si="91"/>
        <v>0</v>
      </c>
      <c r="CE108" s="136">
        <f t="shared" si="92"/>
        <v>0</v>
      </c>
      <c r="CF108" s="135">
        <f t="shared" si="93"/>
        <v>0</v>
      </c>
      <c r="CG108" s="135">
        <f t="shared" si="93"/>
        <v>0</v>
      </c>
      <c r="CH108" s="135">
        <f t="shared" si="93"/>
        <v>0</v>
      </c>
      <c r="CI108" s="135">
        <f t="shared" si="93"/>
        <v>0</v>
      </c>
      <c r="CJ108" s="135">
        <f t="shared" si="93"/>
        <v>0</v>
      </c>
      <c r="CK108" s="135">
        <f t="shared" si="93"/>
        <v>0</v>
      </c>
      <c r="CL108" s="135">
        <f t="shared" si="93"/>
        <v>0</v>
      </c>
      <c r="CM108" s="135">
        <f t="shared" si="93"/>
        <v>0</v>
      </c>
      <c r="CN108" s="135">
        <f t="shared" si="93"/>
        <v>0</v>
      </c>
      <c r="CO108" s="135">
        <f t="shared" si="93"/>
        <v>0</v>
      </c>
      <c r="CP108" s="135">
        <f t="shared" si="93"/>
        <v>0</v>
      </c>
      <c r="CQ108" s="135">
        <f t="shared" si="93"/>
        <v>0</v>
      </c>
      <c r="CR108" s="136">
        <f t="shared" si="94"/>
        <v>0</v>
      </c>
    </row>
    <row r="109" spans="1:96">
      <c r="A109" s="647"/>
      <c r="B109" s="649">
        <f t="shared" si="95"/>
        <v>0</v>
      </c>
      <c r="C109" s="240">
        <f t="shared" si="95"/>
        <v>0</v>
      </c>
      <c r="D109" s="133">
        <f t="shared" si="79"/>
        <v>0</v>
      </c>
      <c r="E109" s="137"/>
      <c r="F109" s="135">
        <f t="shared" si="81"/>
        <v>0</v>
      </c>
      <c r="G109" s="135">
        <f t="shared" si="81"/>
        <v>0</v>
      </c>
      <c r="H109" s="135">
        <f t="shared" si="81"/>
        <v>0</v>
      </c>
      <c r="I109" s="135">
        <f t="shared" si="81"/>
        <v>0</v>
      </c>
      <c r="J109" s="135">
        <f t="shared" si="81"/>
        <v>0</v>
      </c>
      <c r="K109" s="135">
        <f t="shared" si="81"/>
        <v>0</v>
      </c>
      <c r="L109" s="135">
        <f t="shared" si="81"/>
        <v>0</v>
      </c>
      <c r="M109" s="135">
        <f t="shared" si="81"/>
        <v>0</v>
      </c>
      <c r="N109" s="135">
        <f t="shared" si="81"/>
        <v>0</v>
      </c>
      <c r="O109" s="135">
        <f t="shared" si="81"/>
        <v>0</v>
      </c>
      <c r="P109" s="135">
        <f t="shared" si="81"/>
        <v>0</v>
      </c>
      <c r="Q109" s="135">
        <f t="shared" si="81"/>
        <v>0</v>
      </c>
      <c r="R109" s="136">
        <f t="shared" si="82"/>
        <v>0</v>
      </c>
      <c r="S109" s="135">
        <f t="shared" si="83"/>
        <v>0</v>
      </c>
      <c r="T109" s="135">
        <f t="shared" si="83"/>
        <v>0</v>
      </c>
      <c r="U109" s="135">
        <f t="shared" si="83"/>
        <v>0</v>
      </c>
      <c r="V109" s="135">
        <f t="shared" si="83"/>
        <v>0</v>
      </c>
      <c r="W109" s="135">
        <f t="shared" si="83"/>
        <v>0</v>
      </c>
      <c r="X109" s="135">
        <f t="shared" si="83"/>
        <v>0</v>
      </c>
      <c r="Y109" s="135">
        <f t="shared" si="83"/>
        <v>0</v>
      </c>
      <c r="Z109" s="135">
        <f t="shared" si="83"/>
        <v>0</v>
      </c>
      <c r="AA109" s="135">
        <f t="shared" si="83"/>
        <v>0</v>
      </c>
      <c r="AB109" s="135">
        <f t="shared" si="83"/>
        <v>0</v>
      </c>
      <c r="AC109" s="135">
        <f t="shared" si="83"/>
        <v>0</v>
      </c>
      <c r="AD109" s="135">
        <f t="shared" si="83"/>
        <v>0</v>
      </c>
      <c r="AE109" s="136">
        <f t="shared" si="84"/>
        <v>0</v>
      </c>
      <c r="AF109" s="135">
        <f t="shared" si="85"/>
        <v>0</v>
      </c>
      <c r="AG109" s="135">
        <f t="shared" si="85"/>
        <v>0</v>
      </c>
      <c r="AH109" s="135">
        <f t="shared" si="85"/>
        <v>0</v>
      </c>
      <c r="AI109" s="135">
        <f t="shared" si="85"/>
        <v>0</v>
      </c>
      <c r="AJ109" s="135">
        <f t="shared" si="85"/>
        <v>0</v>
      </c>
      <c r="AK109" s="135">
        <f t="shared" si="85"/>
        <v>0</v>
      </c>
      <c r="AL109" s="135">
        <f t="shared" si="85"/>
        <v>0</v>
      </c>
      <c r="AM109" s="135">
        <f t="shared" si="85"/>
        <v>0</v>
      </c>
      <c r="AN109" s="135">
        <f t="shared" si="85"/>
        <v>0</v>
      </c>
      <c r="AO109" s="135">
        <f t="shared" si="85"/>
        <v>0</v>
      </c>
      <c r="AP109" s="135">
        <f t="shared" si="85"/>
        <v>0</v>
      </c>
      <c r="AQ109" s="135">
        <f t="shared" si="85"/>
        <v>0</v>
      </c>
      <c r="AR109" s="136">
        <f t="shared" si="86"/>
        <v>0</v>
      </c>
      <c r="AS109" s="135">
        <f t="shared" si="87"/>
        <v>0</v>
      </c>
      <c r="AT109" s="135">
        <f t="shared" si="87"/>
        <v>0</v>
      </c>
      <c r="AU109" s="135">
        <f t="shared" si="87"/>
        <v>0</v>
      </c>
      <c r="AV109" s="135">
        <f t="shared" si="87"/>
        <v>0</v>
      </c>
      <c r="AW109" s="135">
        <f t="shared" si="87"/>
        <v>0</v>
      </c>
      <c r="AX109" s="135">
        <f t="shared" si="87"/>
        <v>0</v>
      </c>
      <c r="AY109" s="135">
        <f t="shared" si="87"/>
        <v>0</v>
      </c>
      <c r="AZ109" s="135">
        <f t="shared" si="87"/>
        <v>0</v>
      </c>
      <c r="BA109" s="135">
        <f t="shared" si="87"/>
        <v>0</v>
      </c>
      <c r="BB109" s="135">
        <f t="shared" si="87"/>
        <v>0</v>
      </c>
      <c r="BC109" s="135">
        <f t="shared" si="87"/>
        <v>0</v>
      </c>
      <c r="BD109" s="135">
        <f t="shared" si="87"/>
        <v>0</v>
      </c>
      <c r="BE109" s="136">
        <f t="shared" si="88"/>
        <v>0</v>
      </c>
      <c r="BF109" s="135">
        <f t="shared" si="89"/>
        <v>0</v>
      </c>
      <c r="BG109" s="135">
        <f t="shared" si="89"/>
        <v>0</v>
      </c>
      <c r="BH109" s="135">
        <f t="shared" si="89"/>
        <v>0</v>
      </c>
      <c r="BI109" s="135">
        <f t="shared" si="89"/>
        <v>0</v>
      </c>
      <c r="BJ109" s="135">
        <f t="shared" si="89"/>
        <v>0</v>
      </c>
      <c r="BK109" s="135">
        <f t="shared" si="89"/>
        <v>0</v>
      </c>
      <c r="BL109" s="135">
        <f t="shared" si="89"/>
        <v>0</v>
      </c>
      <c r="BM109" s="135">
        <f t="shared" si="89"/>
        <v>0</v>
      </c>
      <c r="BN109" s="135">
        <f t="shared" si="89"/>
        <v>0</v>
      </c>
      <c r="BO109" s="135">
        <f t="shared" si="89"/>
        <v>0</v>
      </c>
      <c r="BP109" s="135">
        <f t="shared" si="89"/>
        <v>0</v>
      </c>
      <c r="BQ109" s="135">
        <f t="shared" si="89"/>
        <v>0</v>
      </c>
      <c r="BR109" s="136">
        <f t="shared" si="90"/>
        <v>0</v>
      </c>
      <c r="BS109" s="135">
        <f t="shared" si="91"/>
        <v>0</v>
      </c>
      <c r="BT109" s="135">
        <f t="shared" si="91"/>
        <v>0</v>
      </c>
      <c r="BU109" s="135">
        <f t="shared" si="91"/>
        <v>0</v>
      </c>
      <c r="BV109" s="135">
        <f t="shared" si="91"/>
        <v>0</v>
      </c>
      <c r="BW109" s="135">
        <f t="shared" si="91"/>
        <v>0</v>
      </c>
      <c r="BX109" s="135">
        <f t="shared" si="91"/>
        <v>0</v>
      </c>
      <c r="BY109" s="135">
        <f t="shared" si="91"/>
        <v>0</v>
      </c>
      <c r="BZ109" s="135">
        <f t="shared" si="91"/>
        <v>0</v>
      </c>
      <c r="CA109" s="135">
        <f t="shared" si="91"/>
        <v>0</v>
      </c>
      <c r="CB109" s="135">
        <f t="shared" si="91"/>
        <v>0</v>
      </c>
      <c r="CC109" s="135">
        <f t="shared" si="91"/>
        <v>0</v>
      </c>
      <c r="CD109" s="135">
        <f t="shared" si="91"/>
        <v>0</v>
      </c>
      <c r="CE109" s="136">
        <f t="shared" si="92"/>
        <v>0</v>
      </c>
      <c r="CF109" s="135">
        <f t="shared" si="93"/>
        <v>0</v>
      </c>
      <c r="CG109" s="135">
        <f t="shared" si="93"/>
        <v>0</v>
      </c>
      <c r="CH109" s="135">
        <f t="shared" si="93"/>
        <v>0</v>
      </c>
      <c r="CI109" s="135">
        <f t="shared" si="93"/>
        <v>0</v>
      </c>
      <c r="CJ109" s="135">
        <f t="shared" si="93"/>
        <v>0</v>
      </c>
      <c r="CK109" s="135">
        <f t="shared" si="93"/>
        <v>0</v>
      </c>
      <c r="CL109" s="135">
        <f t="shared" si="93"/>
        <v>0</v>
      </c>
      <c r="CM109" s="135">
        <f t="shared" si="93"/>
        <v>0</v>
      </c>
      <c r="CN109" s="135">
        <f t="shared" si="93"/>
        <v>0</v>
      </c>
      <c r="CO109" s="135">
        <f t="shared" si="93"/>
        <v>0</v>
      </c>
      <c r="CP109" s="135">
        <f t="shared" si="93"/>
        <v>0</v>
      </c>
      <c r="CQ109" s="135">
        <f t="shared" si="93"/>
        <v>0</v>
      </c>
      <c r="CR109" s="136">
        <f t="shared" si="94"/>
        <v>0</v>
      </c>
    </row>
    <row r="110" spans="1:96">
      <c r="A110" s="647"/>
      <c r="B110" s="649">
        <f t="shared" si="95"/>
        <v>0</v>
      </c>
      <c r="C110" s="240">
        <f t="shared" si="95"/>
        <v>0</v>
      </c>
      <c r="D110" s="133">
        <f t="shared" si="79"/>
        <v>0</v>
      </c>
      <c r="E110" s="137"/>
      <c r="F110" s="135">
        <f t="shared" si="81"/>
        <v>0</v>
      </c>
      <c r="G110" s="135">
        <f t="shared" si="81"/>
        <v>0</v>
      </c>
      <c r="H110" s="135">
        <f t="shared" si="81"/>
        <v>0</v>
      </c>
      <c r="I110" s="135">
        <f t="shared" si="81"/>
        <v>0</v>
      </c>
      <c r="J110" s="135">
        <f t="shared" si="81"/>
        <v>0</v>
      </c>
      <c r="K110" s="135">
        <f t="shared" si="81"/>
        <v>0</v>
      </c>
      <c r="L110" s="135">
        <f t="shared" si="81"/>
        <v>0</v>
      </c>
      <c r="M110" s="135">
        <f t="shared" si="81"/>
        <v>0</v>
      </c>
      <c r="N110" s="135">
        <f t="shared" si="81"/>
        <v>0</v>
      </c>
      <c r="O110" s="135">
        <f t="shared" si="81"/>
        <v>0</v>
      </c>
      <c r="P110" s="135">
        <f t="shared" si="81"/>
        <v>0</v>
      </c>
      <c r="Q110" s="135">
        <f t="shared" si="81"/>
        <v>0</v>
      </c>
      <c r="R110" s="136">
        <f t="shared" si="82"/>
        <v>0</v>
      </c>
      <c r="S110" s="135">
        <f t="shared" si="83"/>
        <v>0</v>
      </c>
      <c r="T110" s="135">
        <f t="shared" si="83"/>
        <v>0</v>
      </c>
      <c r="U110" s="135">
        <f t="shared" si="83"/>
        <v>0</v>
      </c>
      <c r="V110" s="135">
        <f t="shared" si="83"/>
        <v>0</v>
      </c>
      <c r="W110" s="135">
        <f t="shared" si="83"/>
        <v>0</v>
      </c>
      <c r="X110" s="135">
        <f t="shared" si="83"/>
        <v>0</v>
      </c>
      <c r="Y110" s="135">
        <f t="shared" si="83"/>
        <v>0</v>
      </c>
      <c r="Z110" s="135">
        <f t="shared" si="83"/>
        <v>0</v>
      </c>
      <c r="AA110" s="135">
        <f t="shared" si="83"/>
        <v>0</v>
      </c>
      <c r="AB110" s="135">
        <f t="shared" si="83"/>
        <v>0</v>
      </c>
      <c r="AC110" s="135">
        <f t="shared" si="83"/>
        <v>0</v>
      </c>
      <c r="AD110" s="135">
        <f t="shared" si="83"/>
        <v>0</v>
      </c>
      <c r="AE110" s="136">
        <f t="shared" si="84"/>
        <v>0</v>
      </c>
      <c r="AF110" s="135">
        <f t="shared" si="85"/>
        <v>0</v>
      </c>
      <c r="AG110" s="135">
        <f t="shared" si="85"/>
        <v>0</v>
      </c>
      <c r="AH110" s="135">
        <f t="shared" si="85"/>
        <v>0</v>
      </c>
      <c r="AI110" s="135">
        <f t="shared" si="85"/>
        <v>0</v>
      </c>
      <c r="AJ110" s="135">
        <f t="shared" si="85"/>
        <v>0</v>
      </c>
      <c r="AK110" s="135">
        <f t="shared" si="85"/>
        <v>0</v>
      </c>
      <c r="AL110" s="135">
        <f t="shared" si="85"/>
        <v>0</v>
      </c>
      <c r="AM110" s="135">
        <f t="shared" si="85"/>
        <v>0</v>
      </c>
      <c r="AN110" s="135">
        <f t="shared" si="85"/>
        <v>0</v>
      </c>
      <c r="AO110" s="135">
        <f t="shared" si="85"/>
        <v>0</v>
      </c>
      <c r="AP110" s="135">
        <f t="shared" si="85"/>
        <v>0</v>
      </c>
      <c r="AQ110" s="135">
        <f t="shared" si="85"/>
        <v>0</v>
      </c>
      <c r="AR110" s="136">
        <f t="shared" si="86"/>
        <v>0</v>
      </c>
      <c r="AS110" s="135">
        <f t="shared" si="87"/>
        <v>0</v>
      </c>
      <c r="AT110" s="135">
        <f t="shared" si="87"/>
        <v>0</v>
      </c>
      <c r="AU110" s="135">
        <f t="shared" si="87"/>
        <v>0</v>
      </c>
      <c r="AV110" s="135">
        <f t="shared" si="87"/>
        <v>0</v>
      </c>
      <c r="AW110" s="135">
        <f t="shared" si="87"/>
        <v>0</v>
      </c>
      <c r="AX110" s="135">
        <f t="shared" si="87"/>
        <v>0</v>
      </c>
      <c r="AY110" s="135">
        <f t="shared" si="87"/>
        <v>0</v>
      </c>
      <c r="AZ110" s="135">
        <f t="shared" si="87"/>
        <v>0</v>
      </c>
      <c r="BA110" s="135">
        <f t="shared" si="87"/>
        <v>0</v>
      </c>
      <c r="BB110" s="135">
        <f t="shared" si="87"/>
        <v>0</v>
      </c>
      <c r="BC110" s="135">
        <f t="shared" si="87"/>
        <v>0</v>
      </c>
      <c r="BD110" s="135">
        <f t="shared" si="87"/>
        <v>0</v>
      </c>
      <c r="BE110" s="136">
        <f t="shared" si="88"/>
        <v>0</v>
      </c>
      <c r="BF110" s="135">
        <f t="shared" si="89"/>
        <v>0</v>
      </c>
      <c r="BG110" s="135">
        <f t="shared" si="89"/>
        <v>0</v>
      </c>
      <c r="BH110" s="135">
        <f t="shared" si="89"/>
        <v>0</v>
      </c>
      <c r="BI110" s="135">
        <f t="shared" si="89"/>
        <v>0</v>
      </c>
      <c r="BJ110" s="135">
        <f t="shared" si="89"/>
        <v>0</v>
      </c>
      <c r="BK110" s="135">
        <f t="shared" si="89"/>
        <v>0</v>
      </c>
      <c r="BL110" s="135">
        <f t="shared" si="89"/>
        <v>0</v>
      </c>
      <c r="BM110" s="135">
        <f t="shared" si="89"/>
        <v>0</v>
      </c>
      <c r="BN110" s="135">
        <f t="shared" si="89"/>
        <v>0</v>
      </c>
      <c r="BO110" s="135">
        <f t="shared" si="89"/>
        <v>0</v>
      </c>
      <c r="BP110" s="135">
        <f t="shared" si="89"/>
        <v>0</v>
      </c>
      <c r="BQ110" s="135">
        <f t="shared" si="89"/>
        <v>0</v>
      </c>
      <c r="BR110" s="136">
        <f t="shared" si="90"/>
        <v>0</v>
      </c>
      <c r="BS110" s="135">
        <f t="shared" si="91"/>
        <v>0</v>
      </c>
      <c r="BT110" s="135">
        <f t="shared" si="91"/>
        <v>0</v>
      </c>
      <c r="BU110" s="135">
        <f t="shared" si="91"/>
        <v>0</v>
      </c>
      <c r="BV110" s="135">
        <f t="shared" si="91"/>
        <v>0</v>
      </c>
      <c r="BW110" s="135">
        <f t="shared" si="91"/>
        <v>0</v>
      </c>
      <c r="BX110" s="135">
        <f t="shared" si="91"/>
        <v>0</v>
      </c>
      <c r="BY110" s="135">
        <f t="shared" si="91"/>
        <v>0</v>
      </c>
      <c r="BZ110" s="135">
        <f t="shared" si="91"/>
        <v>0</v>
      </c>
      <c r="CA110" s="135">
        <f t="shared" si="91"/>
        <v>0</v>
      </c>
      <c r="CB110" s="135">
        <f t="shared" si="91"/>
        <v>0</v>
      </c>
      <c r="CC110" s="135">
        <f t="shared" si="91"/>
        <v>0</v>
      </c>
      <c r="CD110" s="135">
        <f t="shared" si="91"/>
        <v>0</v>
      </c>
      <c r="CE110" s="136">
        <f t="shared" si="92"/>
        <v>0</v>
      </c>
      <c r="CF110" s="135">
        <f t="shared" si="93"/>
        <v>0</v>
      </c>
      <c r="CG110" s="135">
        <f t="shared" si="93"/>
        <v>0</v>
      </c>
      <c r="CH110" s="135">
        <f t="shared" si="93"/>
        <v>0</v>
      </c>
      <c r="CI110" s="135">
        <f t="shared" si="93"/>
        <v>0</v>
      </c>
      <c r="CJ110" s="135">
        <f t="shared" si="93"/>
        <v>0</v>
      </c>
      <c r="CK110" s="135">
        <f t="shared" si="93"/>
        <v>0</v>
      </c>
      <c r="CL110" s="135">
        <f t="shared" si="93"/>
        <v>0</v>
      </c>
      <c r="CM110" s="135">
        <f t="shared" si="93"/>
        <v>0</v>
      </c>
      <c r="CN110" s="135">
        <f t="shared" si="93"/>
        <v>0</v>
      </c>
      <c r="CO110" s="135">
        <f t="shared" si="93"/>
        <v>0</v>
      </c>
      <c r="CP110" s="135">
        <f t="shared" si="93"/>
        <v>0</v>
      </c>
      <c r="CQ110" s="135">
        <f t="shared" si="93"/>
        <v>0</v>
      </c>
      <c r="CR110" s="136">
        <f t="shared" si="94"/>
        <v>0</v>
      </c>
    </row>
    <row r="111" spans="1:96">
      <c r="A111" s="647"/>
      <c r="B111" s="649">
        <f t="shared" si="95"/>
        <v>0</v>
      </c>
      <c r="C111" s="240">
        <f t="shared" si="95"/>
        <v>0</v>
      </c>
      <c r="D111" s="133">
        <f t="shared" si="79"/>
        <v>0</v>
      </c>
      <c r="E111" s="137"/>
      <c r="F111" s="135">
        <f t="shared" si="81"/>
        <v>0</v>
      </c>
      <c r="G111" s="135">
        <f t="shared" si="81"/>
        <v>0</v>
      </c>
      <c r="H111" s="135">
        <f t="shared" si="81"/>
        <v>0</v>
      </c>
      <c r="I111" s="135">
        <f t="shared" si="81"/>
        <v>0</v>
      </c>
      <c r="J111" s="135">
        <f t="shared" si="81"/>
        <v>0</v>
      </c>
      <c r="K111" s="135">
        <f t="shared" si="81"/>
        <v>0</v>
      </c>
      <c r="L111" s="135">
        <f t="shared" si="81"/>
        <v>0</v>
      </c>
      <c r="M111" s="135">
        <f t="shared" si="81"/>
        <v>0</v>
      </c>
      <c r="N111" s="135">
        <f t="shared" si="81"/>
        <v>0</v>
      </c>
      <c r="O111" s="135">
        <f t="shared" si="81"/>
        <v>0</v>
      </c>
      <c r="P111" s="135">
        <f t="shared" si="81"/>
        <v>0</v>
      </c>
      <c r="Q111" s="135">
        <f t="shared" si="81"/>
        <v>0</v>
      </c>
      <c r="R111" s="136">
        <f t="shared" si="82"/>
        <v>0</v>
      </c>
      <c r="S111" s="135">
        <f t="shared" si="83"/>
        <v>0</v>
      </c>
      <c r="T111" s="135">
        <f t="shared" si="83"/>
        <v>0</v>
      </c>
      <c r="U111" s="135">
        <f t="shared" si="83"/>
        <v>0</v>
      </c>
      <c r="V111" s="135">
        <f t="shared" si="83"/>
        <v>0</v>
      </c>
      <c r="W111" s="135">
        <f t="shared" si="83"/>
        <v>0</v>
      </c>
      <c r="X111" s="135">
        <f t="shared" si="83"/>
        <v>0</v>
      </c>
      <c r="Y111" s="135">
        <f t="shared" si="83"/>
        <v>0</v>
      </c>
      <c r="Z111" s="135">
        <f t="shared" si="83"/>
        <v>0</v>
      </c>
      <c r="AA111" s="135">
        <f t="shared" si="83"/>
        <v>0</v>
      </c>
      <c r="AB111" s="135">
        <f t="shared" si="83"/>
        <v>0</v>
      </c>
      <c r="AC111" s="135">
        <f t="shared" si="83"/>
        <v>0</v>
      </c>
      <c r="AD111" s="135">
        <f t="shared" si="83"/>
        <v>0</v>
      </c>
      <c r="AE111" s="136">
        <f t="shared" si="84"/>
        <v>0</v>
      </c>
      <c r="AF111" s="135">
        <f t="shared" si="85"/>
        <v>0</v>
      </c>
      <c r="AG111" s="135">
        <f t="shared" si="85"/>
        <v>0</v>
      </c>
      <c r="AH111" s="135">
        <f t="shared" si="85"/>
        <v>0</v>
      </c>
      <c r="AI111" s="135">
        <f t="shared" si="85"/>
        <v>0</v>
      </c>
      <c r="AJ111" s="135">
        <f t="shared" si="85"/>
        <v>0</v>
      </c>
      <c r="AK111" s="135">
        <f t="shared" si="85"/>
        <v>0</v>
      </c>
      <c r="AL111" s="135">
        <f t="shared" si="85"/>
        <v>0</v>
      </c>
      <c r="AM111" s="135">
        <f t="shared" si="85"/>
        <v>0</v>
      </c>
      <c r="AN111" s="135">
        <f t="shared" si="85"/>
        <v>0</v>
      </c>
      <c r="AO111" s="135">
        <f t="shared" si="85"/>
        <v>0</v>
      </c>
      <c r="AP111" s="135">
        <f t="shared" si="85"/>
        <v>0</v>
      </c>
      <c r="AQ111" s="135">
        <f t="shared" si="85"/>
        <v>0</v>
      </c>
      <c r="AR111" s="136">
        <f t="shared" si="86"/>
        <v>0</v>
      </c>
      <c r="AS111" s="135">
        <f t="shared" si="87"/>
        <v>0</v>
      </c>
      <c r="AT111" s="135">
        <f t="shared" si="87"/>
        <v>0</v>
      </c>
      <c r="AU111" s="135">
        <f t="shared" si="87"/>
        <v>0</v>
      </c>
      <c r="AV111" s="135">
        <f t="shared" si="87"/>
        <v>0</v>
      </c>
      <c r="AW111" s="135">
        <f t="shared" si="87"/>
        <v>0</v>
      </c>
      <c r="AX111" s="135">
        <f t="shared" si="87"/>
        <v>0</v>
      </c>
      <c r="AY111" s="135">
        <f t="shared" si="87"/>
        <v>0</v>
      </c>
      <c r="AZ111" s="135">
        <f t="shared" si="87"/>
        <v>0</v>
      </c>
      <c r="BA111" s="135">
        <f t="shared" si="87"/>
        <v>0</v>
      </c>
      <c r="BB111" s="135">
        <f t="shared" si="87"/>
        <v>0</v>
      </c>
      <c r="BC111" s="135">
        <f t="shared" si="87"/>
        <v>0</v>
      </c>
      <c r="BD111" s="135">
        <f t="shared" si="87"/>
        <v>0</v>
      </c>
      <c r="BE111" s="136">
        <f t="shared" si="88"/>
        <v>0</v>
      </c>
      <c r="BF111" s="135">
        <f t="shared" si="89"/>
        <v>0</v>
      </c>
      <c r="BG111" s="135">
        <f t="shared" si="89"/>
        <v>0</v>
      </c>
      <c r="BH111" s="135">
        <f t="shared" si="89"/>
        <v>0</v>
      </c>
      <c r="BI111" s="135">
        <f t="shared" si="89"/>
        <v>0</v>
      </c>
      <c r="BJ111" s="135">
        <f t="shared" si="89"/>
        <v>0</v>
      </c>
      <c r="BK111" s="135">
        <f t="shared" si="89"/>
        <v>0</v>
      </c>
      <c r="BL111" s="135">
        <f t="shared" si="89"/>
        <v>0</v>
      </c>
      <c r="BM111" s="135">
        <f t="shared" si="89"/>
        <v>0</v>
      </c>
      <c r="BN111" s="135">
        <f t="shared" si="89"/>
        <v>0</v>
      </c>
      <c r="BO111" s="135">
        <f t="shared" si="89"/>
        <v>0</v>
      </c>
      <c r="BP111" s="135">
        <f t="shared" si="89"/>
        <v>0</v>
      </c>
      <c r="BQ111" s="135">
        <f t="shared" si="89"/>
        <v>0</v>
      </c>
      <c r="BR111" s="136">
        <f t="shared" si="90"/>
        <v>0</v>
      </c>
      <c r="BS111" s="135">
        <f t="shared" si="91"/>
        <v>0</v>
      </c>
      <c r="BT111" s="135">
        <f t="shared" si="91"/>
        <v>0</v>
      </c>
      <c r="BU111" s="135">
        <f t="shared" si="91"/>
        <v>0</v>
      </c>
      <c r="BV111" s="135">
        <f t="shared" si="91"/>
        <v>0</v>
      </c>
      <c r="BW111" s="135">
        <f t="shared" si="91"/>
        <v>0</v>
      </c>
      <c r="BX111" s="135">
        <f t="shared" si="91"/>
        <v>0</v>
      </c>
      <c r="BY111" s="135">
        <f t="shared" si="91"/>
        <v>0</v>
      </c>
      <c r="BZ111" s="135">
        <f t="shared" si="91"/>
        <v>0</v>
      </c>
      <c r="CA111" s="135">
        <f t="shared" si="91"/>
        <v>0</v>
      </c>
      <c r="CB111" s="135">
        <f t="shared" si="91"/>
        <v>0</v>
      </c>
      <c r="CC111" s="135">
        <f t="shared" si="91"/>
        <v>0</v>
      </c>
      <c r="CD111" s="135">
        <f t="shared" si="91"/>
        <v>0</v>
      </c>
      <c r="CE111" s="136">
        <f t="shared" si="92"/>
        <v>0</v>
      </c>
      <c r="CF111" s="135">
        <f t="shared" si="93"/>
        <v>0</v>
      </c>
      <c r="CG111" s="135">
        <f t="shared" si="93"/>
        <v>0</v>
      </c>
      <c r="CH111" s="135">
        <f t="shared" si="93"/>
        <v>0</v>
      </c>
      <c r="CI111" s="135">
        <f t="shared" si="93"/>
        <v>0</v>
      </c>
      <c r="CJ111" s="135">
        <f t="shared" si="93"/>
        <v>0</v>
      </c>
      <c r="CK111" s="135">
        <f t="shared" si="93"/>
        <v>0</v>
      </c>
      <c r="CL111" s="135">
        <f t="shared" si="93"/>
        <v>0</v>
      </c>
      <c r="CM111" s="135">
        <f t="shared" si="93"/>
        <v>0</v>
      </c>
      <c r="CN111" s="135">
        <f t="shared" si="93"/>
        <v>0</v>
      </c>
      <c r="CO111" s="135">
        <f t="shared" si="93"/>
        <v>0</v>
      </c>
      <c r="CP111" s="135">
        <f t="shared" si="93"/>
        <v>0</v>
      </c>
      <c r="CQ111" s="135">
        <f t="shared" si="93"/>
        <v>0</v>
      </c>
      <c r="CR111" s="136">
        <f t="shared" si="94"/>
        <v>0</v>
      </c>
    </row>
    <row r="112" spans="1:96">
      <c r="A112" s="240">
        <f t="shared" si="95"/>
        <v>0</v>
      </c>
      <c r="B112" s="649">
        <f t="shared" si="95"/>
        <v>0</v>
      </c>
      <c r="C112" s="240">
        <f t="shared" si="95"/>
        <v>0</v>
      </c>
      <c r="D112" s="133">
        <f t="shared" si="79"/>
        <v>0</v>
      </c>
      <c r="E112" s="137"/>
      <c r="F112" s="135">
        <f t="shared" si="81"/>
        <v>0</v>
      </c>
      <c r="G112" s="135">
        <f t="shared" si="81"/>
        <v>0</v>
      </c>
      <c r="H112" s="135">
        <f t="shared" si="81"/>
        <v>0</v>
      </c>
      <c r="I112" s="135">
        <f t="shared" si="81"/>
        <v>0</v>
      </c>
      <c r="J112" s="135">
        <f t="shared" si="81"/>
        <v>0</v>
      </c>
      <c r="K112" s="135">
        <f t="shared" si="81"/>
        <v>0</v>
      </c>
      <c r="L112" s="135">
        <f t="shared" si="81"/>
        <v>0</v>
      </c>
      <c r="M112" s="135">
        <f t="shared" si="81"/>
        <v>0</v>
      </c>
      <c r="N112" s="135">
        <f t="shared" si="81"/>
        <v>0</v>
      </c>
      <c r="O112" s="135">
        <f t="shared" si="81"/>
        <v>0</v>
      </c>
      <c r="P112" s="135">
        <f t="shared" si="81"/>
        <v>0</v>
      </c>
      <c r="Q112" s="135">
        <f t="shared" si="81"/>
        <v>0</v>
      </c>
      <c r="R112" s="136">
        <f t="shared" si="82"/>
        <v>0</v>
      </c>
      <c r="S112" s="135">
        <f t="shared" si="83"/>
        <v>0</v>
      </c>
      <c r="T112" s="135">
        <f t="shared" si="83"/>
        <v>0</v>
      </c>
      <c r="U112" s="135">
        <f t="shared" si="83"/>
        <v>0</v>
      </c>
      <c r="V112" s="135">
        <f t="shared" si="83"/>
        <v>0</v>
      </c>
      <c r="W112" s="135">
        <f t="shared" si="83"/>
        <v>0</v>
      </c>
      <c r="X112" s="135">
        <f t="shared" si="83"/>
        <v>0</v>
      </c>
      <c r="Y112" s="135">
        <f t="shared" si="83"/>
        <v>0</v>
      </c>
      <c r="Z112" s="135">
        <f t="shared" si="83"/>
        <v>0</v>
      </c>
      <c r="AA112" s="135">
        <f t="shared" si="83"/>
        <v>0</v>
      </c>
      <c r="AB112" s="135">
        <f t="shared" si="83"/>
        <v>0</v>
      </c>
      <c r="AC112" s="135">
        <f t="shared" si="83"/>
        <v>0</v>
      </c>
      <c r="AD112" s="135">
        <f t="shared" si="83"/>
        <v>0</v>
      </c>
      <c r="AE112" s="136">
        <f t="shared" si="84"/>
        <v>0</v>
      </c>
      <c r="AF112" s="135">
        <f t="shared" si="85"/>
        <v>0</v>
      </c>
      <c r="AG112" s="135">
        <f t="shared" si="85"/>
        <v>0</v>
      </c>
      <c r="AH112" s="135">
        <f t="shared" si="85"/>
        <v>0</v>
      </c>
      <c r="AI112" s="135">
        <f t="shared" si="85"/>
        <v>0</v>
      </c>
      <c r="AJ112" s="135">
        <f t="shared" si="85"/>
        <v>0</v>
      </c>
      <c r="AK112" s="135">
        <f t="shared" si="85"/>
        <v>0</v>
      </c>
      <c r="AL112" s="135">
        <f t="shared" si="85"/>
        <v>0</v>
      </c>
      <c r="AM112" s="135">
        <f t="shared" si="85"/>
        <v>0</v>
      </c>
      <c r="AN112" s="135">
        <f t="shared" si="85"/>
        <v>0</v>
      </c>
      <c r="AO112" s="135">
        <f t="shared" si="85"/>
        <v>0</v>
      </c>
      <c r="AP112" s="135">
        <f t="shared" si="85"/>
        <v>0</v>
      </c>
      <c r="AQ112" s="135">
        <f t="shared" si="85"/>
        <v>0</v>
      </c>
      <c r="AR112" s="136">
        <f t="shared" si="86"/>
        <v>0</v>
      </c>
      <c r="AS112" s="135">
        <f t="shared" si="87"/>
        <v>0</v>
      </c>
      <c r="AT112" s="135">
        <f t="shared" si="87"/>
        <v>0</v>
      </c>
      <c r="AU112" s="135">
        <f t="shared" si="87"/>
        <v>0</v>
      </c>
      <c r="AV112" s="135">
        <f t="shared" si="87"/>
        <v>0</v>
      </c>
      <c r="AW112" s="135">
        <f t="shared" si="87"/>
        <v>0</v>
      </c>
      <c r="AX112" s="135">
        <f t="shared" si="87"/>
        <v>0</v>
      </c>
      <c r="AY112" s="135">
        <f t="shared" si="87"/>
        <v>0</v>
      </c>
      <c r="AZ112" s="135">
        <f t="shared" si="87"/>
        <v>0</v>
      </c>
      <c r="BA112" s="135">
        <f t="shared" si="87"/>
        <v>0</v>
      </c>
      <c r="BB112" s="135">
        <f t="shared" si="87"/>
        <v>0</v>
      </c>
      <c r="BC112" s="135">
        <f t="shared" si="87"/>
        <v>0</v>
      </c>
      <c r="BD112" s="135">
        <f t="shared" si="87"/>
        <v>0</v>
      </c>
      <c r="BE112" s="136">
        <f t="shared" si="88"/>
        <v>0</v>
      </c>
      <c r="BF112" s="135">
        <f t="shared" si="89"/>
        <v>0</v>
      </c>
      <c r="BG112" s="135">
        <f t="shared" si="89"/>
        <v>0</v>
      </c>
      <c r="BH112" s="135">
        <f t="shared" si="89"/>
        <v>0</v>
      </c>
      <c r="BI112" s="135">
        <f t="shared" si="89"/>
        <v>0</v>
      </c>
      <c r="BJ112" s="135">
        <f t="shared" si="89"/>
        <v>0</v>
      </c>
      <c r="BK112" s="135">
        <f t="shared" si="89"/>
        <v>0</v>
      </c>
      <c r="BL112" s="135">
        <f t="shared" si="89"/>
        <v>0</v>
      </c>
      <c r="BM112" s="135">
        <f t="shared" si="89"/>
        <v>0</v>
      </c>
      <c r="BN112" s="135">
        <f t="shared" si="89"/>
        <v>0</v>
      </c>
      <c r="BO112" s="135">
        <f t="shared" si="89"/>
        <v>0</v>
      </c>
      <c r="BP112" s="135">
        <f t="shared" si="89"/>
        <v>0</v>
      </c>
      <c r="BQ112" s="135">
        <f t="shared" si="89"/>
        <v>0</v>
      </c>
      <c r="BR112" s="136">
        <f t="shared" si="90"/>
        <v>0</v>
      </c>
      <c r="BS112" s="135">
        <f t="shared" si="91"/>
        <v>0</v>
      </c>
      <c r="BT112" s="135">
        <f t="shared" si="91"/>
        <v>0</v>
      </c>
      <c r="BU112" s="135">
        <f t="shared" si="91"/>
        <v>0</v>
      </c>
      <c r="BV112" s="135">
        <f t="shared" si="91"/>
        <v>0</v>
      </c>
      <c r="BW112" s="135">
        <f t="shared" si="91"/>
        <v>0</v>
      </c>
      <c r="BX112" s="135">
        <f t="shared" si="91"/>
        <v>0</v>
      </c>
      <c r="BY112" s="135">
        <f t="shared" si="91"/>
        <v>0</v>
      </c>
      <c r="BZ112" s="135">
        <f t="shared" si="91"/>
        <v>0</v>
      </c>
      <c r="CA112" s="135">
        <f t="shared" si="91"/>
        <v>0</v>
      </c>
      <c r="CB112" s="135">
        <f t="shared" si="91"/>
        <v>0</v>
      </c>
      <c r="CC112" s="135">
        <f t="shared" si="91"/>
        <v>0</v>
      </c>
      <c r="CD112" s="135">
        <f t="shared" si="91"/>
        <v>0</v>
      </c>
      <c r="CE112" s="136">
        <f t="shared" si="92"/>
        <v>0</v>
      </c>
      <c r="CF112" s="135">
        <f t="shared" si="93"/>
        <v>0</v>
      </c>
      <c r="CG112" s="135">
        <f t="shared" si="93"/>
        <v>0</v>
      </c>
      <c r="CH112" s="135">
        <f t="shared" si="93"/>
        <v>0</v>
      </c>
      <c r="CI112" s="135">
        <f t="shared" si="93"/>
        <v>0</v>
      </c>
      <c r="CJ112" s="135">
        <f t="shared" si="93"/>
        <v>0</v>
      </c>
      <c r="CK112" s="135">
        <f t="shared" si="93"/>
        <v>0</v>
      </c>
      <c r="CL112" s="135">
        <f t="shared" si="93"/>
        <v>0</v>
      </c>
      <c r="CM112" s="135">
        <f t="shared" si="93"/>
        <v>0</v>
      </c>
      <c r="CN112" s="135">
        <f t="shared" si="93"/>
        <v>0</v>
      </c>
      <c r="CO112" s="135">
        <f t="shared" si="93"/>
        <v>0</v>
      </c>
      <c r="CP112" s="135">
        <f t="shared" si="93"/>
        <v>0</v>
      </c>
      <c r="CQ112" s="135">
        <f t="shared" si="93"/>
        <v>0</v>
      </c>
      <c r="CR112" s="136">
        <f t="shared" si="94"/>
        <v>0</v>
      </c>
    </row>
    <row r="113" spans="1:96">
      <c r="A113" s="240">
        <f t="shared" si="95"/>
        <v>0</v>
      </c>
      <c r="B113" s="649">
        <f t="shared" si="95"/>
        <v>0</v>
      </c>
      <c r="C113" s="240">
        <f t="shared" si="95"/>
        <v>0</v>
      </c>
      <c r="D113" s="133">
        <f t="shared" si="79"/>
        <v>0</v>
      </c>
      <c r="E113" s="137"/>
      <c r="F113" s="135">
        <f t="shared" ref="F113:U115" si="96">$D113</f>
        <v>0</v>
      </c>
      <c r="G113" s="135">
        <f t="shared" si="96"/>
        <v>0</v>
      </c>
      <c r="H113" s="135">
        <f t="shared" si="96"/>
        <v>0</v>
      </c>
      <c r="I113" s="135">
        <f t="shared" si="96"/>
        <v>0</v>
      </c>
      <c r="J113" s="135">
        <f t="shared" si="96"/>
        <v>0</v>
      </c>
      <c r="K113" s="135">
        <f t="shared" si="96"/>
        <v>0</v>
      </c>
      <c r="L113" s="135">
        <f t="shared" si="96"/>
        <v>0</v>
      </c>
      <c r="M113" s="135">
        <f t="shared" si="96"/>
        <v>0</v>
      </c>
      <c r="N113" s="135">
        <f t="shared" si="96"/>
        <v>0</v>
      </c>
      <c r="O113" s="135">
        <f t="shared" si="96"/>
        <v>0</v>
      </c>
      <c r="P113" s="135">
        <f t="shared" si="96"/>
        <v>0</v>
      </c>
      <c r="Q113" s="135">
        <f t="shared" si="96"/>
        <v>0</v>
      </c>
      <c r="R113" s="136">
        <f t="shared" si="82"/>
        <v>0</v>
      </c>
      <c r="S113" s="135">
        <f t="shared" si="96"/>
        <v>0</v>
      </c>
      <c r="T113" s="135">
        <f t="shared" si="96"/>
        <v>0</v>
      </c>
      <c r="U113" s="135">
        <f t="shared" si="96"/>
        <v>0</v>
      </c>
      <c r="V113" s="135">
        <f t="shared" ref="S113:AD115" si="97">$D113</f>
        <v>0</v>
      </c>
      <c r="W113" s="135">
        <f t="shared" si="97"/>
        <v>0</v>
      </c>
      <c r="X113" s="135">
        <f t="shared" si="97"/>
        <v>0</v>
      </c>
      <c r="Y113" s="135">
        <f t="shared" si="97"/>
        <v>0</v>
      </c>
      <c r="Z113" s="135">
        <f t="shared" si="97"/>
        <v>0</v>
      </c>
      <c r="AA113" s="135">
        <f t="shared" si="97"/>
        <v>0</v>
      </c>
      <c r="AB113" s="135">
        <f t="shared" si="97"/>
        <v>0</v>
      </c>
      <c r="AC113" s="135">
        <f t="shared" si="97"/>
        <v>0</v>
      </c>
      <c r="AD113" s="135">
        <f t="shared" si="97"/>
        <v>0</v>
      </c>
      <c r="AE113" s="136">
        <f t="shared" si="84"/>
        <v>0</v>
      </c>
      <c r="AF113" s="135">
        <f t="shared" ref="AF113:AU115" si="98">$D113</f>
        <v>0</v>
      </c>
      <c r="AG113" s="135">
        <f t="shared" si="98"/>
        <v>0</v>
      </c>
      <c r="AH113" s="135">
        <f t="shared" si="98"/>
        <v>0</v>
      </c>
      <c r="AI113" s="135">
        <f t="shared" si="98"/>
        <v>0</v>
      </c>
      <c r="AJ113" s="135">
        <f t="shared" si="98"/>
        <v>0</v>
      </c>
      <c r="AK113" s="135">
        <f t="shared" si="98"/>
        <v>0</v>
      </c>
      <c r="AL113" s="135">
        <f t="shared" si="98"/>
        <v>0</v>
      </c>
      <c r="AM113" s="135">
        <f t="shared" si="98"/>
        <v>0</v>
      </c>
      <c r="AN113" s="135">
        <f t="shared" si="98"/>
        <v>0</v>
      </c>
      <c r="AO113" s="135">
        <f t="shared" si="98"/>
        <v>0</v>
      </c>
      <c r="AP113" s="135">
        <f t="shared" si="98"/>
        <v>0</v>
      </c>
      <c r="AQ113" s="135">
        <f t="shared" si="98"/>
        <v>0</v>
      </c>
      <c r="AR113" s="136">
        <f t="shared" si="86"/>
        <v>0</v>
      </c>
      <c r="AS113" s="135">
        <f t="shared" si="98"/>
        <v>0</v>
      </c>
      <c r="AT113" s="135">
        <f t="shared" si="98"/>
        <v>0</v>
      </c>
      <c r="AU113" s="135">
        <f t="shared" si="98"/>
        <v>0</v>
      </c>
      <c r="AV113" s="135">
        <f t="shared" ref="AS113:BD115" si="99">$D113</f>
        <v>0</v>
      </c>
      <c r="AW113" s="135">
        <f t="shared" si="99"/>
        <v>0</v>
      </c>
      <c r="AX113" s="135">
        <f t="shared" si="99"/>
        <v>0</v>
      </c>
      <c r="AY113" s="135">
        <f t="shared" si="99"/>
        <v>0</v>
      </c>
      <c r="AZ113" s="135">
        <f t="shared" si="99"/>
        <v>0</v>
      </c>
      <c r="BA113" s="135">
        <f t="shared" si="99"/>
        <v>0</v>
      </c>
      <c r="BB113" s="135">
        <f t="shared" si="99"/>
        <v>0</v>
      </c>
      <c r="BC113" s="135">
        <f t="shared" si="99"/>
        <v>0</v>
      </c>
      <c r="BD113" s="135">
        <f t="shared" si="99"/>
        <v>0</v>
      </c>
      <c r="BE113" s="136">
        <f t="shared" si="88"/>
        <v>0</v>
      </c>
      <c r="BF113" s="135">
        <f t="shared" ref="BF113:BU115" si="100">$D113</f>
        <v>0</v>
      </c>
      <c r="BG113" s="135">
        <f t="shared" si="100"/>
        <v>0</v>
      </c>
      <c r="BH113" s="135">
        <f t="shared" si="100"/>
        <v>0</v>
      </c>
      <c r="BI113" s="135">
        <f t="shared" si="100"/>
        <v>0</v>
      </c>
      <c r="BJ113" s="135">
        <f t="shared" si="100"/>
        <v>0</v>
      </c>
      <c r="BK113" s="135">
        <f t="shared" si="100"/>
        <v>0</v>
      </c>
      <c r="BL113" s="135">
        <f t="shared" si="100"/>
        <v>0</v>
      </c>
      <c r="BM113" s="135">
        <f t="shared" si="100"/>
        <v>0</v>
      </c>
      <c r="BN113" s="135">
        <f t="shared" si="100"/>
        <v>0</v>
      </c>
      <c r="BO113" s="135">
        <f t="shared" si="100"/>
        <v>0</v>
      </c>
      <c r="BP113" s="135">
        <f t="shared" si="100"/>
        <v>0</v>
      </c>
      <c r="BQ113" s="135">
        <f t="shared" si="100"/>
        <v>0</v>
      </c>
      <c r="BR113" s="136">
        <f t="shared" si="90"/>
        <v>0</v>
      </c>
      <c r="BS113" s="135">
        <f t="shared" si="100"/>
        <v>0</v>
      </c>
      <c r="BT113" s="135">
        <f t="shared" si="100"/>
        <v>0</v>
      </c>
      <c r="BU113" s="135">
        <f t="shared" si="100"/>
        <v>0</v>
      </c>
      <c r="BV113" s="135">
        <f t="shared" ref="BS113:CD115" si="101">$D113</f>
        <v>0</v>
      </c>
      <c r="BW113" s="135">
        <f t="shared" si="101"/>
        <v>0</v>
      </c>
      <c r="BX113" s="135">
        <f t="shared" si="101"/>
        <v>0</v>
      </c>
      <c r="BY113" s="135">
        <f t="shared" si="101"/>
        <v>0</v>
      </c>
      <c r="BZ113" s="135">
        <f t="shared" si="101"/>
        <v>0</v>
      </c>
      <c r="CA113" s="135">
        <f t="shared" si="101"/>
        <v>0</v>
      </c>
      <c r="CB113" s="135">
        <f t="shared" si="101"/>
        <v>0</v>
      </c>
      <c r="CC113" s="135">
        <f t="shared" si="101"/>
        <v>0</v>
      </c>
      <c r="CD113" s="135">
        <f t="shared" si="101"/>
        <v>0</v>
      </c>
      <c r="CE113" s="136">
        <f t="shared" si="92"/>
        <v>0</v>
      </c>
      <c r="CF113" s="135">
        <f t="shared" ref="CF113:CQ115" si="102">$D113</f>
        <v>0</v>
      </c>
      <c r="CG113" s="135">
        <f t="shared" si="102"/>
        <v>0</v>
      </c>
      <c r="CH113" s="135">
        <f t="shared" si="102"/>
        <v>0</v>
      </c>
      <c r="CI113" s="135">
        <f t="shared" si="102"/>
        <v>0</v>
      </c>
      <c r="CJ113" s="135">
        <f t="shared" si="102"/>
        <v>0</v>
      </c>
      <c r="CK113" s="135">
        <f t="shared" si="102"/>
        <v>0</v>
      </c>
      <c r="CL113" s="135">
        <f t="shared" si="102"/>
        <v>0</v>
      </c>
      <c r="CM113" s="135">
        <f t="shared" si="102"/>
        <v>0</v>
      </c>
      <c r="CN113" s="135">
        <f t="shared" si="102"/>
        <v>0</v>
      </c>
      <c r="CO113" s="135">
        <f t="shared" si="102"/>
        <v>0</v>
      </c>
      <c r="CP113" s="135">
        <f t="shared" si="102"/>
        <v>0</v>
      </c>
      <c r="CQ113" s="135">
        <f t="shared" si="102"/>
        <v>0</v>
      </c>
      <c r="CR113" s="136">
        <f t="shared" si="94"/>
        <v>0</v>
      </c>
    </row>
    <row r="114" spans="1:96">
      <c r="A114" s="240">
        <f t="shared" si="95"/>
        <v>0</v>
      </c>
      <c r="B114" s="649">
        <f t="shared" si="95"/>
        <v>0</v>
      </c>
      <c r="C114" s="240">
        <f t="shared" si="95"/>
        <v>0</v>
      </c>
      <c r="D114" s="133">
        <f t="shared" si="79"/>
        <v>0</v>
      </c>
      <c r="E114" s="137"/>
      <c r="F114" s="135">
        <f t="shared" si="96"/>
        <v>0</v>
      </c>
      <c r="G114" s="135">
        <f t="shared" si="96"/>
        <v>0</v>
      </c>
      <c r="H114" s="135">
        <f t="shared" si="96"/>
        <v>0</v>
      </c>
      <c r="I114" s="135">
        <f t="shared" si="96"/>
        <v>0</v>
      </c>
      <c r="J114" s="135">
        <f t="shared" si="96"/>
        <v>0</v>
      </c>
      <c r="K114" s="135">
        <f t="shared" si="96"/>
        <v>0</v>
      </c>
      <c r="L114" s="135">
        <f t="shared" si="96"/>
        <v>0</v>
      </c>
      <c r="M114" s="135">
        <f t="shared" si="96"/>
        <v>0</v>
      </c>
      <c r="N114" s="135">
        <f t="shared" si="96"/>
        <v>0</v>
      </c>
      <c r="O114" s="135">
        <f t="shared" si="96"/>
        <v>0</v>
      </c>
      <c r="P114" s="135">
        <f t="shared" si="96"/>
        <v>0</v>
      </c>
      <c r="Q114" s="135">
        <f t="shared" si="96"/>
        <v>0</v>
      </c>
      <c r="R114" s="136">
        <f t="shared" si="82"/>
        <v>0</v>
      </c>
      <c r="S114" s="135">
        <f t="shared" si="97"/>
        <v>0</v>
      </c>
      <c r="T114" s="135">
        <f t="shared" si="97"/>
        <v>0</v>
      </c>
      <c r="U114" s="135">
        <f t="shared" si="97"/>
        <v>0</v>
      </c>
      <c r="V114" s="135">
        <f t="shared" si="97"/>
        <v>0</v>
      </c>
      <c r="W114" s="135">
        <f t="shared" si="97"/>
        <v>0</v>
      </c>
      <c r="X114" s="135">
        <f t="shared" si="97"/>
        <v>0</v>
      </c>
      <c r="Y114" s="135">
        <f t="shared" si="97"/>
        <v>0</v>
      </c>
      <c r="Z114" s="135">
        <f t="shared" si="97"/>
        <v>0</v>
      </c>
      <c r="AA114" s="135">
        <f t="shared" si="97"/>
        <v>0</v>
      </c>
      <c r="AB114" s="135">
        <f t="shared" si="97"/>
        <v>0</v>
      </c>
      <c r="AC114" s="135">
        <f t="shared" si="97"/>
        <v>0</v>
      </c>
      <c r="AD114" s="135">
        <f t="shared" si="97"/>
        <v>0</v>
      </c>
      <c r="AE114" s="136">
        <f t="shared" si="84"/>
        <v>0</v>
      </c>
      <c r="AF114" s="135">
        <f t="shared" si="98"/>
        <v>0</v>
      </c>
      <c r="AG114" s="135">
        <f t="shared" si="98"/>
        <v>0</v>
      </c>
      <c r="AH114" s="135">
        <f t="shared" si="98"/>
        <v>0</v>
      </c>
      <c r="AI114" s="135">
        <f t="shared" si="98"/>
        <v>0</v>
      </c>
      <c r="AJ114" s="135">
        <f t="shared" si="98"/>
        <v>0</v>
      </c>
      <c r="AK114" s="135">
        <f t="shared" si="98"/>
        <v>0</v>
      </c>
      <c r="AL114" s="135">
        <f t="shared" si="98"/>
        <v>0</v>
      </c>
      <c r="AM114" s="135">
        <f t="shared" si="98"/>
        <v>0</v>
      </c>
      <c r="AN114" s="135">
        <f t="shared" si="98"/>
        <v>0</v>
      </c>
      <c r="AO114" s="135">
        <f t="shared" si="98"/>
        <v>0</v>
      </c>
      <c r="AP114" s="135">
        <f t="shared" si="98"/>
        <v>0</v>
      </c>
      <c r="AQ114" s="135">
        <f t="shared" si="98"/>
        <v>0</v>
      </c>
      <c r="AR114" s="136">
        <f t="shared" si="86"/>
        <v>0</v>
      </c>
      <c r="AS114" s="135">
        <f t="shared" si="99"/>
        <v>0</v>
      </c>
      <c r="AT114" s="135">
        <f t="shared" si="99"/>
        <v>0</v>
      </c>
      <c r="AU114" s="135">
        <f t="shared" si="99"/>
        <v>0</v>
      </c>
      <c r="AV114" s="135">
        <f t="shared" si="99"/>
        <v>0</v>
      </c>
      <c r="AW114" s="135">
        <f t="shared" si="99"/>
        <v>0</v>
      </c>
      <c r="AX114" s="135">
        <f t="shared" si="99"/>
        <v>0</v>
      </c>
      <c r="AY114" s="135">
        <f t="shared" si="99"/>
        <v>0</v>
      </c>
      <c r="AZ114" s="135">
        <f t="shared" si="99"/>
        <v>0</v>
      </c>
      <c r="BA114" s="135">
        <f t="shared" si="99"/>
        <v>0</v>
      </c>
      <c r="BB114" s="135">
        <f t="shared" si="99"/>
        <v>0</v>
      </c>
      <c r="BC114" s="135">
        <f t="shared" si="99"/>
        <v>0</v>
      </c>
      <c r="BD114" s="135">
        <f t="shared" si="99"/>
        <v>0</v>
      </c>
      <c r="BE114" s="136">
        <f t="shared" si="88"/>
        <v>0</v>
      </c>
      <c r="BF114" s="135">
        <f t="shared" si="100"/>
        <v>0</v>
      </c>
      <c r="BG114" s="135">
        <f t="shared" si="100"/>
        <v>0</v>
      </c>
      <c r="BH114" s="135">
        <f t="shared" si="100"/>
        <v>0</v>
      </c>
      <c r="BI114" s="135">
        <f t="shared" si="100"/>
        <v>0</v>
      </c>
      <c r="BJ114" s="135">
        <f t="shared" si="100"/>
        <v>0</v>
      </c>
      <c r="BK114" s="135">
        <f t="shared" si="100"/>
        <v>0</v>
      </c>
      <c r="BL114" s="135">
        <f t="shared" si="100"/>
        <v>0</v>
      </c>
      <c r="BM114" s="135">
        <f t="shared" si="100"/>
        <v>0</v>
      </c>
      <c r="BN114" s="135">
        <f t="shared" si="100"/>
        <v>0</v>
      </c>
      <c r="BO114" s="135">
        <f t="shared" si="100"/>
        <v>0</v>
      </c>
      <c r="BP114" s="135">
        <f t="shared" si="100"/>
        <v>0</v>
      </c>
      <c r="BQ114" s="135">
        <f t="shared" si="100"/>
        <v>0</v>
      </c>
      <c r="BR114" s="136">
        <f t="shared" si="90"/>
        <v>0</v>
      </c>
      <c r="BS114" s="135">
        <f t="shared" si="101"/>
        <v>0</v>
      </c>
      <c r="BT114" s="135">
        <f t="shared" si="101"/>
        <v>0</v>
      </c>
      <c r="BU114" s="135">
        <f t="shared" si="101"/>
        <v>0</v>
      </c>
      <c r="BV114" s="135">
        <f t="shared" si="101"/>
        <v>0</v>
      </c>
      <c r="BW114" s="135">
        <f t="shared" si="101"/>
        <v>0</v>
      </c>
      <c r="BX114" s="135">
        <f t="shared" si="101"/>
        <v>0</v>
      </c>
      <c r="BY114" s="135">
        <f t="shared" si="101"/>
        <v>0</v>
      </c>
      <c r="BZ114" s="135">
        <f t="shared" si="101"/>
        <v>0</v>
      </c>
      <c r="CA114" s="135">
        <f t="shared" si="101"/>
        <v>0</v>
      </c>
      <c r="CB114" s="135">
        <f t="shared" si="101"/>
        <v>0</v>
      </c>
      <c r="CC114" s="135">
        <f t="shared" si="101"/>
        <v>0</v>
      </c>
      <c r="CD114" s="135">
        <f t="shared" si="101"/>
        <v>0</v>
      </c>
      <c r="CE114" s="136">
        <f t="shared" si="92"/>
        <v>0</v>
      </c>
      <c r="CF114" s="135">
        <f t="shared" si="102"/>
        <v>0</v>
      </c>
      <c r="CG114" s="135">
        <f t="shared" si="102"/>
        <v>0</v>
      </c>
      <c r="CH114" s="135">
        <f t="shared" si="102"/>
        <v>0</v>
      </c>
      <c r="CI114" s="135">
        <f t="shared" si="102"/>
        <v>0</v>
      </c>
      <c r="CJ114" s="135">
        <f t="shared" si="102"/>
        <v>0</v>
      </c>
      <c r="CK114" s="135">
        <f t="shared" si="102"/>
        <v>0</v>
      </c>
      <c r="CL114" s="135">
        <f t="shared" si="102"/>
        <v>0</v>
      </c>
      <c r="CM114" s="135">
        <f t="shared" si="102"/>
        <v>0</v>
      </c>
      <c r="CN114" s="135">
        <f t="shared" si="102"/>
        <v>0</v>
      </c>
      <c r="CO114" s="135">
        <f t="shared" si="102"/>
        <v>0</v>
      </c>
      <c r="CP114" s="135">
        <f t="shared" si="102"/>
        <v>0</v>
      </c>
      <c r="CQ114" s="135">
        <f t="shared" si="102"/>
        <v>0</v>
      </c>
      <c r="CR114" s="136">
        <f t="shared" si="94"/>
        <v>0</v>
      </c>
    </row>
    <row r="115" spans="1:96" ht="18.75" thickBot="1">
      <c r="A115" s="240">
        <f t="shared" si="95"/>
        <v>0</v>
      </c>
      <c r="B115" s="649">
        <f t="shared" si="95"/>
        <v>0</v>
      </c>
      <c r="C115" s="240">
        <f t="shared" si="95"/>
        <v>0</v>
      </c>
      <c r="D115" s="133">
        <f t="shared" si="79"/>
        <v>0</v>
      </c>
      <c r="E115" s="137"/>
      <c r="F115" s="135">
        <f t="shared" si="96"/>
        <v>0</v>
      </c>
      <c r="G115" s="135">
        <f t="shared" si="96"/>
        <v>0</v>
      </c>
      <c r="H115" s="135">
        <f t="shared" si="96"/>
        <v>0</v>
      </c>
      <c r="I115" s="135">
        <f t="shared" si="96"/>
        <v>0</v>
      </c>
      <c r="J115" s="135">
        <f t="shared" si="96"/>
        <v>0</v>
      </c>
      <c r="K115" s="135">
        <f t="shared" si="96"/>
        <v>0</v>
      </c>
      <c r="L115" s="135">
        <f t="shared" si="96"/>
        <v>0</v>
      </c>
      <c r="M115" s="135">
        <f t="shared" si="96"/>
        <v>0</v>
      </c>
      <c r="N115" s="135">
        <f t="shared" si="96"/>
        <v>0</v>
      </c>
      <c r="O115" s="135">
        <f t="shared" si="96"/>
        <v>0</v>
      </c>
      <c r="P115" s="135">
        <f t="shared" si="96"/>
        <v>0</v>
      </c>
      <c r="Q115" s="135">
        <f t="shared" si="96"/>
        <v>0</v>
      </c>
      <c r="R115" s="136">
        <f t="shared" si="82"/>
        <v>0</v>
      </c>
      <c r="S115" s="135">
        <f t="shared" si="97"/>
        <v>0</v>
      </c>
      <c r="T115" s="135">
        <f t="shared" si="97"/>
        <v>0</v>
      </c>
      <c r="U115" s="135">
        <f t="shared" si="97"/>
        <v>0</v>
      </c>
      <c r="V115" s="135">
        <f t="shared" si="97"/>
        <v>0</v>
      </c>
      <c r="W115" s="135">
        <f t="shared" si="97"/>
        <v>0</v>
      </c>
      <c r="X115" s="135">
        <f t="shared" si="97"/>
        <v>0</v>
      </c>
      <c r="Y115" s="135">
        <f t="shared" si="97"/>
        <v>0</v>
      </c>
      <c r="Z115" s="135">
        <f t="shared" si="97"/>
        <v>0</v>
      </c>
      <c r="AA115" s="135">
        <f t="shared" si="97"/>
        <v>0</v>
      </c>
      <c r="AB115" s="135">
        <f t="shared" si="97"/>
        <v>0</v>
      </c>
      <c r="AC115" s="135">
        <f t="shared" si="97"/>
        <v>0</v>
      </c>
      <c r="AD115" s="135">
        <f t="shared" si="97"/>
        <v>0</v>
      </c>
      <c r="AE115" s="136">
        <f t="shared" si="84"/>
        <v>0</v>
      </c>
      <c r="AF115" s="135">
        <f t="shared" si="98"/>
        <v>0</v>
      </c>
      <c r="AG115" s="135">
        <f t="shared" si="98"/>
        <v>0</v>
      </c>
      <c r="AH115" s="135">
        <f t="shared" si="98"/>
        <v>0</v>
      </c>
      <c r="AI115" s="135">
        <f t="shared" si="98"/>
        <v>0</v>
      </c>
      <c r="AJ115" s="135">
        <f t="shared" si="98"/>
        <v>0</v>
      </c>
      <c r="AK115" s="135">
        <f t="shared" si="98"/>
        <v>0</v>
      </c>
      <c r="AL115" s="135">
        <f t="shared" si="98"/>
        <v>0</v>
      </c>
      <c r="AM115" s="135">
        <f t="shared" si="98"/>
        <v>0</v>
      </c>
      <c r="AN115" s="135">
        <f t="shared" si="98"/>
        <v>0</v>
      </c>
      <c r="AO115" s="135">
        <f t="shared" si="98"/>
        <v>0</v>
      </c>
      <c r="AP115" s="135">
        <f t="shared" si="98"/>
        <v>0</v>
      </c>
      <c r="AQ115" s="135">
        <f t="shared" si="98"/>
        <v>0</v>
      </c>
      <c r="AR115" s="136">
        <f t="shared" si="86"/>
        <v>0</v>
      </c>
      <c r="AS115" s="135">
        <f t="shared" si="99"/>
        <v>0</v>
      </c>
      <c r="AT115" s="135">
        <f t="shared" si="99"/>
        <v>0</v>
      </c>
      <c r="AU115" s="135">
        <f t="shared" si="99"/>
        <v>0</v>
      </c>
      <c r="AV115" s="135">
        <f t="shared" si="99"/>
        <v>0</v>
      </c>
      <c r="AW115" s="135">
        <f t="shared" si="99"/>
        <v>0</v>
      </c>
      <c r="AX115" s="135">
        <f t="shared" si="99"/>
        <v>0</v>
      </c>
      <c r="AY115" s="135">
        <f t="shared" si="99"/>
        <v>0</v>
      </c>
      <c r="AZ115" s="135">
        <f t="shared" si="99"/>
        <v>0</v>
      </c>
      <c r="BA115" s="135">
        <f t="shared" si="99"/>
        <v>0</v>
      </c>
      <c r="BB115" s="135">
        <f t="shared" si="99"/>
        <v>0</v>
      </c>
      <c r="BC115" s="135">
        <f t="shared" si="99"/>
        <v>0</v>
      </c>
      <c r="BD115" s="135">
        <f t="shared" si="99"/>
        <v>0</v>
      </c>
      <c r="BE115" s="136">
        <f t="shared" si="88"/>
        <v>0</v>
      </c>
      <c r="BF115" s="135">
        <f t="shared" si="100"/>
        <v>0</v>
      </c>
      <c r="BG115" s="135">
        <f t="shared" si="100"/>
        <v>0</v>
      </c>
      <c r="BH115" s="135">
        <f t="shared" si="100"/>
        <v>0</v>
      </c>
      <c r="BI115" s="135">
        <f t="shared" si="100"/>
        <v>0</v>
      </c>
      <c r="BJ115" s="135">
        <f t="shared" si="100"/>
        <v>0</v>
      </c>
      <c r="BK115" s="135">
        <f t="shared" si="100"/>
        <v>0</v>
      </c>
      <c r="BL115" s="135">
        <f t="shared" si="100"/>
        <v>0</v>
      </c>
      <c r="BM115" s="135">
        <f t="shared" si="100"/>
        <v>0</v>
      </c>
      <c r="BN115" s="135">
        <f t="shared" si="100"/>
        <v>0</v>
      </c>
      <c r="BO115" s="135">
        <f t="shared" si="100"/>
        <v>0</v>
      </c>
      <c r="BP115" s="135">
        <f t="shared" si="100"/>
        <v>0</v>
      </c>
      <c r="BQ115" s="135">
        <f t="shared" si="100"/>
        <v>0</v>
      </c>
      <c r="BR115" s="136">
        <f t="shared" si="90"/>
        <v>0</v>
      </c>
      <c r="BS115" s="135">
        <f t="shared" si="101"/>
        <v>0</v>
      </c>
      <c r="BT115" s="135">
        <f t="shared" si="101"/>
        <v>0</v>
      </c>
      <c r="BU115" s="135">
        <f t="shared" si="101"/>
        <v>0</v>
      </c>
      <c r="BV115" s="135">
        <f t="shared" si="101"/>
        <v>0</v>
      </c>
      <c r="BW115" s="135">
        <f t="shared" si="101"/>
        <v>0</v>
      </c>
      <c r="BX115" s="135">
        <f t="shared" si="101"/>
        <v>0</v>
      </c>
      <c r="BY115" s="135">
        <f t="shared" si="101"/>
        <v>0</v>
      </c>
      <c r="BZ115" s="135">
        <f t="shared" si="101"/>
        <v>0</v>
      </c>
      <c r="CA115" s="135">
        <f t="shared" si="101"/>
        <v>0</v>
      </c>
      <c r="CB115" s="135">
        <f t="shared" si="101"/>
        <v>0</v>
      </c>
      <c r="CC115" s="135">
        <f t="shared" si="101"/>
        <v>0</v>
      </c>
      <c r="CD115" s="135">
        <f t="shared" si="101"/>
        <v>0</v>
      </c>
      <c r="CE115" s="136">
        <f t="shared" si="92"/>
        <v>0</v>
      </c>
      <c r="CF115" s="135">
        <f t="shared" si="102"/>
        <v>0</v>
      </c>
      <c r="CG115" s="135">
        <f t="shared" si="102"/>
        <v>0</v>
      </c>
      <c r="CH115" s="135">
        <f t="shared" si="102"/>
        <v>0</v>
      </c>
      <c r="CI115" s="135">
        <f t="shared" si="102"/>
        <v>0</v>
      </c>
      <c r="CJ115" s="135">
        <f t="shared" si="102"/>
        <v>0</v>
      </c>
      <c r="CK115" s="135">
        <f t="shared" si="102"/>
        <v>0</v>
      </c>
      <c r="CL115" s="135">
        <f t="shared" si="102"/>
        <v>0</v>
      </c>
      <c r="CM115" s="135">
        <f t="shared" si="102"/>
        <v>0</v>
      </c>
      <c r="CN115" s="135">
        <f t="shared" si="102"/>
        <v>0</v>
      </c>
      <c r="CO115" s="135">
        <f t="shared" si="102"/>
        <v>0</v>
      </c>
      <c r="CP115" s="135">
        <f t="shared" si="102"/>
        <v>0</v>
      </c>
      <c r="CQ115" s="135">
        <f t="shared" si="102"/>
        <v>0</v>
      </c>
      <c r="CR115" s="136">
        <f t="shared" si="94"/>
        <v>0</v>
      </c>
    </row>
    <row r="116" spans="1:96" ht="18.75" thickBot="1">
      <c r="A116" s="805" t="s">
        <v>110</v>
      </c>
      <c r="B116" s="806"/>
      <c r="C116" s="806"/>
      <c r="D116" s="806"/>
      <c r="E116" s="138">
        <f t="shared" ref="E116:R116" si="103">SUM(E96:E115)</f>
        <v>0</v>
      </c>
      <c r="F116" s="139">
        <f t="shared" si="103"/>
        <v>0</v>
      </c>
      <c r="G116" s="139">
        <f t="shared" si="103"/>
        <v>0</v>
      </c>
      <c r="H116" s="139">
        <f t="shared" si="103"/>
        <v>0</v>
      </c>
      <c r="I116" s="139">
        <f t="shared" si="103"/>
        <v>0</v>
      </c>
      <c r="J116" s="139">
        <f t="shared" si="103"/>
        <v>0</v>
      </c>
      <c r="K116" s="139">
        <f t="shared" si="103"/>
        <v>0</v>
      </c>
      <c r="L116" s="139">
        <f t="shared" si="103"/>
        <v>0</v>
      </c>
      <c r="M116" s="139">
        <f t="shared" si="103"/>
        <v>0</v>
      </c>
      <c r="N116" s="139">
        <f t="shared" si="103"/>
        <v>0</v>
      </c>
      <c r="O116" s="139">
        <f t="shared" si="103"/>
        <v>0</v>
      </c>
      <c r="P116" s="139">
        <f t="shared" si="103"/>
        <v>0</v>
      </c>
      <c r="Q116" s="139">
        <f t="shared" si="103"/>
        <v>0</v>
      </c>
      <c r="R116" s="139">
        <f t="shared" si="103"/>
        <v>0</v>
      </c>
      <c r="S116" s="139">
        <f t="shared" ref="S116:AR116" si="104">SUM(S96:S115)</f>
        <v>0</v>
      </c>
      <c r="T116" s="139">
        <f t="shared" si="104"/>
        <v>0</v>
      </c>
      <c r="U116" s="139">
        <f t="shared" si="104"/>
        <v>0</v>
      </c>
      <c r="V116" s="139">
        <f t="shared" si="104"/>
        <v>0</v>
      </c>
      <c r="W116" s="139">
        <f t="shared" si="104"/>
        <v>0</v>
      </c>
      <c r="X116" s="139">
        <f t="shared" si="104"/>
        <v>0</v>
      </c>
      <c r="Y116" s="139">
        <f t="shared" si="104"/>
        <v>0</v>
      </c>
      <c r="Z116" s="139">
        <f t="shared" si="104"/>
        <v>0</v>
      </c>
      <c r="AA116" s="139">
        <f t="shared" si="104"/>
        <v>0</v>
      </c>
      <c r="AB116" s="139">
        <f t="shared" si="104"/>
        <v>0</v>
      </c>
      <c r="AC116" s="139">
        <f t="shared" si="104"/>
        <v>0</v>
      </c>
      <c r="AD116" s="139">
        <f t="shared" si="104"/>
        <v>0</v>
      </c>
      <c r="AE116" s="139">
        <f t="shared" si="104"/>
        <v>0</v>
      </c>
      <c r="AF116" s="139">
        <f t="shared" si="104"/>
        <v>0</v>
      </c>
      <c r="AG116" s="139">
        <f t="shared" si="104"/>
        <v>0</v>
      </c>
      <c r="AH116" s="139">
        <f t="shared" si="104"/>
        <v>0</v>
      </c>
      <c r="AI116" s="139">
        <f t="shared" si="104"/>
        <v>0</v>
      </c>
      <c r="AJ116" s="139">
        <f t="shared" si="104"/>
        <v>0</v>
      </c>
      <c r="AK116" s="139">
        <f t="shared" si="104"/>
        <v>0</v>
      </c>
      <c r="AL116" s="139">
        <f t="shared" si="104"/>
        <v>0</v>
      </c>
      <c r="AM116" s="139">
        <f t="shared" si="104"/>
        <v>0</v>
      </c>
      <c r="AN116" s="139">
        <f t="shared" si="104"/>
        <v>0</v>
      </c>
      <c r="AO116" s="139">
        <f t="shared" si="104"/>
        <v>0</v>
      </c>
      <c r="AP116" s="139">
        <f t="shared" si="104"/>
        <v>0</v>
      </c>
      <c r="AQ116" s="139">
        <f t="shared" si="104"/>
        <v>0</v>
      </c>
      <c r="AR116" s="139">
        <f t="shared" si="104"/>
        <v>0</v>
      </c>
      <c r="AS116" s="139">
        <f t="shared" ref="AS116:BE116" si="105">SUM(AS96:AS115)</f>
        <v>0</v>
      </c>
      <c r="AT116" s="139">
        <f t="shared" si="105"/>
        <v>0</v>
      </c>
      <c r="AU116" s="139">
        <f t="shared" si="105"/>
        <v>0</v>
      </c>
      <c r="AV116" s="139">
        <f t="shared" si="105"/>
        <v>0</v>
      </c>
      <c r="AW116" s="139">
        <f t="shared" si="105"/>
        <v>0</v>
      </c>
      <c r="AX116" s="139">
        <f t="shared" si="105"/>
        <v>0</v>
      </c>
      <c r="AY116" s="139">
        <f t="shared" si="105"/>
        <v>0</v>
      </c>
      <c r="AZ116" s="139">
        <f t="shared" si="105"/>
        <v>0</v>
      </c>
      <c r="BA116" s="139">
        <f t="shared" si="105"/>
        <v>0</v>
      </c>
      <c r="BB116" s="139">
        <f t="shared" si="105"/>
        <v>0</v>
      </c>
      <c r="BC116" s="139">
        <f t="shared" si="105"/>
        <v>0</v>
      </c>
      <c r="BD116" s="139">
        <f t="shared" si="105"/>
        <v>0</v>
      </c>
      <c r="BE116" s="139">
        <f t="shared" si="105"/>
        <v>0</v>
      </c>
      <c r="BF116" s="139">
        <f t="shared" ref="BF116:BR116" si="106">SUM(BF96:BF115)</f>
        <v>0</v>
      </c>
      <c r="BG116" s="139">
        <f t="shared" si="106"/>
        <v>0</v>
      </c>
      <c r="BH116" s="139">
        <f t="shared" si="106"/>
        <v>0</v>
      </c>
      <c r="BI116" s="139">
        <f t="shared" si="106"/>
        <v>0</v>
      </c>
      <c r="BJ116" s="139">
        <f t="shared" si="106"/>
        <v>0</v>
      </c>
      <c r="BK116" s="139">
        <f t="shared" si="106"/>
        <v>0</v>
      </c>
      <c r="BL116" s="139">
        <f t="shared" si="106"/>
        <v>0</v>
      </c>
      <c r="BM116" s="139">
        <f t="shared" si="106"/>
        <v>0</v>
      </c>
      <c r="BN116" s="139">
        <f t="shared" si="106"/>
        <v>0</v>
      </c>
      <c r="BO116" s="139">
        <f t="shared" si="106"/>
        <v>0</v>
      </c>
      <c r="BP116" s="139">
        <f t="shared" si="106"/>
        <v>0</v>
      </c>
      <c r="BQ116" s="139">
        <f t="shared" si="106"/>
        <v>0</v>
      </c>
      <c r="BR116" s="139">
        <f t="shared" si="106"/>
        <v>0</v>
      </c>
      <c r="BS116" s="139">
        <f t="shared" ref="BS116:CR116" si="107">SUM(BS96:BS115)</f>
        <v>0</v>
      </c>
      <c r="BT116" s="139">
        <f t="shared" si="107"/>
        <v>0</v>
      </c>
      <c r="BU116" s="139">
        <f t="shared" si="107"/>
        <v>0</v>
      </c>
      <c r="BV116" s="139">
        <f t="shared" si="107"/>
        <v>0</v>
      </c>
      <c r="BW116" s="139">
        <f t="shared" si="107"/>
        <v>0</v>
      </c>
      <c r="BX116" s="139">
        <f t="shared" si="107"/>
        <v>0</v>
      </c>
      <c r="BY116" s="139">
        <f t="shared" si="107"/>
        <v>0</v>
      </c>
      <c r="BZ116" s="139">
        <f t="shared" si="107"/>
        <v>0</v>
      </c>
      <c r="CA116" s="139">
        <f t="shared" si="107"/>
        <v>0</v>
      </c>
      <c r="CB116" s="139">
        <f t="shared" si="107"/>
        <v>0</v>
      </c>
      <c r="CC116" s="139">
        <f t="shared" si="107"/>
        <v>0</v>
      </c>
      <c r="CD116" s="139">
        <f t="shared" si="107"/>
        <v>0</v>
      </c>
      <c r="CE116" s="139">
        <f t="shared" si="107"/>
        <v>0</v>
      </c>
      <c r="CF116" s="139">
        <f t="shared" si="107"/>
        <v>0</v>
      </c>
      <c r="CG116" s="139">
        <f t="shared" si="107"/>
        <v>0</v>
      </c>
      <c r="CH116" s="139">
        <f t="shared" si="107"/>
        <v>0</v>
      </c>
      <c r="CI116" s="139">
        <f t="shared" si="107"/>
        <v>0</v>
      </c>
      <c r="CJ116" s="139">
        <f t="shared" si="107"/>
        <v>0</v>
      </c>
      <c r="CK116" s="139">
        <f t="shared" si="107"/>
        <v>0</v>
      </c>
      <c r="CL116" s="139">
        <f t="shared" si="107"/>
        <v>0</v>
      </c>
      <c r="CM116" s="139">
        <f t="shared" si="107"/>
        <v>0</v>
      </c>
      <c r="CN116" s="139">
        <f t="shared" si="107"/>
        <v>0</v>
      </c>
      <c r="CO116" s="139">
        <f t="shared" si="107"/>
        <v>0</v>
      </c>
      <c r="CP116" s="139">
        <f t="shared" si="107"/>
        <v>0</v>
      </c>
      <c r="CQ116" s="139">
        <f t="shared" si="107"/>
        <v>0</v>
      </c>
      <c r="CR116" s="139">
        <f t="shared" si="107"/>
        <v>0</v>
      </c>
    </row>
    <row r="118" spans="1:96">
      <c r="A118" s="804" t="s">
        <v>563</v>
      </c>
      <c r="B118" s="804"/>
      <c r="C118" s="804"/>
      <c r="D118" s="804"/>
    </row>
    <row r="119" spans="1:96" ht="18.75" thickBot="1">
      <c r="A119" s="282" t="s">
        <v>560</v>
      </c>
      <c r="B119" s="282"/>
      <c r="C119" s="282"/>
      <c r="D119" s="282"/>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c r="CQ119" s="133"/>
      <c r="CR119" s="133"/>
    </row>
    <row r="120" spans="1:96" ht="19.5" thickTop="1" thickBot="1">
      <c r="A120" s="140" t="str">
        <f>CONCATENATE("Currency: "," ",'Summary. Assumptions. Inputs'!$J$7)</f>
        <v>Currency:  USD</v>
      </c>
      <c r="B120" s="654"/>
      <c r="C120" s="141"/>
      <c r="D120" s="141"/>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c r="CQ120" s="133"/>
      <c r="CR120" s="133"/>
    </row>
    <row r="121" spans="1:96" ht="48" thickBot="1">
      <c r="A121" s="288" t="s">
        <v>462</v>
      </c>
      <c r="B121" s="289" t="s">
        <v>543</v>
      </c>
      <c r="C121" s="290" t="s">
        <v>511</v>
      </c>
      <c r="D121" s="290" t="s">
        <v>544</v>
      </c>
      <c r="E121" s="291" t="str">
        <f>E95</f>
        <v>Pre-Operation</v>
      </c>
      <c r="F121" s="428" t="s">
        <v>347</v>
      </c>
      <c r="G121" s="428" t="s">
        <v>348</v>
      </c>
      <c r="H121" s="428" t="s">
        <v>349</v>
      </c>
      <c r="I121" s="428" t="s">
        <v>350</v>
      </c>
      <c r="J121" s="428" t="s">
        <v>351</v>
      </c>
      <c r="K121" s="428" t="s">
        <v>352</v>
      </c>
      <c r="L121" s="428" t="s">
        <v>353</v>
      </c>
      <c r="M121" s="428" t="s">
        <v>354</v>
      </c>
      <c r="N121" s="428" t="s">
        <v>355</v>
      </c>
      <c r="O121" s="428" t="s">
        <v>356</v>
      </c>
      <c r="P121" s="428" t="s">
        <v>357</v>
      </c>
      <c r="Q121" s="428" t="s">
        <v>358</v>
      </c>
      <c r="R121" s="291" t="s">
        <v>110</v>
      </c>
      <c r="S121" s="428" t="s">
        <v>360</v>
      </c>
      <c r="T121" s="428" t="s">
        <v>361</v>
      </c>
      <c r="U121" s="428" t="s">
        <v>362</v>
      </c>
      <c r="V121" s="428" t="s">
        <v>363</v>
      </c>
      <c r="W121" s="428" t="s">
        <v>364</v>
      </c>
      <c r="X121" s="428" t="s">
        <v>365</v>
      </c>
      <c r="Y121" s="428" t="s">
        <v>366</v>
      </c>
      <c r="Z121" s="428" t="s">
        <v>367</v>
      </c>
      <c r="AA121" s="428" t="s">
        <v>368</v>
      </c>
      <c r="AB121" s="428" t="s">
        <v>369</v>
      </c>
      <c r="AC121" s="428" t="s">
        <v>370</v>
      </c>
      <c r="AD121" s="428" t="s">
        <v>371</v>
      </c>
      <c r="AE121" s="428" t="s">
        <v>372</v>
      </c>
      <c r="AF121" s="428" t="s">
        <v>373</v>
      </c>
      <c r="AG121" s="428" t="s">
        <v>374</v>
      </c>
      <c r="AH121" s="428" t="s">
        <v>375</v>
      </c>
      <c r="AI121" s="428" t="s">
        <v>376</v>
      </c>
      <c r="AJ121" s="428" t="s">
        <v>377</v>
      </c>
      <c r="AK121" s="428" t="s">
        <v>378</v>
      </c>
      <c r="AL121" s="428" t="s">
        <v>379</v>
      </c>
      <c r="AM121" s="428" t="s">
        <v>380</v>
      </c>
      <c r="AN121" s="428" t="s">
        <v>381</v>
      </c>
      <c r="AO121" s="428" t="s">
        <v>382</v>
      </c>
      <c r="AP121" s="428" t="s">
        <v>383</v>
      </c>
      <c r="AQ121" s="428" t="s">
        <v>384</v>
      </c>
      <c r="AR121" s="428" t="s">
        <v>385</v>
      </c>
      <c r="AS121" s="428" t="s">
        <v>386</v>
      </c>
      <c r="AT121" s="428" t="s">
        <v>387</v>
      </c>
      <c r="AU121" s="428" t="s">
        <v>388</v>
      </c>
      <c r="AV121" s="428" t="s">
        <v>389</v>
      </c>
      <c r="AW121" s="428" t="s">
        <v>390</v>
      </c>
      <c r="AX121" s="428" t="s">
        <v>391</v>
      </c>
      <c r="AY121" s="428" t="s">
        <v>392</v>
      </c>
      <c r="AZ121" s="428" t="s">
        <v>393</v>
      </c>
      <c r="BA121" s="428" t="s">
        <v>394</v>
      </c>
      <c r="BB121" s="428" t="s">
        <v>395</v>
      </c>
      <c r="BC121" s="428" t="s">
        <v>396</v>
      </c>
      <c r="BD121" s="428" t="s">
        <v>397</v>
      </c>
      <c r="BE121" s="428" t="s">
        <v>398</v>
      </c>
      <c r="BF121" s="428" t="s">
        <v>399</v>
      </c>
      <c r="BG121" s="428" t="s">
        <v>400</v>
      </c>
      <c r="BH121" s="428" t="s">
        <v>401</v>
      </c>
      <c r="BI121" s="428" t="s">
        <v>402</v>
      </c>
      <c r="BJ121" s="428" t="s">
        <v>403</v>
      </c>
      <c r="BK121" s="428" t="s">
        <v>404</v>
      </c>
      <c r="BL121" s="428" t="s">
        <v>405</v>
      </c>
      <c r="BM121" s="428" t="s">
        <v>406</v>
      </c>
      <c r="BN121" s="428" t="s">
        <v>407</v>
      </c>
      <c r="BO121" s="428" t="s">
        <v>408</v>
      </c>
      <c r="BP121" s="428" t="s">
        <v>409</v>
      </c>
      <c r="BQ121" s="428" t="s">
        <v>410</v>
      </c>
      <c r="BR121" s="428" t="s">
        <v>411</v>
      </c>
      <c r="BS121" s="428" t="s">
        <v>412</v>
      </c>
      <c r="BT121" s="428" t="s">
        <v>413</v>
      </c>
      <c r="BU121" s="428" t="s">
        <v>414</v>
      </c>
      <c r="BV121" s="428" t="s">
        <v>415</v>
      </c>
      <c r="BW121" s="428" t="s">
        <v>416</v>
      </c>
      <c r="BX121" s="428" t="s">
        <v>417</v>
      </c>
      <c r="BY121" s="428" t="s">
        <v>418</v>
      </c>
      <c r="BZ121" s="428" t="s">
        <v>419</v>
      </c>
      <c r="CA121" s="428" t="s">
        <v>420</v>
      </c>
      <c r="CB121" s="428" t="s">
        <v>421</v>
      </c>
      <c r="CC121" s="428" t="s">
        <v>422</v>
      </c>
      <c r="CD121" s="428" t="s">
        <v>423</v>
      </c>
      <c r="CE121" s="428" t="s">
        <v>424</v>
      </c>
      <c r="CF121" s="428" t="s">
        <v>425</v>
      </c>
      <c r="CG121" s="428" t="s">
        <v>426</v>
      </c>
      <c r="CH121" s="428" t="s">
        <v>427</v>
      </c>
      <c r="CI121" s="428" t="s">
        <v>428</v>
      </c>
      <c r="CJ121" s="428" t="s">
        <v>429</v>
      </c>
      <c r="CK121" s="428" t="s">
        <v>430</v>
      </c>
      <c r="CL121" s="428" t="s">
        <v>431</v>
      </c>
      <c r="CM121" s="428" t="s">
        <v>432</v>
      </c>
      <c r="CN121" s="428" t="s">
        <v>433</v>
      </c>
      <c r="CO121" s="428" t="s">
        <v>434</v>
      </c>
      <c r="CP121" s="428" t="s">
        <v>435</v>
      </c>
      <c r="CQ121" s="428" t="s">
        <v>436</v>
      </c>
      <c r="CR121" s="428" t="s">
        <v>437</v>
      </c>
    </row>
    <row r="122" spans="1:96">
      <c r="A122" s="240">
        <f t="shared" ref="A122:A133" si="108">A57</f>
        <v>0</v>
      </c>
      <c r="B122" s="649"/>
      <c r="C122" s="240"/>
      <c r="D122" s="133">
        <f t="shared" ref="D122:D141" si="109">PRODUCT(B122:C122)/USD_RATE</f>
        <v>0</v>
      </c>
      <c r="E122" s="134"/>
      <c r="F122" s="135"/>
      <c r="G122" s="135"/>
      <c r="H122" s="135"/>
      <c r="I122" s="135"/>
      <c r="J122" s="135"/>
      <c r="K122" s="135"/>
      <c r="L122" s="135"/>
      <c r="M122" s="135"/>
      <c r="N122" s="135"/>
      <c r="O122" s="135"/>
      <c r="P122" s="135"/>
      <c r="Q122" s="135"/>
      <c r="R122" s="136">
        <f>SUM(F122:Q122)</f>
        <v>0</v>
      </c>
      <c r="S122" s="135"/>
      <c r="T122" s="135"/>
      <c r="U122" s="135"/>
      <c r="V122" s="135"/>
      <c r="W122" s="135"/>
      <c r="X122" s="135"/>
      <c r="Y122" s="135"/>
      <c r="Z122" s="135"/>
      <c r="AA122" s="135"/>
      <c r="AB122" s="135"/>
      <c r="AC122" s="135"/>
      <c r="AD122" s="135"/>
      <c r="AE122" s="136">
        <f>SUM(S122:AD122)</f>
        <v>0</v>
      </c>
      <c r="AF122" s="135"/>
      <c r="AG122" s="135"/>
      <c r="AH122" s="135"/>
      <c r="AI122" s="135"/>
      <c r="AJ122" s="135"/>
      <c r="AK122" s="135"/>
      <c r="AL122" s="135"/>
      <c r="AM122" s="135"/>
      <c r="AN122" s="135"/>
      <c r="AO122" s="135"/>
      <c r="AP122" s="135"/>
      <c r="AQ122" s="135"/>
      <c r="AR122" s="136">
        <f>SUM(AF122:AQ122)</f>
        <v>0</v>
      </c>
      <c r="AS122" s="135"/>
      <c r="AT122" s="135"/>
      <c r="AU122" s="135"/>
      <c r="AV122" s="135"/>
      <c r="AW122" s="135"/>
      <c r="AX122" s="135"/>
      <c r="AY122" s="135"/>
      <c r="AZ122" s="135"/>
      <c r="BA122" s="135"/>
      <c r="BB122" s="135"/>
      <c r="BC122" s="135"/>
      <c r="BD122" s="135"/>
      <c r="BE122" s="136">
        <f>SUM(AS122:BD122)</f>
        <v>0</v>
      </c>
      <c r="BF122" s="135"/>
      <c r="BG122" s="135"/>
      <c r="BH122" s="135"/>
      <c r="BI122" s="135"/>
      <c r="BJ122" s="135"/>
      <c r="BK122" s="135"/>
      <c r="BL122" s="135"/>
      <c r="BM122" s="135"/>
      <c r="BN122" s="135"/>
      <c r="BO122" s="135"/>
      <c r="BP122" s="135"/>
      <c r="BQ122" s="135"/>
      <c r="BR122" s="136">
        <f>SUM(BF122:BQ122)</f>
        <v>0</v>
      </c>
      <c r="BS122" s="135"/>
      <c r="BT122" s="135"/>
      <c r="BU122" s="135"/>
      <c r="BV122" s="135"/>
      <c r="BW122" s="135"/>
      <c r="BX122" s="135"/>
      <c r="BY122" s="135"/>
      <c r="BZ122" s="135"/>
      <c r="CA122" s="135"/>
      <c r="CB122" s="135"/>
      <c r="CC122" s="135"/>
      <c r="CD122" s="135"/>
      <c r="CE122" s="136">
        <f>SUM(BS122:CD122)</f>
        <v>0</v>
      </c>
      <c r="CF122" s="135"/>
      <c r="CG122" s="135"/>
      <c r="CH122" s="135"/>
      <c r="CI122" s="135"/>
      <c r="CJ122" s="135"/>
      <c r="CK122" s="135"/>
      <c r="CL122" s="135"/>
      <c r="CM122" s="135"/>
      <c r="CN122" s="135"/>
      <c r="CO122" s="135"/>
      <c r="CP122" s="135"/>
      <c r="CQ122" s="135"/>
      <c r="CR122" s="136">
        <f>SUM(CF122:CQ122)</f>
        <v>0</v>
      </c>
    </row>
    <row r="123" spans="1:96">
      <c r="A123" s="240">
        <f t="shared" si="108"/>
        <v>0</v>
      </c>
      <c r="B123" s="649"/>
      <c r="C123" s="240"/>
      <c r="D123" s="133">
        <f t="shared" si="109"/>
        <v>0</v>
      </c>
      <c r="E123" s="137"/>
      <c r="F123" s="135">
        <f t="shared" ref="F123:U138" si="110">$D123</f>
        <v>0</v>
      </c>
      <c r="G123" s="135">
        <f t="shared" si="110"/>
        <v>0</v>
      </c>
      <c r="H123" s="135">
        <f t="shared" si="110"/>
        <v>0</v>
      </c>
      <c r="I123" s="135">
        <f t="shared" si="110"/>
        <v>0</v>
      </c>
      <c r="J123" s="135">
        <f t="shared" si="110"/>
        <v>0</v>
      </c>
      <c r="K123" s="135">
        <f t="shared" si="110"/>
        <v>0</v>
      </c>
      <c r="L123" s="135">
        <f t="shared" si="110"/>
        <v>0</v>
      </c>
      <c r="M123" s="135">
        <f t="shared" si="110"/>
        <v>0</v>
      </c>
      <c r="N123" s="135">
        <f t="shared" si="110"/>
        <v>0</v>
      </c>
      <c r="O123" s="135">
        <f t="shared" si="110"/>
        <v>0</v>
      </c>
      <c r="P123" s="135">
        <f t="shared" si="110"/>
        <v>0</v>
      </c>
      <c r="Q123" s="135">
        <f t="shared" si="110"/>
        <v>0</v>
      </c>
      <c r="R123" s="136">
        <f t="shared" ref="R123:R141" si="111">SUM(F123:Q123)</f>
        <v>0</v>
      </c>
      <c r="S123" s="135">
        <f t="shared" si="110"/>
        <v>0</v>
      </c>
      <c r="T123" s="135">
        <f t="shared" si="110"/>
        <v>0</v>
      </c>
      <c r="U123" s="135">
        <f t="shared" si="110"/>
        <v>0</v>
      </c>
      <c r="V123" s="135">
        <f t="shared" ref="S123:AD138" si="112">$D123</f>
        <v>0</v>
      </c>
      <c r="W123" s="135">
        <f t="shared" si="112"/>
        <v>0</v>
      </c>
      <c r="X123" s="135">
        <f t="shared" si="112"/>
        <v>0</v>
      </c>
      <c r="Y123" s="135">
        <f t="shared" si="112"/>
        <v>0</v>
      </c>
      <c r="Z123" s="135">
        <f t="shared" si="112"/>
        <v>0</v>
      </c>
      <c r="AA123" s="135">
        <f t="shared" si="112"/>
        <v>0</v>
      </c>
      <c r="AB123" s="135">
        <f t="shared" si="112"/>
        <v>0</v>
      </c>
      <c r="AC123" s="135">
        <f t="shared" si="112"/>
        <v>0</v>
      </c>
      <c r="AD123" s="135">
        <f t="shared" si="112"/>
        <v>0</v>
      </c>
      <c r="AE123" s="136">
        <f t="shared" ref="AE123:AE141" si="113">SUM(S123:AD123)</f>
        <v>0</v>
      </c>
      <c r="AF123" s="135">
        <f t="shared" ref="AF123:AU138" si="114">$D123</f>
        <v>0</v>
      </c>
      <c r="AG123" s="135">
        <f t="shared" si="114"/>
        <v>0</v>
      </c>
      <c r="AH123" s="135">
        <f t="shared" si="114"/>
        <v>0</v>
      </c>
      <c r="AI123" s="135">
        <f t="shared" si="114"/>
        <v>0</v>
      </c>
      <c r="AJ123" s="135">
        <f t="shared" si="114"/>
        <v>0</v>
      </c>
      <c r="AK123" s="135">
        <f t="shared" si="114"/>
        <v>0</v>
      </c>
      <c r="AL123" s="135">
        <f t="shared" si="114"/>
        <v>0</v>
      </c>
      <c r="AM123" s="135">
        <f t="shared" si="114"/>
        <v>0</v>
      </c>
      <c r="AN123" s="135">
        <f t="shared" si="114"/>
        <v>0</v>
      </c>
      <c r="AO123" s="135">
        <f t="shared" si="114"/>
        <v>0</v>
      </c>
      <c r="AP123" s="135">
        <f t="shared" si="114"/>
        <v>0</v>
      </c>
      <c r="AQ123" s="135">
        <f t="shared" si="114"/>
        <v>0</v>
      </c>
      <c r="AR123" s="136">
        <f t="shared" ref="AR123:AR141" si="115">SUM(AF123:AQ123)</f>
        <v>0</v>
      </c>
      <c r="AS123" s="135">
        <f t="shared" si="114"/>
        <v>0</v>
      </c>
      <c r="AT123" s="135">
        <f t="shared" si="114"/>
        <v>0</v>
      </c>
      <c r="AU123" s="135">
        <f t="shared" si="114"/>
        <v>0</v>
      </c>
      <c r="AV123" s="135">
        <f t="shared" ref="AS123:BD138" si="116">$D123</f>
        <v>0</v>
      </c>
      <c r="AW123" s="135">
        <f t="shared" si="116"/>
        <v>0</v>
      </c>
      <c r="AX123" s="135">
        <f t="shared" si="116"/>
        <v>0</v>
      </c>
      <c r="AY123" s="135">
        <f t="shared" si="116"/>
        <v>0</v>
      </c>
      <c r="AZ123" s="135">
        <f t="shared" si="116"/>
        <v>0</v>
      </c>
      <c r="BA123" s="135">
        <f t="shared" si="116"/>
        <v>0</v>
      </c>
      <c r="BB123" s="135">
        <f t="shared" si="116"/>
        <v>0</v>
      </c>
      <c r="BC123" s="135">
        <f t="shared" si="116"/>
        <v>0</v>
      </c>
      <c r="BD123" s="135">
        <f t="shared" si="116"/>
        <v>0</v>
      </c>
      <c r="BE123" s="136">
        <f t="shared" ref="BE123:BE141" si="117">SUM(AS123:BD123)</f>
        <v>0</v>
      </c>
      <c r="BF123" s="135">
        <f t="shared" ref="BF123:BU138" si="118">$D123</f>
        <v>0</v>
      </c>
      <c r="BG123" s="135">
        <f t="shared" si="118"/>
        <v>0</v>
      </c>
      <c r="BH123" s="135">
        <f t="shared" si="118"/>
        <v>0</v>
      </c>
      <c r="BI123" s="135">
        <f t="shared" si="118"/>
        <v>0</v>
      </c>
      <c r="BJ123" s="135">
        <f t="shared" si="118"/>
        <v>0</v>
      </c>
      <c r="BK123" s="135">
        <f t="shared" si="118"/>
        <v>0</v>
      </c>
      <c r="BL123" s="135">
        <f t="shared" si="118"/>
        <v>0</v>
      </c>
      <c r="BM123" s="135">
        <f t="shared" si="118"/>
        <v>0</v>
      </c>
      <c r="BN123" s="135">
        <f t="shared" si="118"/>
        <v>0</v>
      </c>
      <c r="BO123" s="135">
        <f t="shared" si="118"/>
        <v>0</v>
      </c>
      <c r="BP123" s="135">
        <f t="shared" si="118"/>
        <v>0</v>
      </c>
      <c r="BQ123" s="135">
        <f t="shared" si="118"/>
        <v>0</v>
      </c>
      <c r="BR123" s="136">
        <f t="shared" ref="BR123:BR141" si="119">SUM(BF123:BQ123)</f>
        <v>0</v>
      </c>
      <c r="BS123" s="135">
        <f t="shared" si="118"/>
        <v>0</v>
      </c>
      <c r="BT123" s="135">
        <f t="shared" si="118"/>
        <v>0</v>
      </c>
      <c r="BU123" s="135">
        <f t="shared" si="118"/>
        <v>0</v>
      </c>
      <c r="BV123" s="135">
        <f t="shared" ref="BS123:CD138" si="120">$D123</f>
        <v>0</v>
      </c>
      <c r="BW123" s="135">
        <f t="shared" si="120"/>
        <v>0</v>
      </c>
      <c r="BX123" s="135">
        <f t="shared" si="120"/>
        <v>0</v>
      </c>
      <c r="BY123" s="135">
        <f t="shared" si="120"/>
        <v>0</v>
      </c>
      <c r="BZ123" s="135">
        <f t="shared" si="120"/>
        <v>0</v>
      </c>
      <c r="CA123" s="135">
        <f t="shared" si="120"/>
        <v>0</v>
      </c>
      <c r="CB123" s="135">
        <f t="shared" si="120"/>
        <v>0</v>
      </c>
      <c r="CC123" s="135">
        <f t="shared" si="120"/>
        <v>0</v>
      </c>
      <c r="CD123" s="135">
        <f t="shared" si="120"/>
        <v>0</v>
      </c>
      <c r="CE123" s="136">
        <f t="shared" ref="CE123:CE141" si="121">SUM(BS123:CD123)</f>
        <v>0</v>
      </c>
      <c r="CF123" s="135">
        <f t="shared" ref="CF123:CQ138" si="122">$D123</f>
        <v>0</v>
      </c>
      <c r="CG123" s="135">
        <f t="shared" si="122"/>
        <v>0</v>
      </c>
      <c r="CH123" s="135">
        <f t="shared" si="122"/>
        <v>0</v>
      </c>
      <c r="CI123" s="135">
        <f t="shared" si="122"/>
        <v>0</v>
      </c>
      <c r="CJ123" s="135">
        <f t="shared" si="122"/>
        <v>0</v>
      </c>
      <c r="CK123" s="135">
        <f t="shared" si="122"/>
        <v>0</v>
      </c>
      <c r="CL123" s="135">
        <f t="shared" si="122"/>
        <v>0</v>
      </c>
      <c r="CM123" s="135">
        <f t="shared" si="122"/>
        <v>0</v>
      </c>
      <c r="CN123" s="135">
        <f t="shared" si="122"/>
        <v>0</v>
      </c>
      <c r="CO123" s="135">
        <f t="shared" si="122"/>
        <v>0</v>
      </c>
      <c r="CP123" s="135">
        <f t="shared" si="122"/>
        <v>0</v>
      </c>
      <c r="CQ123" s="135">
        <f t="shared" si="122"/>
        <v>0</v>
      </c>
      <c r="CR123" s="136">
        <f t="shared" ref="CR123:CR141" si="123">SUM(CF123:CQ123)</f>
        <v>0</v>
      </c>
    </row>
    <row r="124" spans="1:96">
      <c r="A124" s="240">
        <f t="shared" si="108"/>
        <v>0</v>
      </c>
      <c r="B124" s="649">
        <f t="shared" ref="B124:C133" si="124">B59</f>
        <v>0</v>
      </c>
      <c r="C124" s="240">
        <f t="shared" si="124"/>
        <v>0</v>
      </c>
      <c r="D124" s="133">
        <f t="shared" si="109"/>
        <v>0</v>
      </c>
      <c r="E124" s="137"/>
      <c r="F124" s="135">
        <f t="shared" si="110"/>
        <v>0</v>
      </c>
      <c r="G124" s="135">
        <f t="shared" si="110"/>
        <v>0</v>
      </c>
      <c r="H124" s="135">
        <f t="shared" si="110"/>
        <v>0</v>
      </c>
      <c r="I124" s="135">
        <f t="shared" si="110"/>
        <v>0</v>
      </c>
      <c r="J124" s="135">
        <f t="shared" si="110"/>
        <v>0</v>
      </c>
      <c r="K124" s="135">
        <f t="shared" si="110"/>
        <v>0</v>
      </c>
      <c r="L124" s="135">
        <f t="shared" si="110"/>
        <v>0</v>
      </c>
      <c r="M124" s="135">
        <f t="shared" si="110"/>
        <v>0</v>
      </c>
      <c r="N124" s="135">
        <f t="shared" si="110"/>
        <v>0</v>
      </c>
      <c r="O124" s="135">
        <f t="shared" si="110"/>
        <v>0</v>
      </c>
      <c r="P124" s="135">
        <f t="shared" si="110"/>
        <v>0</v>
      </c>
      <c r="Q124" s="135">
        <f t="shared" si="110"/>
        <v>0</v>
      </c>
      <c r="R124" s="136">
        <f t="shared" si="111"/>
        <v>0</v>
      </c>
      <c r="S124" s="135">
        <f t="shared" si="112"/>
        <v>0</v>
      </c>
      <c r="T124" s="135">
        <f t="shared" si="112"/>
        <v>0</v>
      </c>
      <c r="U124" s="135">
        <f t="shared" si="112"/>
        <v>0</v>
      </c>
      <c r="V124" s="135">
        <f t="shared" si="112"/>
        <v>0</v>
      </c>
      <c r="W124" s="135">
        <f t="shared" si="112"/>
        <v>0</v>
      </c>
      <c r="X124" s="135">
        <f t="shared" si="112"/>
        <v>0</v>
      </c>
      <c r="Y124" s="135">
        <f t="shared" si="112"/>
        <v>0</v>
      </c>
      <c r="Z124" s="135">
        <f t="shared" si="112"/>
        <v>0</v>
      </c>
      <c r="AA124" s="135">
        <f t="shared" si="112"/>
        <v>0</v>
      </c>
      <c r="AB124" s="135">
        <f t="shared" si="112"/>
        <v>0</v>
      </c>
      <c r="AC124" s="135">
        <f t="shared" si="112"/>
        <v>0</v>
      </c>
      <c r="AD124" s="135">
        <f t="shared" si="112"/>
        <v>0</v>
      </c>
      <c r="AE124" s="136">
        <f t="shared" si="113"/>
        <v>0</v>
      </c>
      <c r="AF124" s="135">
        <f t="shared" si="114"/>
        <v>0</v>
      </c>
      <c r="AG124" s="135">
        <f t="shared" si="114"/>
        <v>0</v>
      </c>
      <c r="AH124" s="135">
        <f t="shared" si="114"/>
        <v>0</v>
      </c>
      <c r="AI124" s="135">
        <f t="shared" si="114"/>
        <v>0</v>
      </c>
      <c r="AJ124" s="135">
        <f t="shared" si="114"/>
        <v>0</v>
      </c>
      <c r="AK124" s="135">
        <f t="shared" si="114"/>
        <v>0</v>
      </c>
      <c r="AL124" s="135">
        <f t="shared" si="114"/>
        <v>0</v>
      </c>
      <c r="AM124" s="135">
        <f t="shared" si="114"/>
        <v>0</v>
      </c>
      <c r="AN124" s="135">
        <f t="shared" si="114"/>
        <v>0</v>
      </c>
      <c r="AO124" s="135">
        <f t="shared" si="114"/>
        <v>0</v>
      </c>
      <c r="AP124" s="135">
        <f t="shared" si="114"/>
        <v>0</v>
      </c>
      <c r="AQ124" s="135">
        <f t="shared" si="114"/>
        <v>0</v>
      </c>
      <c r="AR124" s="136">
        <f t="shared" si="115"/>
        <v>0</v>
      </c>
      <c r="AS124" s="135">
        <f t="shared" si="116"/>
        <v>0</v>
      </c>
      <c r="AT124" s="135">
        <f t="shared" si="116"/>
        <v>0</v>
      </c>
      <c r="AU124" s="135">
        <f t="shared" si="116"/>
        <v>0</v>
      </c>
      <c r="AV124" s="135">
        <f t="shared" si="116"/>
        <v>0</v>
      </c>
      <c r="AW124" s="135">
        <f t="shared" si="116"/>
        <v>0</v>
      </c>
      <c r="AX124" s="135">
        <f t="shared" si="116"/>
        <v>0</v>
      </c>
      <c r="AY124" s="135">
        <f t="shared" si="116"/>
        <v>0</v>
      </c>
      <c r="AZ124" s="135">
        <f t="shared" si="116"/>
        <v>0</v>
      </c>
      <c r="BA124" s="135">
        <f t="shared" si="116"/>
        <v>0</v>
      </c>
      <c r="BB124" s="135">
        <f t="shared" si="116"/>
        <v>0</v>
      </c>
      <c r="BC124" s="135">
        <f t="shared" si="116"/>
        <v>0</v>
      </c>
      <c r="BD124" s="135">
        <f t="shared" si="116"/>
        <v>0</v>
      </c>
      <c r="BE124" s="136">
        <f t="shared" si="117"/>
        <v>0</v>
      </c>
      <c r="BF124" s="135">
        <f t="shared" si="118"/>
        <v>0</v>
      </c>
      <c r="BG124" s="135">
        <f t="shared" si="118"/>
        <v>0</v>
      </c>
      <c r="BH124" s="135">
        <f t="shared" si="118"/>
        <v>0</v>
      </c>
      <c r="BI124" s="135">
        <f t="shared" si="118"/>
        <v>0</v>
      </c>
      <c r="BJ124" s="135">
        <f t="shared" si="118"/>
        <v>0</v>
      </c>
      <c r="BK124" s="135">
        <f t="shared" si="118"/>
        <v>0</v>
      </c>
      <c r="BL124" s="135">
        <f t="shared" si="118"/>
        <v>0</v>
      </c>
      <c r="BM124" s="135">
        <f t="shared" si="118"/>
        <v>0</v>
      </c>
      <c r="BN124" s="135">
        <f t="shared" si="118"/>
        <v>0</v>
      </c>
      <c r="BO124" s="135">
        <f t="shared" si="118"/>
        <v>0</v>
      </c>
      <c r="BP124" s="135">
        <f t="shared" si="118"/>
        <v>0</v>
      </c>
      <c r="BQ124" s="135">
        <f t="shared" si="118"/>
        <v>0</v>
      </c>
      <c r="BR124" s="136">
        <f t="shared" si="119"/>
        <v>0</v>
      </c>
      <c r="BS124" s="135">
        <f t="shared" si="120"/>
        <v>0</v>
      </c>
      <c r="BT124" s="135">
        <f t="shared" si="120"/>
        <v>0</v>
      </c>
      <c r="BU124" s="135">
        <f t="shared" si="120"/>
        <v>0</v>
      </c>
      <c r="BV124" s="135">
        <f t="shared" si="120"/>
        <v>0</v>
      </c>
      <c r="BW124" s="135">
        <f t="shared" si="120"/>
        <v>0</v>
      </c>
      <c r="BX124" s="135">
        <f t="shared" si="120"/>
        <v>0</v>
      </c>
      <c r="BY124" s="135">
        <f t="shared" si="120"/>
        <v>0</v>
      </c>
      <c r="BZ124" s="135">
        <f t="shared" si="120"/>
        <v>0</v>
      </c>
      <c r="CA124" s="135">
        <f t="shared" si="120"/>
        <v>0</v>
      </c>
      <c r="CB124" s="135">
        <f t="shared" si="120"/>
        <v>0</v>
      </c>
      <c r="CC124" s="135">
        <f t="shared" si="120"/>
        <v>0</v>
      </c>
      <c r="CD124" s="135">
        <f t="shared" si="120"/>
        <v>0</v>
      </c>
      <c r="CE124" s="136">
        <f t="shared" si="121"/>
        <v>0</v>
      </c>
      <c r="CF124" s="135">
        <f t="shared" si="122"/>
        <v>0</v>
      </c>
      <c r="CG124" s="135">
        <f t="shared" si="122"/>
        <v>0</v>
      </c>
      <c r="CH124" s="135">
        <f t="shared" si="122"/>
        <v>0</v>
      </c>
      <c r="CI124" s="135">
        <f t="shared" si="122"/>
        <v>0</v>
      </c>
      <c r="CJ124" s="135">
        <f t="shared" si="122"/>
        <v>0</v>
      </c>
      <c r="CK124" s="135">
        <f t="shared" si="122"/>
        <v>0</v>
      </c>
      <c r="CL124" s="135">
        <f t="shared" si="122"/>
        <v>0</v>
      </c>
      <c r="CM124" s="135">
        <f t="shared" si="122"/>
        <v>0</v>
      </c>
      <c r="CN124" s="135">
        <f t="shared" si="122"/>
        <v>0</v>
      </c>
      <c r="CO124" s="135">
        <f t="shared" si="122"/>
        <v>0</v>
      </c>
      <c r="CP124" s="135">
        <f t="shared" si="122"/>
        <v>0</v>
      </c>
      <c r="CQ124" s="135">
        <f t="shared" si="122"/>
        <v>0</v>
      </c>
      <c r="CR124" s="136">
        <f t="shared" si="123"/>
        <v>0</v>
      </c>
    </row>
    <row r="125" spans="1:96">
      <c r="A125" s="240">
        <f t="shared" si="108"/>
        <v>0</v>
      </c>
      <c r="B125" s="649">
        <f t="shared" si="124"/>
        <v>0</v>
      </c>
      <c r="C125" s="240">
        <f t="shared" si="124"/>
        <v>0</v>
      </c>
      <c r="D125" s="133">
        <f t="shared" si="109"/>
        <v>0</v>
      </c>
      <c r="E125" s="137"/>
      <c r="F125" s="135">
        <f t="shared" si="110"/>
        <v>0</v>
      </c>
      <c r="G125" s="135">
        <f t="shared" si="110"/>
        <v>0</v>
      </c>
      <c r="H125" s="135">
        <f t="shared" si="110"/>
        <v>0</v>
      </c>
      <c r="I125" s="135">
        <f t="shared" si="110"/>
        <v>0</v>
      </c>
      <c r="J125" s="135">
        <f t="shared" si="110"/>
        <v>0</v>
      </c>
      <c r="K125" s="135">
        <f t="shared" si="110"/>
        <v>0</v>
      </c>
      <c r="L125" s="135">
        <f t="shared" si="110"/>
        <v>0</v>
      </c>
      <c r="M125" s="135">
        <f t="shared" si="110"/>
        <v>0</v>
      </c>
      <c r="N125" s="135">
        <f t="shared" si="110"/>
        <v>0</v>
      </c>
      <c r="O125" s="135">
        <f t="shared" si="110"/>
        <v>0</v>
      </c>
      <c r="P125" s="135">
        <f t="shared" si="110"/>
        <v>0</v>
      </c>
      <c r="Q125" s="135">
        <f t="shared" si="110"/>
        <v>0</v>
      </c>
      <c r="R125" s="136">
        <f t="shared" si="111"/>
        <v>0</v>
      </c>
      <c r="S125" s="135">
        <f t="shared" si="112"/>
        <v>0</v>
      </c>
      <c r="T125" s="135">
        <f t="shared" si="112"/>
        <v>0</v>
      </c>
      <c r="U125" s="135">
        <f t="shared" si="112"/>
        <v>0</v>
      </c>
      <c r="V125" s="135">
        <f t="shared" si="112"/>
        <v>0</v>
      </c>
      <c r="W125" s="135">
        <f t="shared" si="112"/>
        <v>0</v>
      </c>
      <c r="X125" s="135">
        <f t="shared" si="112"/>
        <v>0</v>
      </c>
      <c r="Y125" s="135">
        <f t="shared" si="112"/>
        <v>0</v>
      </c>
      <c r="Z125" s="135">
        <f t="shared" si="112"/>
        <v>0</v>
      </c>
      <c r="AA125" s="135">
        <f t="shared" si="112"/>
        <v>0</v>
      </c>
      <c r="AB125" s="135">
        <f t="shared" si="112"/>
        <v>0</v>
      </c>
      <c r="AC125" s="135">
        <f t="shared" si="112"/>
        <v>0</v>
      </c>
      <c r="AD125" s="135">
        <f t="shared" si="112"/>
        <v>0</v>
      </c>
      <c r="AE125" s="136">
        <f t="shared" si="113"/>
        <v>0</v>
      </c>
      <c r="AF125" s="135">
        <f t="shared" si="114"/>
        <v>0</v>
      </c>
      <c r="AG125" s="135">
        <f t="shared" si="114"/>
        <v>0</v>
      </c>
      <c r="AH125" s="135">
        <f t="shared" si="114"/>
        <v>0</v>
      </c>
      <c r="AI125" s="135">
        <f t="shared" si="114"/>
        <v>0</v>
      </c>
      <c r="AJ125" s="135">
        <f t="shared" si="114"/>
        <v>0</v>
      </c>
      <c r="AK125" s="135">
        <f t="shared" si="114"/>
        <v>0</v>
      </c>
      <c r="AL125" s="135">
        <f t="shared" si="114"/>
        <v>0</v>
      </c>
      <c r="AM125" s="135">
        <f t="shared" si="114"/>
        <v>0</v>
      </c>
      <c r="AN125" s="135">
        <f t="shared" si="114"/>
        <v>0</v>
      </c>
      <c r="AO125" s="135">
        <f t="shared" si="114"/>
        <v>0</v>
      </c>
      <c r="AP125" s="135">
        <f t="shared" si="114"/>
        <v>0</v>
      </c>
      <c r="AQ125" s="135">
        <f t="shared" si="114"/>
        <v>0</v>
      </c>
      <c r="AR125" s="136">
        <f t="shared" si="115"/>
        <v>0</v>
      </c>
      <c r="AS125" s="135">
        <f t="shared" si="116"/>
        <v>0</v>
      </c>
      <c r="AT125" s="135">
        <f t="shared" si="116"/>
        <v>0</v>
      </c>
      <c r="AU125" s="135">
        <f t="shared" si="116"/>
        <v>0</v>
      </c>
      <c r="AV125" s="135">
        <f t="shared" si="116"/>
        <v>0</v>
      </c>
      <c r="AW125" s="135">
        <f t="shared" si="116"/>
        <v>0</v>
      </c>
      <c r="AX125" s="135">
        <f t="shared" si="116"/>
        <v>0</v>
      </c>
      <c r="AY125" s="135">
        <f t="shared" si="116"/>
        <v>0</v>
      </c>
      <c r="AZ125" s="135">
        <f t="shared" si="116"/>
        <v>0</v>
      </c>
      <c r="BA125" s="135">
        <f t="shared" si="116"/>
        <v>0</v>
      </c>
      <c r="BB125" s="135">
        <f t="shared" si="116"/>
        <v>0</v>
      </c>
      <c r="BC125" s="135">
        <f t="shared" si="116"/>
        <v>0</v>
      </c>
      <c r="BD125" s="135">
        <f t="shared" si="116"/>
        <v>0</v>
      </c>
      <c r="BE125" s="136">
        <f t="shared" si="117"/>
        <v>0</v>
      </c>
      <c r="BF125" s="135">
        <f t="shared" si="118"/>
        <v>0</v>
      </c>
      <c r="BG125" s="135">
        <f t="shared" si="118"/>
        <v>0</v>
      </c>
      <c r="BH125" s="135">
        <f t="shared" si="118"/>
        <v>0</v>
      </c>
      <c r="BI125" s="135">
        <f t="shared" si="118"/>
        <v>0</v>
      </c>
      <c r="BJ125" s="135">
        <f t="shared" si="118"/>
        <v>0</v>
      </c>
      <c r="BK125" s="135">
        <f t="shared" si="118"/>
        <v>0</v>
      </c>
      <c r="BL125" s="135">
        <f t="shared" si="118"/>
        <v>0</v>
      </c>
      <c r="BM125" s="135">
        <f t="shared" si="118"/>
        <v>0</v>
      </c>
      <c r="BN125" s="135">
        <f t="shared" si="118"/>
        <v>0</v>
      </c>
      <c r="BO125" s="135">
        <f t="shared" si="118"/>
        <v>0</v>
      </c>
      <c r="BP125" s="135">
        <f t="shared" si="118"/>
        <v>0</v>
      </c>
      <c r="BQ125" s="135">
        <f t="shared" si="118"/>
        <v>0</v>
      </c>
      <c r="BR125" s="136">
        <f t="shared" si="119"/>
        <v>0</v>
      </c>
      <c r="BS125" s="135">
        <f t="shared" si="120"/>
        <v>0</v>
      </c>
      <c r="BT125" s="135">
        <f t="shared" si="120"/>
        <v>0</v>
      </c>
      <c r="BU125" s="135">
        <f t="shared" si="120"/>
        <v>0</v>
      </c>
      <c r="BV125" s="135">
        <f t="shared" si="120"/>
        <v>0</v>
      </c>
      <c r="BW125" s="135">
        <f t="shared" si="120"/>
        <v>0</v>
      </c>
      <c r="BX125" s="135">
        <f t="shared" si="120"/>
        <v>0</v>
      </c>
      <c r="BY125" s="135">
        <f t="shared" si="120"/>
        <v>0</v>
      </c>
      <c r="BZ125" s="135">
        <f t="shared" si="120"/>
        <v>0</v>
      </c>
      <c r="CA125" s="135">
        <f t="shared" si="120"/>
        <v>0</v>
      </c>
      <c r="CB125" s="135">
        <f t="shared" si="120"/>
        <v>0</v>
      </c>
      <c r="CC125" s="135">
        <f t="shared" si="120"/>
        <v>0</v>
      </c>
      <c r="CD125" s="135">
        <f t="shared" si="120"/>
        <v>0</v>
      </c>
      <c r="CE125" s="136">
        <f t="shared" si="121"/>
        <v>0</v>
      </c>
      <c r="CF125" s="135">
        <f t="shared" si="122"/>
        <v>0</v>
      </c>
      <c r="CG125" s="135">
        <f t="shared" si="122"/>
        <v>0</v>
      </c>
      <c r="CH125" s="135">
        <f t="shared" si="122"/>
        <v>0</v>
      </c>
      <c r="CI125" s="135">
        <f t="shared" si="122"/>
        <v>0</v>
      </c>
      <c r="CJ125" s="135">
        <f t="shared" si="122"/>
        <v>0</v>
      </c>
      <c r="CK125" s="135">
        <f t="shared" si="122"/>
        <v>0</v>
      </c>
      <c r="CL125" s="135">
        <f t="shared" si="122"/>
        <v>0</v>
      </c>
      <c r="CM125" s="135">
        <f t="shared" si="122"/>
        <v>0</v>
      </c>
      <c r="CN125" s="135">
        <f t="shared" si="122"/>
        <v>0</v>
      </c>
      <c r="CO125" s="135">
        <f t="shared" si="122"/>
        <v>0</v>
      </c>
      <c r="CP125" s="135">
        <f t="shared" si="122"/>
        <v>0</v>
      </c>
      <c r="CQ125" s="135">
        <f t="shared" si="122"/>
        <v>0</v>
      </c>
      <c r="CR125" s="136">
        <f t="shared" si="123"/>
        <v>0</v>
      </c>
    </row>
    <row r="126" spans="1:96">
      <c r="A126" s="240">
        <f t="shared" si="108"/>
        <v>0</v>
      </c>
      <c r="B126" s="649">
        <f t="shared" si="124"/>
        <v>0</v>
      </c>
      <c r="C126" s="240">
        <f t="shared" si="124"/>
        <v>0</v>
      </c>
      <c r="D126" s="133">
        <f t="shared" si="109"/>
        <v>0</v>
      </c>
      <c r="E126" s="137"/>
      <c r="F126" s="135">
        <f t="shared" si="110"/>
        <v>0</v>
      </c>
      <c r="G126" s="135">
        <f t="shared" si="110"/>
        <v>0</v>
      </c>
      <c r="H126" s="135">
        <f t="shared" si="110"/>
        <v>0</v>
      </c>
      <c r="I126" s="135">
        <f t="shared" si="110"/>
        <v>0</v>
      </c>
      <c r="J126" s="135">
        <f t="shared" si="110"/>
        <v>0</v>
      </c>
      <c r="K126" s="135">
        <f t="shared" si="110"/>
        <v>0</v>
      </c>
      <c r="L126" s="135">
        <f t="shared" si="110"/>
        <v>0</v>
      </c>
      <c r="M126" s="135">
        <f t="shared" si="110"/>
        <v>0</v>
      </c>
      <c r="N126" s="135">
        <f t="shared" si="110"/>
        <v>0</v>
      </c>
      <c r="O126" s="135">
        <f t="shared" si="110"/>
        <v>0</v>
      </c>
      <c r="P126" s="135">
        <f t="shared" si="110"/>
        <v>0</v>
      </c>
      <c r="Q126" s="135">
        <f t="shared" si="110"/>
        <v>0</v>
      </c>
      <c r="R126" s="136">
        <f t="shared" si="111"/>
        <v>0</v>
      </c>
      <c r="S126" s="135">
        <f t="shared" si="112"/>
        <v>0</v>
      </c>
      <c r="T126" s="135">
        <f t="shared" si="112"/>
        <v>0</v>
      </c>
      <c r="U126" s="135">
        <f t="shared" si="112"/>
        <v>0</v>
      </c>
      <c r="V126" s="135">
        <f t="shared" si="112"/>
        <v>0</v>
      </c>
      <c r="W126" s="135">
        <f t="shared" si="112"/>
        <v>0</v>
      </c>
      <c r="X126" s="135">
        <f t="shared" si="112"/>
        <v>0</v>
      </c>
      <c r="Y126" s="135">
        <f t="shared" si="112"/>
        <v>0</v>
      </c>
      <c r="Z126" s="135">
        <f t="shared" si="112"/>
        <v>0</v>
      </c>
      <c r="AA126" s="135">
        <f t="shared" si="112"/>
        <v>0</v>
      </c>
      <c r="AB126" s="135">
        <f t="shared" si="112"/>
        <v>0</v>
      </c>
      <c r="AC126" s="135">
        <f t="shared" si="112"/>
        <v>0</v>
      </c>
      <c r="AD126" s="135">
        <f t="shared" si="112"/>
        <v>0</v>
      </c>
      <c r="AE126" s="136">
        <f t="shared" si="113"/>
        <v>0</v>
      </c>
      <c r="AF126" s="135">
        <f t="shared" si="114"/>
        <v>0</v>
      </c>
      <c r="AG126" s="135">
        <f t="shared" si="114"/>
        <v>0</v>
      </c>
      <c r="AH126" s="135">
        <f t="shared" si="114"/>
        <v>0</v>
      </c>
      <c r="AI126" s="135">
        <f t="shared" si="114"/>
        <v>0</v>
      </c>
      <c r="AJ126" s="135">
        <f t="shared" si="114"/>
        <v>0</v>
      </c>
      <c r="AK126" s="135">
        <f t="shared" si="114"/>
        <v>0</v>
      </c>
      <c r="AL126" s="135">
        <f t="shared" si="114"/>
        <v>0</v>
      </c>
      <c r="AM126" s="135">
        <f t="shared" si="114"/>
        <v>0</v>
      </c>
      <c r="AN126" s="135">
        <f t="shared" si="114"/>
        <v>0</v>
      </c>
      <c r="AO126" s="135">
        <f t="shared" si="114"/>
        <v>0</v>
      </c>
      <c r="AP126" s="135">
        <f t="shared" si="114"/>
        <v>0</v>
      </c>
      <c r="AQ126" s="135">
        <f t="shared" si="114"/>
        <v>0</v>
      </c>
      <c r="AR126" s="136">
        <f t="shared" si="115"/>
        <v>0</v>
      </c>
      <c r="AS126" s="135">
        <f t="shared" si="116"/>
        <v>0</v>
      </c>
      <c r="AT126" s="135">
        <f t="shared" si="116"/>
        <v>0</v>
      </c>
      <c r="AU126" s="135">
        <f t="shared" si="116"/>
        <v>0</v>
      </c>
      <c r="AV126" s="135">
        <f t="shared" si="116"/>
        <v>0</v>
      </c>
      <c r="AW126" s="135">
        <f t="shared" si="116"/>
        <v>0</v>
      </c>
      <c r="AX126" s="135">
        <f t="shared" si="116"/>
        <v>0</v>
      </c>
      <c r="AY126" s="135">
        <f t="shared" si="116"/>
        <v>0</v>
      </c>
      <c r="AZ126" s="135">
        <f t="shared" si="116"/>
        <v>0</v>
      </c>
      <c r="BA126" s="135">
        <f t="shared" si="116"/>
        <v>0</v>
      </c>
      <c r="BB126" s="135">
        <f t="shared" si="116"/>
        <v>0</v>
      </c>
      <c r="BC126" s="135">
        <f t="shared" si="116"/>
        <v>0</v>
      </c>
      <c r="BD126" s="135">
        <f t="shared" si="116"/>
        <v>0</v>
      </c>
      <c r="BE126" s="136">
        <f t="shared" si="117"/>
        <v>0</v>
      </c>
      <c r="BF126" s="135">
        <f t="shared" si="118"/>
        <v>0</v>
      </c>
      <c r="BG126" s="135">
        <f t="shared" si="118"/>
        <v>0</v>
      </c>
      <c r="BH126" s="135">
        <f t="shared" si="118"/>
        <v>0</v>
      </c>
      <c r="BI126" s="135">
        <f t="shared" si="118"/>
        <v>0</v>
      </c>
      <c r="BJ126" s="135">
        <f t="shared" si="118"/>
        <v>0</v>
      </c>
      <c r="BK126" s="135">
        <f t="shared" si="118"/>
        <v>0</v>
      </c>
      <c r="BL126" s="135">
        <f t="shared" si="118"/>
        <v>0</v>
      </c>
      <c r="BM126" s="135">
        <f t="shared" si="118"/>
        <v>0</v>
      </c>
      <c r="BN126" s="135">
        <f t="shared" si="118"/>
        <v>0</v>
      </c>
      <c r="BO126" s="135">
        <f t="shared" si="118"/>
        <v>0</v>
      </c>
      <c r="BP126" s="135">
        <f t="shared" si="118"/>
        <v>0</v>
      </c>
      <c r="BQ126" s="135">
        <f t="shared" si="118"/>
        <v>0</v>
      </c>
      <c r="BR126" s="136">
        <f t="shared" si="119"/>
        <v>0</v>
      </c>
      <c r="BS126" s="135">
        <f t="shared" si="120"/>
        <v>0</v>
      </c>
      <c r="BT126" s="135">
        <f t="shared" si="120"/>
        <v>0</v>
      </c>
      <c r="BU126" s="135">
        <f t="shared" si="120"/>
        <v>0</v>
      </c>
      <c r="BV126" s="135">
        <f t="shared" si="120"/>
        <v>0</v>
      </c>
      <c r="BW126" s="135">
        <f t="shared" si="120"/>
        <v>0</v>
      </c>
      <c r="BX126" s="135">
        <f t="shared" si="120"/>
        <v>0</v>
      </c>
      <c r="BY126" s="135">
        <f t="shared" si="120"/>
        <v>0</v>
      </c>
      <c r="BZ126" s="135">
        <f t="shared" si="120"/>
        <v>0</v>
      </c>
      <c r="CA126" s="135">
        <f t="shared" si="120"/>
        <v>0</v>
      </c>
      <c r="CB126" s="135">
        <f t="shared" si="120"/>
        <v>0</v>
      </c>
      <c r="CC126" s="135">
        <f t="shared" si="120"/>
        <v>0</v>
      </c>
      <c r="CD126" s="135">
        <f t="shared" si="120"/>
        <v>0</v>
      </c>
      <c r="CE126" s="136">
        <f t="shared" si="121"/>
        <v>0</v>
      </c>
      <c r="CF126" s="135">
        <f t="shared" si="122"/>
        <v>0</v>
      </c>
      <c r="CG126" s="135">
        <f t="shared" si="122"/>
        <v>0</v>
      </c>
      <c r="CH126" s="135">
        <f t="shared" si="122"/>
        <v>0</v>
      </c>
      <c r="CI126" s="135">
        <f t="shared" si="122"/>
        <v>0</v>
      </c>
      <c r="CJ126" s="135">
        <f t="shared" si="122"/>
        <v>0</v>
      </c>
      <c r="CK126" s="135">
        <f t="shared" si="122"/>
        <v>0</v>
      </c>
      <c r="CL126" s="135">
        <f t="shared" si="122"/>
        <v>0</v>
      </c>
      <c r="CM126" s="135">
        <f t="shared" si="122"/>
        <v>0</v>
      </c>
      <c r="CN126" s="135">
        <f t="shared" si="122"/>
        <v>0</v>
      </c>
      <c r="CO126" s="135">
        <f t="shared" si="122"/>
        <v>0</v>
      </c>
      <c r="CP126" s="135">
        <f t="shared" si="122"/>
        <v>0</v>
      </c>
      <c r="CQ126" s="135">
        <f t="shared" si="122"/>
        <v>0</v>
      </c>
      <c r="CR126" s="136">
        <f t="shared" si="123"/>
        <v>0</v>
      </c>
    </row>
    <row r="127" spans="1:96">
      <c r="A127" s="240">
        <f t="shared" si="108"/>
        <v>0</v>
      </c>
      <c r="B127" s="649">
        <f t="shared" si="124"/>
        <v>0</v>
      </c>
      <c r="C127" s="240">
        <f t="shared" si="124"/>
        <v>0</v>
      </c>
      <c r="D127" s="133">
        <f t="shared" si="109"/>
        <v>0</v>
      </c>
      <c r="E127" s="137"/>
      <c r="F127" s="135">
        <f>$D127</f>
        <v>0</v>
      </c>
      <c r="G127" s="135">
        <f>$D127</f>
        <v>0</v>
      </c>
      <c r="H127" s="135">
        <f>$D127</f>
        <v>0</v>
      </c>
      <c r="I127" s="135">
        <f>$D127</f>
        <v>0</v>
      </c>
      <c r="J127" s="135">
        <f t="shared" si="110"/>
        <v>0</v>
      </c>
      <c r="K127" s="135">
        <f t="shared" si="110"/>
        <v>0</v>
      </c>
      <c r="L127" s="135">
        <f t="shared" si="110"/>
        <v>0</v>
      </c>
      <c r="M127" s="135">
        <f t="shared" si="110"/>
        <v>0</v>
      </c>
      <c r="N127" s="135">
        <f t="shared" si="110"/>
        <v>0</v>
      </c>
      <c r="O127" s="135">
        <f t="shared" si="110"/>
        <v>0</v>
      </c>
      <c r="P127" s="135">
        <f t="shared" si="110"/>
        <v>0</v>
      </c>
      <c r="Q127" s="135">
        <f t="shared" si="110"/>
        <v>0</v>
      </c>
      <c r="R127" s="136">
        <f t="shared" si="111"/>
        <v>0</v>
      </c>
      <c r="S127" s="135">
        <f>$D127</f>
        <v>0</v>
      </c>
      <c r="T127" s="135">
        <f>$D127</f>
        <v>0</v>
      </c>
      <c r="U127" s="135">
        <f>$D127</f>
        <v>0</v>
      </c>
      <c r="V127" s="135">
        <f>$D127</f>
        <v>0</v>
      </c>
      <c r="W127" s="135">
        <f t="shared" si="112"/>
        <v>0</v>
      </c>
      <c r="X127" s="135">
        <f t="shared" si="112"/>
        <v>0</v>
      </c>
      <c r="Y127" s="135">
        <f t="shared" si="112"/>
        <v>0</v>
      </c>
      <c r="Z127" s="135">
        <f t="shared" si="112"/>
        <v>0</v>
      </c>
      <c r="AA127" s="135">
        <f t="shared" si="112"/>
        <v>0</v>
      </c>
      <c r="AB127" s="135">
        <f t="shared" si="112"/>
        <v>0</v>
      </c>
      <c r="AC127" s="135">
        <f t="shared" si="112"/>
        <v>0</v>
      </c>
      <c r="AD127" s="135">
        <f t="shared" si="112"/>
        <v>0</v>
      </c>
      <c r="AE127" s="136">
        <f t="shared" si="113"/>
        <v>0</v>
      </c>
      <c r="AF127" s="135">
        <f>$D127</f>
        <v>0</v>
      </c>
      <c r="AG127" s="135">
        <f>$D127</f>
        <v>0</v>
      </c>
      <c r="AH127" s="135">
        <f>$D127</f>
        <v>0</v>
      </c>
      <c r="AI127" s="135">
        <f>$D127</f>
        <v>0</v>
      </c>
      <c r="AJ127" s="135">
        <f t="shared" si="114"/>
        <v>0</v>
      </c>
      <c r="AK127" s="135">
        <f t="shared" si="114"/>
        <v>0</v>
      </c>
      <c r="AL127" s="135">
        <f t="shared" si="114"/>
        <v>0</v>
      </c>
      <c r="AM127" s="135">
        <f t="shared" si="114"/>
        <v>0</v>
      </c>
      <c r="AN127" s="135">
        <f t="shared" si="114"/>
        <v>0</v>
      </c>
      <c r="AO127" s="135">
        <f t="shared" si="114"/>
        <v>0</v>
      </c>
      <c r="AP127" s="135">
        <f t="shared" si="114"/>
        <v>0</v>
      </c>
      <c r="AQ127" s="135">
        <f t="shared" si="114"/>
        <v>0</v>
      </c>
      <c r="AR127" s="136">
        <f t="shared" si="115"/>
        <v>0</v>
      </c>
      <c r="AS127" s="135">
        <f>$D127</f>
        <v>0</v>
      </c>
      <c r="AT127" s="135">
        <f>$D127</f>
        <v>0</v>
      </c>
      <c r="AU127" s="135">
        <f>$D127</f>
        <v>0</v>
      </c>
      <c r="AV127" s="135">
        <f>$D127</f>
        <v>0</v>
      </c>
      <c r="AW127" s="135">
        <f t="shared" si="116"/>
        <v>0</v>
      </c>
      <c r="AX127" s="135">
        <f t="shared" si="116"/>
        <v>0</v>
      </c>
      <c r="AY127" s="135">
        <f t="shared" si="116"/>
        <v>0</v>
      </c>
      <c r="AZ127" s="135">
        <f t="shared" si="116"/>
        <v>0</v>
      </c>
      <c r="BA127" s="135">
        <f t="shared" si="116"/>
        <v>0</v>
      </c>
      <c r="BB127" s="135">
        <f t="shared" si="116"/>
        <v>0</v>
      </c>
      <c r="BC127" s="135">
        <f t="shared" si="116"/>
        <v>0</v>
      </c>
      <c r="BD127" s="135">
        <f t="shared" si="116"/>
        <v>0</v>
      </c>
      <c r="BE127" s="136">
        <f t="shared" si="117"/>
        <v>0</v>
      </c>
      <c r="BF127" s="135">
        <f>$D127</f>
        <v>0</v>
      </c>
      <c r="BG127" s="135">
        <f>$D127</f>
        <v>0</v>
      </c>
      <c r="BH127" s="135">
        <f>$D127</f>
        <v>0</v>
      </c>
      <c r="BI127" s="135">
        <f>$D127</f>
        <v>0</v>
      </c>
      <c r="BJ127" s="135">
        <f t="shared" si="118"/>
        <v>0</v>
      </c>
      <c r="BK127" s="135">
        <f t="shared" si="118"/>
        <v>0</v>
      </c>
      <c r="BL127" s="135">
        <f t="shared" si="118"/>
        <v>0</v>
      </c>
      <c r="BM127" s="135">
        <f t="shared" si="118"/>
        <v>0</v>
      </c>
      <c r="BN127" s="135">
        <f t="shared" si="118"/>
        <v>0</v>
      </c>
      <c r="BO127" s="135">
        <f t="shared" si="118"/>
        <v>0</v>
      </c>
      <c r="BP127" s="135">
        <f t="shared" si="118"/>
        <v>0</v>
      </c>
      <c r="BQ127" s="135">
        <f t="shared" si="118"/>
        <v>0</v>
      </c>
      <c r="BR127" s="136">
        <f t="shared" si="119"/>
        <v>0</v>
      </c>
      <c r="BS127" s="135">
        <f>$D127</f>
        <v>0</v>
      </c>
      <c r="BT127" s="135">
        <f>$D127</f>
        <v>0</v>
      </c>
      <c r="BU127" s="135">
        <f>$D127</f>
        <v>0</v>
      </c>
      <c r="BV127" s="135">
        <f>$D127</f>
        <v>0</v>
      </c>
      <c r="BW127" s="135">
        <f t="shared" si="120"/>
        <v>0</v>
      </c>
      <c r="BX127" s="135">
        <f t="shared" si="120"/>
        <v>0</v>
      </c>
      <c r="BY127" s="135">
        <f t="shared" si="120"/>
        <v>0</v>
      </c>
      <c r="BZ127" s="135">
        <f t="shared" si="120"/>
        <v>0</v>
      </c>
      <c r="CA127" s="135">
        <f t="shared" si="120"/>
        <v>0</v>
      </c>
      <c r="CB127" s="135">
        <f t="shared" si="120"/>
        <v>0</v>
      </c>
      <c r="CC127" s="135">
        <f t="shared" si="120"/>
        <v>0</v>
      </c>
      <c r="CD127" s="135">
        <f t="shared" si="120"/>
        <v>0</v>
      </c>
      <c r="CE127" s="136">
        <f t="shared" si="121"/>
        <v>0</v>
      </c>
      <c r="CF127" s="135">
        <f>$D127</f>
        <v>0</v>
      </c>
      <c r="CG127" s="135">
        <f>$D127</f>
        <v>0</v>
      </c>
      <c r="CH127" s="135">
        <f>$D127</f>
        <v>0</v>
      </c>
      <c r="CI127" s="135">
        <f>$D127</f>
        <v>0</v>
      </c>
      <c r="CJ127" s="135">
        <f t="shared" si="122"/>
        <v>0</v>
      </c>
      <c r="CK127" s="135">
        <f t="shared" si="122"/>
        <v>0</v>
      </c>
      <c r="CL127" s="135">
        <f t="shared" si="122"/>
        <v>0</v>
      </c>
      <c r="CM127" s="135">
        <f t="shared" si="122"/>
        <v>0</v>
      </c>
      <c r="CN127" s="135">
        <f t="shared" si="122"/>
        <v>0</v>
      </c>
      <c r="CO127" s="135">
        <f t="shared" si="122"/>
        <v>0</v>
      </c>
      <c r="CP127" s="135">
        <f t="shared" si="122"/>
        <v>0</v>
      </c>
      <c r="CQ127" s="135">
        <f t="shared" si="122"/>
        <v>0</v>
      </c>
      <c r="CR127" s="136">
        <f t="shared" si="123"/>
        <v>0</v>
      </c>
    </row>
    <row r="128" spans="1:96">
      <c r="A128" s="240">
        <f t="shared" si="108"/>
        <v>0</v>
      </c>
      <c r="B128" s="649">
        <f t="shared" si="124"/>
        <v>0</v>
      </c>
      <c r="C128" s="240">
        <f t="shared" si="124"/>
        <v>0</v>
      </c>
      <c r="D128" s="133">
        <f t="shared" si="109"/>
        <v>0</v>
      </c>
      <c r="E128" s="137"/>
      <c r="F128" s="135">
        <f t="shared" si="110"/>
        <v>0</v>
      </c>
      <c r="G128" s="135">
        <f t="shared" si="110"/>
        <v>0</v>
      </c>
      <c r="H128" s="135">
        <f t="shared" si="110"/>
        <v>0</v>
      </c>
      <c r="I128" s="135">
        <f t="shared" si="110"/>
        <v>0</v>
      </c>
      <c r="J128" s="135">
        <f t="shared" si="110"/>
        <v>0</v>
      </c>
      <c r="K128" s="135">
        <f t="shared" si="110"/>
        <v>0</v>
      </c>
      <c r="L128" s="135">
        <f t="shared" si="110"/>
        <v>0</v>
      </c>
      <c r="M128" s="135">
        <f t="shared" si="110"/>
        <v>0</v>
      </c>
      <c r="N128" s="135">
        <f t="shared" si="110"/>
        <v>0</v>
      </c>
      <c r="O128" s="135">
        <f t="shared" si="110"/>
        <v>0</v>
      </c>
      <c r="P128" s="135">
        <f t="shared" si="110"/>
        <v>0</v>
      </c>
      <c r="Q128" s="135">
        <f t="shared" si="110"/>
        <v>0</v>
      </c>
      <c r="R128" s="136">
        <f t="shared" si="111"/>
        <v>0</v>
      </c>
      <c r="S128" s="135">
        <f t="shared" si="112"/>
        <v>0</v>
      </c>
      <c r="T128" s="135">
        <f t="shared" si="112"/>
        <v>0</v>
      </c>
      <c r="U128" s="135">
        <f t="shared" si="112"/>
        <v>0</v>
      </c>
      <c r="V128" s="135">
        <f t="shared" si="112"/>
        <v>0</v>
      </c>
      <c r="W128" s="135">
        <f t="shared" si="112"/>
        <v>0</v>
      </c>
      <c r="X128" s="135">
        <f t="shared" si="112"/>
        <v>0</v>
      </c>
      <c r="Y128" s="135">
        <f t="shared" si="112"/>
        <v>0</v>
      </c>
      <c r="Z128" s="135">
        <f t="shared" si="112"/>
        <v>0</v>
      </c>
      <c r="AA128" s="135">
        <f t="shared" si="112"/>
        <v>0</v>
      </c>
      <c r="AB128" s="135">
        <f t="shared" si="112"/>
        <v>0</v>
      </c>
      <c r="AC128" s="135">
        <f t="shared" si="112"/>
        <v>0</v>
      </c>
      <c r="AD128" s="135">
        <f t="shared" si="112"/>
        <v>0</v>
      </c>
      <c r="AE128" s="136">
        <f t="shared" si="113"/>
        <v>0</v>
      </c>
      <c r="AF128" s="135">
        <f t="shared" si="114"/>
        <v>0</v>
      </c>
      <c r="AG128" s="135">
        <f t="shared" si="114"/>
        <v>0</v>
      </c>
      <c r="AH128" s="135">
        <f t="shared" si="114"/>
        <v>0</v>
      </c>
      <c r="AI128" s="135">
        <f t="shared" si="114"/>
        <v>0</v>
      </c>
      <c r="AJ128" s="135">
        <f t="shared" si="114"/>
        <v>0</v>
      </c>
      <c r="AK128" s="135">
        <f t="shared" si="114"/>
        <v>0</v>
      </c>
      <c r="AL128" s="135">
        <f t="shared" si="114"/>
        <v>0</v>
      </c>
      <c r="AM128" s="135">
        <f t="shared" si="114"/>
        <v>0</v>
      </c>
      <c r="AN128" s="135">
        <f t="shared" si="114"/>
        <v>0</v>
      </c>
      <c r="AO128" s="135">
        <f t="shared" si="114"/>
        <v>0</v>
      </c>
      <c r="AP128" s="135">
        <f t="shared" si="114"/>
        <v>0</v>
      </c>
      <c r="AQ128" s="135">
        <f t="shared" si="114"/>
        <v>0</v>
      </c>
      <c r="AR128" s="136">
        <f t="shared" si="115"/>
        <v>0</v>
      </c>
      <c r="AS128" s="135">
        <f t="shared" si="116"/>
        <v>0</v>
      </c>
      <c r="AT128" s="135">
        <f t="shared" si="116"/>
        <v>0</v>
      </c>
      <c r="AU128" s="135">
        <f t="shared" si="116"/>
        <v>0</v>
      </c>
      <c r="AV128" s="135">
        <f t="shared" si="116"/>
        <v>0</v>
      </c>
      <c r="AW128" s="135">
        <f t="shared" si="116"/>
        <v>0</v>
      </c>
      <c r="AX128" s="135">
        <f t="shared" si="116"/>
        <v>0</v>
      </c>
      <c r="AY128" s="135">
        <f t="shared" si="116"/>
        <v>0</v>
      </c>
      <c r="AZ128" s="135">
        <f t="shared" si="116"/>
        <v>0</v>
      </c>
      <c r="BA128" s="135">
        <f t="shared" si="116"/>
        <v>0</v>
      </c>
      <c r="BB128" s="135">
        <f t="shared" si="116"/>
        <v>0</v>
      </c>
      <c r="BC128" s="135">
        <f t="shared" si="116"/>
        <v>0</v>
      </c>
      <c r="BD128" s="135">
        <f t="shared" si="116"/>
        <v>0</v>
      </c>
      <c r="BE128" s="136">
        <f t="shared" si="117"/>
        <v>0</v>
      </c>
      <c r="BF128" s="135">
        <f t="shared" si="118"/>
        <v>0</v>
      </c>
      <c r="BG128" s="135">
        <f t="shared" si="118"/>
        <v>0</v>
      </c>
      <c r="BH128" s="135">
        <f t="shared" si="118"/>
        <v>0</v>
      </c>
      <c r="BI128" s="135">
        <f t="shared" si="118"/>
        <v>0</v>
      </c>
      <c r="BJ128" s="135">
        <f t="shared" si="118"/>
        <v>0</v>
      </c>
      <c r="BK128" s="135">
        <f t="shared" si="118"/>
        <v>0</v>
      </c>
      <c r="BL128" s="135">
        <f t="shared" si="118"/>
        <v>0</v>
      </c>
      <c r="BM128" s="135">
        <f t="shared" si="118"/>
        <v>0</v>
      </c>
      <c r="BN128" s="135">
        <f t="shared" si="118"/>
        <v>0</v>
      </c>
      <c r="BO128" s="135">
        <f t="shared" si="118"/>
        <v>0</v>
      </c>
      <c r="BP128" s="135">
        <f t="shared" si="118"/>
        <v>0</v>
      </c>
      <c r="BQ128" s="135">
        <f t="shared" si="118"/>
        <v>0</v>
      </c>
      <c r="BR128" s="136">
        <f t="shared" si="119"/>
        <v>0</v>
      </c>
      <c r="BS128" s="135">
        <f t="shared" si="120"/>
        <v>0</v>
      </c>
      <c r="BT128" s="135">
        <f t="shared" si="120"/>
        <v>0</v>
      </c>
      <c r="BU128" s="135">
        <f t="shared" si="120"/>
        <v>0</v>
      </c>
      <c r="BV128" s="135">
        <f t="shared" si="120"/>
        <v>0</v>
      </c>
      <c r="BW128" s="135">
        <f t="shared" si="120"/>
        <v>0</v>
      </c>
      <c r="BX128" s="135">
        <f t="shared" si="120"/>
        <v>0</v>
      </c>
      <c r="BY128" s="135">
        <f t="shared" si="120"/>
        <v>0</v>
      </c>
      <c r="BZ128" s="135">
        <f t="shared" si="120"/>
        <v>0</v>
      </c>
      <c r="CA128" s="135">
        <f t="shared" si="120"/>
        <v>0</v>
      </c>
      <c r="CB128" s="135">
        <f t="shared" si="120"/>
        <v>0</v>
      </c>
      <c r="CC128" s="135">
        <f t="shared" si="120"/>
        <v>0</v>
      </c>
      <c r="CD128" s="135">
        <f t="shared" si="120"/>
        <v>0</v>
      </c>
      <c r="CE128" s="136">
        <f t="shared" si="121"/>
        <v>0</v>
      </c>
      <c r="CF128" s="135">
        <f t="shared" si="122"/>
        <v>0</v>
      </c>
      <c r="CG128" s="135">
        <f t="shared" si="122"/>
        <v>0</v>
      </c>
      <c r="CH128" s="135">
        <f t="shared" si="122"/>
        <v>0</v>
      </c>
      <c r="CI128" s="135">
        <f t="shared" si="122"/>
        <v>0</v>
      </c>
      <c r="CJ128" s="135">
        <f t="shared" si="122"/>
        <v>0</v>
      </c>
      <c r="CK128" s="135">
        <f t="shared" si="122"/>
        <v>0</v>
      </c>
      <c r="CL128" s="135">
        <f t="shared" si="122"/>
        <v>0</v>
      </c>
      <c r="CM128" s="135">
        <f t="shared" si="122"/>
        <v>0</v>
      </c>
      <c r="CN128" s="135">
        <f t="shared" si="122"/>
        <v>0</v>
      </c>
      <c r="CO128" s="135">
        <f t="shared" si="122"/>
        <v>0</v>
      </c>
      <c r="CP128" s="135">
        <f t="shared" si="122"/>
        <v>0</v>
      </c>
      <c r="CQ128" s="135">
        <f t="shared" si="122"/>
        <v>0</v>
      </c>
      <c r="CR128" s="136">
        <f t="shared" si="123"/>
        <v>0</v>
      </c>
    </row>
    <row r="129" spans="1:96">
      <c r="A129" s="240">
        <f t="shared" si="108"/>
        <v>0</v>
      </c>
      <c r="B129" s="649">
        <f t="shared" si="124"/>
        <v>0</v>
      </c>
      <c r="C129" s="240">
        <f t="shared" si="124"/>
        <v>0</v>
      </c>
      <c r="D129" s="133">
        <f t="shared" si="109"/>
        <v>0</v>
      </c>
      <c r="E129" s="137"/>
      <c r="F129" s="135">
        <f t="shared" si="110"/>
        <v>0</v>
      </c>
      <c r="G129" s="135">
        <f t="shared" si="110"/>
        <v>0</v>
      </c>
      <c r="H129" s="135">
        <f t="shared" si="110"/>
        <v>0</v>
      </c>
      <c r="I129" s="135">
        <f t="shared" si="110"/>
        <v>0</v>
      </c>
      <c r="J129" s="135">
        <f t="shared" si="110"/>
        <v>0</v>
      </c>
      <c r="K129" s="135">
        <f t="shared" si="110"/>
        <v>0</v>
      </c>
      <c r="L129" s="135">
        <f t="shared" si="110"/>
        <v>0</v>
      </c>
      <c r="M129" s="135">
        <f t="shared" si="110"/>
        <v>0</v>
      </c>
      <c r="N129" s="135">
        <f t="shared" si="110"/>
        <v>0</v>
      </c>
      <c r="O129" s="135">
        <f t="shared" si="110"/>
        <v>0</v>
      </c>
      <c r="P129" s="135">
        <f t="shared" si="110"/>
        <v>0</v>
      </c>
      <c r="Q129" s="135">
        <f t="shared" si="110"/>
        <v>0</v>
      </c>
      <c r="R129" s="136">
        <f t="shared" si="111"/>
        <v>0</v>
      </c>
      <c r="S129" s="135">
        <f t="shared" si="112"/>
        <v>0</v>
      </c>
      <c r="T129" s="135">
        <f t="shared" si="112"/>
        <v>0</v>
      </c>
      <c r="U129" s="135">
        <f t="shared" si="112"/>
        <v>0</v>
      </c>
      <c r="V129" s="135">
        <f t="shared" si="112"/>
        <v>0</v>
      </c>
      <c r="W129" s="135">
        <f t="shared" si="112"/>
        <v>0</v>
      </c>
      <c r="X129" s="135">
        <f t="shared" si="112"/>
        <v>0</v>
      </c>
      <c r="Y129" s="135">
        <f t="shared" si="112"/>
        <v>0</v>
      </c>
      <c r="Z129" s="135">
        <f t="shared" si="112"/>
        <v>0</v>
      </c>
      <c r="AA129" s="135">
        <f t="shared" si="112"/>
        <v>0</v>
      </c>
      <c r="AB129" s="135">
        <f t="shared" si="112"/>
        <v>0</v>
      </c>
      <c r="AC129" s="135">
        <f t="shared" si="112"/>
        <v>0</v>
      </c>
      <c r="AD129" s="135">
        <f t="shared" si="112"/>
        <v>0</v>
      </c>
      <c r="AE129" s="136">
        <f t="shared" si="113"/>
        <v>0</v>
      </c>
      <c r="AF129" s="135">
        <f t="shared" si="114"/>
        <v>0</v>
      </c>
      <c r="AG129" s="135">
        <f t="shared" si="114"/>
        <v>0</v>
      </c>
      <c r="AH129" s="135">
        <f t="shared" si="114"/>
        <v>0</v>
      </c>
      <c r="AI129" s="135">
        <f t="shared" si="114"/>
        <v>0</v>
      </c>
      <c r="AJ129" s="135">
        <f t="shared" si="114"/>
        <v>0</v>
      </c>
      <c r="AK129" s="135">
        <f t="shared" si="114"/>
        <v>0</v>
      </c>
      <c r="AL129" s="135">
        <f t="shared" si="114"/>
        <v>0</v>
      </c>
      <c r="AM129" s="135">
        <f t="shared" si="114"/>
        <v>0</v>
      </c>
      <c r="AN129" s="135">
        <f t="shared" si="114"/>
        <v>0</v>
      </c>
      <c r="AO129" s="135">
        <f t="shared" si="114"/>
        <v>0</v>
      </c>
      <c r="AP129" s="135">
        <f t="shared" si="114"/>
        <v>0</v>
      </c>
      <c r="AQ129" s="135">
        <f t="shared" si="114"/>
        <v>0</v>
      </c>
      <c r="AR129" s="136">
        <f t="shared" si="115"/>
        <v>0</v>
      </c>
      <c r="AS129" s="135">
        <f t="shared" si="116"/>
        <v>0</v>
      </c>
      <c r="AT129" s="135">
        <f t="shared" si="116"/>
        <v>0</v>
      </c>
      <c r="AU129" s="135">
        <f t="shared" si="116"/>
        <v>0</v>
      </c>
      <c r="AV129" s="135">
        <f t="shared" si="116"/>
        <v>0</v>
      </c>
      <c r="AW129" s="135">
        <f t="shared" si="116"/>
        <v>0</v>
      </c>
      <c r="AX129" s="135">
        <f t="shared" si="116"/>
        <v>0</v>
      </c>
      <c r="AY129" s="135">
        <f t="shared" si="116"/>
        <v>0</v>
      </c>
      <c r="AZ129" s="135">
        <f t="shared" si="116"/>
        <v>0</v>
      </c>
      <c r="BA129" s="135">
        <f t="shared" si="116"/>
        <v>0</v>
      </c>
      <c r="BB129" s="135">
        <f t="shared" si="116"/>
        <v>0</v>
      </c>
      <c r="BC129" s="135">
        <f t="shared" si="116"/>
        <v>0</v>
      </c>
      <c r="BD129" s="135">
        <f t="shared" si="116"/>
        <v>0</v>
      </c>
      <c r="BE129" s="136">
        <f t="shared" si="117"/>
        <v>0</v>
      </c>
      <c r="BF129" s="135">
        <f t="shared" si="118"/>
        <v>0</v>
      </c>
      <c r="BG129" s="135">
        <f t="shared" si="118"/>
        <v>0</v>
      </c>
      <c r="BH129" s="135">
        <f t="shared" si="118"/>
        <v>0</v>
      </c>
      <c r="BI129" s="135">
        <f t="shared" si="118"/>
        <v>0</v>
      </c>
      <c r="BJ129" s="135">
        <f t="shared" si="118"/>
        <v>0</v>
      </c>
      <c r="BK129" s="135">
        <f t="shared" si="118"/>
        <v>0</v>
      </c>
      <c r="BL129" s="135">
        <f t="shared" si="118"/>
        <v>0</v>
      </c>
      <c r="BM129" s="135">
        <f t="shared" si="118"/>
        <v>0</v>
      </c>
      <c r="BN129" s="135">
        <f t="shared" si="118"/>
        <v>0</v>
      </c>
      <c r="BO129" s="135">
        <f t="shared" si="118"/>
        <v>0</v>
      </c>
      <c r="BP129" s="135">
        <f t="shared" si="118"/>
        <v>0</v>
      </c>
      <c r="BQ129" s="135">
        <f t="shared" si="118"/>
        <v>0</v>
      </c>
      <c r="BR129" s="136">
        <f t="shared" si="119"/>
        <v>0</v>
      </c>
      <c r="BS129" s="135">
        <f t="shared" si="120"/>
        <v>0</v>
      </c>
      <c r="BT129" s="135">
        <f t="shared" si="120"/>
        <v>0</v>
      </c>
      <c r="BU129" s="135">
        <f t="shared" si="120"/>
        <v>0</v>
      </c>
      <c r="BV129" s="135">
        <f t="shared" si="120"/>
        <v>0</v>
      </c>
      <c r="BW129" s="135">
        <f t="shared" si="120"/>
        <v>0</v>
      </c>
      <c r="BX129" s="135">
        <f t="shared" si="120"/>
        <v>0</v>
      </c>
      <c r="BY129" s="135">
        <f t="shared" si="120"/>
        <v>0</v>
      </c>
      <c r="BZ129" s="135">
        <f t="shared" si="120"/>
        <v>0</v>
      </c>
      <c r="CA129" s="135">
        <f t="shared" si="120"/>
        <v>0</v>
      </c>
      <c r="CB129" s="135">
        <f t="shared" si="120"/>
        <v>0</v>
      </c>
      <c r="CC129" s="135">
        <f t="shared" si="120"/>
        <v>0</v>
      </c>
      <c r="CD129" s="135">
        <f t="shared" si="120"/>
        <v>0</v>
      </c>
      <c r="CE129" s="136">
        <f t="shared" si="121"/>
        <v>0</v>
      </c>
      <c r="CF129" s="135">
        <f t="shared" si="122"/>
        <v>0</v>
      </c>
      <c r="CG129" s="135">
        <f t="shared" si="122"/>
        <v>0</v>
      </c>
      <c r="CH129" s="135">
        <f t="shared" si="122"/>
        <v>0</v>
      </c>
      <c r="CI129" s="135">
        <f t="shared" si="122"/>
        <v>0</v>
      </c>
      <c r="CJ129" s="135">
        <f t="shared" si="122"/>
        <v>0</v>
      </c>
      <c r="CK129" s="135">
        <f t="shared" si="122"/>
        <v>0</v>
      </c>
      <c r="CL129" s="135">
        <f t="shared" si="122"/>
        <v>0</v>
      </c>
      <c r="CM129" s="135">
        <f t="shared" si="122"/>
        <v>0</v>
      </c>
      <c r="CN129" s="135">
        <f t="shared" si="122"/>
        <v>0</v>
      </c>
      <c r="CO129" s="135">
        <f t="shared" si="122"/>
        <v>0</v>
      </c>
      <c r="CP129" s="135">
        <f t="shared" si="122"/>
        <v>0</v>
      </c>
      <c r="CQ129" s="135">
        <f t="shared" si="122"/>
        <v>0</v>
      </c>
      <c r="CR129" s="136">
        <f t="shared" si="123"/>
        <v>0</v>
      </c>
    </row>
    <row r="130" spans="1:96">
      <c r="A130" s="240">
        <f t="shared" si="108"/>
        <v>0</v>
      </c>
      <c r="B130" s="649">
        <f t="shared" si="124"/>
        <v>0</v>
      </c>
      <c r="C130" s="240">
        <f t="shared" si="124"/>
        <v>0</v>
      </c>
      <c r="D130" s="133">
        <f t="shared" si="109"/>
        <v>0</v>
      </c>
      <c r="E130" s="137"/>
      <c r="F130" s="135">
        <f t="shared" si="110"/>
        <v>0</v>
      </c>
      <c r="G130" s="135">
        <f t="shared" si="110"/>
        <v>0</v>
      </c>
      <c r="H130" s="135">
        <f t="shared" si="110"/>
        <v>0</v>
      </c>
      <c r="I130" s="135">
        <f t="shared" si="110"/>
        <v>0</v>
      </c>
      <c r="J130" s="135">
        <f t="shared" si="110"/>
        <v>0</v>
      </c>
      <c r="K130" s="135">
        <f t="shared" si="110"/>
        <v>0</v>
      </c>
      <c r="L130" s="135">
        <f t="shared" si="110"/>
        <v>0</v>
      </c>
      <c r="M130" s="135">
        <f t="shared" si="110"/>
        <v>0</v>
      </c>
      <c r="N130" s="135">
        <f t="shared" si="110"/>
        <v>0</v>
      </c>
      <c r="O130" s="135">
        <f t="shared" si="110"/>
        <v>0</v>
      </c>
      <c r="P130" s="135">
        <f t="shared" si="110"/>
        <v>0</v>
      </c>
      <c r="Q130" s="135">
        <f t="shared" si="110"/>
        <v>0</v>
      </c>
      <c r="R130" s="136">
        <f t="shared" si="111"/>
        <v>0</v>
      </c>
      <c r="S130" s="135">
        <f t="shared" si="112"/>
        <v>0</v>
      </c>
      <c r="T130" s="135">
        <f t="shared" si="112"/>
        <v>0</v>
      </c>
      <c r="U130" s="135">
        <f t="shared" si="112"/>
        <v>0</v>
      </c>
      <c r="V130" s="135">
        <f t="shared" si="112"/>
        <v>0</v>
      </c>
      <c r="W130" s="135">
        <f t="shared" si="112"/>
        <v>0</v>
      </c>
      <c r="X130" s="135">
        <f t="shared" si="112"/>
        <v>0</v>
      </c>
      <c r="Y130" s="135">
        <f t="shared" si="112"/>
        <v>0</v>
      </c>
      <c r="Z130" s="135">
        <f t="shared" si="112"/>
        <v>0</v>
      </c>
      <c r="AA130" s="135">
        <f t="shared" si="112"/>
        <v>0</v>
      </c>
      <c r="AB130" s="135">
        <f t="shared" si="112"/>
        <v>0</v>
      </c>
      <c r="AC130" s="135">
        <f t="shared" si="112"/>
        <v>0</v>
      </c>
      <c r="AD130" s="135">
        <f t="shared" si="112"/>
        <v>0</v>
      </c>
      <c r="AE130" s="136">
        <f t="shared" si="113"/>
        <v>0</v>
      </c>
      <c r="AF130" s="135">
        <f t="shared" si="114"/>
        <v>0</v>
      </c>
      <c r="AG130" s="135">
        <f t="shared" si="114"/>
        <v>0</v>
      </c>
      <c r="AH130" s="135">
        <f t="shared" si="114"/>
        <v>0</v>
      </c>
      <c r="AI130" s="135">
        <f t="shared" si="114"/>
        <v>0</v>
      </c>
      <c r="AJ130" s="135">
        <f t="shared" si="114"/>
        <v>0</v>
      </c>
      <c r="AK130" s="135">
        <f t="shared" si="114"/>
        <v>0</v>
      </c>
      <c r="AL130" s="135">
        <f t="shared" si="114"/>
        <v>0</v>
      </c>
      <c r="AM130" s="135">
        <f t="shared" si="114"/>
        <v>0</v>
      </c>
      <c r="AN130" s="135">
        <f t="shared" si="114"/>
        <v>0</v>
      </c>
      <c r="AO130" s="135">
        <f t="shared" si="114"/>
        <v>0</v>
      </c>
      <c r="AP130" s="135">
        <f t="shared" si="114"/>
        <v>0</v>
      </c>
      <c r="AQ130" s="135">
        <f t="shared" si="114"/>
        <v>0</v>
      </c>
      <c r="AR130" s="136">
        <f t="shared" si="115"/>
        <v>0</v>
      </c>
      <c r="AS130" s="135">
        <f t="shared" si="116"/>
        <v>0</v>
      </c>
      <c r="AT130" s="135">
        <f t="shared" si="116"/>
        <v>0</v>
      </c>
      <c r="AU130" s="135">
        <f t="shared" si="116"/>
        <v>0</v>
      </c>
      <c r="AV130" s="135">
        <f t="shared" si="116"/>
        <v>0</v>
      </c>
      <c r="AW130" s="135">
        <f t="shared" si="116"/>
        <v>0</v>
      </c>
      <c r="AX130" s="135">
        <f t="shared" si="116"/>
        <v>0</v>
      </c>
      <c r="AY130" s="135">
        <f t="shared" si="116"/>
        <v>0</v>
      </c>
      <c r="AZ130" s="135">
        <f t="shared" si="116"/>
        <v>0</v>
      </c>
      <c r="BA130" s="135">
        <f t="shared" si="116"/>
        <v>0</v>
      </c>
      <c r="BB130" s="135">
        <f t="shared" si="116"/>
        <v>0</v>
      </c>
      <c r="BC130" s="135">
        <f t="shared" si="116"/>
        <v>0</v>
      </c>
      <c r="BD130" s="135">
        <f t="shared" si="116"/>
        <v>0</v>
      </c>
      <c r="BE130" s="136">
        <f t="shared" si="117"/>
        <v>0</v>
      </c>
      <c r="BF130" s="135">
        <f t="shared" si="118"/>
        <v>0</v>
      </c>
      <c r="BG130" s="135">
        <f t="shared" si="118"/>
        <v>0</v>
      </c>
      <c r="BH130" s="135">
        <f t="shared" si="118"/>
        <v>0</v>
      </c>
      <c r="BI130" s="135">
        <f t="shared" si="118"/>
        <v>0</v>
      </c>
      <c r="BJ130" s="135">
        <f t="shared" si="118"/>
        <v>0</v>
      </c>
      <c r="BK130" s="135">
        <f t="shared" si="118"/>
        <v>0</v>
      </c>
      <c r="BL130" s="135">
        <f t="shared" si="118"/>
        <v>0</v>
      </c>
      <c r="BM130" s="135">
        <f t="shared" si="118"/>
        <v>0</v>
      </c>
      <c r="BN130" s="135">
        <f t="shared" si="118"/>
        <v>0</v>
      </c>
      <c r="BO130" s="135">
        <f t="shared" si="118"/>
        <v>0</v>
      </c>
      <c r="BP130" s="135">
        <f t="shared" si="118"/>
        <v>0</v>
      </c>
      <c r="BQ130" s="135">
        <f t="shared" si="118"/>
        <v>0</v>
      </c>
      <c r="BR130" s="136">
        <f t="shared" si="119"/>
        <v>0</v>
      </c>
      <c r="BS130" s="135">
        <f t="shared" si="120"/>
        <v>0</v>
      </c>
      <c r="BT130" s="135">
        <f t="shared" si="120"/>
        <v>0</v>
      </c>
      <c r="BU130" s="135">
        <f t="shared" si="120"/>
        <v>0</v>
      </c>
      <c r="BV130" s="135">
        <f t="shared" si="120"/>
        <v>0</v>
      </c>
      <c r="BW130" s="135">
        <f t="shared" si="120"/>
        <v>0</v>
      </c>
      <c r="BX130" s="135">
        <f t="shared" si="120"/>
        <v>0</v>
      </c>
      <c r="BY130" s="135">
        <f t="shared" si="120"/>
        <v>0</v>
      </c>
      <c r="BZ130" s="135">
        <f t="shared" si="120"/>
        <v>0</v>
      </c>
      <c r="CA130" s="135">
        <f t="shared" si="120"/>
        <v>0</v>
      </c>
      <c r="CB130" s="135">
        <f t="shared" si="120"/>
        <v>0</v>
      </c>
      <c r="CC130" s="135">
        <f t="shared" si="120"/>
        <v>0</v>
      </c>
      <c r="CD130" s="135">
        <f t="shared" si="120"/>
        <v>0</v>
      </c>
      <c r="CE130" s="136">
        <f t="shared" si="121"/>
        <v>0</v>
      </c>
      <c r="CF130" s="135">
        <f t="shared" si="122"/>
        <v>0</v>
      </c>
      <c r="CG130" s="135">
        <f t="shared" si="122"/>
        <v>0</v>
      </c>
      <c r="CH130" s="135">
        <f t="shared" si="122"/>
        <v>0</v>
      </c>
      <c r="CI130" s="135">
        <f t="shared" si="122"/>
        <v>0</v>
      </c>
      <c r="CJ130" s="135">
        <f t="shared" si="122"/>
        <v>0</v>
      </c>
      <c r="CK130" s="135">
        <f t="shared" si="122"/>
        <v>0</v>
      </c>
      <c r="CL130" s="135">
        <f t="shared" si="122"/>
        <v>0</v>
      </c>
      <c r="CM130" s="135">
        <f t="shared" si="122"/>
        <v>0</v>
      </c>
      <c r="CN130" s="135">
        <f t="shared" si="122"/>
        <v>0</v>
      </c>
      <c r="CO130" s="135">
        <f t="shared" si="122"/>
        <v>0</v>
      </c>
      <c r="CP130" s="135">
        <f t="shared" si="122"/>
        <v>0</v>
      </c>
      <c r="CQ130" s="135">
        <f t="shared" si="122"/>
        <v>0</v>
      </c>
      <c r="CR130" s="136">
        <f t="shared" si="123"/>
        <v>0</v>
      </c>
    </row>
    <row r="131" spans="1:96">
      <c r="A131" s="240">
        <f t="shared" si="108"/>
        <v>0</v>
      </c>
      <c r="B131" s="649">
        <f t="shared" si="124"/>
        <v>0</v>
      </c>
      <c r="C131" s="240">
        <f t="shared" si="124"/>
        <v>0</v>
      </c>
      <c r="D131" s="133">
        <f t="shared" si="109"/>
        <v>0</v>
      </c>
      <c r="E131" s="137"/>
      <c r="F131" s="135">
        <f t="shared" si="110"/>
        <v>0</v>
      </c>
      <c r="G131" s="135">
        <f t="shared" si="110"/>
        <v>0</v>
      </c>
      <c r="H131" s="135">
        <f t="shared" si="110"/>
        <v>0</v>
      </c>
      <c r="I131" s="135">
        <f t="shared" si="110"/>
        <v>0</v>
      </c>
      <c r="J131" s="135">
        <f t="shared" si="110"/>
        <v>0</v>
      </c>
      <c r="K131" s="135">
        <f t="shared" si="110"/>
        <v>0</v>
      </c>
      <c r="L131" s="135">
        <f t="shared" si="110"/>
        <v>0</v>
      </c>
      <c r="M131" s="135">
        <f t="shared" si="110"/>
        <v>0</v>
      </c>
      <c r="N131" s="135">
        <f t="shared" si="110"/>
        <v>0</v>
      </c>
      <c r="O131" s="135">
        <f t="shared" si="110"/>
        <v>0</v>
      </c>
      <c r="P131" s="135">
        <f t="shared" si="110"/>
        <v>0</v>
      </c>
      <c r="Q131" s="135">
        <f t="shared" si="110"/>
        <v>0</v>
      </c>
      <c r="R131" s="136">
        <f t="shared" si="111"/>
        <v>0</v>
      </c>
      <c r="S131" s="135">
        <f t="shared" si="112"/>
        <v>0</v>
      </c>
      <c r="T131" s="135">
        <f t="shared" si="112"/>
        <v>0</v>
      </c>
      <c r="U131" s="135">
        <f t="shared" si="112"/>
        <v>0</v>
      </c>
      <c r="V131" s="135">
        <f t="shared" si="112"/>
        <v>0</v>
      </c>
      <c r="W131" s="135">
        <f t="shared" si="112"/>
        <v>0</v>
      </c>
      <c r="X131" s="135">
        <f t="shared" si="112"/>
        <v>0</v>
      </c>
      <c r="Y131" s="135">
        <f t="shared" si="112"/>
        <v>0</v>
      </c>
      <c r="Z131" s="135">
        <f t="shared" si="112"/>
        <v>0</v>
      </c>
      <c r="AA131" s="135">
        <f t="shared" si="112"/>
        <v>0</v>
      </c>
      <c r="AB131" s="135">
        <f t="shared" si="112"/>
        <v>0</v>
      </c>
      <c r="AC131" s="135">
        <f t="shared" si="112"/>
        <v>0</v>
      </c>
      <c r="AD131" s="135">
        <f t="shared" si="112"/>
        <v>0</v>
      </c>
      <c r="AE131" s="136">
        <f t="shared" si="113"/>
        <v>0</v>
      </c>
      <c r="AF131" s="135">
        <f t="shared" si="114"/>
        <v>0</v>
      </c>
      <c r="AG131" s="135">
        <f t="shared" si="114"/>
        <v>0</v>
      </c>
      <c r="AH131" s="135">
        <f t="shared" si="114"/>
        <v>0</v>
      </c>
      <c r="AI131" s="135">
        <f t="shared" si="114"/>
        <v>0</v>
      </c>
      <c r="AJ131" s="135">
        <f t="shared" si="114"/>
        <v>0</v>
      </c>
      <c r="AK131" s="135">
        <f t="shared" si="114"/>
        <v>0</v>
      </c>
      <c r="AL131" s="135">
        <f t="shared" si="114"/>
        <v>0</v>
      </c>
      <c r="AM131" s="135">
        <f t="shared" si="114"/>
        <v>0</v>
      </c>
      <c r="AN131" s="135">
        <f t="shared" si="114"/>
        <v>0</v>
      </c>
      <c r="AO131" s="135">
        <f t="shared" si="114"/>
        <v>0</v>
      </c>
      <c r="AP131" s="135">
        <f t="shared" si="114"/>
        <v>0</v>
      </c>
      <c r="AQ131" s="135">
        <f t="shared" si="114"/>
        <v>0</v>
      </c>
      <c r="AR131" s="136">
        <f t="shared" si="115"/>
        <v>0</v>
      </c>
      <c r="AS131" s="135">
        <f t="shared" si="116"/>
        <v>0</v>
      </c>
      <c r="AT131" s="135">
        <f t="shared" si="116"/>
        <v>0</v>
      </c>
      <c r="AU131" s="135">
        <f t="shared" si="116"/>
        <v>0</v>
      </c>
      <c r="AV131" s="135">
        <f t="shared" si="116"/>
        <v>0</v>
      </c>
      <c r="AW131" s="135">
        <f t="shared" si="116"/>
        <v>0</v>
      </c>
      <c r="AX131" s="135">
        <f t="shared" si="116"/>
        <v>0</v>
      </c>
      <c r="AY131" s="135">
        <f t="shared" si="116"/>
        <v>0</v>
      </c>
      <c r="AZ131" s="135">
        <f t="shared" si="116"/>
        <v>0</v>
      </c>
      <c r="BA131" s="135">
        <f t="shared" si="116"/>
        <v>0</v>
      </c>
      <c r="BB131" s="135">
        <f t="shared" si="116"/>
        <v>0</v>
      </c>
      <c r="BC131" s="135">
        <f t="shared" si="116"/>
        <v>0</v>
      </c>
      <c r="BD131" s="135">
        <f t="shared" si="116"/>
        <v>0</v>
      </c>
      <c r="BE131" s="136">
        <f t="shared" si="117"/>
        <v>0</v>
      </c>
      <c r="BF131" s="135">
        <f t="shared" si="118"/>
        <v>0</v>
      </c>
      <c r="BG131" s="135">
        <f t="shared" si="118"/>
        <v>0</v>
      </c>
      <c r="BH131" s="135">
        <f t="shared" si="118"/>
        <v>0</v>
      </c>
      <c r="BI131" s="135">
        <f t="shared" si="118"/>
        <v>0</v>
      </c>
      <c r="BJ131" s="135">
        <f t="shared" si="118"/>
        <v>0</v>
      </c>
      <c r="BK131" s="135">
        <f t="shared" si="118"/>
        <v>0</v>
      </c>
      <c r="BL131" s="135">
        <f t="shared" si="118"/>
        <v>0</v>
      </c>
      <c r="BM131" s="135">
        <f t="shared" si="118"/>
        <v>0</v>
      </c>
      <c r="BN131" s="135">
        <f t="shared" si="118"/>
        <v>0</v>
      </c>
      <c r="BO131" s="135">
        <f t="shared" si="118"/>
        <v>0</v>
      </c>
      <c r="BP131" s="135">
        <f t="shared" si="118"/>
        <v>0</v>
      </c>
      <c r="BQ131" s="135">
        <f t="shared" si="118"/>
        <v>0</v>
      </c>
      <c r="BR131" s="136">
        <f t="shared" si="119"/>
        <v>0</v>
      </c>
      <c r="BS131" s="135">
        <f t="shared" si="120"/>
        <v>0</v>
      </c>
      <c r="BT131" s="135">
        <f t="shared" si="120"/>
        <v>0</v>
      </c>
      <c r="BU131" s="135">
        <f t="shared" si="120"/>
        <v>0</v>
      </c>
      <c r="BV131" s="135">
        <f t="shared" si="120"/>
        <v>0</v>
      </c>
      <c r="BW131" s="135">
        <f t="shared" si="120"/>
        <v>0</v>
      </c>
      <c r="BX131" s="135">
        <f t="shared" si="120"/>
        <v>0</v>
      </c>
      <c r="BY131" s="135">
        <f t="shared" si="120"/>
        <v>0</v>
      </c>
      <c r="BZ131" s="135">
        <f t="shared" si="120"/>
        <v>0</v>
      </c>
      <c r="CA131" s="135">
        <f t="shared" si="120"/>
        <v>0</v>
      </c>
      <c r="CB131" s="135">
        <f t="shared" si="120"/>
        <v>0</v>
      </c>
      <c r="CC131" s="135">
        <f t="shared" si="120"/>
        <v>0</v>
      </c>
      <c r="CD131" s="135">
        <f t="shared" si="120"/>
        <v>0</v>
      </c>
      <c r="CE131" s="136">
        <f t="shared" si="121"/>
        <v>0</v>
      </c>
      <c r="CF131" s="135">
        <f t="shared" si="122"/>
        <v>0</v>
      </c>
      <c r="CG131" s="135">
        <f t="shared" si="122"/>
        <v>0</v>
      </c>
      <c r="CH131" s="135">
        <f t="shared" si="122"/>
        <v>0</v>
      </c>
      <c r="CI131" s="135">
        <f t="shared" si="122"/>
        <v>0</v>
      </c>
      <c r="CJ131" s="135">
        <f t="shared" si="122"/>
        <v>0</v>
      </c>
      <c r="CK131" s="135">
        <f t="shared" si="122"/>
        <v>0</v>
      </c>
      <c r="CL131" s="135">
        <f t="shared" si="122"/>
        <v>0</v>
      </c>
      <c r="CM131" s="135">
        <f t="shared" si="122"/>
        <v>0</v>
      </c>
      <c r="CN131" s="135">
        <f t="shared" si="122"/>
        <v>0</v>
      </c>
      <c r="CO131" s="135">
        <f t="shared" si="122"/>
        <v>0</v>
      </c>
      <c r="CP131" s="135">
        <f t="shared" si="122"/>
        <v>0</v>
      </c>
      <c r="CQ131" s="135">
        <f t="shared" si="122"/>
        <v>0</v>
      </c>
      <c r="CR131" s="136">
        <f t="shared" si="123"/>
        <v>0</v>
      </c>
    </row>
    <row r="132" spans="1:96">
      <c r="A132" s="240">
        <f t="shared" si="108"/>
        <v>0</v>
      </c>
      <c r="B132" s="649">
        <f t="shared" si="124"/>
        <v>0</v>
      </c>
      <c r="C132" s="240">
        <f t="shared" si="124"/>
        <v>0</v>
      </c>
      <c r="D132" s="133">
        <f t="shared" si="109"/>
        <v>0</v>
      </c>
      <c r="E132" s="137"/>
      <c r="F132" s="135">
        <f t="shared" si="110"/>
        <v>0</v>
      </c>
      <c r="G132" s="135">
        <f t="shared" si="110"/>
        <v>0</v>
      </c>
      <c r="H132" s="135">
        <f t="shared" si="110"/>
        <v>0</v>
      </c>
      <c r="I132" s="135">
        <f t="shared" si="110"/>
        <v>0</v>
      </c>
      <c r="J132" s="135">
        <f t="shared" si="110"/>
        <v>0</v>
      </c>
      <c r="K132" s="135">
        <f t="shared" si="110"/>
        <v>0</v>
      </c>
      <c r="L132" s="135">
        <f t="shared" si="110"/>
        <v>0</v>
      </c>
      <c r="M132" s="135">
        <f t="shared" si="110"/>
        <v>0</v>
      </c>
      <c r="N132" s="135">
        <f t="shared" si="110"/>
        <v>0</v>
      </c>
      <c r="O132" s="135">
        <f t="shared" si="110"/>
        <v>0</v>
      </c>
      <c r="P132" s="135">
        <f t="shared" si="110"/>
        <v>0</v>
      </c>
      <c r="Q132" s="135">
        <f t="shared" si="110"/>
        <v>0</v>
      </c>
      <c r="R132" s="136">
        <f t="shared" si="111"/>
        <v>0</v>
      </c>
      <c r="S132" s="135">
        <f t="shared" si="112"/>
        <v>0</v>
      </c>
      <c r="T132" s="135">
        <f t="shared" si="112"/>
        <v>0</v>
      </c>
      <c r="U132" s="135">
        <f t="shared" si="112"/>
        <v>0</v>
      </c>
      <c r="V132" s="135">
        <f t="shared" si="112"/>
        <v>0</v>
      </c>
      <c r="W132" s="135">
        <f t="shared" si="112"/>
        <v>0</v>
      </c>
      <c r="X132" s="135">
        <f t="shared" si="112"/>
        <v>0</v>
      </c>
      <c r="Y132" s="135">
        <f t="shared" si="112"/>
        <v>0</v>
      </c>
      <c r="Z132" s="135">
        <f t="shared" si="112"/>
        <v>0</v>
      </c>
      <c r="AA132" s="135">
        <f t="shared" si="112"/>
        <v>0</v>
      </c>
      <c r="AB132" s="135">
        <f t="shared" si="112"/>
        <v>0</v>
      </c>
      <c r="AC132" s="135">
        <f t="shared" si="112"/>
        <v>0</v>
      </c>
      <c r="AD132" s="135">
        <f t="shared" si="112"/>
        <v>0</v>
      </c>
      <c r="AE132" s="136">
        <f t="shared" si="113"/>
        <v>0</v>
      </c>
      <c r="AF132" s="135">
        <f t="shared" si="114"/>
        <v>0</v>
      </c>
      <c r="AG132" s="135">
        <f t="shared" si="114"/>
        <v>0</v>
      </c>
      <c r="AH132" s="135">
        <f t="shared" si="114"/>
        <v>0</v>
      </c>
      <c r="AI132" s="135">
        <f t="shared" si="114"/>
        <v>0</v>
      </c>
      <c r="AJ132" s="135">
        <f t="shared" si="114"/>
        <v>0</v>
      </c>
      <c r="AK132" s="135">
        <f t="shared" si="114"/>
        <v>0</v>
      </c>
      <c r="AL132" s="135">
        <f t="shared" si="114"/>
        <v>0</v>
      </c>
      <c r="AM132" s="135">
        <f t="shared" si="114"/>
        <v>0</v>
      </c>
      <c r="AN132" s="135">
        <f t="shared" si="114"/>
        <v>0</v>
      </c>
      <c r="AO132" s="135">
        <f t="shared" si="114"/>
        <v>0</v>
      </c>
      <c r="AP132" s="135">
        <f t="shared" si="114"/>
        <v>0</v>
      </c>
      <c r="AQ132" s="135">
        <f t="shared" si="114"/>
        <v>0</v>
      </c>
      <c r="AR132" s="136">
        <f t="shared" si="115"/>
        <v>0</v>
      </c>
      <c r="AS132" s="135">
        <f t="shared" si="116"/>
        <v>0</v>
      </c>
      <c r="AT132" s="135">
        <f t="shared" si="116"/>
        <v>0</v>
      </c>
      <c r="AU132" s="135">
        <f t="shared" si="116"/>
        <v>0</v>
      </c>
      <c r="AV132" s="135">
        <f t="shared" si="116"/>
        <v>0</v>
      </c>
      <c r="AW132" s="135">
        <f t="shared" si="116"/>
        <v>0</v>
      </c>
      <c r="AX132" s="135">
        <f t="shared" si="116"/>
        <v>0</v>
      </c>
      <c r="AY132" s="135">
        <f t="shared" si="116"/>
        <v>0</v>
      </c>
      <c r="AZ132" s="135">
        <f t="shared" si="116"/>
        <v>0</v>
      </c>
      <c r="BA132" s="135">
        <f t="shared" si="116"/>
        <v>0</v>
      </c>
      <c r="BB132" s="135">
        <f t="shared" si="116"/>
        <v>0</v>
      </c>
      <c r="BC132" s="135">
        <f t="shared" si="116"/>
        <v>0</v>
      </c>
      <c r="BD132" s="135">
        <f t="shared" si="116"/>
        <v>0</v>
      </c>
      <c r="BE132" s="136">
        <f t="shared" si="117"/>
        <v>0</v>
      </c>
      <c r="BF132" s="135">
        <f t="shared" si="118"/>
        <v>0</v>
      </c>
      <c r="BG132" s="135">
        <f t="shared" si="118"/>
        <v>0</v>
      </c>
      <c r="BH132" s="135">
        <f t="shared" si="118"/>
        <v>0</v>
      </c>
      <c r="BI132" s="135">
        <f t="shared" si="118"/>
        <v>0</v>
      </c>
      <c r="BJ132" s="135">
        <f t="shared" si="118"/>
        <v>0</v>
      </c>
      <c r="BK132" s="135">
        <f t="shared" si="118"/>
        <v>0</v>
      </c>
      <c r="BL132" s="135">
        <f t="shared" si="118"/>
        <v>0</v>
      </c>
      <c r="BM132" s="135">
        <f t="shared" si="118"/>
        <v>0</v>
      </c>
      <c r="BN132" s="135">
        <f t="shared" si="118"/>
        <v>0</v>
      </c>
      <c r="BO132" s="135">
        <f t="shared" si="118"/>
        <v>0</v>
      </c>
      <c r="BP132" s="135">
        <f t="shared" si="118"/>
        <v>0</v>
      </c>
      <c r="BQ132" s="135">
        <f t="shared" si="118"/>
        <v>0</v>
      </c>
      <c r="BR132" s="136">
        <f t="shared" si="119"/>
        <v>0</v>
      </c>
      <c r="BS132" s="135">
        <f t="shared" si="120"/>
        <v>0</v>
      </c>
      <c r="BT132" s="135">
        <f t="shared" si="120"/>
        <v>0</v>
      </c>
      <c r="BU132" s="135">
        <f t="shared" si="120"/>
        <v>0</v>
      </c>
      <c r="BV132" s="135">
        <f t="shared" si="120"/>
        <v>0</v>
      </c>
      <c r="BW132" s="135">
        <f t="shared" si="120"/>
        <v>0</v>
      </c>
      <c r="BX132" s="135">
        <f t="shared" si="120"/>
        <v>0</v>
      </c>
      <c r="BY132" s="135">
        <f t="shared" si="120"/>
        <v>0</v>
      </c>
      <c r="BZ132" s="135">
        <f t="shared" si="120"/>
        <v>0</v>
      </c>
      <c r="CA132" s="135">
        <f t="shared" si="120"/>
        <v>0</v>
      </c>
      <c r="CB132" s="135">
        <f t="shared" si="120"/>
        <v>0</v>
      </c>
      <c r="CC132" s="135">
        <f t="shared" si="120"/>
        <v>0</v>
      </c>
      <c r="CD132" s="135">
        <f t="shared" si="120"/>
        <v>0</v>
      </c>
      <c r="CE132" s="136">
        <f t="shared" si="121"/>
        <v>0</v>
      </c>
      <c r="CF132" s="135">
        <f t="shared" si="122"/>
        <v>0</v>
      </c>
      <c r="CG132" s="135">
        <f t="shared" si="122"/>
        <v>0</v>
      </c>
      <c r="CH132" s="135">
        <f t="shared" si="122"/>
        <v>0</v>
      </c>
      <c r="CI132" s="135">
        <f t="shared" si="122"/>
        <v>0</v>
      </c>
      <c r="CJ132" s="135">
        <f t="shared" si="122"/>
        <v>0</v>
      </c>
      <c r="CK132" s="135">
        <f t="shared" si="122"/>
        <v>0</v>
      </c>
      <c r="CL132" s="135">
        <f t="shared" si="122"/>
        <v>0</v>
      </c>
      <c r="CM132" s="135">
        <f t="shared" si="122"/>
        <v>0</v>
      </c>
      <c r="CN132" s="135">
        <f t="shared" si="122"/>
        <v>0</v>
      </c>
      <c r="CO132" s="135">
        <f t="shared" si="122"/>
        <v>0</v>
      </c>
      <c r="CP132" s="135">
        <f t="shared" si="122"/>
        <v>0</v>
      </c>
      <c r="CQ132" s="135">
        <f t="shared" si="122"/>
        <v>0</v>
      </c>
      <c r="CR132" s="136">
        <f t="shared" si="123"/>
        <v>0</v>
      </c>
    </row>
    <row r="133" spans="1:96">
      <c r="A133" s="240">
        <f t="shared" si="108"/>
        <v>0</v>
      </c>
      <c r="B133" s="649">
        <f t="shared" si="124"/>
        <v>0</v>
      </c>
      <c r="C133" s="240">
        <f t="shared" si="124"/>
        <v>0</v>
      </c>
      <c r="D133" s="133">
        <f t="shared" si="109"/>
        <v>0</v>
      </c>
      <c r="E133" s="137"/>
      <c r="F133" s="135">
        <f t="shared" si="110"/>
        <v>0</v>
      </c>
      <c r="G133" s="135">
        <f t="shared" si="110"/>
        <v>0</v>
      </c>
      <c r="H133" s="135">
        <f t="shared" si="110"/>
        <v>0</v>
      </c>
      <c r="I133" s="135">
        <f t="shared" si="110"/>
        <v>0</v>
      </c>
      <c r="J133" s="135">
        <f t="shared" si="110"/>
        <v>0</v>
      </c>
      <c r="K133" s="135">
        <f t="shared" si="110"/>
        <v>0</v>
      </c>
      <c r="L133" s="135">
        <f t="shared" si="110"/>
        <v>0</v>
      </c>
      <c r="M133" s="135">
        <f t="shared" si="110"/>
        <v>0</v>
      </c>
      <c r="N133" s="135">
        <f t="shared" si="110"/>
        <v>0</v>
      </c>
      <c r="O133" s="135">
        <f t="shared" si="110"/>
        <v>0</v>
      </c>
      <c r="P133" s="135">
        <f t="shared" si="110"/>
        <v>0</v>
      </c>
      <c r="Q133" s="135">
        <f t="shared" si="110"/>
        <v>0</v>
      </c>
      <c r="R133" s="136">
        <f t="shared" si="111"/>
        <v>0</v>
      </c>
      <c r="S133" s="135">
        <f t="shared" si="112"/>
        <v>0</v>
      </c>
      <c r="T133" s="135">
        <f t="shared" si="112"/>
        <v>0</v>
      </c>
      <c r="U133" s="135">
        <f t="shared" si="112"/>
        <v>0</v>
      </c>
      <c r="V133" s="135">
        <f t="shared" si="112"/>
        <v>0</v>
      </c>
      <c r="W133" s="135">
        <f t="shared" si="112"/>
        <v>0</v>
      </c>
      <c r="X133" s="135">
        <f t="shared" si="112"/>
        <v>0</v>
      </c>
      <c r="Y133" s="135">
        <f t="shared" si="112"/>
        <v>0</v>
      </c>
      <c r="Z133" s="135">
        <f t="shared" si="112"/>
        <v>0</v>
      </c>
      <c r="AA133" s="135">
        <f t="shared" si="112"/>
        <v>0</v>
      </c>
      <c r="AB133" s="135">
        <f t="shared" si="112"/>
        <v>0</v>
      </c>
      <c r="AC133" s="135">
        <f t="shared" si="112"/>
        <v>0</v>
      </c>
      <c r="AD133" s="135">
        <f t="shared" si="112"/>
        <v>0</v>
      </c>
      <c r="AE133" s="136">
        <f t="shared" si="113"/>
        <v>0</v>
      </c>
      <c r="AF133" s="135">
        <f t="shared" si="114"/>
        <v>0</v>
      </c>
      <c r="AG133" s="135">
        <f t="shared" si="114"/>
        <v>0</v>
      </c>
      <c r="AH133" s="135">
        <f t="shared" si="114"/>
        <v>0</v>
      </c>
      <c r="AI133" s="135">
        <f t="shared" si="114"/>
        <v>0</v>
      </c>
      <c r="AJ133" s="135">
        <f t="shared" si="114"/>
        <v>0</v>
      </c>
      <c r="AK133" s="135">
        <f t="shared" si="114"/>
        <v>0</v>
      </c>
      <c r="AL133" s="135">
        <f t="shared" si="114"/>
        <v>0</v>
      </c>
      <c r="AM133" s="135">
        <f t="shared" si="114"/>
        <v>0</v>
      </c>
      <c r="AN133" s="135">
        <f t="shared" si="114"/>
        <v>0</v>
      </c>
      <c r="AO133" s="135">
        <f t="shared" si="114"/>
        <v>0</v>
      </c>
      <c r="AP133" s="135">
        <f t="shared" si="114"/>
        <v>0</v>
      </c>
      <c r="AQ133" s="135">
        <f t="shared" si="114"/>
        <v>0</v>
      </c>
      <c r="AR133" s="136">
        <f t="shared" si="115"/>
        <v>0</v>
      </c>
      <c r="AS133" s="135">
        <f t="shared" si="116"/>
        <v>0</v>
      </c>
      <c r="AT133" s="135">
        <f t="shared" si="116"/>
        <v>0</v>
      </c>
      <c r="AU133" s="135">
        <f t="shared" si="116"/>
        <v>0</v>
      </c>
      <c r="AV133" s="135">
        <f t="shared" si="116"/>
        <v>0</v>
      </c>
      <c r="AW133" s="135">
        <f t="shared" si="116"/>
        <v>0</v>
      </c>
      <c r="AX133" s="135">
        <f t="shared" si="116"/>
        <v>0</v>
      </c>
      <c r="AY133" s="135">
        <f t="shared" si="116"/>
        <v>0</v>
      </c>
      <c r="AZ133" s="135">
        <f t="shared" si="116"/>
        <v>0</v>
      </c>
      <c r="BA133" s="135">
        <f t="shared" si="116"/>
        <v>0</v>
      </c>
      <c r="BB133" s="135">
        <f t="shared" si="116"/>
        <v>0</v>
      </c>
      <c r="BC133" s="135">
        <f t="shared" si="116"/>
        <v>0</v>
      </c>
      <c r="BD133" s="135">
        <f t="shared" si="116"/>
        <v>0</v>
      </c>
      <c r="BE133" s="136">
        <f t="shared" si="117"/>
        <v>0</v>
      </c>
      <c r="BF133" s="135">
        <f t="shared" si="118"/>
        <v>0</v>
      </c>
      <c r="BG133" s="135">
        <f t="shared" si="118"/>
        <v>0</v>
      </c>
      <c r="BH133" s="135">
        <f t="shared" si="118"/>
        <v>0</v>
      </c>
      <c r="BI133" s="135">
        <f t="shared" si="118"/>
        <v>0</v>
      </c>
      <c r="BJ133" s="135">
        <f t="shared" si="118"/>
        <v>0</v>
      </c>
      <c r="BK133" s="135">
        <f t="shared" si="118"/>
        <v>0</v>
      </c>
      <c r="BL133" s="135">
        <f t="shared" si="118"/>
        <v>0</v>
      </c>
      <c r="BM133" s="135">
        <f t="shared" si="118"/>
        <v>0</v>
      </c>
      <c r="BN133" s="135">
        <f t="shared" si="118"/>
        <v>0</v>
      </c>
      <c r="BO133" s="135">
        <f t="shared" si="118"/>
        <v>0</v>
      </c>
      <c r="BP133" s="135">
        <f t="shared" si="118"/>
        <v>0</v>
      </c>
      <c r="BQ133" s="135">
        <f t="shared" si="118"/>
        <v>0</v>
      </c>
      <c r="BR133" s="136">
        <f t="shared" si="119"/>
        <v>0</v>
      </c>
      <c r="BS133" s="135">
        <f t="shared" si="120"/>
        <v>0</v>
      </c>
      <c r="BT133" s="135">
        <f t="shared" si="120"/>
        <v>0</v>
      </c>
      <c r="BU133" s="135">
        <f t="shared" si="120"/>
        <v>0</v>
      </c>
      <c r="BV133" s="135">
        <f t="shared" si="120"/>
        <v>0</v>
      </c>
      <c r="BW133" s="135">
        <f t="shared" si="120"/>
        <v>0</v>
      </c>
      <c r="BX133" s="135">
        <f t="shared" si="120"/>
        <v>0</v>
      </c>
      <c r="BY133" s="135">
        <f t="shared" si="120"/>
        <v>0</v>
      </c>
      <c r="BZ133" s="135">
        <f t="shared" si="120"/>
        <v>0</v>
      </c>
      <c r="CA133" s="135">
        <f t="shared" si="120"/>
        <v>0</v>
      </c>
      <c r="CB133" s="135">
        <f t="shared" si="120"/>
        <v>0</v>
      </c>
      <c r="CC133" s="135">
        <f t="shared" si="120"/>
        <v>0</v>
      </c>
      <c r="CD133" s="135">
        <f t="shared" si="120"/>
        <v>0</v>
      </c>
      <c r="CE133" s="136">
        <f t="shared" si="121"/>
        <v>0</v>
      </c>
      <c r="CF133" s="135">
        <f t="shared" si="122"/>
        <v>0</v>
      </c>
      <c r="CG133" s="135">
        <f t="shared" si="122"/>
        <v>0</v>
      </c>
      <c r="CH133" s="135">
        <f t="shared" si="122"/>
        <v>0</v>
      </c>
      <c r="CI133" s="135">
        <f t="shared" si="122"/>
        <v>0</v>
      </c>
      <c r="CJ133" s="135">
        <f t="shared" si="122"/>
        <v>0</v>
      </c>
      <c r="CK133" s="135">
        <f t="shared" si="122"/>
        <v>0</v>
      </c>
      <c r="CL133" s="135">
        <f t="shared" si="122"/>
        <v>0</v>
      </c>
      <c r="CM133" s="135">
        <f t="shared" si="122"/>
        <v>0</v>
      </c>
      <c r="CN133" s="135">
        <f t="shared" si="122"/>
        <v>0</v>
      </c>
      <c r="CO133" s="135">
        <f t="shared" si="122"/>
        <v>0</v>
      </c>
      <c r="CP133" s="135">
        <f t="shared" si="122"/>
        <v>0</v>
      </c>
      <c r="CQ133" s="135">
        <f t="shared" si="122"/>
        <v>0</v>
      </c>
      <c r="CR133" s="136">
        <f t="shared" si="123"/>
        <v>0</v>
      </c>
    </row>
    <row r="134" spans="1:96">
      <c r="A134" s="240">
        <f t="shared" ref="A134:C141" si="125">A82</f>
        <v>0</v>
      </c>
      <c r="B134" s="649">
        <f t="shared" si="125"/>
        <v>0</v>
      </c>
      <c r="C134" s="240">
        <f t="shared" si="125"/>
        <v>0</v>
      </c>
      <c r="D134" s="133">
        <f t="shared" si="109"/>
        <v>0</v>
      </c>
      <c r="E134" s="137"/>
      <c r="F134" s="135">
        <f t="shared" si="110"/>
        <v>0</v>
      </c>
      <c r="G134" s="135">
        <f t="shared" si="110"/>
        <v>0</v>
      </c>
      <c r="H134" s="135">
        <f t="shared" si="110"/>
        <v>0</v>
      </c>
      <c r="I134" s="135">
        <f t="shared" si="110"/>
        <v>0</v>
      </c>
      <c r="J134" s="135">
        <f t="shared" si="110"/>
        <v>0</v>
      </c>
      <c r="K134" s="135">
        <f t="shared" si="110"/>
        <v>0</v>
      </c>
      <c r="L134" s="135">
        <f t="shared" si="110"/>
        <v>0</v>
      </c>
      <c r="M134" s="135">
        <f t="shared" si="110"/>
        <v>0</v>
      </c>
      <c r="N134" s="135">
        <f t="shared" si="110"/>
        <v>0</v>
      </c>
      <c r="O134" s="135">
        <f t="shared" si="110"/>
        <v>0</v>
      </c>
      <c r="P134" s="135">
        <f t="shared" si="110"/>
        <v>0</v>
      </c>
      <c r="Q134" s="135">
        <f t="shared" si="110"/>
        <v>0</v>
      </c>
      <c r="R134" s="136">
        <f t="shared" si="111"/>
        <v>0</v>
      </c>
      <c r="S134" s="135">
        <f t="shared" si="112"/>
        <v>0</v>
      </c>
      <c r="T134" s="135">
        <f t="shared" si="112"/>
        <v>0</v>
      </c>
      <c r="U134" s="135">
        <f t="shared" si="112"/>
        <v>0</v>
      </c>
      <c r="V134" s="135">
        <f t="shared" si="112"/>
        <v>0</v>
      </c>
      <c r="W134" s="135">
        <f t="shared" si="112"/>
        <v>0</v>
      </c>
      <c r="X134" s="135">
        <f t="shared" si="112"/>
        <v>0</v>
      </c>
      <c r="Y134" s="135">
        <f t="shared" si="112"/>
        <v>0</v>
      </c>
      <c r="Z134" s="135">
        <f t="shared" si="112"/>
        <v>0</v>
      </c>
      <c r="AA134" s="135">
        <f t="shared" si="112"/>
        <v>0</v>
      </c>
      <c r="AB134" s="135">
        <f t="shared" si="112"/>
        <v>0</v>
      </c>
      <c r="AC134" s="135">
        <f t="shared" si="112"/>
        <v>0</v>
      </c>
      <c r="AD134" s="135">
        <f t="shared" si="112"/>
        <v>0</v>
      </c>
      <c r="AE134" s="136">
        <f t="shared" si="113"/>
        <v>0</v>
      </c>
      <c r="AF134" s="135">
        <f t="shared" si="114"/>
        <v>0</v>
      </c>
      <c r="AG134" s="135">
        <f t="shared" si="114"/>
        <v>0</v>
      </c>
      <c r="AH134" s="135">
        <f t="shared" si="114"/>
        <v>0</v>
      </c>
      <c r="AI134" s="135">
        <f t="shared" si="114"/>
        <v>0</v>
      </c>
      <c r="AJ134" s="135">
        <f t="shared" si="114"/>
        <v>0</v>
      </c>
      <c r="AK134" s="135">
        <f t="shared" si="114"/>
        <v>0</v>
      </c>
      <c r="AL134" s="135">
        <f t="shared" si="114"/>
        <v>0</v>
      </c>
      <c r="AM134" s="135">
        <f t="shared" si="114"/>
        <v>0</v>
      </c>
      <c r="AN134" s="135">
        <f t="shared" si="114"/>
        <v>0</v>
      </c>
      <c r="AO134" s="135">
        <f t="shared" si="114"/>
        <v>0</v>
      </c>
      <c r="AP134" s="135">
        <f t="shared" si="114"/>
        <v>0</v>
      </c>
      <c r="AQ134" s="135">
        <f t="shared" si="114"/>
        <v>0</v>
      </c>
      <c r="AR134" s="136">
        <f t="shared" si="115"/>
        <v>0</v>
      </c>
      <c r="AS134" s="135">
        <f t="shared" si="116"/>
        <v>0</v>
      </c>
      <c r="AT134" s="135">
        <f t="shared" si="116"/>
        <v>0</v>
      </c>
      <c r="AU134" s="135">
        <f t="shared" si="116"/>
        <v>0</v>
      </c>
      <c r="AV134" s="135">
        <f t="shared" si="116"/>
        <v>0</v>
      </c>
      <c r="AW134" s="135">
        <f t="shared" si="116"/>
        <v>0</v>
      </c>
      <c r="AX134" s="135">
        <f t="shared" si="116"/>
        <v>0</v>
      </c>
      <c r="AY134" s="135">
        <f t="shared" si="116"/>
        <v>0</v>
      </c>
      <c r="AZ134" s="135">
        <f t="shared" si="116"/>
        <v>0</v>
      </c>
      <c r="BA134" s="135">
        <f t="shared" si="116"/>
        <v>0</v>
      </c>
      <c r="BB134" s="135">
        <f t="shared" si="116"/>
        <v>0</v>
      </c>
      <c r="BC134" s="135">
        <f t="shared" si="116"/>
        <v>0</v>
      </c>
      <c r="BD134" s="135">
        <f t="shared" si="116"/>
        <v>0</v>
      </c>
      <c r="BE134" s="136">
        <f t="shared" si="117"/>
        <v>0</v>
      </c>
      <c r="BF134" s="135">
        <f t="shared" si="118"/>
        <v>0</v>
      </c>
      <c r="BG134" s="135">
        <f t="shared" si="118"/>
        <v>0</v>
      </c>
      <c r="BH134" s="135">
        <f t="shared" si="118"/>
        <v>0</v>
      </c>
      <c r="BI134" s="135">
        <f t="shared" si="118"/>
        <v>0</v>
      </c>
      <c r="BJ134" s="135">
        <f t="shared" si="118"/>
        <v>0</v>
      </c>
      <c r="BK134" s="135">
        <f t="shared" si="118"/>
        <v>0</v>
      </c>
      <c r="BL134" s="135">
        <f t="shared" si="118"/>
        <v>0</v>
      </c>
      <c r="BM134" s="135">
        <f t="shared" si="118"/>
        <v>0</v>
      </c>
      <c r="BN134" s="135">
        <f t="shared" si="118"/>
        <v>0</v>
      </c>
      <c r="BO134" s="135">
        <f t="shared" si="118"/>
        <v>0</v>
      </c>
      <c r="BP134" s="135">
        <f t="shared" si="118"/>
        <v>0</v>
      </c>
      <c r="BQ134" s="135">
        <f t="shared" si="118"/>
        <v>0</v>
      </c>
      <c r="BR134" s="136">
        <f t="shared" si="119"/>
        <v>0</v>
      </c>
      <c r="BS134" s="135">
        <f t="shared" si="120"/>
        <v>0</v>
      </c>
      <c r="BT134" s="135">
        <f t="shared" si="120"/>
        <v>0</v>
      </c>
      <c r="BU134" s="135">
        <f t="shared" si="120"/>
        <v>0</v>
      </c>
      <c r="BV134" s="135">
        <f t="shared" si="120"/>
        <v>0</v>
      </c>
      <c r="BW134" s="135">
        <f t="shared" si="120"/>
        <v>0</v>
      </c>
      <c r="BX134" s="135">
        <f t="shared" si="120"/>
        <v>0</v>
      </c>
      <c r="BY134" s="135">
        <f t="shared" si="120"/>
        <v>0</v>
      </c>
      <c r="BZ134" s="135">
        <f t="shared" si="120"/>
        <v>0</v>
      </c>
      <c r="CA134" s="135">
        <f t="shared" si="120"/>
        <v>0</v>
      </c>
      <c r="CB134" s="135">
        <f t="shared" si="120"/>
        <v>0</v>
      </c>
      <c r="CC134" s="135">
        <f t="shared" si="120"/>
        <v>0</v>
      </c>
      <c r="CD134" s="135">
        <f t="shared" si="120"/>
        <v>0</v>
      </c>
      <c r="CE134" s="136">
        <f t="shared" si="121"/>
        <v>0</v>
      </c>
      <c r="CF134" s="135">
        <f t="shared" si="122"/>
        <v>0</v>
      </c>
      <c r="CG134" s="135">
        <f t="shared" si="122"/>
        <v>0</v>
      </c>
      <c r="CH134" s="135">
        <f t="shared" si="122"/>
        <v>0</v>
      </c>
      <c r="CI134" s="135">
        <f t="shared" si="122"/>
        <v>0</v>
      </c>
      <c r="CJ134" s="135">
        <f t="shared" si="122"/>
        <v>0</v>
      </c>
      <c r="CK134" s="135">
        <f t="shared" si="122"/>
        <v>0</v>
      </c>
      <c r="CL134" s="135">
        <f t="shared" si="122"/>
        <v>0</v>
      </c>
      <c r="CM134" s="135">
        <f t="shared" si="122"/>
        <v>0</v>
      </c>
      <c r="CN134" s="135">
        <f t="shared" si="122"/>
        <v>0</v>
      </c>
      <c r="CO134" s="135">
        <f t="shared" si="122"/>
        <v>0</v>
      </c>
      <c r="CP134" s="135">
        <f t="shared" si="122"/>
        <v>0</v>
      </c>
      <c r="CQ134" s="135">
        <f t="shared" si="122"/>
        <v>0</v>
      </c>
      <c r="CR134" s="136">
        <f t="shared" si="123"/>
        <v>0</v>
      </c>
    </row>
    <row r="135" spans="1:96">
      <c r="A135" s="240">
        <f t="shared" si="125"/>
        <v>0</v>
      </c>
      <c r="B135" s="649">
        <f t="shared" si="125"/>
        <v>0</v>
      </c>
      <c r="C135" s="240">
        <f t="shared" si="125"/>
        <v>0</v>
      </c>
      <c r="D135" s="133">
        <f t="shared" si="109"/>
        <v>0</v>
      </c>
      <c r="E135" s="137"/>
      <c r="F135" s="135">
        <f t="shared" si="110"/>
        <v>0</v>
      </c>
      <c r="G135" s="135">
        <f t="shared" si="110"/>
        <v>0</v>
      </c>
      <c r="H135" s="135">
        <f t="shared" si="110"/>
        <v>0</v>
      </c>
      <c r="I135" s="135">
        <f t="shared" si="110"/>
        <v>0</v>
      </c>
      <c r="J135" s="135">
        <f t="shared" si="110"/>
        <v>0</v>
      </c>
      <c r="K135" s="135">
        <f t="shared" si="110"/>
        <v>0</v>
      </c>
      <c r="L135" s="135">
        <f t="shared" si="110"/>
        <v>0</v>
      </c>
      <c r="M135" s="135">
        <f t="shared" si="110"/>
        <v>0</v>
      </c>
      <c r="N135" s="135">
        <f t="shared" si="110"/>
        <v>0</v>
      </c>
      <c r="O135" s="135">
        <f t="shared" si="110"/>
        <v>0</v>
      </c>
      <c r="P135" s="135">
        <f t="shared" si="110"/>
        <v>0</v>
      </c>
      <c r="Q135" s="135">
        <f t="shared" si="110"/>
        <v>0</v>
      </c>
      <c r="R135" s="136">
        <f t="shared" si="111"/>
        <v>0</v>
      </c>
      <c r="S135" s="135">
        <f t="shared" si="112"/>
        <v>0</v>
      </c>
      <c r="T135" s="135">
        <f t="shared" si="112"/>
        <v>0</v>
      </c>
      <c r="U135" s="135">
        <f t="shared" si="112"/>
        <v>0</v>
      </c>
      <c r="V135" s="135">
        <f t="shared" si="112"/>
        <v>0</v>
      </c>
      <c r="W135" s="135">
        <f t="shared" si="112"/>
        <v>0</v>
      </c>
      <c r="X135" s="135">
        <f t="shared" si="112"/>
        <v>0</v>
      </c>
      <c r="Y135" s="135">
        <f t="shared" si="112"/>
        <v>0</v>
      </c>
      <c r="Z135" s="135">
        <f t="shared" si="112"/>
        <v>0</v>
      </c>
      <c r="AA135" s="135">
        <f t="shared" si="112"/>
        <v>0</v>
      </c>
      <c r="AB135" s="135">
        <f t="shared" si="112"/>
        <v>0</v>
      </c>
      <c r="AC135" s="135">
        <f t="shared" si="112"/>
        <v>0</v>
      </c>
      <c r="AD135" s="135">
        <f t="shared" si="112"/>
        <v>0</v>
      </c>
      <c r="AE135" s="136">
        <f t="shared" si="113"/>
        <v>0</v>
      </c>
      <c r="AF135" s="135">
        <f t="shared" si="114"/>
        <v>0</v>
      </c>
      <c r="AG135" s="135">
        <f t="shared" si="114"/>
        <v>0</v>
      </c>
      <c r="AH135" s="135">
        <f t="shared" si="114"/>
        <v>0</v>
      </c>
      <c r="AI135" s="135">
        <f t="shared" si="114"/>
        <v>0</v>
      </c>
      <c r="AJ135" s="135">
        <f t="shared" si="114"/>
        <v>0</v>
      </c>
      <c r="AK135" s="135">
        <f t="shared" si="114"/>
        <v>0</v>
      </c>
      <c r="AL135" s="135">
        <f t="shared" si="114"/>
        <v>0</v>
      </c>
      <c r="AM135" s="135">
        <f t="shared" si="114"/>
        <v>0</v>
      </c>
      <c r="AN135" s="135">
        <f t="shared" si="114"/>
        <v>0</v>
      </c>
      <c r="AO135" s="135">
        <f t="shared" si="114"/>
        <v>0</v>
      </c>
      <c r="AP135" s="135">
        <f t="shared" si="114"/>
        <v>0</v>
      </c>
      <c r="AQ135" s="135">
        <f t="shared" si="114"/>
        <v>0</v>
      </c>
      <c r="AR135" s="136">
        <f t="shared" si="115"/>
        <v>0</v>
      </c>
      <c r="AS135" s="135">
        <f t="shared" si="116"/>
        <v>0</v>
      </c>
      <c r="AT135" s="135">
        <f t="shared" si="116"/>
        <v>0</v>
      </c>
      <c r="AU135" s="135">
        <f t="shared" si="116"/>
        <v>0</v>
      </c>
      <c r="AV135" s="135">
        <f t="shared" si="116"/>
        <v>0</v>
      </c>
      <c r="AW135" s="135">
        <f t="shared" si="116"/>
        <v>0</v>
      </c>
      <c r="AX135" s="135">
        <f t="shared" si="116"/>
        <v>0</v>
      </c>
      <c r="AY135" s="135">
        <f t="shared" si="116"/>
        <v>0</v>
      </c>
      <c r="AZ135" s="135">
        <f t="shared" si="116"/>
        <v>0</v>
      </c>
      <c r="BA135" s="135">
        <f t="shared" si="116"/>
        <v>0</v>
      </c>
      <c r="BB135" s="135">
        <f t="shared" si="116"/>
        <v>0</v>
      </c>
      <c r="BC135" s="135">
        <f t="shared" si="116"/>
        <v>0</v>
      </c>
      <c r="BD135" s="135">
        <f t="shared" si="116"/>
        <v>0</v>
      </c>
      <c r="BE135" s="136">
        <f t="shared" si="117"/>
        <v>0</v>
      </c>
      <c r="BF135" s="135">
        <f t="shared" si="118"/>
        <v>0</v>
      </c>
      <c r="BG135" s="135">
        <f t="shared" si="118"/>
        <v>0</v>
      </c>
      <c r="BH135" s="135">
        <f t="shared" si="118"/>
        <v>0</v>
      </c>
      <c r="BI135" s="135">
        <f t="shared" si="118"/>
        <v>0</v>
      </c>
      <c r="BJ135" s="135">
        <f t="shared" si="118"/>
        <v>0</v>
      </c>
      <c r="BK135" s="135">
        <f t="shared" si="118"/>
        <v>0</v>
      </c>
      <c r="BL135" s="135">
        <f t="shared" si="118"/>
        <v>0</v>
      </c>
      <c r="BM135" s="135">
        <f t="shared" si="118"/>
        <v>0</v>
      </c>
      <c r="BN135" s="135">
        <f t="shared" si="118"/>
        <v>0</v>
      </c>
      <c r="BO135" s="135">
        <f t="shared" si="118"/>
        <v>0</v>
      </c>
      <c r="BP135" s="135">
        <f t="shared" si="118"/>
        <v>0</v>
      </c>
      <c r="BQ135" s="135">
        <f t="shared" si="118"/>
        <v>0</v>
      </c>
      <c r="BR135" s="136">
        <f t="shared" si="119"/>
        <v>0</v>
      </c>
      <c r="BS135" s="135">
        <f t="shared" si="120"/>
        <v>0</v>
      </c>
      <c r="BT135" s="135">
        <f t="shared" si="120"/>
        <v>0</v>
      </c>
      <c r="BU135" s="135">
        <f t="shared" si="120"/>
        <v>0</v>
      </c>
      <c r="BV135" s="135">
        <f t="shared" si="120"/>
        <v>0</v>
      </c>
      <c r="BW135" s="135">
        <f t="shared" si="120"/>
        <v>0</v>
      </c>
      <c r="BX135" s="135">
        <f t="shared" si="120"/>
        <v>0</v>
      </c>
      <c r="BY135" s="135">
        <f t="shared" si="120"/>
        <v>0</v>
      </c>
      <c r="BZ135" s="135">
        <f t="shared" si="120"/>
        <v>0</v>
      </c>
      <c r="CA135" s="135">
        <f t="shared" si="120"/>
        <v>0</v>
      </c>
      <c r="CB135" s="135">
        <f t="shared" si="120"/>
        <v>0</v>
      </c>
      <c r="CC135" s="135">
        <f t="shared" si="120"/>
        <v>0</v>
      </c>
      <c r="CD135" s="135">
        <f t="shared" si="120"/>
        <v>0</v>
      </c>
      <c r="CE135" s="136">
        <f t="shared" si="121"/>
        <v>0</v>
      </c>
      <c r="CF135" s="135">
        <f t="shared" si="122"/>
        <v>0</v>
      </c>
      <c r="CG135" s="135">
        <f t="shared" si="122"/>
        <v>0</v>
      </c>
      <c r="CH135" s="135">
        <f t="shared" si="122"/>
        <v>0</v>
      </c>
      <c r="CI135" s="135">
        <f t="shared" si="122"/>
        <v>0</v>
      </c>
      <c r="CJ135" s="135">
        <f t="shared" si="122"/>
        <v>0</v>
      </c>
      <c r="CK135" s="135">
        <f t="shared" si="122"/>
        <v>0</v>
      </c>
      <c r="CL135" s="135">
        <f t="shared" si="122"/>
        <v>0</v>
      </c>
      <c r="CM135" s="135">
        <f t="shared" si="122"/>
        <v>0</v>
      </c>
      <c r="CN135" s="135">
        <f t="shared" si="122"/>
        <v>0</v>
      </c>
      <c r="CO135" s="135">
        <f t="shared" si="122"/>
        <v>0</v>
      </c>
      <c r="CP135" s="135">
        <f t="shared" si="122"/>
        <v>0</v>
      </c>
      <c r="CQ135" s="135">
        <f t="shared" si="122"/>
        <v>0</v>
      </c>
      <c r="CR135" s="136">
        <f t="shared" si="123"/>
        <v>0</v>
      </c>
    </row>
    <row r="136" spans="1:96">
      <c r="A136" s="240">
        <f t="shared" si="125"/>
        <v>0</v>
      </c>
      <c r="B136" s="649">
        <f t="shared" si="125"/>
        <v>0</v>
      </c>
      <c r="C136" s="240">
        <f t="shared" si="125"/>
        <v>0</v>
      </c>
      <c r="D136" s="133">
        <f t="shared" si="109"/>
        <v>0</v>
      </c>
      <c r="E136" s="137"/>
      <c r="F136" s="135">
        <f t="shared" si="110"/>
        <v>0</v>
      </c>
      <c r="G136" s="135">
        <f t="shared" si="110"/>
        <v>0</v>
      </c>
      <c r="H136" s="135">
        <f t="shared" si="110"/>
        <v>0</v>
      </c>
      <c r="I136" s="135">
        <f t="shared" si="110"/>
        <v>0</v>
      </c>
      <c r="J136" s="135">
        <f t="shared" si="110"/>
        <v>0</v>
      </c>
      <c r="K136" s="135">
        <f t="shared" si="110"/>
        <v>0</v>
      </c>
      <c r="L136" s="135">
        <f t="shared" si="110"/>
        <v>0</v>
      </c>
      <c r="M136" s="135">
        <f t="shared" si="110"/>
        <v>0</v>
      </c>
      <c r="N136" s="135">
        <f t="shared" si="110"/>
        <v>0</v>
      </c>
      <c r="O136" s="135">
        <f t="shared" si="110"/>
        <v>0</v>
      </c>
      <c r="P136" s="135">
        <f t="shared" si="110"/>
        <v>0</v>
      </c>
      <c r="Q136" s="135">
        <f t="shared" si="110"/>
        <v>0</v>
      </c>
      <c r="R136" s="136">
        <f t="shared" si="111"/>
        <v>0</v>
      </c>
      <c r="S136" s="135">
        <f t="shared" si="112"/>
        <v>0</v>
      </c>
      <c r="T136" s="135">
        <f t="shared" si="112"/>
        <v>0</v>
      </c>
      <c r="U136" s="135">
        <f t="shared" si="112"/>
        <v>0</v>
      </c>
      <c r="V136" s="135">
        <f t="shared" si="112"/>
        <v>0</v>
      </c>
      <c r="W136" s="135">
        <f t="shared" si="112"/>
        <v>0</v>
      </c>
      <c r="X136" s="135">
        <f t="shared" si="112"/>
        <v>0</v>
      </c>
      <c r="Y136" s="135">
        <f t="shared" si="112"/>
        <v>0</v>
      </c>
      <c r="Z136" s="135">
        <f t="shared" si="112"/>
        <v>0</v>
      </c>
      <c r="AA136" s="135">
        <f t="shared" si="112"/>
        <v>0</v>
      </c>
      <c r="AB136" s="135">
        <f t="shared" si="112"/>
        <v>0</v>
      </c>
      <c r="AC136" s="135">
        <f t="shared" si="112"/>
        <v>0</v>
      </c>
      <c r="AD136" s="135">
        <f t="shared" si="112"/>
        <v>0</v>
      </c>
      <c r="AE136" s="136">
        <f t="shared" si="113"/>
        <v>0</v>
      </c>
      <c r="AF136" s="135">
        <f t="shared" si="114"/>
        <v>0</v>
      </c>
      <c r="AG136" s="135">
        <f t="shared" si="114"/>
        <v>0</v>
      </c>
      <c r="AH136" s="135">
        <f t="shared" si="114"/>
        <v>0</v>
      </c>
      <c r="AI136" s="135">
        <f t="shared" si="114"/>
        <v>0</v>
      </c>
      <c r="AJ136" s="135">
        <f t="shared" si="114"/>
        <v>0</v>
      </c>
      <c r="AK136" s="135">
        <f t="shared" si="114"/>
        <v>0</v>
      </c>
      <c r="AL136" s="135">
        <f t="shared" si="114"/>
        <v>0</v>
      </c>
      <c r="AM136" s="135">
        <f t="shared" si="114"/>
        <v>0</v>
      </c>
      <c r="AN136" s="135">
        <f t="shared" si="114"/>
        <v>0</v>
      </c>
      <c r="AO136" s="135">
        <f t="shared" si="114"/>
        <v>0</v>
      </c>
      <c r="AP136" s="135">
        <f t="shared" si="114"/>
        <v>0</v>
      </c>
      <c r="AQ136" s="135">
        <f t="shared" si="114"/>
        <v>0</v>
      </c>
      <c r="AR136" s="136">
        <f t="shared" si="115"/>
        <v>0</v>
      </c>
      <c r="AS136" s="135">
        <f t="shared" si="116"/>
        <v>0</v>
      </c>
      <c r="AT136" s="135">
        <f t="shared" si="116"/>
        <v>0</v>
      </c>
      <c r="AU136" s="135">
        <f t="shared" si="116"/>
        <v>0</v>
      </c>
      <c r="AV136" s="135">
        <f t="shared" si="116"/>
        <v>0</v>
      </c>
      <c r="AW136" s="135">
        <f t="shared" si="116"/>
        <v>0</v>
      </c>
      <c r="AX136" s="135">
        <f t="shared" si="116"/>
        <v>0</v>
      </c>
      <c r="AY136" s="135">
        <f t="shared" si="116"/>
        <v>0</v>
      </c>
      <c r="AZ136" s="135">
        <f t="shared" si="116"/>
        <v>0</v>
      </c>
      <c r="BA136" s="135">
        <f t="shared" si="116"/>
        <v>0</v>
      </c>
      <c r="BB136" s="135">
        <f t="shared" si="116"/>
        <v>0</v>
      </c>
      <c r="BC136" s="135">
        <f t="shared" si="116"/>
        <v>0</v>
      </c>
      <c r="BD136" s="135">
        <f t="shared" si="116"/>
        <v>0</v>
      </c>
      <c r="BE136" s="136">
        <f t="shared" si="117"/>
        <v>0</v>
      </c>
      <c r="BF136" s="135">
        <f t="shared" si="118"/>
        <v>0</v>
      </c>
      <c r="BG136" s="135">
        <f t="shared" si="118"/>
        <v>0</v>
      </c>
      <c r="BH136" s="135">
        <f t="shared" si="118"/>
        <v>0</v>
      </c>
      <c r="BI136" s="135">
        <f t="shared" si="118"/>
        <v>0</v>
      </c>
      <c r="BJ136" s="135">
        <f t="shared" si="118"/>
        <v>0</v>
      </c>
      <c r="BK136" s="135">
        <f t="shared" si="118"/>
        <v>0</v>
      </c>
      <c r="BL136" s="135">
        <f t="shared" si="118"/>
        <v>0</v>
      </c>
      <c r="BM136" s="135">
        <f t="shared" si="118"/>
        <v>0</v>
      </c>
      <c r="BN136" s="135">
        <f t="shared" si="118"/>
        <v>0</v>
      </c>
      <c r="BO136" s="135">
        <f t="shared" si="118"/>
        <v>0</v>
      </c>
      <c r="BP136" s="135">
        <f t="shared" si="118"/>
        <v>0</v>
      </c>
      <c r="BQ136" s="135">
        <f t="shared" si="118"/>
        <v>0</v>
      </c>
      <c r="BR136" s="136">
        <f t="shared" si="119"/>
        <v>0</v>
      </c>
      <c r="BS136" s="135">
        <f t="shared" si="120"/>
        <v>0</v>
      </c>
      <c r="BT136" s="135">
        <f t="shared" si="120"/>
        <v>0</v>
      </c>
      <c r="BU136" s="135">
        <f t="shared" si="120"/>
        <v>0</v>
      </c>
      <c r="BV136" s="135">
        <f t="shared" si="120"/>
        <v>0</v>
      </c>
      <c r="BW136" s="135">
        <f t="shared" si="120"/>
        <v>0</v>
      </c>
      <c r="BX136" s="135">
        <f t="shared" si="120"/>
        <v>0</v>
      </c>
      <c r="BY136" s="135">
        <f t="shared" si="120"/>
        <v>0</v>
      </c>
      <c r="BZ136" s="135">
        <f t="shared" si="120"/>
        <v>0</v>
      </c>
      <c r="CA136" s="135">
        <f t="shared" si="120"/>
        <v>0</v>
      </c>
      <c r="CB136" s="135">
        <f t="shared" si="120"/>
        <v>0</v>
      </c>
      <c r="CC136" s="135">
        <f t="shared" si="120"/>
        <v>0</v>
      </c>
      <c r="CD136" s="135">
        <f t="shared" si="120"/>
        <v>0</v>
      </c>
      <c r="CE136" s="136">
        <f t="shared" si="121"/>
        <v>0</v>
      </c>
      <c r="CF136" s="135">
        <f t="shared" si="122"/>
        <v>0</v>
      </c>
      <c r="CG136" s="135">
        <f t="shared" si="122"/>
        <v>0</v>
      </c>
      <c r="CH136" s="135">
        <f t="shared" si="122"/>
        <v>0</v>
      </c>
      <c r="CI136" s="135">
        <f t="shared" si="122"/>
        <v>0</v>
      </c>
      <c r="CJ136" s="135">
        <f t="shared" si="122"/>
        <v>0</v>
      </c>
      <c r="CK136" s="135">
        <f t="shared" si="122"/>
        <v>0</v>
      </c>
      <c r="CL136" s="135">
        <f t="shared" si="122"/>
        <v>0</v>
      </c>
      <c r="CM136" s="135">
        <f t="shared" si="122"/>
        <v>0</v>
      </c>
      <c r="CN136" s="135">
        <f t="shared" si="122"/>
        <v>0</v>
      </c>
      <c r="CO136" s="135">
        <f t="shared" si="122"/>
        <v>0</v>
      </c>
      <c r="CP136" s="135">
        <f t="shared" si="122"/>
        <v>0</v>
      </c>
      <c r="CQ136" s="135">
        <f t="shared" si="122"/>
        <v>0</v>
      </c>
      <c r="CR136" s="136">
        <f t="shared" si="123"/>
        <v>0</v>
      </c>
    </row>
    <row r="137" spans="1:96">
      <c r="A137" s="240">
        <f t="shared" si="125"/>
        <v>0</v>
      </c>
      <c r="B137" s="649">
        <f t="shared" si="125"/>
        <v>0</v>
      </c>
      <c r="C137" s="240">
        <f t="shared" si="125"/>
        <v>0</v>
      </c>
      <c r="D137" s="133">
        <f t="shared" si="109"/>
        <v>0</v>
      </c>
      <c r="E137" s="137"/>
      <c r="F137" s="135">
        <f t="shared" si="110"/>
        <v>0</v>
      </c>
      <c r="G137" s="135">
        <f t="shared" si="110"/>
        <v>0</v>
      </c>
      <c r="H137" s="135">
        <f t="shared" si="110"/>
        <v>0</v>
      </c>
      <c r="I137" s="135">
        <f t="shared" si="110"/>
        <v>0</v>
      </c>
      <c r="J137" s="135">
        <f t="shared" si="110"/>
        <v>0</v>
      </c>
      <c r="K137" s="135">
        <f t="shared" si="110"/>
        <v>0</v>
      </c>
      <c r="L137" s="135">
        <f t="shared" si="110"/>
        <v>0</v>
      </c>
      <c r="M137" s="135">
        <f t="shared" si="110"/>
        <v>0</v>
      </c>
      <c r="N137" s="135">
        <f t="shared" si="110"/>
        <v>0</v>
      </c>
      <c r="O137" s="135">
        <f t="shared" si="110"/>
        <v>0</v>
      </c>
      <c r="P137" s="135">
        <f t="shared" si="110"/>
        <v>0</v>
      </c>
      <c r="Q137" s="135">
        <f t="shared" si="110"/>
        <v>0</v>
      </c>
      <c r="R137" s="136">
        <f t="shared" si="111"/>
        <v>0</v>
      </c>
      <c r="S137" s="135">
        <f t="shared" si="112"/>
        <v>0</v>
      </c>
      <c r="T137" s="135">
        <f t="shared" si="112"/>
        <v>0</v>
      </c>
      <c r="U137" s="135">
        <f t="shared" si="112"/>
        <v>0</v>
      </c>
      <c r="V137" s="135">
        <f t="shared" si="112"/>
        <v>0</v>
      </c>
      <c r="W137" s="135">
        <f t="shared" si="112"/>
        <v>0</v>
      </c>
      <c r="X137" s="135">
        <f t="shared" si="112"/>
        <v>0</v>
      </c>
      <c r="Y137" s="135">
        <f t="shared" si="112"/>
        <v>0</v>
      </c>
      <c r="Z137" s="135">
        <f t="shared" si="112"/>
        <v>0</v>
      </c>
      <c r="AA137" s="135">
        <f t="shared" si="112"/>
        <v>0</v>
      </c>
      <c r="AB137" s="135">
        <f t="shared" si="112"/>
        <v>0</v>
      </c>
      <c r="AC137" s="135">
        <f t="shared" si="112"/>
        <v>0</v>
      </c>
      <c r="AD137" s="135">
        <f t="shared" si="112"/>
        <v>0</v>
      </c>
      <c r="AE137" s="136">
        <f t="shared" si="113"/>
        <v>0</v>
      </c>
      <c r="AF137" s="135">
        <f t="shared" si="114"/>
        <v>0</v>
      </c>
      <c r="AG137" s="135">
        <f t="shared" si="114"/>
        <v>0</v>
      </c>
      <c r="AH137" s="135">
        <f t="shared" si="114"/>
        <v>0</v>
      </c>
      <c r="AI137" s="135">
        <f t="shared" si="114"/>
        <v>0</v>
      </c>
      <c r="AJ137" s="135">
        <f t="shared" si="114"/>
        <v>0</v>
      </c>
      <c r="AK137" s="135">
        <f t="shared" si="114"/>
        <v>0</v>
      </c>
      <c r="AL137" s="135">
        <f t="shared" si="114"/>
        <v>0</v>
      </c>
      <c r="AM137" s="135">
        <f t="shared" si="114"/>
        <v>0</v>
      </c>
      <c r="AN137" s="135">
        <f t="shared" si="114"/>
        <v>0</v>
      </c>
      <c r="AO137" s="135">
        <f t="shared" si="114"/>
        <v>0</v>
      </c>
      <c r="AP137" s="135">
        <f t="shared" si="114"/>
        <v>0</v>
      </c>
      <c r="AQ137" s="135">
        <f t="shared" si="114"/>
        <v>0</v>
      </c>
      <c r="AR137" s="136">
        <f t="shared" si="115"/>
        <v>0</v>
      </c>
      <c r="AS137" s="135">
        <f t="shared" si="116"/>
        <v>0</v>
      </c>
      <c r="AT137" s="135">
        <f t="shared" si="116"/>
        <v>0</v>
      </c>
      <c r="AU137" s="135">
        <f t="shared" si="116"/>
        <v>0</v>
      </c>
      <c r="AV137" s="135">
        <f t="shared" si="116"/>
        <v>0</v>
      </c>
      <c r="AW137" s="135">
        <f t="shared" si="116"/>
        <v>0</v>
      </c>
      <c r="AX137" s="135">
        <f t="shared" si="116"/>
        <v>0</v>
      </c>
      <c r="AY137" s="135">
        <f t="shared" si="116"/>
        <v>0</v>
      </c>
      <c r="AZ137" s="135">
        <f t="shared" si="116"/>
        <v>0</v>
      </c>
      <c r="BA137" s="135">
        <f t="shared" si="116"/>
        <v>0</v>
      </c>
      <c r="BB137" s="135">
        <f t="shared" si="116"/>
        <v>0</v>
      </c>
      <c r="BC137" s="135">
        <f t="shared" si="116"/>
        <v>0</v>
      </c>
      <c r="BD137" s="135">
        <f t="shared" si="116"/>
        <v>0</v>
      </c>
      <c r="BE137" s="136">
        <f t="shared" si="117"/>
        <v>0</v>
      </c>
      <c r="BF137" s="135">
        <f t="shared" si="118"/>
        <v>0</v>
      </c>
      <c r="BG137" s="135">
        <f t="shared" si="118"/>
        <v>0</v>
      </c>
      <c r="BH137" s="135">
        <f t="shared" si="118"/>
        <v>0</v>
      </c>
      <c r="BI137" s="135">
        <f t="shared" si="118"/>
        <v>0</v>
      </c>
      <c r="BJ137" s="135">
        <f t="shared" si="118"/>
        <v>0</v>
      </c>
      <c r="BK137" s="135">
        <f t="shared" si="118"/>
        <v>0</v>
      </c>
      <c r="BL137" s="135">
        <f t="shared" si="118"/>
        <v>0</v>
      </c>
      <c r="BM137" s="135">
        <f t="shared" si="118"/>
        <v>0</v>
      </c>
      <c r="BN137" s="135">
        <f t="shared" si="118"/>
        <v>0</v>
      </c>
      <c r="BO137" s="135">
        <f t="shared" si="118"/>
        <v>0</v>
      </c>
      <c r="BP137" s="135">
        <f t="shared" si="118"/>
        <v>0</v>
      </c>
      <c r="BQ137" s="135">
        <f t="shared" si="118"/>
        <v>0</v>
      </c>
      <c r="BR137" s="136">
        <f t="shared" si="119"/>
        <v>0</v>
      </c>
      <c r="BS137" s="135">
        <f t="shared" si="120"/>
        <v>0</v>
      </c>
      <c r="BT137" s="135">
        <f t="shared" si="120"/>
        <v>0</v>
      </c>
      <c r="BU137" s="135">
        <f t="shared" si="120"/>
        <v>0</v>
      </c>
      <c r="BV137" s="135">
        <f t="shared" si="120"/>
        <v>0</v>
      </c>
      <c r="BW137" s="135">
        <f t="shared" si="120"/>
        <v>0</v>
      </c>
      <c r="BX137" s="135">
        <f t="shared" si="120"/>
        <v>0</v>
      </c>
      <c r="BY137" s="135">
        <f t="shared" si="120"/>
        <v>0</v>
      </c>
      <c r="BZ137" s="135">
        <f t="shared" si="120"/>
        <v>0</v>
      </c>
      <c r="CA137" s="135">
        <f t="shared" si="120"/>
        <v>0</v>
      </c>
      <c r="CB137" s="135">
        <f t="shared" si="120"/>
        <v>0</v>
      </c>
      <c r="CC137" s="135">
        <f t="shared" si="120"/>
        <v>0</v>
      </c>
      <c r="CD137" s="135">
        <f t="shared" si="120"/>
        <v>0</v>
      </c>
      <c r="CE137" s="136">
        <f t="shared" si="121"/>
        <v>0</v>
      </c>
      <c r="CF137" s="135">
        <f t="shared" si="122"/>
        <v>0</v>
      </c>
      <c r="CG137" s="135">
        <f t="shared" si="122"/>
        <v>0</v>
      </c>
      <c r="CH137" s="135">
        <f t="shared" si="122"/>
        <v>0</v>
      </c>
      <c r="CI137" s="135">
        <f t="shared" si="122"/>
        <v>0</v>
      </c>
      <c r="CJ137" s="135">
        <f t="shared" si="122"/>
        <v>0</v>
      </c>
      <c r="CK137" s="135">
        <f t="shared" si="122"/>
        <v>0</v>
      </c>
      <c r="CL137" s="135">
        <f t="shared" si="122"/>
        <v>0</v>
      </c>
      <c r="CM137" s="135">
        <f t="shared" si="122"/>
        <v>0</v>
      </c>
      <c r="CN137" s="135">
        <f t="shared" si="122"/>
        <v>0</v>
      </c>
      <c r="CO137" s="135">
        <f t="shared" si="122"/>
        <v>0</v>
      </c>
      <c r="CP137" s="135">
        <f t="shared" si="122"/>
        <v>0</v>
      </c>
      <c r="CQ137" s="135">
        <f t="shared" si="122"/>
        <v>0</v>
      </c>
      <c r="CR137" s="136">
        <f t="shared" si="123"/>
        <v>0</v>
      </c>
    </row>
    <row r="138" spans="1:96">
      <c r="A138" s="240">
        <f t="shared" si="125"/>
        <v>0</v>
      </c>
      <c r="B138" s="649">
        <f t="shared" si="125"/>
        <v>0</v>
      </c>
      <c r="C138" s="240">
        <f t="shared" si="125"/>
        <v>0</v>
      </c>
      <c r="D138" s="133">
        <f t="shared" si="109"/>
        <v>0</v>
      </c>
      <c r="E138" s="137"/>
      <c r="F138" s="135">
        <f t="shared" si="110"/>
        <v>0</v>
      </c>
      <c r="G138" s="135">
        <f t="shared" si="110"/>
        <v>0</v>
      </c>
      <c r="H138" s="135">
        <f t="shared" si="110"/>
        <v>0</v>
      </c>
      <c r="I138" s="135">
        <f t="shared" si="110"/>
        <v>0</v>
      </c>
      <c r="J138" s="135">
        <f t="shared" si="110"/>
        <v>0</v>
      </c>
      <c r="K138" s="135">
        <f t="shared" si="110"/>
        <v>0</v>
      </c>
      <c r="L138" s="135">
        <f t="shared" si="110"/>
        <v>0</v>
      </c>
      <c r="M138" s="135">
        <f t="shared" si="110"/>
        <v>0</v>
      </c>
      <c r="N138" s="135">
        <f t="shared" si="110"/>
        <v>0</v>
      </c>
      <c r="O138" s="135">
        <f t="shared" si="110"/>
        <v>0</v>
      </c>
      <c r="P138" s="135">
        <f t="shared" si="110"/>
        <v>0</v>
      </c>
      <c r="Q138" s="135">
        <f t="shared" si="110"/>
        <v>0</v>
      </c>
      <c r="R138" s="136">
        <f t="shared" si="111"/>
        <v>0</v>
      </c>
      <c r="S138" s="135">
        <f t="shared" si="112"/>
        <v>0</v>
      </c>
      <c r="T138" s="135">
        <f t="shared" si="112"/>
        <v>0</v>
      </c>
      <c r="U138" s="135">
        <f t="shared" si="112"/>
        <v>0</v>
      </c>
      <c r="V138" s="135">
        <f t="shared" si="112"/>
        <v>0</v>
      </c>
      <c r="W138" s="135">
        <f t="shared" si="112"/>
        <v>0</v>
      </c>
      <c r="X138" s="135">
        <f t="shared" si="112"/>
        <v>0</v>
      </c>
      <c r="Y138" s="135">
        <f t="shared" si="112"/>
        <v>0</v>
      </c>
      <c r="Z138" s="135">
        <f t="shared" si="112"/>
        <v>0</v>
      </c>
      <c r="AA138" s="135">
        <f t="shared" si="112"/>
        <v>0</v>
      </c>
      <c r="AB138" s="135">
        <f t="shared" si="112"/>
        <v>0</v>
      </c>
      <c r="AC138" s="135">
        <f t="shared" si="112"/>
        <v>0</v>
      </c>
      <c r="AD138" s="135">
        <f t="shared" si="112"/>
        <v>0</v>
      </c>
      <c r="AE138" s="136">
        <f t="shared" si="113"/>
        <v>0</v>
      </c>
      <c r="AF138" s="135">
        <f t="shared" si="114"/>
        <v>0</v>
      </c>
      <c r="AG138" s="135">
        <f t="shared" si="114"/>
        <v>0</v>
      </c>
      <c r="AH138" s="135">
        <f t="shared" si="114"/>
        <v>0</v>
      </c>
      <c r="AI138" s="135">
        <f t="shared" si="114"/>
        <v>0</v>
      </c>
      <c r="AJ138" s="135">
        <f t="shared" si="114"/>
        <v>0</v>
      </c>
      <c r="AK138" s="135">
        <f t="shared" si="114"/>
        <v>0</v>
      </c>
      <c r="AL138" s="135">
        <f t="shared" si="114"/>
        <v>0</v>
      </c>
      <c r="AM138" s="135">
        <f t="shared" si="114"/>
        <v>0</v>
      </c>
      <c r="AN138" s="135">
        <f t="shared" si="114"/>
        <v>0</v>
      </c>
      <c r="AO138" s="135">
        <f t="shared" si="114"/>
        <v>0</v>
      </c>
      <c r="AP138" s="135">
        <f t="shared" si="114"/>
        <v>0</v>
      </c>
      <c r="AQ138" s="135">
        <f t="shared" si="114"/>
        <v>0</v>
      </c>
      <c r="AR138" s="136">
        <f t="shared" si="115"/>
        <v>0</v>
      </c>
      <c r="AS138" s="135">
        <f t="shared" si="116"/>
        <v>0</v>
      </c>
      <c r="AT138" s="135">
        <f t="shared" si="116"/>
        <v>0</v>
      </c>
      <c r="AU138" s="135">
        <f t="shared" si="116"/>
        <v>0</v>
      </c>
      <c r="AV138" s="135">
        <f t="shared" si="116"/>
        <v>0</v>
      </c>
      <c r="AW138" s="135">
        <f t="shared" si="116"/>
        <v>0</v>
      </c>
      <c r="AX138" s="135">
        <f t="shared" si="116"/>
        <v>0</v>
      </c>
      <c r="AY138" s="135">
        <f t="shared" si="116"/>
        <v>0</v>
      </c>
      <c r="AZ138" s="135">
        <f t="shared" si="116"/>
        <v>0</v>
      </c>
      <c r="BA138" s="135">
        <f t="shared" si="116"/>
        <v>0</v>
      </c>
      <c r="BB138" s="135">
        <f t="shared" si="116"/>
        <v>0</v>
      </c>
      <c r="BC138" s="135">
        <f t="shared" si="116"/>
        <v>0</v>
      </c>
      <c r="BD138" s="135">
        <f t="shared" si="116"/>
        <v>0</v>
      </c>
      <c r="BE138" s="136">
        <f t="shared" si="117"/>
        <v>0</v>
      </c>
      <c r="BF138" s="135">
        <f t="shared" si="118"/>
        <v>0</v>
      </c>
      <c r="BG138" s="135">
        <f t="shared" si="118"/>
        <v>0</v>
      </c>
      <c r="BH138" s="135">
        <f t="shared" si="118"/>
        <v>0</v>
      </c>
      <c r="BI138" s="135">
        <f t="shared" si="118"/>
        <v>0</v>
      </c>
      <c r="BJ138" s="135">
        <f t="shared" si="118"/>
        <v>0</v>
      </c>
      <c r="BK138" s="135">
        <f t="shared" si="118"/>
        <v>0</v>
      </c>
      <c r="BL138" s="135">
        <f t="shared" si="118"/>
        <v>0</v>
      </c>
      <c r="BM138" s="135">
        <f t="shared" si="118"/>
        <v>0</v>
      </c>
      <c r="BN138" s="135">
        <f t="shared" si="118"/>
        <v>0</v>
      </c>
      <c r="BO138" s="135">
        <f t="shared" si="118"/>
        <v>0</v>
      </c>
      <c r="BP138" s="135">
        <f t="shared" si="118"/>
        <v>0</v>
      </c>
      <c r="BQ138" s="135">
        <f t="shared" si="118"/>
        <v>0</v>
      </c>
      <c r="BR138" s="136">
        <f t="shared" si="119"/>
        <v>0</v>
      </c>
      <c r="BS138" s="135">
        <f t="shared" si="120"/>
        <v>0</v>
      </c>
      <c r="BT138" s="135">
        <f t="shared" si="120"/>
        <v>0</v>
      </c>
      <c r="BU138" s="135">
        <f t="shared" si="120"/>
        <v>0</v>
      </c>
      <c r="BV138" s="135">
        <f t="shared" si="120"/>
        <v>0</v>
      </c>
      <c r="BW138" s="135">
        <f t="shared" si="120"/>
        <v>0</v>
      </c>
      <c r="BX138" s="135">
        <f t="shared" si="120"/>
        <v>0</v>
      </c>
      <c r="BY138" s="135">
        <f t="shared" si="120"/>
        <v>0</v>
      </c>
      <c r="BZ138" s="135">
        <f t="shared" si="120"/>
        <v>0</v>
      </c>
      <c r="CA138" s="135">
        <f t="shared" si="120"/>
        <v>0</v>
      </c>
      <c r="CB138" s="135">
        <f t="shared" si="120"/>
        <v>0</v>
      </c>
      <c r="CC138" s="135">
        <f t="shared" si="120"/>
        <v>0</v>
      </c>
      <c r="CD138" s="135">
        <f t="shared" si="120"/>
        <v>0</v>
      </c>
      <c r="CE138" s="136">
        <f t="shared" si="121"/>
        <v>0</v>
      </c>
      <c r="CF138" s="135">
        <f t="shared" si="122"/>
        <v>0</v>
      </c>
      <c r="CG138" s="135">
        <f t="shared" si="122"/>
        <v>0</v>
      </c>
      <c r="CH138" s="135">
        <f t="shared" si="122"/>
        <v>0</v>
      </c>
      <c r="CI138" s="135">
        <f t="shared" si="122"/>
        <v>0</v>
      </c>
      <c r="CJ138" s="135">
        <f t="shared" si="122"/>
        <v>0</v>
      </c>
      <c r="CK138" s="135">
        <f t="shared" si="122"/>
        <v>0</v>
      </c>
      <c r="CL138" s="135">
        <f t="shared" si="122"/>
        <v>0</v>
      </c>
      <c r="CM138" s="135">
        <f t="shared" si="122"/>
        <v>0</v>
      </c>
      <c r="CN138" s="135">
        <f t="shared" si="122"/>
        <v>0</v>
      </c>
      <c r="CO138" s="135">
        <f t="shared" si="122"/>
        <v>0</v>
      </c>
      <c r="CP138" s="135">
        <f t="shared" si="122"/>
        <v>0</v>
      </c>
      <c r="CQ138" s="135">
        <f t="shared" si="122"/>
        <v>0</v>
      </c>
      <c r="CR138" s="136">
        <f t="shared" si="123"/>
        <v>0</v>
      </c>
    </row>
    <row r="139" spans="1:96">
      <c r="A139" s="240">
        <f t="shared" si="125"/>
        <v>0</v>
      </c>
      <c r="B139" s="649">
        <f t="shared" si="125"/>
        <v>0</v>
      </c>
      <c r="C139" s="240">
        <f t="shared" si="125"/>
        <v>0</v>
      </c>
      <c r="D139" s="133">
        <f t="shared" si="109"/>
        <v>0</v>
      </c>
      <c r="E139" s="137"/>
      <c r="F139" s="135">
        <f t="shared" ref="F139:U141" si="126">$D139</f>
        <v>0</v>
      </c>
      <c r="G139" s="135">
        <f t="shared" si="126"/>
        <v>0</v>
      </c>
      <c r="H139" s="135">
        <f t="shared" si="126"/>
        <v>0</v>
      </c>
      <c r="I139" s="135">
        <f t="shared" si="126"/>
        <v>0</v>
      </c>
      <c r="J139" s="135">
        <f t="shared" si="126"/>
        <v>0</v>
      </c>
      <c r="K139" s="135">
        <f t="shared" si="126"/>
        <v>0</v>
      </c>
      <c r="L139" s="135">
        <f t="shared" si="126"/>
        <v>0</v>
      </c>
      <c r="M139" s="135">
        <f t="shared" si="126"/>
        <v>0</v>
      </c>
      <c r="N139" s="135">
        <f t="shared" si="126"/>
        <v>0</v>
      </c>
      <c r="O139" s="135">
        <f t="shared" si="126"/>
        <v>0</v>
      </c>
      <c r="P139" s="135">
        <f t="shared" si="126"/>
        <v>0</v>
      </c>
      <c r="Q139" s="135">
        <f t="shared" si="126"/>
        <v>0</v>
      </c>
      <c r="R139" s="136">
        <f t="shared" si="111"/>
        <v>0</v>
      </c>
      <c r="S139" s="135">
        <f t="shared" si="126"/>
        <v>0</v>
      </c>
      <c r="T139" s="135">
        <f t="shared" si="126"/>
        <v>0</v>
      </c>
      <c r="U139" s="135">
        <f t="shared" si="126"/>
        <v>0</v>
      </c>
      <c r="V139" s="135">
        <f t="shared" ref="S139:AD141" si="127">$D139</f>
        <v>0</v>
      </c>
      <c r="W139" s="135">
        <f t="shared" si="127"/>
        <v>0</v>
      </c>
      <c r="X139" s="135">
        <f t="shared" si="127"/>
        <v>0</v>
      </c>
      <c r="Y139" s="135">
        <f t="shared" si="127"/>
        <v>0</v>
      </c>
      <c r="Z139" s="135">
        <f t="shared" si="127"/>
        <v>0</v>
      </c>
      <c r="AA139" s="135">
        <f t="shared" si="127"/>
        <v>0</v>
      </c>
      <c r="AB139" s="135">
        <f t="shared" si="127"/>
        <v>0</v>
      </c>
      <c r="AC139" s="135">
        <f t="shared" si="127"/>
        <v>0</v>
      </c>
      <c r="AD139" s="135">
        <f t="shared" si="127"/>
        <v>0</v>
      </c>
      <c r="AE139" s="136">
        <f t="shared" si="113"/>
        <v>0</v>
      </c>
      <c r="AF139" s="135">
        <f t="shared" ref="AF139:AU141" si="128">$D139</f>
        <v>0</v>
      </c>
      <c r="AG139" s="135">
        <f t="shared" si="128"/>
        <v>0</v>
      </c>
      <c r="AH139" s="135">
        <f t="shared" si="128"/>
        <v>0</v>
      </c>
      <c r="AI139" s="135">
        <f t="shared" si="128"/>
        <v>0</v>
      </c>
      <c r="AJ139" s="135">
        <f t="shared" si="128"/>
        <v>0</v>
      </c>
      <c r="AK139" s="135">
        <f t="shared" si="128"/>
        <v>0</v>
      </c>
      <c r="AL139" s="135">
        <f t="shared" si="128"/>
        <v>0</v>
      </c>
      <c r="AM139" s="135">
        <f t="shared" si="128"/>
        <v>0</v>
      </c>
      <c r="AN139" s="135">
        <f t="shared" si="128"/>
        <v>0</v>
      </c>
      <c r="AO139" s="135">
        <f t="shared" si="128"/>
        <v>0</v>
      </c>
      <c r="AP139" s="135">
        <f t="shared" si="128"/>
        <v>0</v>
      </c>
      <c r="AQ139" s="135">
        <f t="shared" si="128"/>
        <v>0</v>
      </c>
      <c r="AR139" s="136">
        <f t="shared" si="115"/>
        <v>0</v>
      </c>
      <c r="AS139" s="135">
        <f t="shared" si="128"/>
        <v>0</v>
      </c>
      <c r="AT139" s="135">
        <f t="shared" si="128"/>
        <v>0</v>
      </c>
      <c r="AU139" s="135">
        <f t="shared" si="128"/>
        <v>0</v>
      </c>
      <c r="AV139" s="135">
        <f t="shared" ref="AS139:BD141" si="129">$D139</f>
        <v>0</v>
      </c>
      <c r="AW139" s="135">
        <f t="shared" si="129"/>
        <v>0</v>
      </c>
      <c r="AX139" s="135">
        <f t="shared" si="129"/>
        <v>0</v>
      </c>
      <c r="AY139" s="135">
        <f t="shared" si="129"/>
        <v>0</v>
      </c>
      <c r="AZ139" s="135">
        <f t="shared" si="129"/>
        <v>0</v>
      </c>
      <c r="BA139" s="135">
        <f t="shared" si="129"/>
        <v>0</v>
      </c>
      <c r="BB139" s="135">
        <f t="shared" si="129"/>
        <v>0</v>
      </c>
      <c r="BC139" s="135">
        <f t="shared" si="129"/>
        <v>0</v>
      </c>
      <c r="BD139" s="135">
        <f t="shared" si="129"/>
        <v>0</v>
      </c>
      <c r="BE139" s="136">
        <f t="shared" si="117"/>
        <v>0</v>
      </c>
      <c r="BF139" s="135">
        <f t="shared" ref="BF139:BU141" si="130">$D139</f>
        <v>0</v>
      </c>
      <c r="BG139" s="135">
        <f t="shared" si="130"/>
        <v>0</v>
      </c>
      <c r="BH139" s="135">
        <f t="shared" si="130"/>
        <v>0</v>
      </c>
      <c r="BI139" s="135">
        <f t="shared" si="130"/>
        <v>0</v>
      </c>
      <c r="BJ139" s="135">
        <f t="shared" si="130"/>
        <v>0</v>
      </c>
      <c r="BK139" s="135">
        <f t="shared" si="130"/>
        <v>0</v>
      </c>
      <c r="BL139" s="135">
        <f t="shared" si="130"/>
        <v>0</v>
      </c>
      <c r="BM139" s="135">
        <f t="shared" si="130"/>
        <v>0</v>
      </c>
      <c r="BN139" s="135">
        <f t="shared" si="130"/>
        <v>0</v>
      </c>
      <c r="BO139" s="135">
        <f t="shared" si="130"/>
        <v>0</v>
      </c>
      <c r="BP139" s="135">
        <f t="shared" si="130"/>
        <v>0</v>
      </c>
      <c r="BQ139" s="135">
        <f t="shared" si="130"/>
        <v>0</v>
      </c>
      <c r="BR139" s="136">
        <f t="shared" si="119"/>
        <v>0</v>
      </c>
      <c r="BS139" s="135">
        <f t="shared" si="130"/>
        <v>0</v>
      </c>
      <c r="BT139" s="135">
        <f t="shared" si="130"/>
        <v>0</v>
      </c>
      <c r="BU139" s="135">
        <f t="shared" si="130"/>
        <v>0</v>
      </c>
      <c r="BV139" s="135">
        <f t="shared" ref="BS139:CD141" si="131">$D139</f>
        <v>0</v>
      </c>
      <c r="BW139" s="135">
        <f t="shared" si="131"/>
        <v>0</v>
      </c>
      <c r="BX139" s="135">
        <f t="shared" si="131"/>
        <v>0</v>
      </c>
      <c r="BY139" s="135">
        <f t="shared" si="131"/>
        <v>0</v>
      </c>
      <c r="BZ139" s="135">
        <f t="shared" si="131"/>
        <v>0</v>
      </c>
      <c r="CA139" s="135">
        <f t="shared" si="131"/>
        <v>0</v>
      </c>
      <c r="CB139" s="135">
        <f t="shared" si="131"/>
        <v>0</v>
      </c>
      <c r="CC139" s="135">
        <f t="shared" si="131"/>
        <v>0</v>
      </c>
      <c r="CD139" s="135">
        <f t="shared" si="131"/>
        <v>0</v>
      </c>
      <c r="CE139" s="136">
        <f t="shared" si="121"/>
        <v>0</v>
      </c>
      <c r="CF139" s="135">
        <f t="shared" ref="CF139:CQ141" si="132">$D139</f>
        <v>0</v>
      </c>
      <c r="CG139" s="135">
        <f t="shared" si="132"/>
        <v>0</v>
      </c>
      <c r="CH139" s="135">
        <f t="shared" si="132"/>
        <v>0</v>
      </c>
      <c r="CI139" s="135">
        <f t="shared" si="132"/>
        <v>0</v>
      </c>
      <c r="CJ139" s="135">
        <f t="shared" si="132"/>
        <v>0</v>
      </c>
      <c r="CK139" s="135">
        <f t="shared" si="132"/>
        <v>0</v>
      </c>
      <c r="CL139" s="135">
        <f t="shared" si="132"/>
        <v>0</v>
      </c>
      <c r="CM139" s="135">
        <f t="shared" si="132"/>
        <v>0</v>
      </c>
      <c r="CN139" s="135">
        <f t="shared" si="132"/>
        <v>0</v>
      </c>
      <c r="CO139" s="135">
        <f t="shared" si="132"/>
        <v>0</v>
      </c>
      <c r="CP139" s="135">
        <f t="shared" si="132"/>
        <v>0</v>
      </c>
      <c r="CQ139" s="135">
        <f t="shared" si="132"/>
        <v>0</v>
      </c>
      <c r="CR139" s="136">
        <f t="shared" si="123"/>
        <v>0</v>
      </c>
    </row>
    <row r="140" spans="1:96">
      <c r="A140" s="240">
        <f t="shared" si="125"/>
        <v>0</v>
      </c>
      <c r="B140" s="649">
        <f t="shared" si="125"/>
        <v>0</v>
      </c>
      <c r="C140" s="240">
        <f t="shared" si="125"/>
        <v>0</v>
      </c>
      <c r="D140" s="133">
        <f t="shared" si="109"/>
        <v>0</v>
      </c>
      <c r="E140" s="137"/>
      <c r="F140" s="135">
        <f t="shared" si="126"/>
        <v>0</v>
      </c>
      <c r="G140" s="135">
        <f t="shared" si="126"/>
        <v>0</v>
      </c>
      <c r="H140" s="135">
        <f t="shared" si="126"/>
        <v>0</v>
      </c>
      <c r="I140" s="135">
        <f t="shared" si="126"/>
        <v>0</v>
      </c>
      <c r="J140" s="135">
        <f t="shared" si="126"/>
        <v>0</v>
      </c>
      <c r="K140" s="135">
        <f t="shared" si="126"/>
        <v>0</v>
      </c>
      <c r="L140" s="135">
        <f t="shared" si="126"/>
        <v>0</v>
      </c>
      <c r="M140" s="135">
        <f t="shared" si="126"/>
        <v>0</v>
      </c>
      <c r="N140" s="135">
        <f t="shared" si="126"/>
        <v>0</v>
      </c>
      <c r="O140" s="135">
        <f t="shared" si="126"/>
        <v>0</v>
      </c>
      <c r="P140" s="135">
        <f t="shared" si="126"/>
        <v>0</v>
      </c>
      <c r="Q140" s="135">
        <f t="shared" si="126"/>
        <v>0</v>
      </c>
      <c r="R140" s="136">
        <f t="shared" si="111"/>
        <v>0</v>
      </c>
      <c r="S140" s="135">
        <f t="shared" si="127"/>
        <v>0</v>
      </c>
      <c r="T140" s="135">
        <f t="shared" si="127"/>
        <v>0</v>
      </c>
      <c r="U140" s="135">
        <f t="shared" si="127"/>
        <v>0</v>
      </c>
      <c r="V140" s="135">
        <f t="shared" si="127"/>
        <v>0</v>
      </c>
      <c r="W140" s="135">
        <f t="shared" si="127"/>
        <v>0</v>
      </c>
      <c r="X140" s="135">
        <f t="shared" si="127"/>
        <v>0</v>
      </c>
      <c r="Y140" s="135">
        <f t="shared" si="127"/>
        <v>0</v>
      </c>
      <c r="Z140" s="135">
        <f t="shared" si="127"/>
        <v>0</v>
      </c>
      <c r="AA140" s="135">
        <f t="shared" si="127"/>
        <v>0</v>
      </c>
      <c r="AB140" s="135">
        <f t="shared" si="127"/>
        <v>0</v>
      </c>
      <c r="AC140" s="135">
        <f t="shared" si="127"/>
        <v>0</v>
      </c>
      <c r="AD140" s="135">
        <f t="shared" si="127"/>
        <v>0</v>
      </c>
      <c r="AE140" s="136">
        <f t="shared" si="113"/>
        <v>0</v>
      </c>
      <c r="AF140" s="135">
        <f t="shared" si="128"/>
        <v>0</v>
      </c>
      <c r="AG140" s="135">
        <f t="shared" si="128"/>
        <v>0</v>
      </c>
      <c r="AH140" s="135">
        <f t="shared" si="128"/>
        <v>0</v>
      </c>
      <c r="AI140" s="135">
        <f t="shared" si="128"/>
        <v>0</v>
      </c>
      <c r="AJ140" s="135">
        <f t="shared" si="128"/>
        <v>0</v>
      </c>
      <c r="AK140" s="135">
        <f t="shared" si="128"/>
        <v>0</v>
      </c>
      <c r="AL140" s="135">
        <f t="shared" si="128"/>
        <v>0</v>
      </c>
      <c r="AM140" s="135">
        <f t="shared" si="128"/>
        <v>0</v>
      </c>
      <c r="AN140" s="135">
        <f t="shared" si="128"/>
        <v>0</v>
      </c>
      <c r="AO140" s="135">
        <f t="shared" si="128"/>
        <v>0</v>
      </c>
      <c r="AP140" s="135">
        <f t="shared" si="128"/>
        <v>0</v>
      </c>
      <c r="AQ140" s="135">
        <f t="shared" si="128"/>
        <v>0</v>
      </c>
      <c r="AR140" s="136">
        <f t="shared" si="115"/>
        <v>0</v>
      </c>
      <c r="AS140" s="135">
        <f t="shared" si="129"/>
        <v>0</v>
      </c>
      <c r="AT140" s="135">
        <f t="shared" si="129"/>
        <v>0</v>
      </c>
      <c r="AU140" s="135">
        <f t="shared" si="129"/>
        <v>0</v>
      </c>
      <c r="AV140" s="135">
        <f t="shared" si="129"/>
        <v>0</v>
      </c>
      <c r="AW140" s="135">
        <f t="shared" si="129"/>
        <v>0</v>
      </c>
      <c r="AX140" s="135">
        <f t="shared" si="129"/>
        <v>0</v>
      </c>
      <c r="AY140" s="135">
        <f t="shared" si="129"/>
        <v>0</v>
      </c>
      <c r="AZ140" s="135">
        <f t="shared" si="129"/>
        <v>0</v>
      </c>
      <c r="BA140" s="135">
        <f t="shared" si="129"/>
        <v>0</v>
      </c>
      <c r="BB140" s="135">
        <f t="shared" si="129"/>
        <v>0</v>
      </c>
      <c r="BC140" s="135">
        <f t="shared" si="129"/>
        <v>0</v>
      </c>
      <c r="BD140" s="135">
        <f t="shared" si="129"/>
        <v>0</v>
      </c>
      <c r="BE140" s="136">
        <f t="shared" si="117"/>
        <v>0</v>
      </c>
      <c r="BF140" s="135">
        <f t="shared" si="130"/>
        <v>0</v>
      </c>
      <c r="BG140" s="135">
        <f t="shared" si="130"/>
        <v>0</v>
      </c>
      <c r="BH140" s="135">
        <f t="shared" si="130"/>
        <v>0</v>
      </c>
      <c r="BI140" s="135">
        <f t="shared" si="130"/>
        <v>0</v>
      </c>
      <c r="BJ140" s="135">
        <f t="shared" si="130"/>
        <v>0</v>
      </c>
      <c r="BK140" s="135">
        <f t="shared" si="130"/>
        <v>0</v>
      </c>
      <c r="BL140" s="135">
        <f t="shared" si="130"/>
        <v>0</v>
      </c>
      <c r="BM140" s="135">
        <f t="shared" si="130"/>
        <v>0</v>
      </c>
      <c r="BN140" s="135">
        <f t="shared" si="130"/>
        <v>0</v>
      </c>
      <c r="BO140" s="135">
        <f t="shared" si="130"/>
        <v>0</v>
      </c>
      <c r="BP140" s="135">
        <f t="shared" si="130"/>
        <v>0</v>
      </c>
      <c r="BQ140" s="135">
        <f t="shared" si="130"/>
        <v>0</v>
      </c>
      <c r="BR140" s="136">
        <f t="shared" si="119"/>
        <v>0</v>
      </c>
      <c r="BS140" s="135">
        <f t="shared" si="131"/>
        <v>0</v>
      </c>
      <c r="BT140" s="135">
        <f t="shared" si="131"/>
        <v>0</v>
      </c>
      <c r="BU140" s="135">
        <f t="shared" si="131"/>
        <v>0</v>
      </c>
      <c r="BV140" s="135">
        <f t="shared" si="131"/>
        <v>0</v>
      </c>
      <c r="BW140" s="135">
        <f t="shared" si="131"/>
        <v>0</v>
      </c>
      <c r="BX140" s="135">
        <f t="shared" si="131"/>
        <v>0</v>
      </c>
      <c r="BY140" s="135">
        <f t="shared" si="131"/>
        <v>0</v>
      </c>
      <c r="BZ140" s="135">
        <f t="shared" si="131"/>
        <v>0</v>
      </c>
      <c r="CA140" s="135">
        <f t="shared" si="131"/>
        <v>0</v>
      </c>
      <c r="CB140" s="135">
        <f t="shared" si="131"/>
        <v>0</v>
      </c>
      <c r="CC140" s="135">
        <f t="shared" si="131"/>
        <v>0</v>
      </c>
      <c r="CD140" s="135">
        <f t="shared" si="131"/>
        <v>0</v>
      </c>
      <c r="CE140" s="136">
        <f t="shared" si="121"/>
        <v>0</v>
      </c>
      <c r="CF140" s="135">
        <f t="shared" si="132"/>
        <v>0</v>
      </c>
      <c r="CG140" s="135">
        <f t="shared" si="132"/>
        <v>0</v>
      </c>
      <c r="CH140" s="135">
        <f t="shared" si="132"/>
        <v>0</v>
      </c>
      <c r="CI140" s="135">
        <f t="shared" si="132"/>
        <v>0</v>
      </c>
      <c r="CJ140" s="135">
        <f t="shared" si="132"/>
        <v>0</v>
      </c>
      <c r="CK140" s="135">
        <f t="shared" si="132"/>
        <v>0</v>
      </c>
      <c r="CL140" s="135">
        <f t="shared" si="132"/>
        <v>0</v>
      </c>
      <c r="CM140" s="135">
        <f t="shared" si="132"/>
        <v>0</v>
      </c>
      <c r="CN140" s="135">
        <f t="shared" si="132"/>
        <v>0</v>
      </c>
      <c r="CO140" s="135">
        <f t="shared" si="132"/>
        <v>0</v>
      </c>
      <c r="CP140" s="135">
        <f t="shared" si="132"/>
        <v>0</v>
      </c>
      <c r="CQ140" s="135">
        <f t="shared" si="132"/>
        <v>0</v>
      </c>
      <c r="CR140" s="136">
        <f t="shared" si="123"/>
        <v>0</v>
      </c>
    </row>
    <row r="141" spans="1:96" ht="18.75" thickBot="1">
      <c r="A141" s="240">
        <f t="shared" si="125"/>
        <v>0</v>
      </c>
      <c r="B141" s="649">
        <f t="shared" si="125"/>
        <v>0</v>
      </c>
      <c r="C141" s="240">
        <f t="shared" si="125"/>
        <v>0</v>
      </c>
      <c r="D141" s="133">
        <f t="shared" si="109"/>
        <v>0</v>
      </c>
      <c r="E141" s="137"/>
      <c r="F141" s="135">
        <f t="shared" si="126"/>
        <v>0</v>
      </c>
      <c r="G141" s="135">
        <f t="shared" si="126"/>
        <v>0</v>
      </c>
      <c r="H141" s="135">
        <f t="shared" si="126"/>
        <v>0</v>
      </c>
      <c r="I141" s="135">
        <f t="shared" si="126"/>
        <v>0</v>
      </c>
      <c r="J141" s="135">
        <f t="shared" si="126"/>
        <v>0</v>
      </c>
      <c r="K141" s="135">
        <f t="shared" si="126"/>
        <v>0</v>
      </c>
      <c r="L141" s="135">
        <f t="shared" si="126"/>
        <v>0</v>
      </c>
      <c r="M141" s="135">
        <f t="shared" si="126"/>
        <v>0</v>
      </c>
      <c r="N141" s="135">
        <f t="shared" si="126"/>
        <v>0</v>
      </c>
      <c r="O141" s="135">
        <f t="shared" si="126"/>
        <v>0</v>
      </c>
      <c r="P141" s="135">
        <f t="shared" si="126"/>
        <v>0</v>
      </c>
      <c r="Q141" s="135">
        <f t="shared" si="126"/>
        <v>0</v>
      </c>
      <c r="R141" s="136">
        <f t="shared" si="111"/>
        <v>0</v>
      </c>
      <c r="S141" s="135">
        <f t="shared" si="127"/>
        <v>0</v>
      </c>
      <c r="T141" s="135">
        <f t="shared" si="127"/>
        <v>0</v>
      </c>
      <c r="U141" s="135">
        <f t="shared" si="127"/>
        <v>0</v>
      </c>
      <c r="V141" s="135">
        <f t="shared" si="127"/>
        <v>0</v>
      </c>
      <c r="W141" s="135">
        <f t="shared" si="127"/>
        <v>0</v>
      </c>
      <c r="X141" s="135">
        <f t="shared" si="127"/>
        <v>0</v>
      </c>
      <c r="Y141" s="135">
        <f t="shared" si="127"/>
        <v>0</v>
      </c>
      <c r="Z141" s="135">
        <f t="shared" si="127"/>
        <v>0</v>
      </c>
      <c r="AA141" s="135">
        <f t="shared" si="127"/>
        <v>0</v>
      </c>
      <c r="AB141" s="135">
        <f t="shared" si="127"/>
        <v>0</v>
      </c>
      <c r="AC141" s="135">
        <f t="shared" si="127"/>
        <v>0</v>
      </c>
      <c r="AD141" s="135">
        <f t="shared" si="127"/>
        <v>0</v>
      </c>
      <c r="AE141" s="136">
        <f t="shared" si="113"/>
        <v>0</v>
      </c>
      <c r="AF141" s="135">
        <f t="shared" si="128"/>
        <v>0</v>
      </c>
      <c r="AG141" s="135">
        <f t="shared" si="128"/>
        <v>0</v>
      </c>
      <c r="AH141" s="135">
        <f t="shared" si="128"/>
        <v>0</v>
      </c>
      <c r="AI141" s="135">
        <f t="shared" si="128"/>
        <v>0</v>
      </c>
      <c r="AJ141" s="135">
        <f t="shared" si="128"/>
        <v>0</v>
      </c>
      <c r="AK141" s="135">
        <f t="shared" si="128"/>
        <v>0</v>
      </c>
      <c r="AL141" s="135">
        <f t="shared" si="128"/>
        <v>0</v>
      </c>
      <c r="AM141" s="135">
        <f t="shared" si="128"/>
        <v>0</v>
      </c>
      <c r="AN141" s="135">
        <f t="shared" si="128"/>
        <v>0</v>
      </c>
      <c r="AO141" s="135">
        <f t="shared" si="128"/>
        <v>0</v>
      </c>
      <c r="AP141" s="135">
        <f t="shared" si="128"/>
        <v>0</v>
      </c>
      <c r="AQ141" s="135">
        <f t="shared" si="128"/>
        <v>0</v>
      </c>
      <c r="AR141" s="136">
        <f t="shared" si="115"/>
        <v>0</v>
      </c>
      <c r="AS141" s="135">
        <f t="shared" si="129"/>
        <v>0</v>
      </c>
      <c r="AT141" s="135">
        <f t="shared" si="129"/>
        <v>0</v>
      </c>
      <c r="AU141" s="135">
        <f t="shared" si="129"/>
        <v>0</v>
      </c>
      <c r="AV141" s="135">
        <f t="shared" si="129"/>
        <v>0</v>
      </c>
      <c r="AW141" s="135">
        <f t="shared" si="129"/>
        <v>0</v>
      </c>
      <c r="AX141" s="135">
        <f t="shared" si="129"/>
        <v>0</v>
      </c>
      <c r="AY141" s="135">
        <f t="shared" si="129"/>
        <v>0</v>
      </c>
      <c r="AZ141" s="135">
        <f t="shared" si="129"/>
        <v>0</v>
      </c>
      <c r="BA141" s="135">
        <f t="shared" si="129"/>
        <v>0</v>
      </c>
      <c r="BB141" s="135">
        <f t="shared" si="129"/>
        <v>0</v>
      </c>
      <c r="BC141" s="135">
        <f t="shared" si="129"/>
        <v>0</v>
      </c>
      <c r="BD141" s="135">
        <f t="shared" si="129"/>
        <v>0</v>
      </c>
      <c r="BE141" s="136">
        <f t="shared" si="117"/>
        <v>0</v>
      </c>
      <c r="BF141" s="135">
        <f t="shared" si="130"/>
        <v>0</v>
      </c>
      <c r="BG141" s="135">
        <f t="shared" si="130"/>
        <v>0</v>
      </c>
      <c r="BH141" s="135">
        <f t="shared" si="130"/>
        <v>0</v>
      </c>
      <c r="BI141" s="135">
        <f t="shared" si="130"/>
        <v>0</v>
      </c>
      <c r="BJ141" s="135">
        <f t="shared" si="130"/>
        <v>0</v>
      </c>
      <c r="BK141" s="135">
        <f t="shared" si="130"/>
        <v>0</v>
      </c>
      <c r="BL141" s="135">
        <f t="shared" si="130"/>
        <v>0</v>
      </c>
      <c r="BM141" s="135">
        <f t="shared" si="130"/>
        <v>0</v>
      </c>
      <c r="BN141" s="135">
        <f t="shared" si="130"/>
        <v>0</v>
      </c>
      <c r="BO141" s="135">
        <f t="shared" si="130"/>
        <v>0</v>
      </c>
      <c r="BP141" s="135">
        <f t="shared" si="130"/>
        <v>0</v>
      </c>
      <c r="BQ141" s="135">
        <f t="shared" si="130"/>
        <v>0</v>
      </c>
      <c r="BR141" s="136">
        <f t="shared" si="119"/>
        <v>0</v>
      </c>
      <c r="BS141" s="135">
        <f t="shared" si="131"/>
        <v>0</v>
      </c>
      <c r="BT141" s="135">
        <f t="shared" si="131"/>
        <v>0</v>
      </c>
      <c r="BU141" s="135">
        <f t="shared" si="131"/>
        <v>0</v>
      </c>
      <c r="BV141" s="135">
        <f t="shared" si="131"/>
        <v>0</v>
      </c>
      <c r="BW141" s="135">
        <f t="shared" si="131"/>
        <v>0</v>
      </c>
      <c r="BX141" s="135">
        <f t="shared" si="131"/>
        <v>0</v>
      </c>
      <c r="BY141" s="135">
        <f t="shared" si="131"/>
        <v>0</v>
      </c>
      <c r="BZ141" s="135">
        <f t="shared" si="131"/>
        <v>0</v>
      </c>
      <c r="CA141" s="135">
        <f t="shared" si="131"/>
        <v>0</v>
      </c>
      <c r="CB141" s="135">
        <f t="shared" si="131"/>
        <v>0</v>
      </c>
      <c r="CC141" s="135">
        <f t="shared" si="131"/>
        <v>0</v>
      </c>
      <c r="CD141" s="135">
        <f t="shared" si="131"/>
        <v>0</v>
      </c>
      <c r="CE141" s="136">
        <f t="shared" si="121"/>
        <v>0</v>
      </c>
      <c r="CF141" s="135">
        <f t="shared" si="132"/>
        <v>0</v>
      </c>
      <c r="CG141" s="135">
        <f t="shared" si="132"/>
        <v>0</v>
      </c>
      <c r="CH141" s="135">
        <f t="shared" si="132"/>
        <v>0</v>
      </c>
      <c r="CI141" s="135">
        <f t="shared" si="132"/>
        <v>0</v>
      </c>
      <c r="CJ141" s="135">
        <f t="shared" si="132"/>
        <v>0</v>
      </c>
      <c r="CK141" s="135">
        <f t="shared" si="132"/>
        <v>0</v>
      </c>
      <c r="CL141" s="135">
        <f t="shared" si="132"/>
        <v>0</v>
      </c>
      <c r="CM141" s="135">
        <f t="shared" si="132"/>
        <v>0</v>
      </c>
      <c r="CN141" s="135">
        <f t="shared" si="132"/>
        <v>0</v>
      </c>
      <c r="CO141" s="135">
        <f t="shared" si="132"/>
        <v>0</v>
      </c>
      <c r="CP141" s="135">
        <f t="shared" si="132"/>
        <v>0</v>
      </c>
      <c r="CQ141" s="135">
        <f t="shared" si="132"/>
        <v>0</v>
      </c>
      <c r="CR141" s="136">
        <f t="shared" si="123"/>
        <v>0</v>
      </c>
    </row>
    <row r="142" spans="1:96" ht="18.75" thickBot="1">
      <c r="A142" s="805" t="s">
        <v>110</v>
      </c>
      <c r="B142" s="806"/>
      <c r="C142" s="806"/>
      <c r="D142" s="806"/>
      <c r="E142" s="138">
        <f t="shared" ref="E142:R142" si="133">SUM(E122:E141)</f>
        <v>0</v>
      </c>
      <c r="F142" s="139">
        <f t="shared" si="133"/>
        <v>0</v>
      </c>
      <c r="G142" s="139">
        <f t="shared" si="133"/>
        <v>0</v>
      </c>
      <c r="H142" s="139">
        <f t="shared" si="133"/>
        <v>0</v>
      </c>
      <c r="I142" s="139">
        <f t="shared" si="133"/>
        <v>0</v>
      </c>
      <c r="J142" s="139">
        <f t="shared" si="133"/>
        <v>0</v>
      </c>
      <c r="K142" s="139">
        <f t="shared" si="133"/>
        <v>0</v>
      </c>
      <c r="L142" s="139">
        <f t="shared" si="133"/>
        <v>0</v>
      </c>
      <c r="M142" s="139">
        <f t="shared" si="133"/>
        <v>0</v>
      </c>
      <c r="N142" s="139">
        <f t="shared" si="133"/>
        <v>0</v>
      </c>
      <c r="O142" s="139">
        <f t="shared" si="133"/>
        <v>0</v>
      </c>
      <c r="P142" s="139">
        <f t="shared" si="133"/>
        <v>0</v>
      </c>
      <c r="Q142" s="139">
        <f t="shared" si="133"/>
        <v>0</v>
      </c>
      <c r="R142" s="139">
        <f t="shared" si="133"/>
        <v>0</v>
      </c>
      <c r="S142" s="139">
        <f t="shared" ref="S142:AR142" si="134">SUM(S122:S141)</f>
        <v>0</v>
      </c>
      <c r="T142" s="139">
        <f t="shared" si="134"/>
        <v>0</v>
      </c>
      <c r="U142" s="139">
        <f t="shared" si="134"/>
        <v>0</v>
      </c>
      <c r="V142" s="139">
        <f t="shared" si="134"/>
        <v>0</v>
      </c>
      <c r="W142" s="139">
        <f t="shared" si="134"/>
        <v>0</v>
      </c>
      <c r="X142" s="139">
        <f t="shared" si="134"/>
        <v>0</v>
      </c>
      <c r="Y142" s="139">
        <f t="shared" si="134"/>
        <v>0</v>
      </c>
      <c r="Z142" s="139">
        <f t="shared" si="134"/>
        <v>0</v>
      </c>
      <c r="AA142" s="139">
        <f t="shared" si="134"/>
        <v>0</v>
      </c>
      <c r="AB142" s="139">
        <f t="shared" si="134"/>
        <v>0</v>
      </c>
      <c r="AC142" s="139">
        <f t="shared" si="134"/>
        <v>0</v>
      </c>
      <c r="AD142" s="139">
        <f t="shared" si="134"/>
        <v>0</v>
      </c>
      <c r="AE142" s="139">
        <f t="shared" si="134"/>
        <v>0</v>
      </c>
      <c r="AF142" s="139">
        <f t="shared" si="134"/>
        <v>0</v>
      </c>
      <c r="AG142" s="139">
        <f t="shared" si="134"/>
        <v>0</v>
      </c>
      <c r="AH142" s="139">
        <f t="shared" si="134"/>
        <v>0</v>
      </c>
      <c r="AI142" s="139">
        <f t="shared" si="134"/>
        <v>0</v>
      </c>
      <c r="AJ142" s="139">
        <f t="shared" si="134"/>
        <v>0</v>
      </c>
      <c r="AK142" s="139">
        <f t="shared" si="134"/>
        <v>0</v>
      </c>
      <c r="AL142" s="139">
        <f t="shared" si="134"/>
        <v>0</v>
      </c>
      <c r="AM142" s="139">
        <f t="shared" si="134"/>
        <v>0</v>
      </c>
      <c r="AN142" s="139">
        <f t="shared" si="134"/>
        <v>0</v>
      </c>
      <c r="AO142" s="139">
        <f t="shared" si="134"/>
        <v>0</v>
      </c>
      <c r="AP142" s="139">
        <f t="shared" si="134"/>
        <v>0</v>
      </c>
      <c r="AQ142" s="139">
        <f t="shared" si="134"/>
        <v>0</v>
      </c>
      <c r="AR142" s="139">
        <f t="shared" si="134"/>
        <v>0</v>
      </c>
      <c r="AS142" s="139">
        <f t="shared" ref="AS142:BE142" si="135">SUM(AS122:AS141)</f>
        <v>0</v>
      </c>
      <c r="AT142" s="139">
        <f t="shared" si="135"/>
        <v>0</v>
      </c>
      <c r="AU142" s="139">
        <f t="shared" si="135"/>
        <v>0</v>
      </c>
      <c r="AV142" s="139">
        <f t="shared" si="135"/>
        <v>0</v>
      </c>
      <c r="AW142" s="139">
        <f t="shared" si="135"/>
        <v>0</v>
      </c>
      <c r="AX142" s="139">
        <f t="shared" si="135"/>
        <v>0</v>
      </c>
      <c r="AY142" s="139">
        <f t="shared" si="135"/>
        <v>0</v>
      </c>
      <c r="AZ142" s="139">
        <f t="shared" si="135"/>
        <v>0</v>
      </c>
      <c r="BA142" s="139">
        <f t="shared" si="135"/>
        <v>0</v>
      </c>
      <c r="BB142" s="139">
        <f t="shared" si="135"/>
        <v>0</v>
      </c>
      <c r="BC142" s="139">
        <f t="shared" si="135"/>
        <v>0</v>
      </c>
      <c r="BD142" s="139">
        <f t="shared" si="135"/>
        <v>0</v>
      </c>
      <c r="BE142" s="139">
        <f t="shared" si="135"/>
        <v>0</v>
      </c>
      <c r="BF142" s="139">
        <f t="shared" ref="BF142:BR142" si="136">SUM(BF122:BF141)</f>
        <v>0</v>
      </c>
      <c r="BG142" s="139">
        <f t="shared" si="136"/>
        <v>0</v>
      </c>
      <c r="BH142" s="139">
        <f t="shared" si="136"/>
        <v>0</v>
      </c>
      <c r="BI142" s="139">
        <f t="shared" si="136"/>
        <v>0</v>
      </c>
      <c r="BJ142" s="139">
        <f t="shared" si="136"/>
        <v>0</v>
      </c>
      <c r="BK142" s="139">
        <f t="shared" si="136"/>
        <v>0</v>
      </c>
      <c r="BL142" s="139">
        <f t="shared" si="136"/>
        <v>0</v>
      </c>
      <c r="BM142" s="139">
        <f t="shared" si="136"/>
        <v>0</v>
      </c>
      <c r="BN142" s="139">
        <f t="shared" si="136"/>
        <v>0</v>
      </c>
      <c r="BO142" s="139">
        <f t="shared" si="136"/>
        <v>0</v>
      </c>
      <c r="BP142" s="139">
        <f t="shared" si="136"/>
        <v>0</v>
      </c>
      <c r="BQ142" s="139">
        <f t="shared" si="136"/>
        <v>0</v>
      </c>
      <c r="BR142" s="139">
        <f t="shared" si="136"/>
        <v>0</v>
      </c>
      <c r="BS142" s="139">
        <f t="shared" ref="BS142:CR142" si="137">SUM(BS122:BS141)</f>
        <v>0</v>
      </c>
      <c r="BT142" s="139">
        <f t="shared" si="137"/>
        <v>0</v>
      </c>
      <c r="BU142" s="139">
        <f t="shared" si="137"/>
        <v>0</v>
      </c>
      <c r="BV142" s="139">
        <f t="shared" si="137"/>
        <v>0</v>
      </c>
      <c r="BW142" s="139">
        <f t="shared" si="137"/>
        <v>0</v>
      </c>
      <c r="BX142" s="139">
        <f t="shared" si="137"/>
        <v>0</v>
      </c>
      <c r="BY142" s="139">
        <f t="shared" si="137"/>
        <v>0</v>
      </c>
      <c r="BZ142" s="139">
        <f t="shared" si="137"/>
        <v>0</v>
      </c>
      <c r="CA142" s="139">
        <f t="shared" si="137"/>
        <v>0</v>
      </c>
      <c r="CB142" s="139">
        <f t="shared" si="137"/>
        <v>0</v>
      </c>
      <c r="CC142" s="139">
        <f t="shared" si="137"/>
        <v>0</v>
      </c>
      <c r="CD142" s="139">
        <f t="shared" si="137"/>
        <v>0</v>
      </c>
      <c r="CE142" s="139">
        <f t="shared" si="137"/>
        <v>0</v>
      </c>
      <c r="CF142" s="139">
        <f t="shared" si="137"/>
        <v>0</v>
      </c>
      <c r="CG142" s="139">
        <f t="shared" si="137"/>
        <v>0</v>
      </c>
      <c r="CH142" s="139">
        <f t="shared" si="137"/>
        <v>0</v>
      </c>
      <c r="CI142" s="139">
        <f t="shared" si="137"/>
        <v>0</v>
      </c>
      <c r="CJ142" s="139">
        <f t="shared" si="137"/>
        <v>0</v>
      </c>
      <c r="CK142" s="139">
        <f t="shared" si="137"/>
        <v>0</v>
      </c>
      <c r="CL142" s="139">
        <f t="shared" si="137"/>
        <v>0</v>
      </c>
      <c r="CM142" s="139">
        <f t="shared" si="137"/>
        <v>0</v>
      </c>
      <c r="CN142" s="139">
        <f t="shared" si="137"/>
        <v>0</v>
      </c>
      <c r="CO142" s="139">
        <f t="shared" si="137"/>
        <v>0</v>
      </c>
      <c r="CP142" s="139">
        <f t="shared" si="137"/>
        <v>0</v>
      </c>
      <c r="CQ142" s="139">
        <f t="shared" si="137"/>
        <v>0</v>
      </c>
      <c r="CR142" s="139">
        <f t="shared" si="137"/>
        <v>0</v>
      </c>
    </row>
  </sheetData>
  <sheetProtection formatCells="0" formatColumns="0" formatRows="0" insertRows="0"/>
  <protectedRanges>
    <protectedRange sqref="A122:CR141 R34:R39 T6:AF28 S6:S18 AH6:AT28 AG6:AG18 AU6:AU18 BI6:BI18 AV6:BH28 BJ6:BV28 BX6:CJ28 BW6:BW18 CK6:CK18 CL6:XFD28 R40:XFD40 R41:R52 S41:XFD51 A6:R28 A57:CR89 A96:CR115 S33:XFD39 F33:R33 F34:Q36 A33:E36 A37:Q51" name="Range1"/>
  </protectedRanges>
  <autoFilter ref="A2:CR90" xr:uid="{49F20352-D565-47E1-8414-C91D1E87F0B8}"/>
  <mergeCells count="6">
    <mergeCell ref="A118:D118"/>
    <mergeCell ref="A142:D142"/>
    <mergeCell ref="A52:D52"/>
    <mergeCell ref="A90:D90"/>
    <mergeCell ref="A116:D116"/>
    <mergeCell ref="A92:D92"/>
  </mergeCells>
  <phoneticPr fontId="49" type="noConversion"/>
  <dataValidations count="1">
    <dataValidation type="list" allowBlank="1" showInputMessage="1" showErrorMessage="1" sqref="A57:A88 A96:A111" xr:uid="{35E1CFF7-623C-4B18-9CAC-CDC59D9B5DAF}">
      <formula1>$A$6:$A$28</formula1>
    </dataValidation>
  </dataValidations>
  <printOptions horizontalCentered="1"/>
  <pageMargins left="0.9055118110236221" right="0.70866141732283472" top="0.74803149606299213" bottom="0.74803149606299213" header="0.31496062992125984" footer="0.31496062992125984"/>
  <pageSetup paperSize="9" scale="27" fitToHeight="0" orientation="portrait" errors="blank" r:id="rId1"/>
  <headerFooter>
    <oddFooter>&amp;L&amp;"-,Bold Italic"&amp;8&amp;K01+027Developed By: MAIUMAS Consulting
Hani Omar Skaik&amp;C&amp;A&amp;R&amp;D / &amp;T</oddFooter>
  </headerFooter>
  <rowBreaks count="1" manualBreakCount="1">
    <brk id="29" max="16383" man="1"/>
  </rowBreaks>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400C-51F3-4863-BD3F-6D8A27EB28A0}">
  <sheetPr codeName="Sheet3" filterMode="1">
    <tabColor theme="7"/>
    <pageSetUpPr fitToPage="1"/>
  </sheetPr>
  <dimension ref="A1:CP85"/>
  <sheetViews>
    <sheetView showZeros="0" topLeftCell="A6" zoomScale="85" zoomScaleNormal="85" workbookViewId="0">
      <pane xSplit="1" topLeftCell="B1" activePane="topRight" state="frozen"/>
      <selection activeCell="A14" sqref="A1:CP86 A66:CP86"/>
      <selection pane="topRight" activeCell="D87" sqref="D87"/>
    </sheetView>
  </sheetViews>
  <sheetFormatPr defaultColWidth="9.109375" defaultRowHeight="15" outlineLevelCol="1"/>
  <cols>
    <col min="1" max="1" width="44.109375" style="4" bestFit="1" customWidth="1"/>
    <col min="2" max="7" width="12.77734375" style="4" customWidth="1"/>
    <col min="8" max="8" width="26.77734375" style="4" customWidth="1"/>
    <col min="9" max="9" width="21.77734375" style="4" customWidth="1"/>
    <col min="10" max="10" width="15.6640625" style="4" customWidth="1"/>
    <col min="11" max="11" width="22.88671875" style="4" customWidth="1"/>
    <col min="12" max="15" width="12.77734375" style="4" customWidth="1"/>
    <col min="16" max="16" width="14.21875" style="4" customWidth="1"/>
    <col min="17" max="22" width="11.33203125" style="4" customWidth="1" outlineLevel="1"/>
    <col min="23" max="23" width="11.21875" style="4" customWidth="1" outlineLevel="1"/>
    <col min="24" max="27" width="11.33203125" style="4" customWidth="1" outlineLevel="1"/>
    <col min="28" max="28" width="11.21875" style="4" customWidth="1" outlineLevel="1"/>
    <col min="29" max="29" width="21.33203125" style="4" bestFit="1" customWidth="1"/>
    <col min="30" max="31" width="11.33203125" style="4" customWidth="1" outlineLevel="1"/>
    <col min="32" max="32" width="11.21875" style="4" customWidth="1" outlineLevel="1"/>
    <col min="33" max="34" width="11.33203125" style="4" customWidth="1" outlineLevel="1"/>
    <col min="35" max="35" width="11.21875" style="4" customWidth="1" outlineLevel="1"/>
    <col min="36" max="36" width="11.33203125" style="4" customWidth="1" outlineLevel="1"/>
    <col min="37" max="37" width="11.21875" style="4" customWidth="1" outlineLevel="1"/>
    <col min="38" max="40" width="11.33203125" style="4" customWidth="1" outlineLevel="1"/>
    <col min="41" max="41" width="11.109375" style="4" customWidth="1" outlineLevel="1"/>
    <col min="42" max="42" width="21.33203125" style="4" bestFit="1" customWidth="1"/>
    <col min="43" max="44" width="11.21875" style="4" customWidth="1" outlineLevel="1"/>
    <col min="45" max="47" width="11.109375" style="4" customWidth="1" outlineLevel="1"/>
    <col min="48" max="54" width="11.33203125" style="4" customWidth="1" outlineLevel="1"/>
    <col min="55" max="55" width="24.44140625" style="4" bestFit="1" customWidth="1"/>
    <col min="56" max="57" width="11.109375" style="4" customWidth="1" outlineLevel="1"/>
    <col min="58" max="66" width="11.33203125" style="4" customWidth="1" outlineLevel="1"/>
    <col min="67" max="67" width="11.21875" style="4" customWidth="1" outlineLevel="1"/>
    <col min="68" max="68" width="28.21875" style="4" bestFit="1" customWidth="1"/>
    <col min="69" max="69" width="11.21875" style="4" customWidth="1" outlineLevel="1"/>
    <col min="70" max="70" width="11.33203125" style="4" customWidth="1" outlineLevel="1"/>
    <col min="71" max="71" width="11.21875" style="4" customWidth="1" outlineLevel="1"/>
    <col min="72" max="72" width="11.33203125" style="4" customWidth="1" outlineLevel="1"/>
    <col min="73" max="73" width="11" style="4" customWidth="1" outlineLevel="1"/>
    <col min="74" max="74" width="11.21875" style="4" customWidth="1" outlineLevel="1"/>
    <col min="75" max="75" width="11.44140625" style="4" customWidth="1" outlineLevel="1"/>
    <col min="76" max="76" width="11.21875" style="4" customWidth="1" outlineLevel="1"/>
    <col min="77" max="79" width="11.109375" style="4" customWidth="1" outlineLevel="1"/>
    <col min="80" max="80" width="11.21875" style="4" customWidth="1" outlineLevel="1"/>
    <col min="81" max="81" width="30.77734375" style="4" bestFit="1" customWidth="1"/>
    <col min="82" max="83" width="11.21875" style="4" customWidth="1" outlineLevel="1"/>
    <col min="84" max="84" width="11.33203125" style="4" customWidth="1" outlineLevel="1"/>
    <col min="85" max="85" width="11.21875" style="4" customWidth="1" outlineLevel="1"/>
    <col min="86" max="87" width="11.33203125" style="4" customWidth="1" outlineLevel="1"/>
    <col min="88" max="88" width="11.44140625" style="4" customWidth="1" outlineLevel="1"/>
    <col min="89" max="93" width="11.33203125" style="4" customWidth="1" outlineLevel="1"/>
    <col min="94" max="94" width="30.77734375" style="4" bestFit="1" customWidth="1"/>
    <col min="95" max="16384" width="9.109375" style="4"/>
  </cols>
  <sheetData>
    <row r="1" spans="1:94" ht="75" customHeight="1">
      <c r="C1"/>
      <c r="D1"/>
      <c r="E1"/>
      <c r="G1"/>
      <c r="H1"/>
    </row>
    <row r="2" spans="1:94" ht="13.9" customHeight="1">
      <c r="C2"/>
      <c r="D2"/>
      <c r="E2"/>
      <c r="I2" s="807" t="s">
        <v>564</v>
      </c>
      <c r="J2" s="808"/>
      <c r="K2" s="808"/>
      <c r="L2" s="808"/>
      <c r="M2" s="809"/>
      <c r="O2" s="810" t="s">
        <v>565</v>
      </c>
      <c r="P2" s="811"/>
      <c r="Q2" s="811"/>
      <c r="R2" s="811"/>
      <c r="S2" s="811"/>
    </row>
    <row r="3" spans="1:94" ht="60">
      <c r="A3" s="670" t="s">
        <v>566</v>
      </c>
      <c r="B3"/>
      <c r="C3"/>
      <c r="D3"/>
      <c r="E3"/>
      <c r="G3" s="4" t="s">
        <v>567</v>
      </c>
      <c r="H3" s="4" t="s">
        <v>568</v>
      </c>
      <c r="I3" s="687" t="s">
        <v>569</v>
      </c>
      <c r="J3" s="671" t="s">
        <v>570</v>
      </c>
      <c r="K3" s="671" t="s">
        <v>571</v>
      </c>
      <c r="L3" s="682" t="s">
        <v>572</v>
      </c>
      <c r="M3" s="682" t="s">
        <v>573</v>
      </c>
      <c r="O3" s="669" t="s">
        <v>569</v>
      </c>
      <c r="P3" s="669" t="s">
        <v>574</v>
      </c>
      <c r="Q3" s="669" t="s">
        <v>575</v>
      </c>
      <c r="R3" s="669" t="s">
        <v>576</v>
      </c>
      <c r="S3" s="683" t="s">
        <v>110</v>
      </c>
    </row>
    <row r="4" spans="1:94" ht="60">
      <c r="A4" s="672" t="s">
        <v>251</v>
      </c>
      <c r="B4" s="672" t="s">
        <v>577</v>
      </c>
      <c r="C4" s="672" t="s">
        <v>578</v>
      </c>
      <c r="D4" s="672" t="s">
        <v>579</v>
      </c>
      <c r="E4" s="671" t="s">
        <v>580</v>
      </c>
      <c r="F4" s="671" t="s">
        <v>581</v>
      </c>
      <c r="G4" s="4" t="s">
        <v>582</v>
      </c>
      <c r="H4" s="4">
        <f>152*1.2</f>
        <v>182.4</v>
      </c>
      <c r="I4" s="687" t="s">
        <v>583</v>
      </c>
      <c r="J4" s="671">
        <v>156</v>
      </c>
      <c r="K4" s="671">
        <v>36</v>
      </c>
      <c r="L4" s="684"/>
      <c r="M4" s="684"/>
      <c r="O4" s="669" t="s">
        <v>584</v>
      </c>
      <c r="P4" s="669">
        <v>10.5</v>
      </c>
      <c r="Q4" s="669">
        <v>10.5</v>
      </c>
      <c r="R4" s="669">
        <v>2.4</v>
      </c>
      <c r="S4" s="681"/>
    </row>
    <row r="5" spans="1:94" ht="60">
      <c r="A5" s="673">
        <v>1</v>
      </c>
      <c r="B5" s="674">
        <v>30000</v>
      </c>
      <c r="C5" s="674" t="s">
        <v>585</v>
      </c>
      <c r="D5" s="674">
        <v>0.5</v>
      </c>
      <c r="E5" s="675">
        <v>15000</v>
      </c>
      <c r="F5" s="675">
        <f>E5/2.2</f>
        <v>6818.181818181818</v>
      </c>
      <c r="G5" s="4" t="s">
        <v>586</v>
      </c>
      <c r="H5" s="4">
        <f>40*1.2</f>
        <v>48</v>
      </c>
      <c r="I5" s="688">
        <v>1</v>
      </c>
      <c r="J5" s="675">
        <v>2340</v>
      </c>
      <c r="K5" s="675">
        <v>540</v>
      </c>
      <c r="L5" s="675">
        <v>2880</v>
      </c>
      <c r="M5" s="676">
        <v>0.39</v>
      </c>
      <c r="O5" s="667">
        <v>1</v>
      </c>
      <c r="P5" s="668">
        <v>24570000</v>
      </c>
      <c r="Q5" s="668">
        <v>5670000</v>
      </c>
      <c r="R5" s="668">
        <v>3456000</v>
      </c>
      <c r="S5" s="668">
        <f>P5+Q5+R5</f>
        <v>33696000</v>
      </c>
    </row>
    <row r="6" spans="1:94">
      <c r="A6" s="673">
        <v>2</v>
      </c>
      <c r="B6" s="674">
        <f>B5*(1+C6)</f>
        <v>31800</v>
      </c>
      <c r="C6" s="674">
        <v>0.06</v>
      </c>
      <c r="D6" s="674">
        <v>0.55000000000000004</v>
      </c>
      <c r="E6" s="675">
        <v>17490</v>
      </c>
      <c r="F6" s="675">
        <f t="shared" ref="F6:F14" si="0">E6/2.2</f>
        <v>7949.9999999999991</v>
      </c>
      <c r="I6" s="688">
        <v>2</v>
      </c>
      <c r="J6" s="675">
        <v>2728</v>
      </c>
      <c r="K6" s="675">
        <v>630</v>
      </c>
      <c r="L6" s="675">
        <v>3358</v>
      </c>
      <c r="M6" s="676">
        <v>0.46</v>
      </c>
      <c r="O6" s="667">
        <v>2</v>
      </c>
      <c r="P6" s="668">
        <v>28648620</v>
      </c>
      <c r="Q6" s="668">
        <v>6611220</v>
      </c>
      <c r="R6" s="668">
        <v>3801600</v>
      </c>
      <c r="S6" s="668">
        <f>P6+Q6+R6</f>
        <v>39061440</v>
      </c>
    </row>
    <row r="7" spans="1:94">
      <c r="A7" s="673">
        <v>3</v>
      </c>
      <c r="B7" s="674">
        <v>33708</v>
      </c>
      <c r="C7" s="674">
        <v>0.06</v>
      </c>
      <c r="D7" s="674">
        <v>0.6</v>
      </c>
      <c r="E7" s="675">
        <v>20225</v>
      </c>
      <c r="F7" s="675">
        <f t="shared" si="0"/>
        <v>9193.181818181818</v>
      </c>
      <c r="G7" s="348" t="s">
        <v>110</v>
      </c>
      <c r="H7" s="4">
        <f>SUBTOTAL(109,Table167[Needed for each Donum (KG)])</f>
        <v>230.4</v>
      </c>
      <c r="I7" s="673">
        <v>3</v>
      </c>
      <c r="J7" s="675">
        <v>3155</v>
      </c>
      <c r="K7" s="675">
        <v>728</v>
      </c>
      <c r="L7" s="675">
        <v>3883</v>
      </c>
      <c r="M7" s="676">
        <v>0.53</v>
      </c>
      <c r="O7" s="667">
        <v>3</v>
      </c>
      <c r="P7" s="668">
        <v>33128222</v>
      </c>
      <c r="Q7" s="668">
        <v>7644974</v>
      </c>
      <c r="R7" s="668">
        <v>4181760</v>
      </c>
      <c r="S7" s="668">
        <f t="shared" ref="S7:S14" si="1">P7+Q7+R7</f>
        <v>44954956</v>
      </c>
    </row>
    <row r="8" spans="1:94">
      <c r="A8" s="673">
        <v>4</v>
      </c>
      <c r="B8" s="674">
        <v>35730</v>
      </c>
      <c r="C8" s="674">
        <v>0.06</v>
      </c>
      <c r="D8" s="674">
        <v>0.65</v>
      </c>
      <c r="E8" s="675">
        <v>23225</v>
      </c>
      <c r="F8" s="675">
        <f t="shared" si="0"/>
        <v>10556.81818181818</v>
      </c>
      <c r="H8"/>
      <c r="I8" s="673">
        <v>4</v>
      </c>
      <c r="J8" s="675">
        <v>3623</v>
      </c>
      <c r="K8" s="675">
        <v>836</v>
      </c>
      <c r="L8" s="675">
        <v>4459</v>
      </c>
      <c r="M8" s="676">
        <v>0.61</v>
      </c>
      <c r="O8" s="667">
        <v>4</v>
      </c>
      <c r="P8" s="668">
        <v>38042242</v>
      </c>
      <c r="Q8" s="668">
        <v>8778979</v>
      </c>
      <c r="R8" s="668">
        <v>4599936</v>
      </c>
      <c r="S8" s="668">
        <f t="shared" si="1"/>
        <v>51421157</v>
      </c>
    </row>
    <row r="9" spans="1:94">
      <c r="A9" s="673">
        <v>5</v>
      </c>
      <c r="B9" s="674">
        <v>37874</v>
      </c>
      <c r="C9" s="674">
        <v>0.06</v>
      </c>
      <c r="D9" s="674">
        <v>0.7</v>
      </c>
      <c r="E9" s="675">
        <v>26512</v>
      </c>
      <c r="F9" s="675">
        <f t="shared" si="0"/>
        <v>12050.90909090909</v>
      </c>
      <c r="I9" s="673">
        <v>5</v>
      </c>
      <c r="J9" s="675">
        <v>4136</v>
      </c>
      <c r="K9" s="675">
        <v>954</v>
      </c>
      <c r="L9" s="675">
        <v>5090</v>
      </c>
      <c r="M9" s="676">
        <v>0.7</v>
      </c>
      <c r="O9" s="667">
        <v>5</v>
      </c>
      <c r="P9" s="668">
        <v>43426682</v>
      </c>
      <c r="Q9" s="668">
        <v>10021542</v>
      </c>
      <c r="R9" s="668">
        <v>5059930</v>
      </c>
      <c r="S9" s="668">
        <f t="shared" si="1"/>
        <v>58508154</v>
      </c>
    </row>
    <row r="10" spans="1:94">
      <c r="A10" s="673">
        <v>6</v>
      </c>
      <c r="B10" s="674">
        <v>40147</v>
      </c>
      <c r="C10" s="674">
        <v>0.06</v>
      </c>
      <c r="D10" s="674">
        <v>0.75</v>
      </c>
      <c r="E10" s="675">
        <v>30110</v>
      </c>
      <c r="F10" s="675">
        <f t="shared" si="0"/>
        <v>13686.363636363636</v>
      </c>
      <c r="I10" s="673">
        <v>6</v>
      </c>
      <c r="J10" s="675">
        <v>4697</v>
      </c>
      <c r="K10" s="675">
        <v>1084</v>
      </c>
      <c r="L10" s="675">
        <v>5781</v>
      </c>
      <c r="M10" s="676">
        <v>0.79</v>
      </c>
      <c r="O10" s="667">
        <v>6</v>
      </c>
      <c r="P10" s="668">
        <v>49320304</v>
      </c>
      <c r="Q10" s="668">
        <v>11381609</v>
      </c>
      <c r="R10" s="668">
        <v>5565923</v>
      </c>
      <c r="S10" s="668">
        <f t="shared" si="1"/>
        <v>66267836</v>
      </c>
    </row>
    <row r="11" spans="1:94">
      <c r="A11" s="673">
        <v>7</v>
      </c>
      <c r="B11" s="674">
        <v>42556</v>
      </c>
      <c r="C11" s="674">
        <v>0.06</v>
      </c>
      <c r="D11" s="674">
        <v>0.75</v>
      </c>
      <c r="E11" s="675">
        <v>31917</v>
      </c>
      <c r="F11" s="675">
        <f t="shared" si="0"/>
        <v>14507.727272727272</v>
      </c>
      <c r="I11" s="673">
        <v>7</v>
      </c>
      <c r="J11" s="675">
        <v>4979</v>
      </c>
      <c r="K11" s="675">
        <v>1149</v>
      </c>
      <c r="L11" s="675">
        <v>6128</v>
      </c>
      <c r="M11" s="676">
        <v>0.84</v>
      </c>
      <c r="O11" s="667">
        <v>7</v>
      </c>
      <c r="P11" s="668">
        <v>52279522</v>
      </c>
      <c r="Q11" s="668">
        <v>12064505</v>
      </c>
      <c r="R11" s="668">
        <v>6122515</v>
      </c>
      <c r="S11" s="668">
        <f t="shared" si="1"/>
        <v>70466542</v>
      </c>
    </row>
    <row r="12" spans="1:94">
      <c r="A12" s="673">
        <v>8</v>
      </c>
      <c r="B12" s="674">
        <v>45109</v>
      </c>
      <c r="C12" s="674">
        <v>0.06</v>
      </c>
      <c r="D12" s="674">
        <v>0.75</v>
      </c>
      <c r="E12" s="675">
        <v>33832</v>
      </c>
      <c r="F12" s="675">
        <f t="shared" si="0"/>
        <v>15378.181818181816</v>
      </c>
      <c r="I12" s="673">
        <v>8</v>
      </c>
      <c r="J12" s="675">
        <v>5278</v>
      </c>
      <c r="K12" s="675">
        <v>1218</v>
      </c>
      <c r="L12" s="675">
        <v>6496</v>
      </c>
      <c r="M12" s="676">
        <v>0.89</v>
      </c>
      <c r="O12" s="667">
        <v>8</v>
      </c>
      <c r="P12" s="668">
        <v>55416293</v>
      </c>
      <c r="Q12" s="668">
        <v>12788375</v>
      </c>
      <c r="R12" s="668">
        <v>6734766</v>
      </c>
      <c r="S12" s="668">
        <f t="shared" si="1"/>
        <v>74939434</v>
      </c>
    </row>
    <row r="13" spans="1:94">
      <c r="A13" s="673">
        <v>9</v>
      </c>
      <c r="B13" s="674">
        <v>47815</v>
      </c>
      <c r="C13" s="674">
        <v>0.06</v>
      </c>
      <c r="D13" s="674">
        <v>0.75</v>
      </c>
      <c r="E13" s="675">
        <v>35862</v>
      </c>
      <c r="F13" s="675">
        <f t="shared" si="0"/>
        <v>16300.90909090909</v>
      </c>
      <c r="I13" s="673">
        <v>9</v>
      </c>
      <c r="J13" s="675">
        <v>5594</v>
      </c>
      <c r="K13" s="675">
        <v>1291</v>
      </c>
      <c r="L13" s="675">
        <v>6885</v>
      </c>
      <c r="M13" s="676">
        <v>0.94</v>
      </c>
      <c r="O13" s="667">
        <v>9</v>
      </c>
      <c r="P13" s="668">
        <v>58741271</v>
      </c>
      <c r="Q13" s="668">
        <v>13555678</v>
      </c>
      <c r="R13" s="668">
        <v>7408243</v>
      </c>
      <c r="S13" s="668">
        <f t="shared" si="1"/>
        <v>79705192</v>
      </c>
    </row>
    <row r="14" spans="1:94" s="666" customFormat="1" ht="15.75">
      <c r="A14" s="673">
        <v>10</v>
      </c>
      <c r="B14" s="674">
        <v>50684</v>
      </c>
      <c r="C14" s="674">
        <v>0.06</v>
      </c>
      <c r="D14" s="674">
        <v>0.75</v>
      </c>
      <c r="E14" s="675">
        <v>38013</v>
      </c>
      <c r="F14" s="675">
        <f t="shared" si="0"/>
        <v>17278.636363636364</v>
      </c>
      <c r="G14" s="4"/>
      <c r="H14" s="4"/>
      <c r="I14" s="673">
        <v>10</v>
      </c>
      <c r="J14" s="675">
        <v>5930</v>
      </c>
      <c r="K14" s="675">
        <v>1368</v>
      </c>
      <c r="L14" s="675">
        <v>7299</v>
      </c>
      <c r="M14" s="676">
        <v>1</v>
      </c>
      <c r="O14" s="667">
        <v>10</v>
      </c>
      <c r="P14" s="668">
        <v>62265747</v>
      </c>
      <c r="Q14" s="668">
        <v>14369019</v>
      </c>
      <c r="R14" s="668">
        <v>8149067</v>
      </c>
      <c r="S14" s="668">
        <f t="shared" si="1"/>
        <v>84783833</v>
      </c>
      <c r="AD14" s="4"/>
      <c r="AE14" s="4"/>
      <c r="AF14" s="4"/>
      <c r="AG14" s="4"/>
      <c r="AH14" s="4"/>
      <c r="AI14" s="4"/>
      <c r="AJ14" s="4"/>
      <c r="AK14" s="4"/>
      <c r="AL14" s="4"/>
      <c r="AM14" s="4"/>
      <c r="AN14" s="4"/>
      <c r="AO14" s="4"/>
    </row>
    <row r="16" spans="1:94" ht="23.25">
      <c r="A16" s="812" t="s">
        <v>587</v>
      </c>
      <c r="B16" s="813"/>
      <c r="C16" s="813"/>
      <c r="D16" s="813"/>
      <c r="E16" s="813"/>
      <c r="F16" s="813"/>
      <c r="G16" s="813"/>
      <c r="H16" s="813"/>
      <c r="I16" s="813"/>
      <c r="J16" s="813"/>
      <c r="K16" s="813"/>
      <c r="L16" s="813"/>
      <c r="M16" s="813"/>
      <c r="N16" s="813"/>
      <c r="O16" s="813"/>
      <c r="P16" s="813"/>
      <c r="Q16" s="812" t="s">
        <v>588</v>
      </c>
      <c r="R16" s="813"/>
      <c r="S16" s="813"/>
      <c r="T16" s="813"/>
      <c r="U16" s="813"/>
      <c r="V16" s="813"/>
      <c r="W16" s="813"/>
      <c r="X16" s="813"/>
      <c r="Y16" s="813"/>
      <c r="Z16" s="813"/>
      <c r="AA16" s="813"/>
      <c r="AB16" s="813"/>
      <c r="AC16" s="813"/>
      <c r="AD16" s="814" t="s">
        <v>589</v>
      </c>
      <c r="AE16" s="815"/>
      <c r="AF16" s="815"/>
      <c r="AG16" s="815"/>
      <c r="AH16" s="815"/>
      <c r="AI16" s="815"/>
      <c r="AJ16" s="815"/>
      <c r="AK16" s="815"/>
      <c r="AL16" s="815"/>
      <c r="AM16" s="815"/>
      <c r="AN16" s="815"/>
      <c r="AO16" s="815"/>
      <c r="AP16" s="813"/>
      <c r="AQ16" s="812" t="s">
        <v>590</v>
      </c>
      <c r="AR16" s="813"/>
      <c r="AS16" s="813"/>
      <c r="AT16" s="813"/>
      <c r="AU16" s="813"/>
      <c r="AV16" s="813"/>
      <c r="AW16" s="813"/>
      <c r="AX16" s="813"/>
      <c r="AY16" s="813"/>
      <c r="AZ16" s="813"/>
      <c r="BA16" s="813"/>
      <c r="BB16" s="813"/>
      <c r="BC16" s="813"/>
      <c r="BD16" s="812" t="s">
        <v>591</v>
      </c>
      <c r="BE16" s="813"/>
      <c r="BF16" s="813"/>
      <c r="BG16" s="813"/>
      <c r="BH16" s="813"/>
      <c r="BI16" s="813"/>
      <c r="BJ16" s="813"/>
      <c r="BK16" s="813"/>
      <c r="BL16" s="813"/>
      <c r="BM16" s="813"/>
      <c r="BN16" s="813"/>
      <c r="BO16" s="813"/>
      <c r="BP16" s="813"/>
      <c r="BQ16" s="812" t="s">
        <v>592</v>
      </c>
      <c r="BR16" s="813"/>
      <c r="BS16" s="813"/>
      <c r="BT16" s="813"/>
      <c r="BU16" s="813"/>
      <c r="BV16" s="813"/>
      <c r="BW16" s="813"/>
      <c r="BX16" s="813"/>
      <c r="BY16" s="813"/>
      <c r="BZ16" s="813"/>
      <c r="CA16" s="813"/>
      <c r="CB16" s="813"/>
      <c r="CC16" s="813"/>
      <c r="CD16" s="812" t="s">
        <v>593</v>
      </c>
      <c r="CE16" s="813"/>
      <c r="CF16" s="813"/>
      <c r="CG16" s="813"/>
      <c r="CH16" s="813"/>
      <c r="CI16" s="813"/>
      <c r="CJ16" s="813"/>
      <c r="CK16" s="813"/>
      <c r="CL16" s="813"/>
      <c r="CM16" s="813"/>
      <c r="CN16" s="813"/>
      <c r="CO16" s="813"/>
      <c r="CP16" s="813"/>
    </row>
    <row r="18" spans="1:94" ht="84.75">
      <c r="A18" s="677" t="s">
        <v>594</v>
      </c>
      <c r="B18" s="677" t="s">
        <v>113</v>
      </c>
      <c r="C18" s="677" t="s">
        <v>301</v>
      </c>
      <c r="D18" s="677" t="s">
        <v>347</v>
      </c>
      <c r="E18" s="677" t="s">
        <v>348</v>
      </c>
      <c r="F18" s="677" t="s">
        <v>349</v>
      </c>
      <c r="G18" s="677" t="s">
        <v>350</v>
      </c>
      <c r="H18" s="677" t="s">
        <v>351</v>
      </c>
      <c r="I18" s="677" t="s">
        <v>352</v>
      </c>
      <c r="J18" s="677" t="s">
        <v>353</v>
      </c>
      <c r="K18" s="677" t="s">
        <v>354</v>
      </c>
      <c r="L18" s="677" t="s">
        <v>355</v>
      </c>
      <c r="M18" s="677" t="s">
        <v>356</v>
      </c>
      <c r="N18" s="677" t="s">
        <v>357</v>
      </c>
      <c r="O18" s="677" t="s">
        <v>358</v>
      </c>
      <c r="P18" s="678" t="s">
        <v>587</v>
      </c>
      <c r="Q18" s="677" t="s">
        <v>360</v>
      </c>
      <c r="R18" s="677" t="s">
        <v>361</v>
      </c>
      <c r="S18" s="677" t="s">
        <v>362</v>
      </c>
      <c r="T18" s="677" t="s">
        <v>363</v>
      </c>
      <c r="U18" s="677" t="s">
        <v>364</v>
      </c>
      <c r="V18" s="677" t="s">
        <v>365</v>
      </c>
      <c r="W18" s="677" t="s">
        <v>366</v>
      </c>
      <c r="X18" s="677" t="s">
        <v>367</v>
      </c>
      <c r="Y18" s="677" t="s">
        <v>368</v>
      </c>
      <c r="Z18" s="677" t="s">
        <v>369</v>
      </c>
      <c r="AA18" s="677" t="s">
        <v>370</v>
      </c>
      <c r="AB18" s="677" t="s">
        <v>371</v>
      </c>
      <c r="AC18" s="678" t="s">
        <v>595</v>
      </c>
      <c r="AD18" s="341" t="s">
        <v>373</v>
      </c>
      <c r="AE18" s="341" t="s">
        <v>374</v>
      </c>
      <c r="AF18" s="341" t="s">
        <v>375</v>
      </c>
      <c r="AG18" s="341" t="s">
        <v>376</v>
      </c>
      <c r="AH18" s="341" t="s">
        <v>377</v>
      </c>
      <c r="AI18" s="341" t="s">
        <v>378</v>
      </c>
      <c r="AJ18" s="341" t="s">
        <v>379</v>
      </c>
      <c r="AK18" s="341" t="s">
        <v>380</v>
      </c>
      <c r="AL18" s="341" t="s">
        <v>381</v>
      </c>
      <c r="AM18" s="341" t="s">
        <v>382</v>
      </c>
      <c r="AN18" s="341" t="s">
        <v>383</v>
      </c>
      <c r="AO18" s="341" t="s">
        <v>384</v>
      </c>
      <c r="AP18" s="678" t="s">
        <v>589</v>
      </c>
      <c r="AQ18" s="677" t="s">
        <v>386</v>
      </c>
      <c r="AR18" s="677" t="s">
        <v>387</v>
      </c>
      <c r="AS18" s="677" t="s">
        <v>388</v>
      </c>
      <c r="AT18" s="677" t="s">
        <v>389</v>
      </c>
      <c r="AU18" s="677" t="s">
        <v>390</v>
      </c>
      <c r="AV18" s="677" t="s">
        <v>391</v>
      </c>
      <c r="AW18" s="677" t="s">
        <v>392</v>
      </c>
      <c r="AX18" s="677" t="s">
        <v>393</v>
      </c>
      <c r="AY18" s="677" t="s">
        <v>394</v>
      </c>
      <c r="AZ18" s="677" t="s">
        <v>395</v>
      </c>
      <c r="BA18" s="677" t="s">
        <v>396</v>
      </c>
      <c r="BB18" s="677" t="s">
        <v>397</v>
      </c>
      <c r="BC18" s="678" t="s">
        <v>596</v>
      </c>
      <c r="BD18" s="677" t="s">
        <v>399</v>
      </c>
      <c r="BE18" s="677" t="s">
        <v>400</v>
      </c>
      <c r="BF18" s="677" t="s">
        <v>401</v>
      </c>
      <c r="BG18" s="677" t="s">
        <v>402</v>
      </c>
      <c r="BH18" s="677" t="s">
        <v>403</v>
      </c>
      <c r="BI18" s="677" t="s">
        <v>404</v>
      </c>
      <c r="BJ18" s="677" t="s">
        <v>405</v>
      </c>
      <c r="BK18" s="677" t="s">
        <v>406</v>
      </c>
      <c r="BL18" s="677" t="s">
        <v>407</v>
      </c>
      <c r="BM18" s="677" t="s">
        <v>408</v>
      </c>
      <c r="BN18" s="677" t="s">
        <v>409</v>
      </c>
      <c r="BO18" s="677" t="s">
        <v>410</v>
      </c>
      <c r="BP18" s="678" t="s">
        <v>591</v>
      </c>
      <c r="BQ18" s="677" t="s">
        <v>412</v>
      </c>
      <c r="BR18" s="677" t="s">
        <v>413</v>
      </c>
      <c r="BS18" s="677" t="s">
        <v>414</v>
      </c>
      <c r="BT18" s="677" t="s">
        <v>415</v>
      </c>
      <c r="BU18" s="677" t="s">
        <v>416</v>
      </c>
      <c r="BV18" s="677" t="s">
        <v>417</v>
      </c>
      <c r="BW18" s="677" t="s">
        <v>418</v>
      </c>
      <c r="BX18" s="677" t="s">
        <v>419</v>
      </c>
      <c r="BY18" s="677" t="s">
        <v>420</v>
      </c>
      <c r="BZ18" s="677" t="s">
        <v>421</v>
      </c>
      <c r="CA18" s="677" t="s">
        <v>422</v>
      </c>
      <c r="CB18" s="677" t="s">
        <v>423</v>
      </c>
      <c r="CC18" s="678" t="s">
        <v>593</v>
      </c>
      <c r="CD18" s="677" t="s">
        <v>425</v>
      </c>
      <c r="CE18" s="677" t="s">
        <v>426</v>
      </c>
      <c r="CF18" s="677" t="s">
        <v>427</v>
      </c>
      <c r="CG18" s="677" t="s">
        <v>428</v>
      </c>
      <c r="CH18" s="677" t="s">
        <v>429</v>
      </c>
      <c r="CI18" s="677" t="s">
        <v>430</v>
      </c>
      <c r="CJ18" s="677" t="s">
        <v>431</v>
      </c>
      <c r="CK18" s="677" t="s">
        <v>432</v>
      </c>
      <c r="CL18" s="677" t="s">
        <v>433</v>
      </c>
      <c r="CM18" s="677" t="s">
        <v>434</v>
      </c>
      <c r="CN18" s="677" t="s">
        <v>435</v>
      </c>
      <c r="CO18" s="677" t="s">
        <v>436</v>
      </c>
      <c r="CP18" s="678" t="s">
        <v>593</v>
      </c>
    </row>
    <row r="19" spans="1:94">
      <c r="A19" s="342" t="str">
        <f>'Summary. Assumptions. Inputs'!A46</f>
        <v>Greenhouse cover films</v>
      </c>
      <c r="B19" s="343" t="str">
        <f>'Summary. Assumptions. Inputs'!B46</f>
        <v>KG</v>
      </c>
      <c r="C19" s="343"/>
      <c r="D19" s="340">
        <f>$E$5*$H$4/12*0.7</f>
        <v>159600</v>
      </c>
      <c r="E19" s="340">
        <f t="shared" ref="E19:O19" si="2">$E$5*$H$4/12*0.7</f>
        <v>159600</v>
      </c>
      <c r="F19" s="340">
        <f t="shared" si="2"/>
        <v>159600</v>
      </c>
      <c r="G19" s="340">
        <f t="shared" si="2"/>
        <v>159600</v>
      </c>
      <c r="H19" s="340">
        <f t="shared" si="2"/>
        <v>159600</v>
      </c>
      <c r="I19" s="340">
        <f t="shared" si="2"/>
        <v>159600</v>
      </c>
      <c r="J19" s="340">
        <f t="shared" si="2"/>
        <v>159600</v>
      </c>
      <c r="K19" s="340">
        <f t="shared" si="2"/>
        <v>159600</v>
      </c>
      <c r="L19" s="340">
        <f t="shared" si="2"/>
        <v>159600</v>
      </c>
      <c r="M19" s="340">
        <f t="shared" si="2"/>
        <v>159600</v>
      </c>
      <c r="N19" s="340">
        <f t="shared" si="2"/>
        <v>159600</v>
      </c>
      <c r="O19" s="340">
        <f t="shared" si="2"/>
        <v>159600</v>
      </c>
      <c r="P19" s="343">
        <f>SUM(C19:O19)</f>
        <v>1915200</v>
      </c>
      <c r="Q19" s="340">
        <f>$E$6*$H$4/12*0.7</f>
        <v>186093.59999999998</v>
      </c>
      <c r="R19" s="340">
        <f t="shared" ref="R19:AB19" si="3">$E$6*$H$4/12*0.7</f>
        <v>186093.59999999998</v>
      </c>
      <c r="S19" s="340">
        <f t="shared" si="3"/>
        <v>186093.59999999998</v>
      </c>
      <c r="T19" s="340">
        <f t="shared" si="3"/>
        <v>186093.59999999998</v>
      </c>
      <c r="U19" s="340">
        <f t="shared" si="3"/>
        <v>186093.59999999998</v>
      </c>
      <c r="V19" s="340">
        <f t="shared" si="3"/>
        <v>186093.59999999998</v>
      </c>
      <c r="W19" s="340">
        <f t="shared" si="3"/>
        <v>186093.59999999998</v>
      </c>
      <c r="X19" s="340">
        <f t="shared" si="3"/>
        <v>186093.59999999998</v>
      </c>
      <c r="Y19" s="340">
        <f t="shared" si="3"/>
        <v>186093.59999999998</v>
      </c>
      <c r="Z19" s="340">
        <f t="shared" si="3"/>
        <v>186093.59999999998</v>
      </c>
      <c r="AA19" s="340">
        <f t="shared" si="3"/>
        <v>186093.59999999998</v>
      </c>
      <c r="AB19" s="340">
        <f t="shared" si="3"/>
        <v>186093.59999999998</v>
      </c>
      <c r="AC19" s="343">
        <f>SUM(Q19:AB19)</f>
        <v>2233123.2000000002</v>
      </c>
      <c r="AD19" s="340">
        <f>$E$7*$H$4/12*0.7</f>
        <v>215194</v>
      </c>
      <c r="AE19" s="340">
        <f t="shared" ref="AE19:AO19" si="4">$E$7*$H$4/12*0.7</f>
        <v>215194</v>
      </c>
      <c r="AF19" s="340">
        <f t="shared" si="4"/>
        <v>215194</v>
      </c>
      <c r="AG19" s="340">
        <f t="shared" si="4"/>
        <v>215194</v>
      </c>
      <c r="AH19" s="340">
        <f t="shared" si="4"/>
        <v>215194</v>
      </c>
      <c r="AI19" s="340">
        <f t="shared" si="4"/>
        <v>215194</v>
      </c>
      <c r="AJ19" s="340">
        <f t="shared" si="4"/>
        <v>215194</v>
      </c>
      <c r="AK19" s="340">
        <f t="shared" si="4"/>
        <v>215194</v>
      </c>
      <c r="AL19" s="340">
        <f t="shared" si="4"/>
        <v>215194</v>
      </c>
      <c r="AM19" s="340">
        <f t="shared" si="4"/>
        <v>215194</v>
      </c>
      <c r="AN19" s="340">
        <f t="shared" si="4"/>
        <v>215194</v>
      </c>
      <c r="AO19" s="340">
        <f t="shared" si="4"/>
        <v>215194</v>
      </c>
      <c r="AP19" s="343">
        <f>SUM(AD19:AO19)</f>
        <v>2582328</v>
      </c>
      <c r="AQ19" s="340">
        <f>$E$8*$H$4/12*0.7</f>
        <v>247113.99999999997</v>
      </c>
      <c r="AR19" s="340">
        <f t="shared" ref="AR19:BB19" si="5">$E$8*$H$4/12*0.7</f>
        <v>247113.99999999997</v>
      </c>
      <c r="AS19" s="340">
        <f t="shared" si="5"/>
        <v>247113.99999999997</v>
      </c>
      <c r="AT19" s="340">
        <f t="shared" si="5"/>
        <v>247113.99999999997</v>
      </c>
      <c r="AU19" s="340">
        <f t="shared" si="5"/>
        <v>247113.99999999997</v>
      </c>
      <c r="AV19" s="340">
        <f t="shared" si="5"/>
        <v>247113.99999999997</v>
      </c>
      <c r="AW19" s="340">
        <f t="shared" si="5"/>
        <v>247113.99999999997</v>
      </c>
      <c r="AX19" s="340">
        <f t="shared" si="5"/>
        <v>247113.99999999997</v>
      </c>
      <c r="AY19" s="340">
        <f t="shared" si="5"/>
        <v>247113.99999999997</v>
      </c>
      <c r="AZ19" s="340">
        <f t="shared" si="5"/>
        <v>247113.99999999997</v>
      </c>
      <c r="BA19" s="340">
        <f t="shared" si="5"/>
        <v>247113.99999999997</v>
      </c>
      <c r="BB19" s="340">
        <f t="shared" si="5"/>
        <v>247113.99999999997</v>
      </c>
      <c r="BC19" s="343">
        <f>SUM(AQ19:BB19)</f>
        <v>2965367.9999999995</v>
      </c>
      <c r="BD19" s="340">
        <f>$E$9*$H$4/12*0.7</f>
        <v>282087.67999999993</v>
      </c>
      <c r="BE19" s="340">
        <f t="shared" ref="BE19:BO19" si="6">$E$9*$H$4/12*0.7</f>
        <v>282087.67999999993</v>
      </c>
      <c r="BF19" s="340">
        <f t="shared" si="6"/>
        <v>282087.67999999993</v>
      </c>
      <c r="BG19" s="340">
        <f t="shared" si="6"/>
        <v>282087.67999999993</v>
      </c>
      <c r="BH19" s="340">
        <f t="shared" si="6"/>
        <v>282087.67999999993</v>
      </c>
      <c r="BI19" s="340">
        <f t="shared" si="6"/>
        <v>282087.67999999993</v>
      </c>
      <c r="BJ19" s="340">
        <f t="shared" si="6"/>
        <v>282087.67999999993</v>
      </c>
      <c r="BK19" s="340">
        <f t="shared" si="6"/>
        <v>282087.67999999993</v>
      </c>
      <c r="BL19" s="340">
        <f t="shared" si="6"/>
        <v>282087.67999999993</v>
      </c>
      <c r="BM19" s="340">
        <f t="shared" si="6"/>
        <v>282087.67999999993</v>
      </c>
      <c r="BN19" s="340">
        <f t="shared" si="6"/>
        <v>282087.67999999993</v>
      </c>
      <c r="BO19" s="340">
        <f t="shared" si="6"/>
        <v>282087.67999999993</v>
      </c>
      <c r="BP19" s="343">
        <f>SUM(BD19:BO19)</f>
        <v>3385052.1599999983</v>
      </c>
      <c r="BQ19" s="340">
        <f>$E$10*$H$4/12*0.7</f>
        <v>320370.39999999997</v>
      </c>
      <c r="BR19" s="340">
        <f t="shared" ref="BR19:CB19" si="7">$E$10*$H$4/12*0.7</f>
        <v>320370.39999999997</v>
      </c>
      <c r="BS19" s="340">
        <f t="shared" si="7"/>
        <v>320370.39999999997</v>
      </c>
      <c r="BT19" s="340">
        <f t="shared" si="7"/>
        <v>320370.39999999997</v>
      </c>
      <c r="BU19" s="340">
        <f t="shared" si="7"/>
        <v>320370.39999999997</v>
      </c>
      <c r="BV19" s="340">
        <f t="shared" si="7"/>
        <v>320370.39999999997</v>
      </c>
      <c r="BW19" s="340">
        <f t="shared" si="7"/>
        <v>320370.39999999997</v>
      </c>
      <c r="BX19" s="340">
        <f t="shared" si="7"/>
        <v>320370.39999999997</v>
      </c>
      <c r="BY19" s="340">
        <f t="shared" si="7"/>
        <v>320370.39999999997</v>
      </c>
      <c r="BZ19" s="340">
        <f t="shared" si="7"/>
        <v>320370.39999999997</v>
      </c>
      <c r="CA19" s="340">
        <f t="shared" si="7"/>
        <v>320370.39999999997</v>
      </c>
      <c r="CB19" s="340">
        <f t="shared" si="7"/>
        <v>320370.39999999997</v>
      </c>
      <c r="CC19" s="343">
        <f>SUM(BQ19:CB19)</f>
        <v>3844444.7999999993</v>
      </c>
      <c r="CD19" s="340">
        <f>$E$11*$H$4/12*0.7</f>
        <v>339596.87999999995</v>
      </c>
      <c r="CE19" s="340">
        <f t="shared" ref="CE19:CO19" si="8">$E$11*$H$4/12*0.7</f>
        <v>339596.87999999995</v>
      </c>
      <c r="CF19" s="340">
        <f t="shared" si="8"/>
        <v>339596.87999999995</v>
      </c>
      <c r="CG19" s="340">
        <f t="shared" si="8"/>
        <v>339596.87999999995</v>
      </c>
      <c r="CH19" s="340">
        <f t="shared" si="8"/>
        <v>339596.87999999995</v>
      </c>
      <c r="CI19" s="340">
        <f t="shared" si="8"/>
        <v>339596.87999999995</v>
      </c>
      <c r="CJ19" s="340">
        <f t="shared" si="8"/>
        <v>339596.87999999995</v>
      </c>
      <c r="CK19" s="340">
        <f t="shared" si="8"/>
        <v>339596.87999999995</v>
      </c>
      <c r="CL19" s="340">
        <f t="shared" si="8"/>
        <v>339596.87999999995</v>
      </c>
      <c r="CM19" s="340">
        <f t="shared" si="8"/>
        <v>339596.87999999995</v>
      </c>
      <c r="CN19" s="340">
        <f t="shared" si="8"/>
        <v>339596.87999999995</v>
      </c>
      <c r="CO19" s="340">
        <f t="shared" si="8"/>
        <v>339596.87999999995</v>
      </c>
      <c r="CP19" s="343">
        <f>SUM(CD19:CO19)</f>
        <v>4075162.5599999991</v>
      </c>
    </row>
    <row r="20" spans="1:94">
      <c r="A20" s="344" t="str">
        <f>'Summary. Assumptions. Inputs'!A47</f>
        <v>Thermal shaders</v>
      </c>
      <c r="B20" s="345" t="str">
        <f>'Summary. Assumptions. Inputs'!B47</f>
        <v>KG</v>
      </c>
      <c r="C20" s="345"/>
      <c r="D20" s="340">
        <f>$E$5*$H$5/12</f>
        <v>60000</v>
      </c>
      <c r="E20" s="340">
        <f t="shared" ref="E20:O20" si="9">$E$5*$H$5/12</f>
        <v>60000</v>
      </c>
      <c r="F20" s="340">
        <f t="shared" si="9"/>
        <v>60000</v>
      </c>
      <c r="G20" s="340">
        <f t="shared" si="9"/>
        <v>60000</v>
      </c>
      <c r="H20" s="340">
        <f t="shared" si="9"/>
        <v>60000</v>
      </c>
      <c r="I20" s="340">
        <f t="shared" si="9"/>
        <v>60000</v>
      </c>
      <c r="J20" s="340">
        <f t="shared" si="9"/>
        <v>60000</v>
      </c>
      <c r="K20" s="340">
        <f t="shared" si="9"/>
        <v>60000</v>
      </c>
      <c r="L20" s="340">
        <f t="shared" si="9"/>
        <v>60000</v>
      </c>
      <c r="M20" s="340">
        <f t="shared" si="9"/>
        <v>60000</v>
      </c>
      <c r="N20" s="340">
        <f t="shared" si="9"/>
        <v>60000</v>
      </c>
      <c r="O20" s="340">
        <f t="shared" si="9"/>
        <v>60000</v>
      </c>
      <c r="P20" s="345">
        <f t="shared" ref="P20:P48" si="10">SUM(C20:O20)</f>
        <v>720000</v>
      </c>
      <c r="Q20" s="340">
        <f>$E$6*$H$5/12</f>
        <v>69960</v>
      </c>
      <c r="R20" s="340">
        <f t="shared" ref="R20:AB20" si="11">$E$6*$H$5/12</f>
        <v>69960</v>
      </c>
      <c r="S20" s="340">
        <f t="shared" si="11"/>
        <v>69960</v>
      </c>
      <c r="T20" s="340">
        <f t="shared" si="11"/>
        <v>69960</v>
      </c>
      <c r="U20" s="340">
        <f t="shared" si="11"/>
        <v>69960</v>
      </c>
      <c r="V20" s="340">
        <f t="shared" si="11"/>
        <v>69960</v>
      </c>
      <c r="W20" s="340">
        <f t="shared" si="11"/>
        <v>69960</v>
      </c>
      <c r="X20" s="340">
        <f t="shared" si="11"/>
        <v>69960</v>
      </c>
      <c r="Y20" s="340">
        <f t="shared" si="11"/>
        <v>69960</v>
      </c>
      <c r="Z20" s="340">
        <f t="shared" si="11"/>
        <v>69960</v>
      </c>
      <c r="AA20" s="340">
        <f t="shared" si="11"/>
        <v>69960</v>
      </c>
      <c r="AB20" s="340">
        <f t="shared" si="11"/>
        <v>69960</v>
      </c>
      <c r="AC20" s="345">
        <f>SUM(Q20:AB20)</f>
        <v>839520</v>
      </c>
      <c r="AD20" s="340">
        <f>$E$7*$H$5/12</f>
        <v>80900</v>
      </c>
      <c r="AE20" s="340">
        <f t="shared" ref="AE20:AO20" si="12">$E$7*$H$5/12</f>
        <v>80900</v>
      </c>
      <c r="AF20" s="340">
        <f t="shared" si="12"/>
        <v>80900</v>
      </c>
      <c r="AG20" s="340">
        <f t="shared" si="12"/>
        <v>80900</v>
      </c>
      <c r="AH20" s="340">
        <f t="shared" si="12"/>
        <v>80900</v>
      </c>
      <c r="AI20" s="340">
        <f t="shared" si="12"/>
        <v>80900</v>
      </c>
      <c r="AJ20" s="340">
        <f t="shared" si="12"/>
        <v>80900</v>
      </c>
      <c r="AK20" s="340">
        <f t="shared" si="12"/>
        <v>80900</v>
      </c>
      <c r="AL20" s="340">
        <f t="shared" si="12"/>
        <v>80900</v>
      </c>
      <c r="AM20" s="340">
        <f t="shared" si="12"/>
        <v>80900</v>
      </c>
      <c r="AN20" s="340">
        <f t="shared" si="12"/>
        <v>80900</v>
      </c>
      <c r="AO20" s="340">
        <f t="shared" si="12"/>
        <v>80900</v>
      </c>
      <c r="AP20" s="345">
        <f>SUM(AD20:AO20)</f>
        <v>970800</v>
      </c>
      <c r="AQ20" s="340">
        <f>$E$8*$H$5/12</f>
        <v>92900</v>
      </c>
      <c r="AR20" s="340">
        <f t="shared" ref="AR20:BB20" si="13">$E$8*$H$5/12</f>
        <v>92900</v>
      </c>
      <c r="AS20" s="340">
        <f t="shared" si="13"/>
        <v>92900</v>
      </c>
      <c r="AT20" s="340">
        <f t="shared" si="13"/>
        <v>92900</v>
      </c>
      <c r="AU20" s="340">
        <f t="shared" si="13"/>
        <v>92900</v>
      </c>
      <c r="AV20" s="340">
        <f t="shared" si="13"/>
        <v>92900</v>
      </c>
      <c r="AW20" s="340">
        <f t="shared" si="13"/>
        <v>92900</v>
      </c>
      <c r="AX20" s="340">
        <f t="shared" si="13"/>
        <v>92900</v>
      </c>
      <c r="AY20" s="340">
        <f t="shared" si="13"/>
        <v>92900</v>
      </c>
      <c r="AZ20" s="340">
        <f t="shared" si="13"/>
        <v>92900</v>
      </c>
      <c r="BA20" s="340">
        <f t="shared" si="13"/>
        <v>92900</v>
      </c>
      <c r="BB20" s="340">
        <f t="shared" si="13"/>
        <v>92900</v>
      </c>
      <c r="BC20" s="345">
        <f>SUM(AQ20:BB20)</f>
        <v>1114800</v>
      </c>
      <c r="BD20" s="340">
        <f>$E$9*$H$5/12</f>
        <v>106048</v>
      </c>
      <c r="BE20" s="340">
        <f t="shared" ref="BE20:BO20" si="14">$E$9*$H$5/12</f>
        <v>106048</v>
      </c>
      <c r="BF20" s="340">
        <f t="shared" si="14"/>
        <v>106048</v>
      </c>
      <c r="BG20" s="340">
        <f t="shared" si="14"/>
        <v>106048</v>
      </c>
      <c r="BH20" s="340">
        <f t="shared" si="14"/>
        <v>106048</v>
      </c>
      <c r="BI20" s="340">
        <f t="shared" si="14"/>
        <v>106048</v>
      </c>
      <c r="BJ20" s="340">
        <f t="shared" si="14"/>
        <v>106048</v>
      </c>
      <c r="BK20" s="340">
        <f t="shared" si="14"/>
        <v>106048</v>
      </c>
      <c r="BL20" s="340">
        <f t="shared" si="14"/>
        <v>106048</v>
      </c>
      <c r="BM20" s="340">
        <f t="shared" si="14"/>
        <v>106048</v>
      </c>
      <c r="BN20" s="340">
        <f t="shared" si="14"/>
        <v>106048</v>
      </c>
      <c r="BO20" s="340">
        <f t="shared" si="14"/>
        <v>106048</v>
      </c>
      <c r="BP20" s="345">
        <f>SUM(BD20:BO20)</f>
        <v>1272576</v>
      </c>
      <c r="BQ20" s="340">
        <f>$E$10*$H$5/12</f>
        <v>120440</v>
      </c>
      <c r="BR20" s="340">
        <f t="shared" ref="BR20:CB20" si="15">$E$10*$H$5/12</f>
        <v>120440</v>
      </c>
      <c r="BS20" s="340">
        <f t="shared" si="15"/>
        <v>120440</v>
      </c>
      <c r="BT20" s="340">
        <f t="shared" si="15"/>
        <v>120440</v>
      </c>
      <c r="BU20" s="340">
        <f t="shared" si="15"/>
        <v>120440</v>
      </c>
      <c r="BV20" s="340">
        <f t="shared" si="15"/>
        <v>120440</v>
      </c>
      <c r="BW20" s="340">
        <f t="shared" si="15"/>
        <v>120440</v>
      </c>
      <c r="BX20" s="340">
        <f t="shared" si="15"/>
        <v>120440</v>
      </c>
      <c r="BY20" s="340">
        <f t="shared" si="15"/>
        <v>120440</v>
      </c>
      <c r="BZ20" s="340">
        <f t="shared" si="15"/>
        <v>120440</v>
      </c>
      <c r="CA20" s="340">
        <f t="shared" si="15"/>
        <v>120440</v>
      </c>
      <c r="CB20" s="340">
        <f t="shared" si="15"/>
        <v>120440</v>
      </c>
      <c r="CC20" s="345">
        <f>SUM(BQ20:CB20)</f>
        <v>1445280</v>
      </c>
      <c r="CD20" s="340">
        <f>$E$11*$H$5/12</f>
        <v>127668</v>
      </c>
      <c r="CE20" s="340">
        <f t="shared" ref="CE20:CO20" si="16">$E$11*$H$5/12</f>
        <v>127668</v>
      </c>
      <c r="CF20" s="340">
        <f t="shared" si="16"/>
        <v>127668</v>
      </c>
      <c r="CG20" s="340">
        <f t="shared" si="16"/>
        <v>127668</v>
      </c>
      <c r="CH20" s="340">
        <f t="shared" si="16"/>
        <v>127668</v>
      </c>
      <c r="CI20" s="340">
        <f t="shared" si="16"/>
        <v>127668</v>
      </c>
      <c r="CJ20" s="340">
        <f t="shared" si="16"/>
        <v>127668</v>
      </c>
      <c r="CK20" s="340">
        <f t="shared" si="16"/>
        <v>127668</v>
      </c>
      <c r="CL20" s="340">
        <f t="shared" si="16"/>
        <v>127668</v>
      </c>
      <c r="CM20" s="340">
        <f t="shared" si="16"/>
        <v>127668</v>
      </c>
      <c r="CN20" s="340">
        <f t="shared" si="16"/>
        <v>127668</v>
      </c>
      <c r="CO20" s="340">
        <f t="shared" si="16"/>
        <v>127668</v>
      </c>
      <c r="CP20" s="345">
        <f>SUM(CD20:CO20)</f>
        <v>1532016</v>
      </c>
    </row>
    <row r="21" spans="1:94" ht="15.75" thickBot="1">
      <c r="A21" s="342" t="str">
        <f>'Summary. Assumptions. Inputs'!A48</f>
        <v>Recycled plastic</v>
      </c>
      <c r="B21" s="343" t="str">
        <f>'Summary. Assumptions. Inputs'!B48</f>
        <v>KG</v>
      </c>
      <c r="C21" s="343"/>
      <c r="D21" s="340">
        <f>$E$5*$H$4/12*0.3</f>
        <v>68400</v>
      </c>
      <c r="E21" s="340">
        <f t="shared" ref="E21:O21" si="17">$E$5*$H$4/12*0.3</f>
        <v>68400</v>
      </c>
      <c r="F21" s="340">
        <f t="shared" si="17"/>
        <v>68400</v>
      </c>
      <c r="G21" s="340">
        <f t="shared" si="17"/>
        <v>68400</v>
      </c>
      <c r="H21" s="340">
        <f t="shared" si="17"/>
        <v>68400</v>
      </c>
      <c r="I21" s="340">
        <f t="shared" si="17"/>
        <v>68400</v>
      </c>
      <c r="J21" s="340">
        <f t="shared" si="17"/>
        <v>68400</v>
      </c>
      <c r="K21" s="340">
        <f t="shared" si="17"/>
        <v>68400</v>
      </c>
      <c r="L21" s="340">
        <f t="shared" si="17"/>
        <v>68400</v>
      </c>
      <c r="M21" s="340">
        <f t="shared" si="17"/>
        <v>68400</v>
      </c>
      <c r="N21" s="340">
        <f t="shared" si="17"/>
        <v>68400</v>
      </c>
      <c r="O21" s="340">
        <f t="shared" si="17"/>
        <v>68400</v>
      </c>
      <c r="P21" s="343">
        <f t="shared" si="10"/>
        <v>820800</v>
      </c>
      <c r="Q21" s="340">
        <f>$E$6*$H$4/12*0.3</f>
        <v>79754.399999999994</v>
      </c>
      <c r="R21" s="340">
        <f t="shared" ref="R21:AB21" si="18">$E$6*$H$4/12*0.3</f>
        <v>79754.399999999994</v>
      </c>
      <c r="S21" s="340">
        <f t="shared" si="18"/>
        <v>79754.399999999994</v>
      </c>
      <c r="T21" s="340">
        <f t="shared" si="18"/>
        <v>79754.399999999994</v>
      </c>
      <c r="U21" s="340">
        <f t="shared" si="18"/>
        <v>79754.399999999994</v>
      </c>
      <c r="V21" s="340">
        <f t="shared" si="18"/>
        <v>79754.399999999994</v>
      </c>
      <c r="W21" s="340">
        <f t="shared" si="18"/>
        <v>79754.399999999994</v>
      </c>
      <c r="X21" s="340">
        <f t="shared" si="18"/>
        <v>79754.399999999994</v>
      </c>
      <c r="Y21" s="340">
        <f t="shared" si="18"/>
        <v>79754.399999999994</v>
      </c>
      <c r="Z21" s="340">
        <f t="shared" si="18"/>
        <v>79754.399999999994</v>
      </c>
      <c r="AA21" s="340">
        <f t="shared" si="18"/>
        <v>79754.399999999994</v>
      </c>
      <c r="AB21" s="340">
        <f t="shared" si="18"/>
        <v>79754.399999999994</v>
      </c>
      <c r="AC21" s="343">
        <f t="shared" ref="AC21:AC47" si="19">SUM(P21:AB21)</f>
        <v>1777852.7999999991</v>
      </c>
      <c r="AD21" s="340">
        <f>$E$7*$H$4/12*0.3</f>
        <v>92226</v>
      </c>
      <c r="AE21" s="340">
        <f t="shared" ref="AE21:AO21" si="20">$E$7*$H$4/12*0.3</f>
        <v>92226</v>
      </c>
      <c r="AF21" s="340">
        <f t="shared" si="20"/>
        <v>92226</v>
      </c>
      <c r="AG21" s="340">
        <f t="shared" si="20"/>
        <v>92226</v>
      </c>
      <c r="AH21" s="340">
        <f t="shared" si="20"/>
        <v>92226</v>
      </c>
      <c r="AI21" s="340">
        <f t="shared" si="20"/>
        <v>92226</v>
      </c>
      <c r="AJ21" s="340">
        <f t="shared" si="20"/>
        <v>92226</v>
      </c>
      <c r="AK21" s="340">
        <f t="shared" si="20"/>
        <v>92226</v>
      </c>
      <c r="AL21" s="340">
        <f t="shared" si="20"/>
        <v>92226</v>
      </c>
      <c r="AM21" s="340">
        <f t="shared" si="20"/>
        <v>92226</v>
      </c>
      <c r="AN21" s="340">
        <f t="shared" si="20"/>
        <v>92226</v>
      </c>
      <c r="AO21" s="340">
        <f t="shared" si="20"/>
        <v>92226</v>
      </c>
      <c r="AP21" s="343">
        <f t="shared" ref="AP21:AP47" si="21">SUM(AC21:AO21)</f>
        <v>2884564.7999999989</v>
      </c>
      <c r="AQ21" s="340">
        <f>$E$8*$H$4/12*0.3</f>
        <v>105906</v>
      </c>
      <c r="AR21" s="340">
        <f t="shared" ref="AR21:BB21" si="22">$E$8*$H$4/12*0.3</f>
        <v>105906</v>
      </c>
      <c r="AS21" s="340">
        <f t="shared" si="22"/>
        <v>105906</v>
      </c>
      <c r="AT21" s="340">
        <f t="shared" si="22"/>
        <v>105906</v>
      </c>
      <c r="AU21" s="340">
        <f t="shared" si="22"/>
        <v>105906</v>
      </c>
      <c r="AV21" s="340">
        <f t="shared" si="22"/>
        <v>105906</v>
      </c>
      <c r="AW21" s="340">
        <f t="shared" si="22"/>
        <v>105906</v>
      </c>
      <c r="AX21" s="340">
        <f t="shared" si="22"/>
        <v>105906</v>
      </c>
      <c r="AY21" s="340">
        <f t="shared" si="22"/>
        <v>105906</v>
      </c>
      <c r="AZ21" s="340">
        <f t="shared" si="22"/>
        <v>105906</v>
      </c>
      <c r="BA21" s="340">
        <f t="shared" si="22"/>
        <v>105906</v>
      </c>
      <c r="BB21" s="340">
        <f t="shared" si="22"/>
        <v>105906</v>
      </c>
      <c r="BC21" s="343">
        <f t="shared" ref="BC21:BC47" si="23">SUM(AP21:BB21)</f>
        <v>4155436.7999999989</v>
      </c>
      <c r="BD21" s="340">
        <f>$E$9*$H$4/12*0.3</f>
        <v>120894.71999999999</v>
      </c>
      <c r="BE21" s="340">
        <f t="shared" ref="BE21:BO21" si="24">$E$9*$H$4/12*0.3</f>
        <v>120894.71999999999</v>
      </c>
      <c r="BF21" s="340">
        <f t="shared" si="24"/>
        <v>120894.71999999999</v>
      </c>
      <c r="BG21" s="340">
        <f t="shared" si="24"/>
        <v>120894.71999999999</v>
      </c>
      <c r="BH21" s="340">
        <f t="shared" si="24"/>
        <v>120894.71999999999</v>
      </c>
      <c r="BI21" s="340">
        <f t="shared" si="24"/>
        <v>120894.71999999999</v>
      </c>
      <c r="BJ21" s="340">
        <f t="shared" si="24"/>
        <v>120894.71999999999</v>
      </c>
      <c r="BK21" s="340">
        <f t="shared" si="24"/>
        <v>120894.71999999999</v>
      </c>
      <c r="BL21" s="340">
        <f t="shared" si="24"/>
        <v>120894.71999999999</v>
      </c>
      <c r="BM21" s="340">
        <f t="shared" si="24"/>
        <v>120894.71999999999</v>
      </c>
      <c r="BN21" s="340">
        <f t="shared" si="24"/>
        <v>120894.71999999999</v>
      </c>
      <c r="BO21" s="340">
        <f t="shared" si="24"/>
        <v>120894.71999999999</v>
      </c>
      <c r="BP21" s="343">
        <f t="shared" ref="BP21:BP47" si="25">SUM(BC21:BO21)</f>
        <v>5606173.4399999958</v>
      </c>
      <c r="BQ21" s="340">
        <f>$E$10*$H$4/12*0.3</f>
        <v>137301.6</v>
      </c>
      <c r="BR21" s="340">
        <f t="shared" ref="BR21:CB21" si="26">$E$10*$H$4/12*0.3</f>
        <v>137301.6</v>
      </c>
      <c r="BS21" s="340">
        <f t="shared" si="26"/>
        <v>137301.6</v>
      </c>
      <c r="BT21" s="340">
        <f t="shared" si="26"/>
        <v>137301.6</v>
      </c>
      <c r="BU21" s="340">
        <f t="shared" si="26"/>
        <v>137301.6</v>
      </c>
      <c r="BV21" s="340">
        <f t="shared" si="26"/>
        <v>137301.6</v>
      </c>
      <c r="BW21" s="340">
        <f t="shared" si="26"/>
        <v>137301.6</v>
      </c>
      <c r="BX21" s="340">
        <f t="shared" si="26"/>
        <v>137301.6</v>
      </c>
      <c r="BY21" s="340">
        <f t="shared" si="26"/>
        <v>137301.6</v>
      </c>
      <c r="BZ21" s="340">
        <f t="shared" si="26"/>
        <v>137301.6</v>
      </c>
      <c r="CA21" s="340">
        <f t="shared" si="26"/>
        <v>137301.6</v>
      </c>
      <c r="CB21" s="340">
        <f t="shared" si="26"/>
        <v>137301.6</v>
      </c>
      <c r="CC21" s="343">
        <f t="shared" ref="CC21:CC47" si="27">SUM(BP21:CB21)</f>
        <v>7253792.6399999913</v>
      </c>
      <c r="CD21" s="340">
        <f>$E$11*$H$4/12*0.3</f>
        <v>145541.51999999999</v>
      </c>
      <c r="CE21" s="340">
        <f t="shared" ref="CE21:CO21" si="28">$E$11*$H$4/12*0.3</f>
        <v>145541.51999999999</v>
      </c>
      <c r="CF21" s="340">
        <f t="shared" si="28"/>
        <v>145541.51999999999</v>
      </c>
      <c r="CG21" s="340">
        <f t="shared" si="28"/>
        <v>145541.51999999999</v>
      </c>
      <c r="CH21" s="340">
        <f t="shared" si="28"/>
        <v>145541.51999999999</v>
      </c>
      <c r="CI21" s="340">
        <f t="shared" si="28"/>
        <v>145541.51999999999</v>
      </c>
      <c r="CJ21" s="340">
        <f t="shared" si="28"/>
        <v>145541.51999999999</v>
      </c>
      <c r="CK21" s="340">
        <f t="shared" si="28"/>
        <v>145541.51999999999</v>
      </c>
      <c r="CL21" s="340">
        <f t="shared" si="28"/>
        <v>145541.51999999999</v>
      </c>
      <c r="CM21" s="340">
        <f t="shared" si="28"/>
        <v>145541.51999999999</v>
      </c>
      <c r="CN21" s="340">
        <f t="shared" si="28"/>
        <v>145541.51999999999</v>
      </c>
      <c r="CO21" s="340">
        <f t="shared" si="28"/>
        <v>145541.51999999999</v>
      </c>
      <c r="CP21" s="343">
        <f t="shared" ref="CP21:CP47" si="29">SUM(CC21:CO21)</f>
        <v>9000290.8799999859</v>
      </c>
    </row>
    <row r="22" spans="1:94" hidden="1">
      <c r="A22" s="344">
        <f>'Summary. Assumptions. Inputs'!A49</f>
        <v>0</v>
      </c>
      <c r="B22" s="345">
        <f>'Summary. Assumptions. Inputs'!B49</f>
        <v>0</v>
      </c>
      <c r="C22" s="345"/>
      <c r="D22" s="340"/>
      <c r="E22" s="340"/>
      <c r="F22" s="340"/>
      <c r="G22" s="340"/>
      <c r="H22" s="340"/>
      <c r="I22" s="340"/>
      <c r="J22" s="340"/>
      <c r="K22" s="340"/>
      <c r="L22" s="340"/>
      <c r="M22" s="340"/>
      <c r="N22" s="340"/>
      <c r="O22" s="340"/>
      <c r="P22" s="345">
        <f t="shared" si="10"/>
        <v>0</v>
      </c>
      <c r="Q22" s="340">
        <f>D22*(1+'Summary. Assumptions. Inputs'!$C$28)</f>
        <v>0</v>
      </c>
      <c r="R22" s="340">
        <f>E22*(1+'Summary. Assumptions. Inputs'!$C$28)</f>
        <v>0</v>
      </c>
      <c r="S22" s="340">
        <f>F22*(1+'Summary. Assumptions. Inputs'!$C$28)</f>
        <v>0</v>
      </c>
      <c r="T22" s="340">
        <f>G22*(1+'Summary. Assumptions. Inputs'!$C$28)</f>
        <v>0</v>
      </c>
      <c r="U22" s="340">
        <f>H22*(1+'Summary. Assumptions. Inputs'!$C$28)</f>
        <v>0</v>
      </c>
      <c r="V22" s="340">
        <f>I22*(1+'Summary. Assumptions. Inputs'!$C$28)</f>
        <v>0</v>
      </c>
      <c r="W22" s="340">
        <f>J22*(1+'Summary. Assumptions. Inputs'!$C$28)</f>
        <v>0</v>
      </c>
      <c r="X22" s="340">
        <f>K22*(1+'Summary. Assumptions. Inputs'!$C$28)</f>
        <v>0</v>
      </c>
      <c r="Y22" s="340">
        <f>L22*(1+'Summary. Assumptions. Inputs'!$C$28)</f>
        <v>0</v>
      </c>
      <c r="Z22" s="340">
        <f>M22*(1+'Summary. Assumptions. Inputs'!$C$28)</f>
        <v>0</v>
      </c>
      <c r="AA22" s="340">
        <f>N22*(1+'Summary. Assumptions. Inputs'!$C$28)</f>
        <v>0</v>
      </c>
      <c r="AB22" s="340">
        <f>O22*(1+'Summary. Assumptions. Inputs'!$C$28)</f>
        <v>0</v>
      </c>
      <c r="AC22" s="345">
        <f t="shared" si="19"/>
        <v>0</v>
      </c>
      <c r="AD22" s="340">
        <f>Q22*(1+'Summary. Assumptions. Inputs'!$C$28)</f>
        <v>0</v>
      </c>
      <c r="AE22" s="340">
        <f>R22*(1+'Summary. Assumptions. Inputs'!$C$28)</f>
        <v>0</v>
      </c>
      <c r="AF22" s="340">
        <f>S22*(1+'Summary. Assumptions. Inputs'!$C$28)</f>
        <v>0</v>
      </c>
      <c r="AG22" s="340">
        <f>T22*(1+'Summary. Assumptions. Inputs'!$C$28)</f>
        <v>0</v>
      </c>
      <c r="AH22" s="340">
        <f>U22*(1+'Summary. Assumptions. Inputs'!$C$28)</f>
        <v>0</v>
      </c>
      <c r="AI22" s="340">
        <f>V22*(1+'Summary. Assumptions. Inputs'!$C$28)</f>
        <v>0</v>
      </c>
      <c r="AJ22" s="340">
        <f>W22*(1+'Summary. Assumptions. Inputs'!$C$28)</f>
        <v>0</v>
      </c>
      <c r="AK22" s="340">
        <f>X22*(1+'Summary. Assumptions. Inputs'!$C$28)</f>
        <v>0</v>
      </c>
      <c r="AL22" s="340">
        <f>Y22*(1+'Summary. Assumptions. Inputs'!$C$28)</f>
        <v>0</v>
      </c>
      <c r="AM22" s="340">
        <f>Z22*(1+'Summary. Assumptions. Inputs'!$C$28)</f>
        <v>0</v>
      </c>
      <c r="AN22" s="340">
        <f>AA22*(1+'Summary. Assumptions. Inputs'!$C$28)</f>
        <v>0</v>
      </c>
      <c r="AO22" s="340">
        <f>AB22*(1+'Summary. Assumptions. Inputs'!$C$28)</f>
        <v>0</v>
      </c>
      <c r="AP22" s="345">
        <f t="shared" si="21"/>
        <v>0</v>
      </c>
      <c r="AQ22" s="340">
        <f>AD22*(1+'Summary. Assumptions. Inputs'!$C$28)</f>
        <v>0</v>
      </c>
      <c r="AR22" s="340">
        <f>AE22*(1+'Summary. Assumptions. Inputs'!$C$28)</f>
        <v>0</v>
      </c>
      <c r="AS22" s="340">
        <f>AF22*(1+'Summary. Assumptions. Inputs'!$C$28)</f>
        <v>0</v>
      </c>
      <c r="AT22" s="340">
        <f>AG22*(1+'Summary. Assumptions. Inputs'!$C$28)</f>
        <v>0</v>
      </c>
      <c r="AU22" s="340">
        <f>AH22*(1+'Summary. Assumptions. Inputs'!$C$28)</f>
        <v>0</v>
      </c>
      <c r="AV22" s="340">
        <f>AI22*(1+'Summary. Assumptions. Inputs'!$C$28)</f>
        <v>0</v>
      </c>
      <c r="AW22" s="340">
        <f>AJ22*(1+'Summary. Assumptions. Inputs'!$C$28)</f>
        <v>0</v>
      </c>
      <c r="AX22" s="340">
        <f>AK22*(1+'Summary. Assumptions. Inputs'!$C$28)</f>
        <v>0</v>
      </c>
      <c r="AY22" s="340">
        <f>AL22*(1+'Summary. Assumptions. Inputs'!$C$28)</f>
        <v>0</v>
      </c>
      <c r="AZ22" s="340">
        <f>AM22*(1+'Summary. Assumptions. Inputs'!$C$28)</f>
        <v>0</v>
      </c>
      <c r="BA22" s="340">
        <f>AN22*(1+'Summary. Assumptions. Inputs'!$C$28)</f>
        <v>0</v>
      </c>
      <c r="BB22" s="340">
        <f>AO22*(1+'Summary. Assumptions. Inputs'!$C$28)</f>
        <v>0</v>
      </c>
      <c r="BC22" s="345">
        <f t="shared" si="23"/>
        <v>0</v>
      </c>
      <c r="BD22" s="340">
        <f>AQ22*(1+'Summary. Assumptions. Inputs'!$C$28)</f>
        <v>0</v>
      </c>
      <c r="BE22" s="340">
        <f>AR22*(1+'Summary. Assumptions. Inputs'!$C$28)</f>
        <v>0</v>
      </c>
      <c r="BF22" s="340">
        <f>AS22*(1+'Summary. Assumptions. Inputs'!$C$28)</f>
        <v>0</v>
      </c>
      <c r="BG22" s="340">
        <f>AT22*(1+'Summary. Assumptions. Inputs'!$C$28)</f>
        <v>0</v>
      </c>
      <c r="BH22" s="340">
        <f>AU22*(1+'Summary. Assumptions. Inputs'!$C$28)</f>
        <v>0</v>
      </c>
      <c r="BI22" s="340">
        <f>AV22*(1+'Summary. Assumptions. Inputs'!$C$28)</f>
        <v>0</v>
      </c>
      <c r="BJ22" s="340">
        <f>AW22*(1+'Summary. Assumptions. Inputs'!$C$28)</f>
        <v>0</v>
      </c>
      <c r="BK22" s="340">
        <f>AX22*(1+'Summary. Assumptions. Inputs'!$C$28)</f>
        <v>0</v>
      </c>
      <c r="BL22" s="340">
        <f>AY22*(1+'Summary. Assumptions. Inputs'!$C$28)</f>
        <v>0</v>
      </c>
      <c r="BM22" s="340">
        <f>AZ22*(1+'Summary. Assumptions. Inputs'!$C$28)</f>
        <v>0</v>
      </c>
      <c r="BN22" s="340">
        <f>BA22*(1+'Summary. Assumptions. Inputs'!$C$28)</f>
        <v>0</v>
      </c>
      <c r="BO22" s="340">
        <f>BB22*(1+'Summary. Assumptions. Inputs'!$C$28)</f>
        <v>0</v>
      </c>
      <c r="BP22" s="345">
        <f t="shared" si="25"/>
        <v>0</v>
      </c>
      <c r="BQ22" s="340">
        <f>BD22*(1+'Summary. Assumptions. Inputs'!$C$28)</f>
        <v>0</v>
      </c>
      <c r="BR22" s="340">
        <f>BE22*(1+'Summary. Assumptions. Inputs'!$C$28)</f>
        <v>0</v>
      </c>
      <c r="BS22" s="340">
        <f>BF22*(1+'Summary. Assumptions. Inputs'!$C$28)</f>
        <v>0</v>
      </c>
      <c r="BT22" s="340">
        <f>BG22*(1+'Summary. Assumptions. Inputs'!$C$28)</f>
        <v>0</v>
      </c>
      <c r="BU22" s="340">
        <f>BH22*(1+'Summary. Assumptions. Inputs'!$C$28)</f>
        <v>0</v>
      </c>
      <c r="BV22" s="340">
        <f>BI22*(1+'Summary. Assumptions. Inputs'!$C$28)</f>
        <v>0</v>
      </c>
      <c r="BW22" s="340">
        <f>BJ22*(1+'Summary. Assumptions. Inputs'!$C$28)</f>
        <v>0</v>
      </c>
      <c r="BX22" s="340">
        <f>BK22*(1+'Summary. Assumptions. Inputs'!$C$28)</f>
        <v>0</v>
      </c>
      <c r="BY22" s="340">
        <f>BL22*(1+'Summary. Assumptions. Inputs'!$C$28)</f>
        <v>0</v>
      </c>
      <c r="BZ22" s="340">
        <f>BM22*(1+'Summary. Assumptions. Inputs'!$C$28)</f>
        <v>0</v>
      </c>
      <c r="CA22" s="340">
        <f>BN22*(1+'Summary. Assumptions. Inputs'!$C$28)</f>
        <v>0</v>
      </c>
      <c r="CB22" s="340">
        <f>BO22*(1+'Summary. Assumptions. Inputs'!$C$28)</f>
        <v>0</v>
      </c>
      <c r="CC22" s="345">
        <f t="shared" si="27"/>
        <v>0</v>
      </c>
      <c r="CD22" s="340">
        <f>BQ22*(1+'Summary. Assumptions. Inputs'!$C$28)</f>
        <v>0</v>
      </c>
      <c r="CE22" s="340">
        <f>BR22*(1+'Summary. Assumptions. Inputs'!$C$28)</f>
        <v>0</v>
      </c>
      <c r="CF22" s="340">
        <f>BS22*(1+'Summary. Assumptions. Inputs'!$C$28)</f>
        <v>0</v>
      </c>
      <c r="CG22" s="340">
        <f>BT22*(1+'Summary. Assumptions. Inputs'!$C$28)</f>
        <v>0</v>
      </c>
      <c r="CH22" s="340">
        <f>BU22*(1+'Summary. Assumptions. Inputs'!$C$28)</f>
        <v>0</v>
      </c>
      <c r="CI22" s="340">
        <f>BV22*(1+'Summary. Assumptions. Inputs'!$C$28)</f>
        <v>0</v>
      </c>
      <c r="CJ22" s="340">
        <f>BW22*(1+'Summary. Assumptions. Inputs'!$C$28)</f>
        <v>0</v>
      </c>
      <c r="CK22" s="340">
        <f>BX22*(1+'Summary. Assumptions. Inputs'!$C$28)</f>
        <v>0</v>
      </c>
      <c r="CL22" s="340">
        <f>BY22*(1+'Summary. Assumptions. Inputs'!$C$28)</f>
        <v>0</v>
      </c>
      <c r="CM22" s="340">
        <f>BZ22*(1+'Summary. Assumptions. Inputs'!$C$28)</f>
        <v>0</v>
      </c>
      <c r="CN22" s="340">
        <f>CA22*(1+'Summary. Assumptions. Inputs'!$C$28)</f>
        <v>0</v>
      </c>
      <c r="CO22" s="340">
        <f>CB22*(1+'Summary. Assumptions. Inputs'!$C$28)</f>
        <v>0</v>
      </c>
      <c r="CP22" s="345">
        <f t="shared" si="29"/>
        <v>0</v>
      </c>
    </row>
    <row r="23" spans="1:94" hidden="1">
      <c r="A23" s="342">
        <f>'Summary. Assumptions. Inputs'!A50</f>
        <v>0</v>
      </c>
      <c r="B23" s="343">
        <f>'Summary. Assumptions. Inputs'!B50</f>
        <v>0</v>
      </c>
      <c r="C23" s="343"/>
      <c r="D23" s="340"/>
      <c r="E23" s="340"/>
      <c r="F23" s="340"/>
      <c r="G23" s="340"/>
      <c r="H23" s="340"/>
      <c r="I23" s="340"/>
      <c r="J23" s="340"/>
      <c r="K23" s="340"/>
      <c r="L23" s="340"/>
      <c r="M23" s="340"/>
      <c r="N23" s="340"/>
      <c r="O23" s="340"/>
      <c r="P23" s="343">
        <f t="shared" si="10"/>
        <v>0</v>
      </c>
      <c r="Q23" s="340">
        <f>D23*(1+'Summary. Assumptions. Inputs'!$C$28)</f>
        <v>0</v>
      </c>
      <c r="R23" s="340">
        <f>E23*(1+'Summary. Assumptions. Inputs'!$C$28)</f>
        <v>0</v>
      </c>
      <c r="S23" s="340">
        <f>F23*(1+'Summary. Assumptions. Inputs'!$C$28)</f>
        <v>0</v>
      </c>
      <c r="T23" s="340">
        <f>G23*(1+'Summary. Assumptions. Inputs'!$C$28)</f>
        <v>0</v>
      </c>
      <c r="U23" s="340">
        <f>H23*(1+'Summary. Assumptions. Inputs'!$C$28)</f>
        <v>0</v>
      </c>
      <c r="V23" s="340">
        <f>I23*(1+'Summary. Assumptions. Inputs'!$C$28)</f>
        <v>0</v>
      </c>
      <c r="W23" s="340">
        <f>J23*(1+'Summary. Assumptions. Inputs'!$C$28)</f>
        <v>0</v>
      </c>
      <c r="X23" s="340">
        <f>K23*(1+'Summary. Assumptions. Inputs'!$C$28)</f>
        <v>0</v>
      </c>
      <c r="Y23" s="340">
        <f>L23*(1+'Summary. Assumptions. Inputs'!$C$28)</f>
        <v>0</v>
      </c>
      <c r="Z23" s="340">
        <f>M23*(1+'Summary. Assumptions. Inputs'!$C$28)</f>
        <v>0</v>
      </c>
      <c r="AA23" s="340">
        <f>N23*(1+'Summary. Assumptions. Inputs'!$C$28)</f>
        <v>0</v>
      </c>
      <c r="AB23" s="340">
        <f>O23*(1+'Summary. Assumptions. Inputs'!$C$28)</f>
        <v>0</v>
      </c>
      <c r="AC23" s="343">
        <f t="shared" si="19"/>
        <v>0</v>
      </c>
      <c r="AD23" s="340">
        <f>Q23*(1+'Summary. Assumptions. Inputs'!$C$28)</f>
        <v>0</v>
      </c>
      <c r="AE23" s="340">
        <f>R23*(1+'Summary. Assumptions. Inputs'!$C$28)</f>
        <v>0</v>
      </c>
      <c r="AF23" s="340">
        <f>S23*(1+'Summary. Assumptions. Inputs'!$C$28)</f>
        <v>0</v>
      </c>
      <c r="AG23" s="340">
        <f>T23*(1+'Summary. Assumptions. Inputs'!$C$28)</f>
        <v>0</v>
      </c>
      <c r="AH23" s="340">
        <f>U23*(1+'Summary. Assumptions. Inputs'!$C$28)</f>
        <v>0</v>
      </c>
      <c r="AI23" s="340">
        <f>V23*(1+'Summary. Assumptions. Inputs'!$C$28)</f>
        <v>0</v>
      </c>
      <c r="AJ23" s="340">
        <f>W23*(1+'Summary. Assumptions. Inputs'!$C$28)</f>
        <v>0</v>
      </c>
      <c r="AK23" s="340">
        <f>X23*(1+'Summary. Assumptions. Inputs'!$C$28)</f>
        <v>0</v>
      </c>
      <c r="AL23" s="340">
        <f>Y23*(1+'Summary. Assumptions. Inputs'!$C$28)</f>
        <v>0</v>
      </c>
      <c r="AM23" s="340">
        <f>Z23*(1+'Summary. Assumptions. Inputs'!$C$28)</f>
        <v>0</v>
      </c>
      <c r="AN23" s="340">
        <f>AA23*(1+'Summary. Assumptions. Inputs'!$C$28)</f>
        <v>0</v>
      </c>
      <c r="AO23" s="340">
        <f>AB23*(1+'Summary. Assumptions. Inputs'!$C$28)</f>
        <v>0</v>
      </c>
      <c r="AP23" s="343">
        <f t="shared" si="21"/>
        <v>0</v>
      </c>
      <c r="AQ23" s="340">
        <f>AD23*(1+'Summary. Assumptions. Inputs'!$C$28)</f>
        <v>0</v>
      </c>
      <c r="AR23" s="340">
        <f>AE23*(1+'Summary. Assumptions. Inputs'!$C$28)</f>
        <v>0</v>
      </c>
      <c r="AS23" s="340">
        <f>AF23*(1+'Summary. Assumptions. Inputs'!$C$28)</f>
        <v>0</v>
      </c>
      <c r="AT23" s="340">
        <f>AG23*(1+'Summary. Assumptions. Inputs'!$C$28)</f>
        <v>0</v>
      </c>
      <c r="AU23" s="340">
        <f>AH23*(1+'Summary. Assumptions. Inputs'!$C$28)</f>
        <v>0</v>
      </c>
      <c r="AV23" s="340">
        <f>AI23*(1+'Summary. Assumptions. Inputs'!$C$28)</f>
        <v>0</v>
      </c>
      <c r="AW23" s="340">
        <f>AJ23*(1+'Summary. Assumptions. Inputs'!$C$28)</f>
        <v>0</v>
      </c>
      <c r="AX23" s="340">
        <f>AK23*(1+'Summary. Assumptions. Inputs'!$C$28)</f>
        <v>0</v>
      </c>
      <c r="AY23" s="340">
        <f>AL23*(1+'Summary. Assumptions. Inputs'!$C$28)</f>
        <v>0</v>
      </c>
      <c r="AZ23" s="340">
        <f>AM23*(1+'Summary. Assumptions. Inputs'!$C$28)</f>
        <v>0</v>
      </c>
      <c r="BA23" s="340">
        <f>AN23*(1+'Summary. Assumptions. Inputs'!$C$28)</f>
        <v>0</v>
      </c>
      <c r="BB23" s="340">
        <f>AO23*(1+'Summary. Assumptions. Inputs'!$C$28)</f>
        <v>0</v>
      </c>
      <c r="BC23" s="343">
        <f t="shared" si="23"/>
        <v>0</v>
      </c>
      <c r="BD23" s="340">
        <f>AQ23*(1+'Summary. Assumptions. Inputs'!$C$28)</f>
        <v>0</v>
      </c>
      <c r="BE23" s="340">
        <f>AR23*(1+'Summary. Assumptions. Inputs'!$C$28)</f>
        <v>0</v>
      </c>
      <c r="BF23" s="340">
        <f>AS23*(1+'Summary. Assumptions. Inputs'!$C$28)</f>
        <v>0</v>
      </c>
      <c r="BG23" s="340">
        <f>AT23*(1+'Summary. Assumptions. Inputs'!$C$28)</f>
        <v>0</v>
      </c>
      <c r="BH23" s="340">
        <f>AU23*(1+'Summary. Assumptions. Inputs'!$C$28)</f>
        <v>0</v>
      </c>
      <c r="BI23" s="340">
        <f>AV23*(1+'Summary. Assumptions. Inputs'!$C$28)</f>
        <v>0</v>
      </c>
      <c r="BJ23" s="340">
        <f>AW23*(1+'Summary. Assumptions. Inputs'!$C$28)</f>
        <v>0</v>
      </c>
      <c r="BK23" s="340">
        <f>AX23*(1+'Summary. Assumptions. Inputs'!$C$28)</f>
        <v>0</v>
      </c>
      <c r="BL23" s="340">
        <f>AY23*(1+'Summary. Assumptions. Inputs'!$C$28)</f>
        <v>0</v>
      </c>
      <c r="BM23" s="340">
        <f>AZ23*(1+'Summary. Assumptions. Inputs'!$C$28)</f>
        <v>0</v>
      </c>
      <c r="BN23" s="340">
        <f>BA23*(1+'Summary. Assumptions. Inputs'!$C$28)</f>
        <v>0</v>
      </c>
      <c r="BO23" s="340">
        <f>BB23*(1+'Summary. Assumptions. Inputs'!$C$28)</f>
        <v>0</v>
      </c>
      <c r="BP23" s="343">
        <f t="shared" si="25"/>
        <v>0</v>
      </c>
      <c r="BQ23" s="340">
        <f>BD23*(1+'Summary. Assumptions. Inputs'!$C$28)</f>
        <v>0</v>
      </c>
      <c r="BR23" s="340">
        <f>BE23*(1+'Summary. Assumptions. Inputs'!$C$28)</f>
        <v>0</v>
      </c>
      <c r="BS23" s="340">
        <f>BF23*(1+'Summary. Assumptions. Inputs'!$C$28)</f>
        <v>0</v>
      </c>
      <c r="BT23" s="340">
        <f>BG23*(1+'Summary. Assumptions. Inputs'!$C$28)</f>
        <v>0</v>
      </c>
      <c r="BU23" s="340">
        <f>BH23*(1+'Summary. Assumptions. Inputs'!$C$28)</f>
        <v>0</v>
      </c>
      <c r="BV23" s="340">
        <f>BI23*(1+'Summary. Assumptions. Inputs'!$C$28)</f>
        <v>0</v>
      </c>
      <c r="BW23" s="340">
        <f>BJ23*(1+'Summary. Assumptions. Inputs'!$C$28)</f>
        <v>0</v>
      </c>
      <c r="BX23" s="340">
        <f>BK23*(1+'Summary. Assumptions. Inputs'!$C$28)</f>
        <v>0</v>
      </c>
      <c r="BY23" s="340">
        <f>BL23*(1+'Summary. Assumptions. Inputs'!$C$28)</f>
        <v>0</v>
      </c>
      <c r="BZ23" s="340">
        <f>BM23*(1+'Summary. Assumptions. Inputs'!$C$28)</f>
        <v>0</v>
      </c>
      <c r="CA23" s="340">
        <f>BN23*(1+'Summary. Assumptions. Inputs'!$C$28)</f>
        <v>0</v>
      </c>
      <c r="CB23" s="340">
        <f>BO23*(1+'Summary. Assumptions. Inputs'!$C$28)</f>
        <v>0</v>
      </c>
      <c r="CC23" s="343">
        <f t="shared" si="27"/>
        <v>0</v>
      </c>
      <c r="CD23" s="340">
        <f>BQ23*(1+'Summary. Assumptions. Inputs'!$C$28)</f>
        <v>0</v>
      </c>
      <c r="CE23" s="340">
        <f>BR23*(1+'Summary. Assumptions. Inputs'!$C$28)</f>
        <v>0</v>
      </c>
      <c r="CF23" s="340">
        <f>BS23*(1+'Summary. Assumptions. Inputs'!$C$28)</f>
        <v>0</v>
      </c>
      <c r="CG23" s="340">
        <f>BT23*(1+'Summary. Assumptions. Inputs'!$C$28)</f>
        <v>0</v>
      </c>
      <c r="CH23" s="340">
        <f>BU23*(1+'Summary. Assumptions. Inputs'!$C$28)</f>
        <v>0</v>
      </c>
      <c r="CI23" s="340">
        <f>BV23*(1+'Summary. Assumptions. Inputs'!$C$28)</f>
        <v>0</v>
      </c>
      <c r="CJ23" s="340">
        <f>BW23*(1+'Summary. Assumptions. Inputs'!$C$28)</f>
        <v>0</v>
      </c>
      <c r="CK23" s="340">
        <f>BX23*(1+'Summary. Assumptions. Inputs'!$C$28)</f>
        <v>0</v>
      </c>
      <c r="CL23" s="340">
        <f>BY23*(1+'Summary. Assumptions. Inputs'!$C$28)</f>
        <v>0</v>
      </c>
      <c r="CM23" s="340">
        <f>BZ23*(1+'Summary. Assumptions. Inputs'!$C$28)</f>
        <v>0</v>
      </c>
      <c r="CN23" s="340">
        <f>CA23*(1+'Summary. Assumptions. Inputs'!$C$28)</f>
        <v>0</v>
      </c>
      <c r="CO23" s="340">
        <f>CB23*(1+'Summary. Assumptions. Inputs'!$C$28)</f>
        <v>0</v>
      </c>
      <c r="CP23" s="343">
        <f t="shared" si="29"/>
        <v>0</v>
      </c>
    </row>
    <row r="24" spans="1:94" hidden="1">
      <c r="A24" s="344">
        <f>'Summary. Assumptions. Inputs'!A51</f>
        <v>0</v>
      </c>
      <c r="B24" s="345">
        <f>'Summary. Assumptions. Inputs'!B51</f>
        <v>0</v>
      </c>
      <c r="C24" s="345"/>
      <c r="D24" s="340"/>
      <c r="E24" s="340"/>
      <c r="F24" s="340"/>
      <c r="G24" s="340"/>
      <c r="H24" s="340"/>
      <c r="I24" s="340"/>
      <c r="J24" s="340"/>
      <c r="K24" s="340"/>
      <c r="L24" s="340"/>
      <c r="M24" s="340"/>
      <c r="N24" s="340"/>
      <c r="O24" s="340"/>
      <c r="P24" s="345">
        <f t="shared" si="10"/>
        <v>0</v>
      </c>
      <c r="Q24" s="340">
        <f>D24*(1+'Summary. Assumptions. Inputs'!$C$28)</f>
        <v>0</v>
      </c>
      <c r="R24" s="340">
        <f>E24*(1+'Summary. Assumptions. Inputs'!$C$28)</f>
        <v>0</v>
      </c>
      <c r="S24" s="340">
        <f>F24*(1+'Summary. Assumptions. Inputs'!$C$28)</f>
        <v>0</v>
      </c>
      <c r="T24" s="340">
        <f>G24*(1+'Summary. Assumptions. Inputs'!$C$28)</f>
        <v>0</v>
      </c>
      <c r="U24" s="340">
        <f>H24*(1+'Summary. Assumptions. Inputs'!$C$28)</f>
        <v>0</v>
      </c>
      <c r="V24" s="340">
        <f>I24*(1+'Summary. Assumptions. Inputs'!$C$28)</f>
        <v>0</v>
      </c>
      <c r="W24" s="340">
        <f>J24*(1+'Summary. Assumptions. Inputs'!$C$28)</f>
        <v>0</v>
      </c>
      <c r="X24" s="340">
        <f>K24*(1+'Summary. Assumptions. Inputs'!$C$28)</f>
        <v>0</v>
      </c>
      <c r="Y24" s="340">
        <f>L24*(1+'Summary. Assumptions. Inputs'!$C$28)</f>
        <v>0</v>
      </c>
      <c r="Z24" s="340">
        <f>M24*(1+'Summary. Assumptions. Inputs'!$C$28)</f>
        <v>0</v>
      </c>
      <c r="AA24" s="340">
        <f>N24*(1+'Summary. Assumptions. Inputs'!$C$28)</f>
        <v>0</v>
      </c>
      <c r="AB24" s="340">
        <f>O24*(1+'Summary. Assumptions. Inputs'!$C$28)</f>
        <v>0</v>
      </c>
      <c r="AC24" s="345">
        <f t="shared" si="19"/>
        <v>0</v>
      </c>
      <c r="AD24" s="340">
        <f>Q24*(1+'Summary. Assumptions. Inputs'!$C$28)</f>
        <v>0</v>
      </c>
      <c r="AE24" s="340">
        <f>R24*(1+'Summary. Assumptions. Inputs'!$C$28)</f>
        <v>0</v>
      </c>
      <c r="AF24" s="340">
        <f>S24*(1+'Summary. Assumptions. Inputs'!$C$28)</f>
        <v>0</v>
      </c>
      <c r="AG24" s="340">
        <f>T24*(1+'Summary. Assumptions. Inputs'!$C$28)</f>
        <v>0</v>
      </c>
      <c r="AH24" s="340">
        <f>U24*(1+'Summary. Assumptions. Inputs'!$C$28)</f>
        <v>0</v>
      </c>
      <c r="AI24" s="340">
        <f>V24*(1+'Summary. Assumptions. Inputs'!$C$28)</f>
        <v>0</v>
      </c>
      <c r="AJ24" s="340">
        <f>W24*(1+'Summary. Assumptions. Inputs'!$C$28)</f>
        <v>0</v>
      </c>
      <c r="AK24" s="340">
        <f>X24*(1+'Summary. Assumptions. Inputs'!$C$28)</f>
        <v>0</v>
      </c>
      <c r="AL24" s="340">
        <f>Y24*(1+'Summary. Assumptions. Inputs'!$C$28)</f>
        <v>0</v>
      </c>
      <c r="AM24" s="340">
        <f>Z24*(1+'Summary. Assumptions. Inputs'!$C$28)</f>
        <v>0</v>
      </c>
      <c r="AN24" s="340">
        <f>AA24*(1+'Summary. Assumptions. Inputs'!$C$28)</f>
        <v>0</v>
      </c>
      <c r="AO24" s="340">
        <f>AB24*(1+'Summary. Assumptions. Inputs'!$C$28)</f>
        <v>0</v>
      </c>
      <c r="AP24" s="345">
        <f t="shared" si="21"/>
        <v>0</v>
      </c>
      <c r="AQ24" s="340">
        <f>AD24*(1+'Summary. Assumptions. Inputs'!$C$28)</f>
        <v>0</v>
      </c>
      <c r="AR24" s="340">
        <f>AE24*(1+'Summary. Assumptions. Inputs'!$C$28)</f>
        <v>0</v>
      </c>
      <c r="AS24" s="340">
        <f>AF24*(1+'Summary. Assumptions. Inputs'!$C$28)</f>
        <v>0</v>
      </c>
      <c r="AT24" s="340">
        <f>AG24*(1+'Summary. Assumptions. Inputs'!$C$28)</f>
        <v>0</v>
      </c>
      <c r="AU24" s="340">
        <f>AH24*(1+'Summary. Assumptions. Inputs'!$C$28)</f>
        <v>0</v>
      </c>
      <c r="AV24" s="340">
        <f>AI24*(1+'Summary. Assumptions. Inputs'!$C$28)</f>
        <v>0</v>
      </c>
      <c r="AW24" s="340">
        <f>AJ24*(1+'Summary. Assumptions. Inputs'!$C$28)</f>
        <v>0</v>
      </c>
      <c r="AX24" s="340">
        <f>AK24*(1+'Summary. Assumptions. Inputs'!$C$28)</f>
        <v>0</v>
      </c>
      <c r="AY24" s="340">
        <f>AL24*(1+'Summary. Assumptions. Inputs'!$C$28)</f>
        <v>0</v>
      </c>
      <c r="AZ24" s="340">
        <f>AM24*(1+'Summary. Assumptions. Inputs'!$C$28)</f>
        <v>0</v>
      </c>
      <c r="BA24" s="340">
        <f>AN24*(1+'Summary. Assumptions. Inputs'!$C$28)</f>
        <v>0</v>
      </c>
      <c r="BB24" s="340">
        <f>AO24*(1+'Summary. Assumptions. Inputs'!$C$28)</f>
        <v>0</v>
      </c>
      <c r="BC24" s="345">
        <f t="shared" si="23"/>
        <v>0</v>
      </c>
      <c r="BD24" s="340">
        <f>AQ24*(1+'Summary. Assumptions. Inputs'!$C$28)</f>
        <v>0</v>
      </c>
      <c r="BE24" s="340">
        <f>AR24*(1+'Summary. Assumptions. Inputs'!$C$28)</f>
        <v>0</v>
      </c>
      <c r="BF24" s="340">
        <f>AS24*(1+'Summary. Assumptions. Inputs'!$C$28)</f>
        <v>0</v>
      </c>
      <c r="BG24" s="340">
        <f>AT24*(1+'Summary. Assumptions. Inputs'!$C$28)</f>
        <v>0</v>
      </c>
      <c r="BH24" s="340">
        <f>AU24*(1+'Summary. Assumptions. Inputs'!$C$28)</f>
        <v>0</v>
      </c>
      <c r="BI24" s="340">
        <f>AV24*(1+'Summary. Assumptions. Inputs'!$C$28)</f>
        <v>0</v>
      </c>
      <c r="BJ24" s="340">
        <f>AW24*(1+'Summary. Assumptions. Inputs'!$C$28)</f>
        <v>0</v>
      </c>
      <c r="BK24" s="340">
        <f>AX24*(1+'Summary. Assumptions. Inputs'!$C$28)</f>
        <v>0</v>
      </c>
      <c r="BL24" s="340">
        <f>AY24*(1+'Summary. Assumptions. Inputs'!$C$28)</f>
        <v>0</v>
      </c>
      <c r="BM24" s="340">
        <f>AZ24*(1+'Summary. Assumptions. Inputs'!$C$28)</f>
        <v>0</v>
      </c>
      <c r="BN24" s="340">
        <f>BA24*(1+'Summary. Assumptions. Inputs'!$C$28)</f>
        <v>0</v>
      </c>
      <c r="BO24" s="340">
        <f>BB24*(1+'Summary. Assumptions. Inputs'!$C$28)</f>
        <v>0</v>
      </c>
      <c r="BP24" s="345">
        <f t="shared" si="25"/>
        <v>0</v>
      </c>
      <c r="BQ24" s="340">
        <f>BD24*(1+'Summary. Assumptions. Inputs'!$C$28)</f>
        <v>0</v>
      </c>
      <c r="BR24" s="340">
        <f>BE24*(1+'Summary. Assumptions. Inputs'!$C$28)</f>
        <v>0</v>
      </c>
      <c r="BS24" s="340">
        <f>BF24*(1+'Summary. Assumptions. Inputs'!$C$28)</f>
        <v>0</v>
      </c>
      <c r="BT24" s="340">
        <f>BG24*(1+'Summary. Assumptions. Inputs'!$C$28)</f>
        <v>0</v>
      </c>
      <c r="BU24" s="340">
        <f>BH24*(1+'Summary. Assumptions. Inputs'!$C$28)</f>
        <v>0</v>
      </c>
      <c r="BV24" s="340">
        <f>BI24*(1+'Summary. Assumptions. Inputs'!$C$28)</f>
        <v>0</v>
      </c>
      <c r="BW24" s="340">
        <f>BJ24*(1+'Summary. Assumptions. Inputs'!$C$28)</f>
        <v>0</v>
      </c>
      <c r="BX24" s="340">
        <f>BK24*(1+'Summary. Assumptions. Inputs'!$C$28)</f>
        <v>0</v>
      </c>
      <c r="BY24" s="340">
        <f>BL24*(1+'Summary. Assumptions. Inputs'!$C$28)</f>
        <v>0</v>
      </c>
      <c r="BZ24" s="340">
        <f>BM24*(1+'Summary. Assumptions. Inputs'!$C$28)</f>
        <v>0</v>
      </c>
      <c r="CA24" s="340">
        <f>BN24*(1+'Summary. Assumptions. Inputs'!$C$28)</f>
        <v>0</v>
      </c>
      <c r="CB24" s="340">
        <f>BO24*(1+'Summary. Assumptions. Inputs'!$C$28)</f>
        <v>0</v>
      </c>
      <c r="CC24" s="345">
        <f t="shared" si="27"/>
        <v>0</v>
      </c>
      <c r="CD24" s="340">
        <f>BQ24*(1+'Summary. Assumptions. Inputs'!$C$28)</f>
        <v>0</v>
      </c>
      <c r="CE24" s="340">
        <f>BR24*(1+'Summary. Assumptions. Inputs'!$C$28)</f>
        <v>0</v>
      </c>
      <c r="CF24" s="340">
        <f>BS24*(1+'Summary. Assumptions. Inputs'!$C$28)</f>
        <v>0</v>
      </c>
      <c r="CG24" s="340">
        <f>BT24*(1+'Summary. Assumptions. Inputs'!$C$28)</f>
        <v>0</v>
      </c>
      <c r="CH24" s="340">
        <f>BU24*(1+'Summary. Assumptions. Inputs'!$C$28)</f>
        <v>0</v>
      </c>
      <c r="CI24" s="340">
        <f>BV24*(1+'Summary. Assumptions. Inputs'!$C$28)</f>
        <v>0</v>
      </c>
      <c r="CJ24" s="340">
        <f>BW24*(1+'Summary. Assumptions. Inputs'!$C$28)</f>
        <v>0</v>
      </c>
      <c r="CK24" s="340">
        <f>BX24*(1+'Summary. Assumptions. Inputs'!$C$28)</f>
        <v>0</v>
      </c>
      <c r="CL24" s="340">
        <f>BY24*(1+'Summary. Assumptions. Inputs'!$C$28)</f>
        <v>0</v>
      </c>
      <c r="CM24" s="340">
        <f>BZ24*(1+'Summary. Assumptions. Inputs'!$C$28)</f>
        <v>0</v>
      </c>
      <c r="CN24" s="340">
        <f>CA24*(1+'Summary. Assumptions. Inputs'!$C$28)</f>
        <v>0</v>
      </c>
      <c r="CO24" s="340">
        <f>CB24*(1+'Summary. Assumptions. Inputs'!$C$28)</f>
        <v>0</v>
      </c>
      <c r="CP24" s="345">
        <f t="shared" si="29"/>
        <v>0</v>
      </c>
    </row>
    <row r="25" spans="1:94" hidden="1">
      <c r="A25" s="342">
        <f>'Summary. Assumptions. Inputs'!A52</f>
        <v>0</v>
      </c>
      <c r="B25" s="343">
        <f>'Summary. Assumptions. Inputs'!B52</f>
        <v>0</v>
      </c>
      <c r="C25" s="343"/>
      <c r="D25" s="340"/>
      <c r="E25" s="340"/>
      <c r="F25" s="340"/>
      <c r="G25" s="340"/>
      <c r="H25" s="340"/>
      <c r="I25" s="340"/>
      <c r="J25" s="340"/>
      <c r="K25" s="340"/>
      <c r="L25" s="340"/>
      <c r="M25" s="340"/>
      <c r="N25" s="340"/>
      <c r="O25" s="340"/>
      <c r="P25" s="343">
        <f t="shared" si="10"/>
        <v>0</v>
      </c>
      <c r="Q25" s="340">
        <f>D25*(1+'Summary. Assumptions. Inputs'!$C$28)</f>
        <v>0</v>
      </c>
      <c r="R25" s="340">
        <f>E25*(1+'Summary. Assumptions. Inputs'!$C$28)</f>
        <v>0</v>
      </c>
      <c r="S25" s="340">
        <f>F25*(1+'Summary. Assumptions. Inputs'!$C$28)</f>
        <v>0</v>
      </c>
      <c r="T25" s="340">
        <f>G25*(1+'Summary. Assumptions. Inputs'!$C$28)</f>
        <v>0</v>
      </c>
      <c r="U25" s="340">
        <f>H25*(1+'Summary. Assumptions. Inputs'!$C$28)</f>
        <v>0</v>
      </c>
      <c r="V25" s="340">
        <f>I25*(1+'Summary. Assumptions. Inputs'!$C$28)</f>
        <v>0</v>
      </c>
      <c r="W25" s="340">
        <f>J25*(1+'Summary. Assumptions. Inputs'!$C$28)</f>
        <v>0</v>
      </c>
      <c r="X25" s="340">
        <f>K25*(1+'Summary. Assumptions. Inputs'!$C$28)</f>
        <v>0</v>
      </c>
      <c r="Y25" s="340">
        <f>L25*(1+'Summary. Assumptions. Inputs'!$C$28)</f>
        <v>0</v>
      </c>
      <c r="Z25" s="340">
        <f>M25*(1+'Summary. Assumptions. Inputs'!$C$28)</f>
        <v>0</v>
      </c>
      <c r="AA25" s="340">
        <f>N25*(1+'Summary. Assumptions. Inputs'!$C$28)</f>
        <v>0</v>
      </c>
      <c r="AB25" s="340">
        <f>O25*(1+'Summary. Assumptions. Inputs'!$C$28)</f>
        <v>0</v>
      </c>
      <c r="AC25" s="343">
        <f t="shared" si="19"/>
        <v>0</v>
      </c>
      <c r="AD25" s="340">
        <f>Q25*(1+'Summary. Assumptions. Inputs'!$C$28)</f>
        <v>0</v>
      </c>
      <c r="AE25" s="340">
        <f>R25*(1+'Summary. Assumptions. Inputs'!$C$28)</f>
        <v>0</v>
      </c>
      <c r="AF25" s="340">
        <f>S25*(1+'Summary. Assumptions. Inputs'!$C$28)</f>
        <v>0</v>
      </c>
      <c r="AG25" s="340">
        <f>T25*(1+'Summary. Assumptions. Inputs'!$C$28)</f>
        <v>0</v>
      </c>
      <c r="AH25" s="340">
        <f>U25*(1+'Summary. Assumptions. Inputs'!$C$28)</f>
        <v>0</v>
      </c>
      <c r="AI25" s="340">
        <f>V25*(1+'Summary. Assumptions. Inputs'!$C$28)</f>
        <v>0</v>
      </c>
      <c r="AJ25" s="340">
        <f>W25*(1+'Summary. Assumptions. Inputs'!$C$28)</f>
        <v>0</v>
      </c>
      <c r="AK25" s="340">
        <f>X25*(1+'Summary. Assumptions. Inputs'!$C$28)</f>
        <v>0</v>
      </c>
      <c r="AL25" s="340">
        <f>Y25*(1+'Summary. Assumptions. Inputs'!$C$28)</f>
        <v>0</v>
      </c>
      <c r="AM25" s="340">
        <f>Z25*(1+'Summary. Assumptions. Inputs'!$C$28)</f>
        <v>0</v>
      </c>
      <c r="AN25" s="340">
        <f>AA25*(1+'Summary. Assumptions. Inputs'!$C$28)</f>
        <v>0</v>
      </c>
      <c r="AO25" s="340">
        <f>AB25*(1+'Summary. Assumptions. Inputs'!$C$28)</f>
        <v>0</v>
      </c>
      <c r="AP25" s="343">
        <f t="shared" si="21"/>
        <v>0</v>
      </c>
      <c r="AQ25" s="340">
        <f>AD25*(1+'Summary. Assumptions. Inputs'!$C$28)</f>
        <v>0</v>
      </c>
      <c r="AR25" s="340">
        <f>AE25*(1+'Summary. Assumptions. Inputs'!$C$28)</f>
        <v>0</v>
      </c>
      <c r="AS25" s="340">
        <f>AF25*(1+'Summary. Assumptions. Inputs'!$C$28)</f>
        <v>0</v>
      </c>
      <c r="AT25" s="340">
        <f>AG25*(1+'Summary. Assumptions. Inputs'!$C$28)</f>
        <v>0</v>
      </c>
      <c r="AU25" s="340">
        <f>AH25*(1+'Summary. Assumptions. Inputs'!$C$28)</f>
        <v>0</v>
      </c>
      <c r="AV25" s="340">
        <f>AI25*(1+'Summary. Assumptions. Inputs'!$C$28)</f>
        <v>0</v>
      </c>
      <c r="AW25" s="340">
        <f>AJ25*(1+'Summary. Assumptions. Inputs'!$C$28)</f>
        <v>0</v>
      </c>
      <c r="AX25" s="340">
        <f>AK25*(1+'Summary. Assumptions. Inputs'!$C$28)</f>
        <v>0</v>
      </c>
      <c r="AY25" s="340">
        <f>AL25*(1+'Summary. Assumptions. Inputs'!$C$28)</f>
        <v>0</v>
      </c>
      <c r="AZ25" s="340">
        <f>AM25*(1+'Summary. Assumptions. Inputs'!$C$28)</f>
        <v>0</v>
      </c>
      <c r="BA25" s="340">
        <f>AN25*(1+'Summary. Assumptions. Inputs'!$C$28)</f>
        <v>0</v>
      </c>
      <c r="BB25" s="340">
        <f>AO25*(1+'Summary. Assumptions. Inputs'!$C$28)</f>
        <v>0</v>
      </c>
      <c r="BC25" s="343">
        <f t="shared" si="23"/>
        <v>0</v>
      </c>
      <c r="BD25" s="340">
        <f>AQ25*(1+'Summary. Assumptions. Inputs'!$C$28)</f>
        <v>0</v>
      </c>
      <c r="BE25" s="340">
        <f>AR25*(1+'Summary. Assumptions. Inputs'!$C$28)</f>
        <v>0</v>
      </c>
      <c r="BF25" s="340">
        <f>AS25*(1+'Summary. Assumptions. Inputs'!$C$28)</f>
        <v>0</v>
      </c>
      <c r="BG25" s="340">
        <f>AT25*(1+'Summary. Assumptions. Inputs'!$C$28)</f>
        <v>0</v>
      </c>
      <c r="BH25" s="340">
        <f>AU25*(1+'Summary. Assumptions. Inputs'!$C$28)</f>
        <v>0</v>
      </c>
      <c r="BI25" s="340">
        <f>AV25*(1+'Summary. Assumptions. Inputs'!$C$28)</f>
        <v>0</v>
      </c>
      <c r="BJ25" s="340">
        <f>AW25*(1+'Summary. Assumptions. Inputs'!$C$28)</f>
        <v>0</v>
      </c>
      <c r="BK25" s="340">
        <f>AX25*(1+'Summary. Assumptions. Inputs'!$C$28)</f>
        <v>0</v>
      </c>
      <c r="BL25" s="340">
        <f>AY25*(1+'Summary. Assumptions. Inputs'!$C$28)</f>
        <v>0</v>
      </c>
      <c r="BM25" s="340">
        <f>AZ25*(1+'Summary. Assumptions. Inputs'!$C$28)</f>
        <v>0</v>
      </c>
      <c r="BN25" s="340">
        <f>BA25*(1+'Summary. Assumptions. Inputs'!$C$28)</f>
        <v>0</v>
      </c>
      <c r="BO25" s="340">
        <f>BB25*(1+'Summary. Assumptions. Inputs'!$C$28)</f>
        <v>0</v>
      </c>
      <c r="BP25" s="343">
        <f t="shared" si="25"/>
        <v>0</v>
      </c>
      <c r="BQ25" s="340">
        <f>BD25*(1+'Summary. Assumptions. Inputs'!$C$28)</f>
        <v>0</v>
      </c>
      <c r="BR25" s="340">
        <f>BE25*(1+'Summary. Assumptions. Inputs'!$C$28)</f>
        <v>0</v>
      </c>
      <c r="BS25" s="340">
        <f>BF25*(1+'Summary. Assumptions. Inputs'!$C$28)</f>
        <v>0</v>
      </c>
      <c r="BT25" s="340">
        <f>BG25*(1+'Summary. Assumptions. Inputs'!$C$28)</f>
        <v>0</v>
      </c>
      <c r="BU25" s="340">
        <f>BH25*(1+'Summary. Assumptions. Inputs'!$C$28)</f>
        <v>0</v>
      </c>
      <c r="BV25" s="340">
        <f>BI25*(1+'Summary. Assumptions. Inputs'!$C$28)</f>
        <v>0</v>
      </c>
      <c r="BW25" s="340">
        <f>BJ25*(1+'Summary. Assumptions. Inputs'!$C$28)</f>
        <v>0</v>
      </c>
      <c r="BX25" s="340">
        <f>BK25*(1+'Summary. Assumptions. Inputs'!$C$28)</f>
        <v>0</v>
      </c>
      <c r="BY25" s="340">
        <f>BL25*(1+'Summary. Assumptions. Inputs'!$C$28)</f>
        <v>0</v>
      </c>
      <c r="BZ25" s="340">
        <f>BM25*(1+'Summary. Assumptions. Inputs'!$C$28)</f>
        <v>0</v>
      </c>
      <c r="CA25" s="340">
        <f>BN25*(1+'Summary. Assumptions. Inputs'!$C$28)</f>
        <v>0</v>
      </c>
      <c r="CB25" s="340">
        <f>BO25*(1+'Summary. Assumptions. Inputs'!$C$28)</f>
        <v>0</v>
      </c>
      <c r="CC25" s="343">
        <f t="shared" si="27"/>
        <v>0</v>
      </c>
      <c r="CD25" s="340">
        <f>BQ25*(1+'Summary. Assumptions. Inputs'!$C$28)</f>
        <v>0</v>
      </c>
      <c r="CE25" s="340">
        <f>BR25*(1+'Summary. Assumptions. Inputs'!$C$28)</f>
        <v>0</v>
      </c>
      <c r="CF25" s="340">
        <f>BS25*(1+'Summary. Assumptions. Inputs'!$C$28)</f>
        <v>0</v>
      </c>
      <c r="CG25" s="340">
        <f>BT25*(1+'Summary. Assumptions. Inputs'!$C$28)</f>
        <v>0</v>
      </c>
      <c r="CH25" s="340">
        <f>BU25*(1+'Summary. Assumptions. Inputs'!$C$28)</f>
        <v>0</v>
      </c>
      <c r="CI25" s="340">
        <f>BV25*(1+'Summary. Assumptions. Inputs'!$C$28)</f>
        <v>0</v>
      </c>
      <c r="CJ25" s="340">
        <f>BW25*(1+'Summary. Assumptions. Inputs'!$C$28)</f>
        <v>0</v>
      </c>
      <c r="CK25" s="340">
        <f>BX25*(1+'Summary. Assumptions. Inputs'!$C$28)</f>
        <v>0</v>
      </c>
      <c r="CL25" s="340">
        <f>BY25*(1+'Summary. Assumptions. Inputs'!$C$28)</f>
        <v>0</v>
      </c>
      <c r="CM25" s="340">
        <f>BZ25*(1+'Summary. Assumptions. Inputs'!$C$28)</f>
        <v>0</v>
      </c>
      <c r="CN25" s="340">
        <f>CA25*(1+'Summary. Assumptions. Inputs'!$C$28)</f>
        <v>0</v>
      </c>
      <c r="CO25" s="340">
        <f>CB25*(1+'Summary. Assumptions. Inputs'!$C$28)</f>
        <v>0</v>
      </c>
      <c r="CP25" s="343">
        <f t="shared" si="29"/>
        <v>0</v>
      </c>
    </row>
    <row r="26" spans="1:94" hidden="1">
      <c r="A26" s="344">
        <f>'Summary. Assumptions. Inputs'!A53</f>
        <v>0</v>
      </c>
      <c r="B26" s="345">
        <f>'Summary. Assumptions. Inputs'!B53</f>
        <v>0</v>
      </c>
      <c r="C26" s="345"/>
      <c r="D26" s="340"/>
      <c r="E26" s="340"/>
      <c r="F26" s="340"/>
      <c r="G26" s="340"/>
      <c r="H26" s="340"/>
      <c r="I26" s="340"/>
      <c r="J26" s="340"/>
      <c r="K26" s="340"/>
      <c r="L26" s="340"/>
      <c r="M26" s="340"/>
      <c r="N26" s="340"/>
      <c r="O26" s="340"/>
      <c r="P26" s="345">
        <f t="shared" si="10"/>
        <v>0</v>
      </c>
      <c r="Q26" s="340">
        <f>D26*(1+'Summary. Assumptions. Inputs'!$C$28)</f>
        <v>0</v>
      </c>
      <c r="R26" s="340">
        <f>E26*(1+'Summary. Assumptions. Inputs'!$C$28)</f>
        <v>0</v>
      </c>
      <c r="S26" s="340">
        <f>F26*(1+'Summary. Assumptions. Inputs'!$C$28)</f>
        <v>0</v>
      </c>
      <c r="T26" s="340">
        <f>G26*(1+'Summary. Assumptions. Inputs'!$C$28)</f>
        <v>0</v>
      </c>
      <c r="U26" s="340">
        <f>H26*(1+'Summary. Assumptions. Inputs'!$C$28)</f>
        <v>0</v>
      </c>
      <c r="V26" s="340">
        <f>I26*(1+'Summary. Assumptions. Inputs'!$C$28)</f>
        <v>0</v>
      </c>
      <c r="W26" s="340">
        <f>J26*(1+'Summary. Assumptions. Inputs'!$C$28)</f>
        <v>0</v>
      </c>
      <c r="X26" s="340">
        <f>K26*(1+'Summary. Assumptions. Inputs'!$C$28)</f>
        <v>0</v>
      </c>
      <c r="Y26" s="340">
        <f>L26*(1+'Summary. Assumptions. Inputs'!$C$28)</f>
        <v>0</v>
      </c>
      <c r="Z26" s="340">
        <f>M26*(1+'Summary. Assumptions. Inputs'!$C$28)</f>
        <v>0</v>
      </c>
      <c r="AA26" s="340">
        <f>N26*(1+'Summary. Assumptions. Inputs'!$C$28)</f>
        <v>0</v>
      </c>
      <c r="AB26" s="340">
        <f>O26*(1+'Summary. Assumptions. Inputs'!$C$28)</f>
        <v>0</v>
      </c>
      <c r="AC26" s="345">
        <f t="shared" si="19"/>
        <v>0</v>
      </c>
      <c r="AD26" s="340">
        <f>Q26*(1+'Summary. Assumptions. Inputs'!$C$28)</f>
        <v>0</v>
      </c>
      <c r="AE26" s="340">
        <f>R26*(1+'Summary. Assumptions. Inputs'!$C$28)</f>
        <v>0</v>
      </c>
      <c r="AF26" s="340">
        <f>S26*(1+'Summary. Assumptions. Inputs'!$C$28)</f>
        <v>0</v>
      </c>
      <c r="AG26" s="340">
        <f>T26*(1+'Summary. Assumptions. Inputs'!$C$28)</f>
        <v>0</v>
      </c>
      <c r="AH26" s="340">
        <f>U26*(1+'Summary. Assumptions. Inputs'!$C$28)</f>
        <v>0</v>
      </c>
      <c r="AI26" s="340">
        <f>V26*(1+'Summary. Assumptions. Inputs'!$C$28)</f>
        <v>0</v>
      </c>
      <c r="AJ26" s="340">
        <f>W26*(1+'Summary. Assumptions. Inputs'!$C$28)</f>
        <v>0</v>
      </c>
      <c r="AK26" s="340">
        <f>X26*(1+'Summary. Assumptions. Inputs'!$C$28)</f>
        <v>0</v>
      </c>
      <c r="AL26" s="340">
        <f>Y26*(1+'Summary. Assumptions. Inputs'!$C$28)</f>
        <v>0</v>
      </c>
      <c r="AM26" s="340">
        <f>Z26*(1+'Summary. Assumptions. Inputs'!$C$28)</f>
        <v>0</v>
      </c>
      <c r="AN26" s="340">
        <f>AA26*(1+'Summary. Assumptions. Inputs'!$C$28)</f>
        <v>0</v>
      </c>
      <c r="AO26" s="340">
        <f>AB26*(1+'Summary. Assumptions. Inputs'!$C$28)</f>
        <v>0</v>
      </c>
      <c r="AP26" s="345">
        <f t="shared" si="21"/>
        <v>0</v>
      </c>
      <c r="AQ26" s="340">
        <f>AD26*(1+'Summary. Assumptions. Inputs'!$C$28)</f>
        <v>0</v>
      </c>
      <c r="AR26" s="340">
        <f>AE26*(1+'Summary. Assumptions. Inputs'!$C$28)</f>
        <v>0</v>
      </c>
      <c r="AS26" s="340">
        <f>AF26*(1+'Summary. Assumptions. Inputs'!$C$28)</f>
        <v>0</v>
      </c>
      <c r="AT26" s="340">
        <f>AG26*(1+'Summary. Assumptions. Inputs'!$C$28)</f>
        <v>0</v>
      </c>
      <c r="AU26" s="340">
        <f>AH26*(1+'Summary. Assumptions. Inputs'!$C$28)</f>
        <v>0</v>
      </c>
      <c r="AV26" s="340">
        <f>AI26*(1+'Summary. Assumptions. Inputs'!$C$28)</f>
        <v>0</v>
      </c>
      <c r="AW26" s="340">
        <f>AJ26*(1+'Summary. Assumptions. Inputs'!$C$28)</f>
        <v>0</v>
      </c>
      <c r="AX26" s="340">
        <f>AK26*(1+'Summary. Assumptions. Inputs'!$C$28)</f>
        <v>0</v>
      </c>
      <c r="AY26" s="340">
        <f>AL26*(1+'Summary. Assumptions. Inputs'!$C$28)</f>
        <v>0</v>
      </c>
      <c r="AZ26" s="340">
        <f>AM26*(1+'Summary. Assumptions. Inputs'!$C$28)</f>
        <v>0</v>
      </c>
      <c r="BA26" s="340">
        <f>AN26*(1+'Summary. Assumptions. Inputs'!$C$28)</f>
        <v>0</v>
      </c>
      <c r="BB26" s="340">
        <f>AO26*(1+'Summary. Assumptions. Inputs'!$C$28)</f>
        <v>0</v>
      </c>
      <c r="BC26" s="345">
        <f t="shared" si="23"/>
        <v>0</v>
      </c>
      <c r="BD26" s="340">
        <f>AQ26*(1+'Summary. Assumptions. Inputs'!$C$28)</f>
        <v>0</v>
      </c>
      <c r="BE26" s="340">
        <f>AR26*(1+'Summary. Assumptions. Inputs'!$C$28)</f>
        <v>0</v>
      </c>
      <c r="BF26" s="340">
        <f>AS26*(1+'Summary. Assumptions. Inputs'!$C$28)</f>
        <v>0</v>
      </c>
      <c r="BG26" s="340">
        <f>AT26*(1+'Summary. Assumptions. Inputs'!$C$28)</f>
        <v>0</v>
      </c>
      <c r="BH26" s="340">
        <f>AU26*(1+'Summary. Assumptions. Inputs'!$C$28)</f>
        <v>0</v>
      </c>
      <c r="BI26" s="340">
        <f>AV26*(1+'Summary. Assumptions. Inputs'!$C$28)</f>
        <v>0</v>
      </c>
      <c r="BJ26" s="340">
        <f>AW26*(1+'Summary. Assumptions. Inputs'!$C$28)</f>
        <v>0</v>
      </c>
      <c r="BK26" s="340">
        <f>AX26*(1+'Summary. Assumptions. Inputs'!$C$28)</f>
        <v>0</v>
      </c>
      <c r="BL26" s="340">
        <f>AY26*(1+'Summary. Assumptions. Inputs'!$C$28)</f>
        <v>0</v>
      </c>
      <c r="BM26" s="340">
        <f>AZ26*(1+'Summary. Assumptions. Inputs'!$C$28)</f>
        <v>0</v>
      </c>
      <c r="BN26" s="340">
        <f>BA26*(1+'Summary. Assumptions. Inputs'!$C$28)</f>
        <v>0</v>
      </c>
      <c r="BO26" s="340">
        <f>BB26*(1+'Summary. Assumptions. Inputs'!$C$28)</f>
        <v>0</v>
      </c>
      <c r="BP26" s="345">
        <f t="shared" si="25"/>
        <v>0</v>
      </c>
      <c r="BQ26" s="340">
        <f>BD26*(1+'Summary. Assumptions. Inputs'!$C$28)</f>
        <v>0</v>
      </c>
      <c r="BR26" s="340">
        <f>BE26*(1+'Summary. Assumptions. Inputs'!$C$28)</f>
        <v>0</v>
      </c>
      <c r="BS26" s="340">
        <f>BF26*(1+'Summary. Assumptions. Inputs'!$C$28)</f>
        <v>0</v>
      </c>
      <c r="BT26" s="340">
        <f>BG26*(1+'Summary. Assumptions. Inputs'!$C$28)</f>
        <v>0</v>
      </c>
      <c r="BU26" s="340">
        <f>BH26*(1+'Summary. Assumptions. Inputs'!$C$28)</f>
        <v>0</v>
      </c>
      <c r="BV26" s="340">
        <f>BI26*(1+'Summary. Assumptions. Inputs'!$C$28)</f>
        <v>0</v>
      </c>
      <c r="BW26" s="340">
        <f>BJ26*(1+'Summary. Assumptions. Inputs'!$C$28)</f>
        <v>0</v>
      </c>
      <c r="BX26" s="340">
        <f>BK26*(1+'Summary. Assumptions. Inputs'!$C$28)</f>
        <v>0</v>
      </c>
      <c r="BY26" s="340">
        <f>BL26*(1+'Summary. Assumptions. Inputs'!$C$28)</f>
        <v>0</v>
      </c>
      <c r="BZ26" s="340">
        <f>BM26*(1+'Summary. Assumptions. Inputs'!$C$28)</f>
        <v>0</v>
      </c>
      <c r="CA26" s="340">
        <f>BN26*(1+'Summary. Assumptions. Inputs'!$C$28)</f>
        <v>0</v>
      </c>
      <c r="CB26" s="340">
        <f>BO26*(1+'Summary. Assumptions. Inputs'!$C$28)</f>
        <v>0</v>
      </c>
      <c r="CC26" s="345">
        <f t="shared" si="27"/>
        <v>0</v>
      </c>
      <c r="CD26" s="340">
        <f>BQ26*(1+'Summary. Assumptions. Inputs'!$C$28)</f>
        <v>0</v>
      </c>
      <c r="CE26" s="340">
        <f>BR26*(1+'Summary. Assumptions. Inputs'!$C$28)</f>
        <v>0</v>
      </c>
      <c r="CF26" s="340">
        <f>BS26*(1+'Summary. Assumptions. Inputs'!$C$28)</f>
        <v>0</v>
      </c>
      <c r="CG26" s="340">
        <f>BT26*(1+'Summary. Assumptions. Inputs'!$C$28)</f>
        <v>0</v>
      </c>
      <c r="CH26" s="340">
        <f>BU26*(1+'Summary. Assumptions. Inputs'!$C$28)</f>
        <v>0</v>
      </c>
      <c r="CI26" s="340">
        <f>BV26*(1+'Summary. Assumptions. Inputs'!$C$28)</f>
        <v>0</v>
      </c>
      <c r="CJ26" s="340">
        <f>BW26*(1+'Summary. Assumptions. Inputs'!$C$28)</f>
        <v>0</v>
      </c>
      <c r="CK26" s="340">
        <f>BX26*(1+'Summary. Assumptions. Inputs'!$C$28)</f>
        <v>0</v>
      </c>
      <c r="CL26" s="340">
        <f>BY26*(1+'Summary. Assumptions. Inputs'!$C$28)</f>
        <v>0</v>
      </c>
      <c r="CM26" s="340">
        <f>BZ26*(1+'Summary. Assumptions. Inputs'!$C$28)</f>
        <v>0</v>
      </c>
      <c r="CN26" s="340">
        <f>CA26*(1+'Summary. Assumptions. Inputs'!$C$28)</f>
        <v>0</v>
      </c>
      <c r="CO26" s="340">
        <f>CB26*(1+'Summary. Assumptions. Inputs'!$C$28)</f>
        <v>0</v>
      </c>
      <c r="CP26" s="345">
        <f t="shared" si="29"/>
        <v>0</v>
      </c>
    </row>
    <row r="27" spans="1:94" hidden="1">
      <c r="A27" s="342">
        <f>'Summary. Assumptions. Inputs'!A54</f>
        <v>0</v>
      </c>
      <c r="B27" s="343">
        <f>'Summary. Assumptions. Inputs'!B54</f>
        <v>0</v>
      </c>
      <c r="C27" s="343"/>
      <c r="D27" s="340"/>
      <c r="E27" s="340"/>
      <c r="F27" s="340"/>
      <c r="G27" s="340"/>
      <c r="H27" s="340"/>
      <c r="I27" s="340"/>
      <c r="J27" s="340"/>
      <c r="K27" s="340"/>
      <c r="L27" s="340"/>
      <c r="M27" s="340"/>
      <c r="N27" s="340"/>
      <c r="O27" s="340"/>
      <c r="P27" s="343">
        <f t="shared" si="10"/>
        <v>0</v>
      </c>
      <c r="Q27" s="340">
        <f>D27*(1+'Summary. Assumptions. Inputs'!$C$28)</f>
        <v>0</v>
      </c>
      <c r="R27" s="340">
        <f>E27*(1+'Summary. Assumptions. Inputs'!$C$28)</f>
        <v>0</v>
      </c>
      <c r="S27" s="340">
        <f>F27*(1+'Summary. Assumptions. Inputs'!$C$28)</f>
        <v>0</v>
      </c>
      <c r="T27" s="340">
        <f>G27*(1+'Summary. Assumptions. Inputs'!$C$28)</f>
        <v>0</v>
      </c>
      <c r="U27" s="340">
        <f>H27*(1+'Summary. Assumptions. Inputs'!$C$28)</f>
        <v>0</v>
      </c>
      <c r="V27" s="340">
        <f>I27*(1+'Summary. Assumptions. Inputs'!$C$28)</f>
        <v>0</v>
      </c>
      <c r="W27" s="340">
        <f>J27*(1+'Summary. Assumptions. Inputs'!$C$28)</f>
        <v>0</v>
      </c>
      <c r="X27" s="340">
        <f>K27*(1+'Summary. Assumptions. Inputs'!$C$28)</f>
        <v>0</v>
      </c>
      <c r="Y27" s="340">
        <f>L27*(1+'Summary. Assumptions. Inputs'!$C$28)</f>
        <v>0</v>
      </c>
      <c r="Z27" s="340">
        <f>M27*(1+'Summary. Assumptions. Inputs'!$C$28)</f>
        <v>0</v>
      </c>
      <c r="AA27" s="340">
        <f>N27*(1+'Summary. Assumptions. Inputs'!$C$28)</f>
        <v>0</v>
      </c>
      <c r="AB27" s="340">
        <f>O27*(1+'Summary. Assumptions. Inputs'!$C$28)</f>
        <v>0</v>
      </c>
      <c r="AC27" s="343">
        <f t="shared" si="19"/>
        <v>0</v>
      </c>
      <c r="AD27" s="340">
        <f>Q27*(1+'Summary. Assumptions. Inputs'!$C$28)</f>
        <v>0</v>
      </c>
      <c r="AE27" s="340">
        <f>R27*(1+'Summary. Assumptions. Inputs'!$C$28)</f>
        <v>0</v>
      </c>
      <c r="AF27" s="340">
        <f>S27*(1+'Summary. Assumptions. Inputs'!$C$28)</f>
        <v>0</v>
      </c>
      <c r="AG27" s="340">
        <f>T27*(1+'Summary. Assumptions. Inputs'!$C$28)</f>
        <v>0</v>
      </c>
      <c r="AH27" s="340">
        <f>U27*(1+'Summary. Assumptions. Inputs'!$C$28)</f>
        <v>0</v>
      </c>
      <c r="AI27" s="340">
        <f>V27*(1+'Summary. Assumptions. Inputs'!$C$28)</f>
        <v>0</v>
      </c>
      <c r="AJ27" s="340">
        <f>W27*(1+'Summary. Assumptions. Inputs'!$C$28)</f>
        <v>0</v>
      </c>
      <c r="AK27" s="340">
        <f>X27*(1+'Summary. Assumptions. Inputs'!$C$28)</f>
        <v>0</v>
      </c>
      <c r="AL27" s="340">
        <f>Y27*(1+'Summary. Assumptions. Inputs'!$C$28)</f>
        <v>0</v>
      </c>
      <c r="AM27" s="340">
        <f>Z27*(1+'Summary. Assumptions. Inputs'!$C$28)</f>
        <v>0</v>
      </c>
      <c r="AN27" s="340">
        <f>AA27*(1+'Summary. Assumptions. Inputs'!$C$28)</f>
        <v>0</v>
      </c>
      <c r="AO27" s="340">
        <f>AB27*(1+'Summary. Assumptions. Inputs'!$C$28)</f>
        <v>0</v>
      </c>
      <c r="AP27" s="343">
        <f t="shared" si="21"/>
        <v>0</v>
      </c>
      <c r="AQ27" s="340">
        <f>AD27*(1+'Summary. Assumptions. Inputs'!$C$28)</f>
        <v>0</v>
      </c>
      <c r="AR27" s="340">
        <f>AE27*(1+'Summary. Assumptions. Inputs'!$C$28)</f>
        <v>0</v>
      </c>
      <c r="AS27" s="340">
        <f>AF27*(1+'Summary. Assumptions. Inputs'!$C$28)</f>
        <v>0</v>
      </c>
      <c r="AT27" s="340">
        <f>AG27*(1+'Summary. Assumptions. Inputs'!$C$28)</f>
        <v>0</v>
      </c>
      <c r="AU27" s="340">
        <f>AH27*(1+'Summary. Assumptions. Inputs'!$C$28)</f>
        <v>0</v>
      </c>
      <c r="AV27" s="340">
        <f>AI27*(1+'Summary. Assumptions. Inputs'!$C$28)</f>
        <v>0</v>
      </c>
      <c r="AW27" s="340">
        <f>AJ27*(1+'Summary. Assumptions. Inputs'!$C$28)</f>
        <v>0</v>
      </c>
      <c r="AX27" s="340">
        <f>AK27*(1+'Summary. Assumptions. Inputs'!$C$28)</f>
        <v>0</v>
      </c>
      <c r="AY27" s="340">
        <f>AL27*(1+'Summary. Assumptions. Inputs'!$C$28)</f>
        <v>0</v>
      </c>
      <c r="AZ27" s="340">
        <f>AM27*(1+'Summary. Assumptions. Inputs'!$C$28)</f>
        <v>0</v>
      </c>
      <c r="BA27" s="340">
        <f>AN27*(1+'Summary. Assumptions. Inputs'!$C$28)</f>
        <v>0</v>
      </c>
      <c r="BB27" s="340">
        <f>AO27*(1+'Summary. Assumptions. Inputs'!$C$28)</f>
        <v>0</v>
      </c>
      <c r="BC27" s="343">
        <f t="shared" si="23"/>
        <v>0</v>
      </c>
      <c r="BD27" s="340">
        <f>AQ27*(1+'Summary. Assumptions. Inputs'!$C$28)</f>
        <v>0</v>
      </c>
      <c r="BE27" s="340">
        <f>AR27*(1+'Summary. Assumptions. Inputs'!$C$28)</f>
        <v>0</v>
      </c>
      <c r="BF27" s="340">
        <f>AS27*(1+'Summary. Assumptions. Inputs'!$C$28)</f>
        <v>0</v>
      </c>
      <c r="BG27" s="340">
        <f>AT27*(1+'Summary. Assumptions. Inputs'!$C$28)</f>
        <v>0</v>
      </c>
      <c r="BH27" s="340">
        <f>AU27*(1+'Summary. Assumptions. Inputs'!$C$28)</f>
        <v>0</v>
      </c>
      <c r="BI27" s="340">
        <f>AV27*(1+'Summary. Assumptions. Inputs'!$C$28)</f>
        <v>0</v>
      </c>
      <c r="BJ27" s="340">
        <f>AW27*(1+'Summary. Assumptions. Inputs'!$C$28)</f>
        <v>0</v>
      </c>
      <c r="BK27" s="340">
        <f>AX27*(1+'Summary. Assumptions. Inputs'!$C$28)</f>
        <v>0</v>
      </c>
      <c r="BL27" s="340">
        <f>AY27*(1+'Summary. Assumptions. Inputs'!$C$28)</f>
        <v>0</v>
      </c>
      <c r="BM27" s="340">
        <f>AZ27*(1+'Summary. Assumptions. Inputs'!$C$28)</f>
        <v>0</v>
      </c>
      <c r="BN27" s="340">
        <f>BA27*(1+'Summary. Assumptions. Inputs'!$C$28)</f>
        <v>0</v>
      </c>
      <c r="BO27" s="340">
        <f>BB27*(1+'Summary. Assumptions. Inputs'!$C$28)</f>
        <v>0</v>
      </c>
      <c r="BP27" s="343">
        <f t="shared" si="25"/>
        <v>0</v>
      </c>
      <c r="BQ27" s="340">
        <f>BD27*(1+'Summary. Assumptions. Inputs'!$C$28)</f>
        <v>0</v>
      </c>
      <c r="BR27" s="340">
        <f>BE27*(1+'Summary. Assumptions. Inputs'!$C$28)</f>
        <v>0</v>
      </c>
      <c r="BS27" s="340">
        <f>BF27*(1+'Summary. Assumptions. Inputs'!$C$28)</f>
        <v>0</v>
      </c>
      <c r="BT27" s="340">
        <f>BG27*(1+'Summary. Assumptions. Inputs'!$C$28)</f>
        <v>0</v>
      </c>
      <c r="BU27" s="340">
        <f>BH27*(1+'Summary. Assumptions. Inputs'!$C$28)</f>
        <v>0</v>
      </c>
      <c r="BV27" s="340">
        <f>BI27*(1+'Summary. Assumptions. Inputs'!$C$28)</f>
        <v>0</v>
      </c>
      <c r="BW27" s="340">
        <f>BJ27*(1+'Summary. Assumptions. Inputs'!$C$28)</f>
        <v>0</v>
      </c>
      <c r="BX27" s="340">
        <f>BK27*(1+'Summary. Assumptions. Inputs'!$C$28)</f>
        <v>0</v>
      </c>
      <c r="BY27" s="340">
        <f>BL27*(1+'Summary. Assumptions. Inputs'!$C$28)</f>
        <v>0</v>
      </c>
      <c r="BZ27" s="340">
        <f>BM27*(1+'Summary. Assumptions. Inputs'!$C$28)</f>
        <v>0</v>
      </c>
      <c r="CA27" s="340">
        <f>BN27*(1+'Summary. Assumptions. Inputs'!$C$28)</f>
        <v>0</v>
      </c>
      <c r="CB27" s="340">
        <f>BO27*(1+'Summary. Assumptions. Inputs'!$C$28)</f>
        <v>0</v>
      </c>
      <c r="CC27" s="343">
        <f t="shared" si="27"/>
        <v>0</v>
      </c>
      <c r="CD27" s="340">
        <f>BQ27*(1+'Summary. Assumptions. Inputs'!$C$28)</f>
        <v>0</v>
      </c>
      <c r="CE27" s="340">
        <f>BR27*(1+'Summary. Assumptions. Inputs'!$C$28)</f>
        <v>0</v>
      </c>
      <c r="CF27" s="340">
        <f>BS27*(1+'Summary. Assumptions. Inputs'!$C$28)</f>
        <v>0</v>
      </c>
      <c r="CG27" s="340">
        <f>BT27*(1+'Summary. Assumptions. Inputs'!$C$28)</f>
        <v>0</v>
      </c>
      <c r="CH27" s="340">
        <f>BU27*(1+'Summary. Assumptions. Inputs'!$C$28)</f>
        <v>0</v>
      </c>
      <c r="CI27" s="340">
        <f>BV27*(1+'Summary. Assumptions. Inputs'!$C$28)</f>
        <v>0</v>
      </c>
      <c r="CJ27" s="340">
        <f>BW27*(1+'Summary. Assumptions. Inputs'!$C$28)</f>
        <v>0</v>
      </c>
      <c r="CK27" s="340">
        <f>BX27*(1+'Summary. Assumptions. Inputs'!$C$28)</f>
        <v>0</v>
      </c>
      <c r="CL27" s="340">
        <f>BY27*(1+'Summary. Assumptions. Inputs'!$C$28)</f>
        <v>0</v>
      </c>
      <c r="CM27" s="340">
        <f>BZ27*(1+'Summary. Assumptions. Inputs'!$C$28)</f>
        <v>0</v>
      </c>
      <c r="CN27" s="340">
        <f>CA27*(1+'Summary. Assumptions. Inputs'!$C$28)</f>
        <v>0</v>
      </c>
      <c r="CO27" s="340">
        <f>CB27*(1+'Summary. Assumptions. Inputs'!$C$28)</f>
        <v>0</v>
      </c>
      <c r="CP27" s="343">
        <f t="shared" si="29"/>
        <v>0</v>
      </c>
    </row>
    <row r="28" spans="1:94" hidden="1">
      <c r="A28" s="344">
        <f>'Summary. Assumptions. Inputs'!A55</f>
        <v>0</v>
      </c>
      <c r="B28" s="345">
        <f>'Summary. Assumptions. Inputs'!B55</f>
        <v>0</v>
      </c>
      <c r="C28" s="345"/>
      <c r="D28" s="340"/>
      <c r="E28" s="340"/>
      <c r="F28" s="340"/>
      <c r="G28" s="340"/>
      <c r="H28" s="340"/>
      <c r="I28" s="340"/>
      <c r="J28" s="340"/>
      <c r="K28" s="340"/>
      <c r="L28" s="340"/>
      <c r="M28" s="340"/>
      <c r="N28" s="340"/>
      <c r="O28" s="340"/>
      <c r="P28" s="345">
        <f t="shared" si="10"/>
        <v>0</v>
      </c>
      <c r="Q28" s="340">
        <f>D28*(1+'Summary. Assumptions. Inputs'!$C$28)</f>
        <v>0</v>
      </c>
      <c r="R28" s="340">
        <f>E28*(1+'Summary. Assumptions. Inputs'!$C$28)</f>
        <v>0</v>
      </c>
      <c r="S28" s="340">
        <f>F28*(1+'Summary. Assumptions. Inputs'!$C$28)</f>
        <v>0</v>
      </c>
      <c r="T28" s="340">
        <f>G28*(1+'Summary. Assumptions. Inputs'!$C$28)</f>
        <v>0</v>
      </c>
      <c r="U28" s="340">
        <f>H28*(1+'Summary. Assumptions. Inputs'!$C$28)</f>
        <v>0</v>
      </c>
      <c r="V28" s="340">
        <f>I28*(1+'Summary. Assumptions. Inputs'!$C$28)</f>
        <v>0</v>
      </c>
      <c r="W28" s="340">
        <f>J28*(1+'Summary. Assumptions. Inputs'!$C$28)</f>
        <v>0</v>
      </c>
      <c r="X28" s="340">
        <f>K28*(1+'Summary. Assumptions. Inputs'!$C$28)</f>
        <v>0</v>
      </c>
      <c r="Y28" s="340">
        <f>L28*(1+'Summary. Assumptions. Inputs'!$C$28)</f>
        <v>0</v>
      </c>
      <c r="Z28" s="340">
        <f>M28*(1+'Summary. Assumptions. Inputs'!$C$28)</f>
        <v>0</v>
      </c>
      <c r="AA28" s="340">
        <f>N28*(1+'Summary. Assumptions. Inputs'!$C$28)</f>
        <v>0</v>
      </c>
      <c r="AB28" s="340">
        <f>O28*(1+'Summary. Assumptions. Inputs'!$C$28)</f>
        <v>0</v>
      </c>
      <c r="AC28" s="345">
        <f t="shared" si="19"/>
        <v>0</v>
      </c>
      <c r="AD28" s="340">
        <f>Q28*(1+'Summary. Assumptions. Inputs'!$C$28)</f>
        <v>0</v>
      </c>
      <c r="AE28" s="340">
        <f>R28*(1+'Summary. Assumptions. Inputs'!$C$28)</f>
        <v>0</v>
      </c>
      <c r="AF28" s="340">
        <f>S28*(1+'Summary. Assumptions. Inputs'!$C$28)</f>
        <v>0</v>
      </c>
      <c r="AG28" s="340">
        <f>T28*(1+'Summary. Assumptions. Inputs'!$C$28)</f>
        <v>0</v>
      </c>
      <c r="AH28" s="340">
        <f>U28*(1+'Summary. Assumptions. Inputs'!$C$28)</f>
        <v>0</v>
      </c>
      <c r="AI28" s="340">
        <f>V28*(1+'Summary. Assumptions. Inputs'!$C$28)</f>
        <v>0</v>
      </c>
      <c r="AJ28" s="340">
        <f>W28*(1+'Summary. Assumptions. Inputs'!$C$28)</f>
        <v>0</v>
      </c>
      <c r="AK28" s="340">
        <f>X28*(1+'Summary. Assumptions. Inputs'!$C$28)</f>
        <v>0</v>
      </c>
      <c r="AL28" s="340">
        <f>Y28*(1+'Summary. Assumptions. Inputs'!$C$28)</f>
        <v>0</v>
      </c>
      <c r="AM28" s="340">
        <f>Z28*(1+'Summary. Assumptions. Inputs'!$C$28)</f>
        <v>0</v>
      </c>
      <c r="AN28" s="340">
        <f>AA28*(1+'Summary. Assumptions. Inputs'!$C$28)</f>
        <v>0</v>
      </c>
      <c r="AO28" s="340">
        <f>AB28*(1+'Summary. Assumptions. Inputs'!$C$28)</f>
        <v>0</v>
      </c>
      <c r="AP28" s="345">
        <f t="shared" si="21"/>
        <v>0</v>
      </c>
      <c r="AQ28" s="340">
        <f>AD28*(1+'Summary. Assumptions. Inputs'!$C$28)</f>
        <v>0</v>
      </c>
      <c r="AR28" s="340">
        <f>AE28*(1+'Summary. Assumptions. Inputs'!$C$28)</f>
        <v>0</v>
      </c>
      <c r="AS28" s="340">
        <f>AF28*(1+'Summary. Assumptions. Inputs'!$C$28)</f>
        <v>0</v>
      </c>
      <c r="AT28" s="340">
        <f>AG28*(1+'Summary. Assumptions. Inputs'!$C$28)</f>
        <v>0</v>
      </c>
      <c r="AU28" s="340">
        <f>AH28*(1+'Summary. Assumptions. Inputs'!$C$28)</f>
        <v>0</v>
      </c>
      <c r="AV28" s="340">
        <f>AI28*(1+'Summary. Assumptions. Inputs'!$C$28)</f>
        <v>0</v>
      </c>
      <c r="AW28" s="340">
        <f>AJ28*(1+'Summary. Assumptions. Inputs'!$C$28)</f>
        <v>0</v>
      </c>
      <c r="AX28" s="340">
        <f>AK28*(1+'Summary. Assumptions. Inputs'!$C$28)</f>
        <v>0</v>
      </c>
      <c r="AY28" s="340">
        <f>AL28*(1+'Summary. Assumptions. Inputs'!$C$28)</f>
        <v>0</v>
      </c>
      <c r="AZ28" s="340">
        <f>AM28*(1+'Summary. Assumptions. Inputs'!$C$28)</f>
        <v>0</v>
      </c>
      <c r="BA28" s="340">
        <f>AN28*(1+'Summary. Assumptions. Inputs'!$C$28)</f>
        <v>0</v>
      </c>
      <c r="BB28" s="340">
        <f>AO28*(1+'Summary. Assumptions. Inputs'!$C$28)</f>
        <v>0</v>
      </c>
      <c r="BC28" s="345">
        <f t="shared" si="23"/>
        <v>0</v>
      </c>
      <c r="BD28" s="340">
        <f>AQ28*(1+'Summary. Assumptions. Inputs'!$C$28)</f>
        <v>0</v>
      </c>
      <c r="BE28" s="340">
        <f>AR28*(1+'Summary. Assumptions. Inputs'!$C$28)</f>
        <v>0</v>
      </c>
      <c r="BF28" s="340">
        <f>AS28*(1+'Summary. Assumptions. Inputs'!$C$28)</f>
        <v>0</v>
      </c>
      <c r="BG28" s="340">
        <f>AT28*(1+'Summary. Assumptions. Inputs'!$C$28)</f>
        <v>0</v>
      </c>
      <c r="BH28" s="340">
        <f>AU28*(1+'Summary. Assumptions. Inputs'!$C$28)</f>
        <v>0</v>
      </c>
      <c r="BI28" s="340">
        <f>AV28*(1+'Summary. Assumptions. Inputs'!$C$28)</f>
        <v>0</v>
      </c>
      <c r="BJ28" s="340">
        <f>AW28*(1+'Summary. Assumptions. Inputs'!$C$28)</f>
        <v>0</v>
      </c>
      <c r="BK28" s="340">
        <f>AX28*(1+'Summary. Assumptions. Inputs'!$C$28)</f>
        <v>0</v>
      </c>
      <c r="BL28" s="340">
        <f>AY28*(1+'Summary. Assumptions. Inputs'!$C$28)</f>
        <v>0</v>
      </c>
      <c r="BM28" s="340">
        <f>AZ28*(1+'Summary. Assumptions. Inputs'!$C$28)</f>
        <v>0</v>
      </c>
      <c r="BN28" s="340">
        <f>BA28*(1+'Summary. Assumptions. Inputs'!$C$28)</f>
        <v>0</v>
      </c>
      <c r="BO28" s="340">
        <f>BB28*(1+'Summary. Assumptions. Inputs'!$C$28)</f>
        <v>0</v>
      </c>
      <c r="BP28" s="345">
        <f t="shared" si="25"/>
        <v>0</v>
      </c>
      <c r="BQ28" s="340">
        <f>BD28*(1+'Summary. Assumptions. Inputs'!$C$28)</f>
        <v>0</v>
      </c>
      <c r="BR28" s="340">
        <f>BE28*(1+'Summary. Assumptions. Inputs'!$C$28)</f>
        <v>0</v>
      </c>
      <c r="BS28" s="340">
        <f>BF28*(1+'Summary. Assumptions. Inputs'!$C$28)</f>
        <v>0</v>
      </c>
      <c r="BT28" s="340">
        <f>BG28*(1+'Summary. Assumptions. Inputs'!$C$28)</f>
        <v>0</v>
      </c>
      <c r="BU28" s="340">
        <f>BH28*(1+'Summary. Assumptions. Inputs'!$C$28)</f>
        <v>0</v>
      </c>
      <c r="BV28" s="340">
        <f>BI28*(1+'Summary. Assumptions. Inputs'!$C$28)</f>
        <v>0</v>
      </c>
      <c r="BW28" s="340">
        <f>BJ28*(1+'Summary. Assumptions. Inputs'!$C$28)</f>
        <v>0</v>
      </c>
      <c r="BX28" s="340">
        <f>BK28*(1+'Summary. Assumptions. Inputs'!$C$28)</f>
        <v>0</v>
      </c>
      <c r="BY28" s="340">
        <f>BL28*(1+'Summary. Assumptions. Inputs'!$C$28)</f>
        <v>0</v>
      </c>
      <c r="BZ28" s="340">
        <f>BM28*(1+'Summary. Assumptions. Inputs'!$C$28)</f>
        <v>0</v>
      </c>
      <c r="CA28" s="340">
        <f>BN28*(1+'Summary. Assumptions. Inputs'!$C$28)</f>
        <v>0</v>
      </c>
      <c r="CB28" s="340">
        <f>BO28*(1+'Summary. Assumptions. Inputs'!$C$28)</f>
        <v>0</v>
      </c>
      <c r="CC28" s="345">
        <f t="shared" si="27"/>
        <v>0</v>
      </c>
      <c r="CD28" s="340">
        <f>BQ28*(1+'Summary. Assumptions. Inputs'!$C$28)</f>
        <v>0</v>
      </c>
      <c r="CE28" s="340">
        <f>BR28*(1+'Summary. Assumptions. Inputs'!$C$28)</f>
        <v>0</v>
      </c>
      <c r="CF28" s="340">
        <f>BS28*(1+'Summary. Assumptions. Inputs'!$C$28)</f>
        <v>0</v>
      </c>
      <c r="CG28" s="340">
        <f>BT28*(1+'Summary. Assumptions. Inputs'!$C$28)</f>
        <v>0</v>
      </c>
      <c r="CH28" s="340">
        <f>BU28*(1+'Summary. Assumptions. Inputs'!$C$28)</f>
        <v>0</v>
      </c>
      <c r="CI28" s="340">
        <f>BV28*(1+'Summary. Assumptions. Inputs'!$C$28)</f>
        <v>0</v>
      </c>
      <c r="CJ28" s="340">
        <f>BW28*(1+'Summary. Assumptions. Inputs'!$C$28)</f>
        <v>0</v>
      </c>
      <c r="CK28" s="340">
        <f>BX28*(1+'Summary. Assumptions. Inputs'!$C$28)</f>
        <v>0</v>
      </c>
      <c r="CL28" s="340">
        <f>BY28*(1+'Summary. Assumptions. Inputs'!$C$28)</f>
        <v>0</v>
      </c>
      <c r="CM28" s="340">
        <f>BZ28*(1+'Summary. Assumptions. Inputs'!$C$28)</f>
        <v>0</v>
      </c>
      <c r="CN28" s="340">
        <f>CA28*(1+'Summary. Assumptions. Inputs'!$C$28)</f>
        <v>0</v>
      </c>
      <c r="CO28" s="340">
        <f>CB28*(1+'Summary. Assumptions. Inputs'!$C$28)</f>
        <v>0</v>
      </c>
      <c r="CP28" s="345">
        <f t="shared" si="29"/>
        <v>0</v>
      </c>
    </row>
    <row r="29" spans="1:94" hidden="1">
      <c r="A29" s="342">
        <f>'Summary. Assumptions. Inputs'!A56</f>
        <v>0</v>
      </c>
      <c r="B29" s="343">
        <f>'Summary. Assumptions. Inputs'!B56</f>
        <v>0</v>
      </c>
      <c r="C29" s="343"/>
      <c r="D29" s="340"/>
      <c r="E29" s="340"/>
      <c r="F29" s="340"/>
      <c r="G29" s="340"/>
      <c r="H29" s="340"/>
      <c r="I29" s="340"/>
      <c r="J29" s="340"/>
      <c r="K29" s="340"/>
      <c r="L29" s="340"/>
      <c r="M29" s="340"/>
      <c r="N29" s="340"/>
      <c r="O29" s="340"/>
      <c r="P29" s="343">
        <f t="shared" si="10"/>
        <v>0</v>
      </c>
      <c r="Q29" s="340">
        <f>D29*(1+'Summary. Assumptions. Inputs'!$C$28)</f>
        <v>0</v>
      </c>
      <c r="R29" s="340">
        <f>E29*(1+'Summary. Assumptions. Inputs'!$C$28)</f>
        <v>0</v>
      </c>
      <c r="S29" s="340">
        <f>F29*(1+'Summary. Assumptions. Inputs'!$C$28)</f>
        <v>0</v>
      </c>
      <c r="T29" s="340">
        <f>G29*(1+'Summary. Assumptions. Inputs'!$C$28)</f>
        <v>0</v>
      </c>
      <c r="U29" s="340">
        <f>H29*(1+'Summary. Assumptions. Inputs'!$C$28)</f>
        <v>0</v>
      </c>
      <c r="V29" s="340">
        <f>I29*(1+'Summary. Assumptions. Inputs'!$C$28)</f>
        <v>0</v>
      </c>
      <c r="W29" s="340">
        <f>J29*(1+'Summary. Assumptions. Inputs'!$C$28)</f>
        <v>0</v>
      </c>
      <c r="X29" s="340">
        <f>K29*(1+'Summary. Assumptions. Inputs'!$C$28)</f>
        <v>0</v>
      </c>
      <c r="Y29" s="340">
        <f>L29*(1+'Summary. Assumptions. Inputs'!$C$28)</f>
        <v>0</v>
      </c>
      <c r="Z29" s="340">
        <f>M29*(1+'Summary. Assumptions. Inputs'!$C$28)</f>
        <v>0</v>
      </c>
      <c r="AA29" s="340">
        <f>N29*(1+'Summary. Assumptions. Inputs'!$C$28)</f>
        <v>0</v>
      </c>
      <c r="AB29" s="340">
        <f>O29*(1+'Summary. Assumptions. Inputs'!$C$28)</f>
        <v>0</v>
      </c>
      <c r="AC29" s="343">
        <f t="shared" si="19"/>
        <v>0</v>
      </c>
      <c r="AD29" s="340">
        <f>Q29*(1+'Summary. Assumptions. Inputs'!$C$28)</f>
        <v>0</v>
      </c>
      <c r="AE29" s="340">
        <f>R29*(1+'Summary. Assumptions. Inputs'!$C$28)</f>
        <v>0</v>
      </c>
      <c r="AF29" s="340">
        <f>S29*(1+'Summary. Assumptions. Inputs'!$C$28)</f>
        <v>0</v>
      </c>
      <c r="AG29" s="340">
        <f>T29*(1+'Summary. Assumptions. Inputs'!$C$28)</f>
        <v>0</v>
      </c>
      <c r="AH29" s="340">
        <f>U29*(1+'Summary. Assumptions. Inputs'!$C$28)</f>
        <v>0</v>
      </c>
      <c r="AI29" s="340">
        <f>V29*(1+'Summary. Assumptions. Inputs'!$C$28)</f>
        <v>0</v>
      </c>
      <c r="AJ29" s="340">
        <f>W29*(1+'Summary. Assumptions. Inputs'!$C$28)</f>
        <v>0</v>
      </c>
      <c r="AK29" s="340">
        <f>X29*(1+'Summary. Assumptions. Inputs'!$C$28)</f>
        <v>0</v>
      </c>
      <c r="AL29" s="340">
        <f>Y29*(1+'Summary. Assumptions. Inputs'!$C$28)</f>
        <v>0</v>
      </c>
      <c r="AM29" s="340">
        <f>Z29*(1+'Summary. Assumptions. Inputs'!$C$28)</f>
        <v>0</v>
      </c>
      <c r="AN29" s="340">
        <f>AA29*(1+'Summary. Assumptions. Inputs'!$C$28)</f>
        <v>0</v>
      </c>
      <c r="AO29" s="340">
        <f>AB29*(1+'Summary. Assumptions. Inputs'!$C$28)</f>
        <v>0</v>
      </c>
      <c r="AP29" s="343">
        <f t="shared" si="21"/>
        <v>0</v>
      </c>
      <c r="AQ29" s="340">
        <f>AD29*(1+'Summary. Assumptions. Inputs'!$C$28)</f>
        <v>0</v>
      </c>
      <c r="AR29" s="340">
        <f>AE29*(1+'Summary. Assumptions. Inputs'!$C$28)</f>
        <v>0</v>
      </c>
      <c r="AS29" s="340">
        <f>AF29*(1+'Summary. Assumptions. Inputs'!$C$28)</f>
        <v>0</v>
      </c>
      <c r="AT29" s="340">
        <f>AG29*(1+'Summary. Assumptions. Inputs'!$C$28)</f>
        <v>0</v>
      </c>
      <c r="AU29" s="340">
        <f>AH29*(1+'Summary. Assumptions. Inputs'!$C$28)</f>
        <v>0</v>
      </c>
      <c r="AV29" s="340">
        <f>AI29*(1+'Summary. Assumptions. Inputs'!$C$28)</f>
        <v>0</v>
      </c>
      <c r="AW29" s="340">
        <f>AJ29*(1+'Summary. Assumptions. Inputs'!$C$28)</f>
        <v>0</v>
      </c>
      <c r="AX29" s="340">
        <f>AK29*(1+'Summary. Assumptions. Inputs'!$C$28)</f>
        <v>0</v>
      </c>
      <c r="AY29" s="340">
        <f>AL29*(1+'Summary. Assumptions. Inputs'!$C$28)</f>
        <v>0</v>
      </c>
      <c r="AZ29" s="340">
        <f>AM29*(1+'Summary. Assumptions. Inputs'!$C$28)</f>
        <v>0</v>
      </c>
      <c r="BA29" s="340">
        <f>AN29*(1+'Summary. Assumptions. Inputs'!$C$28)</f>
        <v>0</v>
      </c>
      <c r="BB29" s="340">
        <f>AO29*(1+'Summary. Assumptions. Inputs'!$C$28)</f>
        <v>0</v>
      </c>
      <c r="BC29" s="343">
        <f t="shared" si="23"/>
        <v>0</v>
      </c>
      <c r="BD29" s="340">
        <f>AQ29*(1+'Summary. Assumptions. Inputs'!$C$28)</f>
        <v>0</v>
      </c>
      <c r="BE29" s="340">
        <f>AR29*(1+'Summary. Assumptions. Inputs'!$C$28)</f>
        <v>0</v>
      </c>
      <c r="BF29" s="340">
        <f>AS29*(1+'Summary. Assumptions. Inputs'!$C$28)</f>
        <v>0</v>
      </c>
      <c r="BG29" s="340">
        <f>AT29*(1+'Summary. Assumptions. Inputs'!$C$28)</f>
        <v>0</v>
      </c>
      <c r="BH29" s="340">
        <f>AU29*(1+'Summary. Assumptions. Inputs'!$C$28)</f>
        <v>0</v>
      </c>
      <c r="BI29" s="340">
        <f>AV29*(1+'Summary. Assumptions. Inputs'!$C$28)</f>
        <v>0</v>
      </c>
      <c r="BJ29" s="340">
        <f>AW29*(1+'Summary. Assumptions. Inputs'!$C$28)</f>
        <v>0</v>
      </c>
      <c r="BK29" s="340">
        <f>AX29*(1+'Summary. Assumptions. Inputs'!$C$28)</f>
        <v>0</v>
      </c>
      <c r="BL29" s="340">
        <f>AY29*(1+'Summary. Assumptions. Inputs'!$C$28)</f>
        <v>0</v>
      </c>
      <c r="BM29" s="340">
        <f>AZ29*(1+'Summary. Assumptions. Inputs'!$C$28)</f>
        <v>0</v>
      </c>
      <c r="BN29" s="340">
        <f>BA29*(1+'Summary. Assumptions. Inputs'!$C$28)</f>
        <v>0</v>
      </c>
      <c r="BO29" s="340">
        <f>BB29*(1+'Summary. Assumptions. Inputs'!$C$28)</f>
        <v>0</v>
      </c>
      <c r="BP29" s="343">
        <f t="shared" si="25"/>
        <v>0</v>
      </c>
      <c r="BQ29" s="340">
        <f>BD29*(1+'Summary. Assumptions. Inputs'!$C$28)</f>
        <v>0</v>
      </c>
      <c r="BR29" s="340">
        <f>BE29*(1+'Summary. Assumptions. Inputs'!$C$28)</f>
        <v>0</v>
      </c>
      <c r="BS29" s="340">
        <f>BF29*(1+'Summary. Assumptions. Inputs'!$C$28)</f>
        <v>0</v>
      </c>
      <c r="BT29" s="340">
        <f>BG29*(1+'Summary. Assumptions. Inputs'!$C$28)</f>
        <v>0</v>
      </c>
      <c r="BU29" s="340">
        <f>BH29*(1+'Summary. Assumptions. Inputs'!$C$28)</f>
        <v>0</v>
      </c>
      <c r="BV29" s="340">
        <f>BI29*(1+'Summary. Assumptions. Inputs'!$C$28)</f>
        <v>0</v>
      </c>
      <c r="BW29" s="340">
        <f>BJ29*(1+'Summary. Assumptions. Inputs'!$C$28)</f>
        <v>0</v>
      </c>
      <c r="BX29" s="340">
        <f>BK29*(1+'Summary. Assumptions. Inputs'!$C$28)</f>
        <v>0</v>
      </c>
      <c r="BY29" s="340">
        <f>BL29*(1+'Summary. Assumptions. Inputs'!$C$28)</f>
        <v>0</v>
      </c>
      <c r="BZ29" s="340">
        <f>BM29*(1+'Summary. Assumptions. Inputs'!$C$28)</f>
        <v>0</v>
      </c>
      <c r="CA29" s="340">
        <f>BN29*(1+'Summary. Assumptions. Inputs'!$C$28)</f>
        <v>0</v>
      </c>
      <c r="CB29" s="340">
        <f>BO29*(1+'Summary. Assumptions. Inputs'!$C$28)</f>
        <v>0</v>
      </c>
      <c r="CC29" s="343">
        <f t="shared" si="27"/>
        <v>0</v>
      </c>
      <c r="CD29" s="340">
        <f>BQ29*(1+'Summary. Assumptions. Inputs'!$C$28)</f>
        <v>0</v>
      </c>
      <c r="CE29" s="340">
        <f>BR29*(1+'Summary. Assumptions. Inputs'!$C$28)</f>
        <v>0</v>
      </c>
      <c r="CF29" s="340">
        <f>BS29*(1+'Summary. Assumptions. Inputs'!$C$28)</f>
        <v>0</v>
      </c>
      <c r="CG29" s="340">
        <f>BT29*(1+'Summary. Assumptions. Inputs'!$C$28)</f>
        <v>0</v>
      </c>
      <c r="CH29" s="340">
        <f>BU29*(1+'Summary. Assumptions. Inputs'!$C$28)</f>
        <v>0</v>
      </c>
      <c r="CI29" s="340">
        <f>BV29*(1+'Summary. Assumptions. Inputs'!$C$28)</f>
        <v>0</v>
      </c>
      <c r="CJ29" s="340">
        <f>BW29*(1+'Summary. Assumptions. Inputs'!$C$28)</f>
        <v>0</v>
      </c>
      <c r="CK29" s="340">
        <f>BX29*(1+'Summary. Assumptions. Inputs'!$C$28)</f>
        <v>0</v>
      </c>
      <c r="CL29" s="340">
        <f>BY29*(1+'Summary. Assumptions. Inputs'!$C$28)</f>
        <v>0</v>
      </c>
      <c r="CM29" s="340">
        <f>BZ29*(1+'Summary. Assumptions. Inputs'!$C$28)</f>
        <v>0</v>
      </c>
      <c r="CN29" s="340">
        <f>CA29*(1+'Summary. Assumptions. Inputs'!$C$28)</f>
        <v>0</v>
      </c>
      <c r="CO29" s="340">
        <f>CB29*(1+'Summary. Assumptions. Inputs'!$C$28)</f>
        <v>0</v>
      </c>
      <c r="CP29" s="343">
        <f t="shared" si="29"/>
        <v>0</v>
      </c>
    </row>
    <row r="30" spans="1:94" hidden="1">
      <c r="A30" s="344">
        <f>'Summary. Assumptions. Inputs'!A57</f>
        <v>0</v>
      </c>
      <c r="B30" s="345">
        <f>'Summary. Assumptions. Inputs'!B57</f>
        <v>0</v>
      </c>
      <c r="C30" s="345"/>
      <c r="D30" s="340"/>
      <c r="E30" s="340"/>
      <c r="F30" s="340"/>
      <c r="G30" s="340"/>
      <c r="H30" s="340"/>
      <c r="I30" s="340"/>
      <c r="J30" s="340"/>
      <c r="K30" s="340"/>
      <c r="L30" s="340"/>
      <c r="M30" s="340"/>
      <c r="N30" s="340"/>
      <c r="O30" s="340"/>
      <c r="P30" s="345">
        <f t="shared" si="10"/>
        <v>0</v>
      </c>
      <c r="Q30" s="340">
        <f>D30*(1+'Summary. Assumptions. Inputs'!$C$28)</f>
        <v>0</v>
      </c>
      <c r="R30" s="340">
        <f>E30*(1+'Summary. Assumptions. Inputs'!$C$28)</f>
        <v>0</v>
      </c>
      <c r="S30" s="340">
        <f>F30*(1+'Summary. Assumptions. Inputs'!$C$28)</f>
        <v>0</v>
      </c>
      <c r="T30" s="340">
        <f>G30*(1+'Summary. Assumptions. Inputs'!$C$28)</f>
        <v>0</v>
      </c>
      <c r="U30" s="340">
        <f>H30*(1+'Summary. Assumptions. Inputs'!$C$28)</f>
        <v>0</v>
      </c>
      <c r="V30" s="340">
        <f>I30*(1+'Summary. Assumptions. Inputs'!$C$28)</f>
        <v>0</v>
      </c>
      <c r="W30" s="340">
        <f>J30*(1+'Summary. Assumptions. Inputs'!$C$28)</f>
        <v>0</v>
      </c>
      <c r="X30" s="340">
        <f>K30*(1+'Summary. Assumptions. Inputs'!$C$28)</f>
        <v>0</v>
      </c>
      <c r="Y30" s="340">
        <f>L30*(1+'Summary. Assumptions. Inputs'!$C$28)</f>
        <v>0</v>
      </c>
      <c r="Z30" s="340">
        <f>M30*(1+'Summary. Assumptions. Inputs'!$C$28)</f>
        <v>0</v>
      </c>
      <c r="AA30" s="340">
        <f>N30*(1+'Summary. Assumptions. Inputs'!$C$28)</f>
        <v>0</v>
      </c>
      <c r="AB30" s="340">
        <f>O30*(1+'Summary. Assumptions. Inputs'!$C$28)</f>
        <v>0</v>
      </c>
      <c r="AC30" s="345">
        <f t="shared" si="19"/>
        <v>0</v>
      </c>
      <c r="AD30" s="340">
        <f>Q30*(1+'Summary. Assumptions. Inputs'!$C$28)</f>
        <v>0</v>
      </c>
      <c r="AE30" s="340">
        <f>R30*(1+'Summary. Assumptions. Inputs'!$C$28)</f>
        <v>0</v>
      </c>
      <c r="AF30" s="340">
        <f>S30*(1+'Summary. Assumptions. Inputs'!$C$28)</f>
        <v>0</v>
      </c>
      <c r="AG30" s="340">
        <f>T30*(1+'Summary. Assumptions. Inputs'!$C$28)</f>
        <v>0</v>
      </c>
      <c r="AH30" s="340">
        <f>U30*(1+'Summary. Assumptions. Inputs'!$C$28)</f>
        <v>0</v>
      </c>
      <c r="AI30" s="340">
        <f>V30*(1+'Summary. Assumptions. Inputs'!$C$28)</f>
        <v>0</v>
      </c>
      <c r="AJ30" s="340">
        <f>W30*(1+'Summary. Assumptions. Inputs'!$C$28)</f>
        <v>0</v>
      </c>
      <c r="AK30" s="340">
        <f>X30*(1+'Summary. Assumptions. Inputs'!$C$28)</f>
        <v>0</v>
      </c>
      <c r="AL30" s="340">
        <f>Y30*(1+'Summary. Assumptions. Inputs'!$C$28)</f>
        <v>0</v>
      </c>
      <c r="AM30" s="340">
        <f>Z30*(1+'Summary. Assumptions. Inputs'!$C$28)</f>
        <v>0</v>
      </c>
      <c r="AN30" s="340">
        <f>AA30*(1+'Summary. Assumptions. Inputs'!$C$28)</f>
        <v>0</v>
      </c>
      <c r="AO30" s="340">
        <f>AB30*(1+'Summary. Assumptions. Inputs'!$C$28)</f>
        <v>0</v>
      </c>
      <c r="AP30" s="345">
        <f t="shared" si="21"/>
        <v>0</v>
      </c>
      <c r="AQ30" s="340">
        <f>AD30*(1+'Summary. Assumptions. Inputs'!$C$28)</f>
        <v>0</v>
      </c>
      <c r="AR30" s="340">
        <f>AE30*(1+'Summary. Assumptions. Inputs'!$C$28)</f>
        <v>0</v>
      </c>
      <c r="AS30" s="340">
        <f>AF30*(1+'Summary. Assumptions. Inputs'!$C$28)</f>
        <v>0</v>
      </c>
      <c r="AT30" s="340">
        <f>AG30*(1+'Summary. Assumptions. Inputs'!$C$28)</f>
        <v>0</v>
      </c>
      <c r="AU30" s="340">
        <f>AH30*(1+'Summary. Assumptions. Inputs'!$C$28)</f>
        <v>0</v>
      </c>
      <c r="AV30" s="340">
        <f>AI30*(1+'Summary. Assumptions. Inputs'!$C$28)</f>
        <v>0</v>
      </c>
      <c r="AW30" s="340">
        <f>AJ30*(1+'Summary. Assumptions. Inputs'!$C$28)</f>
        <v>0</v>
      </c>
      <c r="AX30" s="340">
        <f>AK30*(1+'Summary. Assumptions. Inputs'!$C$28)</f>
        <v>0</v>
      </c>
      <c r="AY30" s="340">
        <f>AL30*(1+'Summary. Assumptions. Inputs'!$C$28)</f>
        <v>0</v>
      </c>
      <c r="AZ30" s="340">
        <f>AM30*(1+'Summary. Assumptions. Inputs'!$C$28)</f>
        <v>0</v>
      </c>
      <c r="BA30" s="340">
        <f>AN30*(1+'Summary. Assumptions. Inputs'!$C$28)</f>
        <v>0</v>
      </c>
      <c r="BB30" s="340">
        <f>AO30*(1+'Summary. Assumptions. Inputs'!$C$28)</f>
        <v>0</v>
      </c>
      <c r="BC30" s="345">
        <f t="shared" si="23"/>
        <v>0</v>
      </c>
      <c r="BD30" s="340">
        <f>AQ30*(1+'Summary. Assumptions. Inputs'!$C$28)</f>
        <v>0</v>
      </c>
      <c r="BE30" s="340">
        <f>AR30*(1+'Summary. Assumptions. Inputs'!$C$28)</f>
        <v>0</v>
      </c>
      <c r="BF30" s="340">
        <f>AS30*(1+'Summary. Assumptions. Inputs'!$C$28)</f>
        <v>0</v>
      </c>
      <c r="BG30" s="340">
        <f>AT30*(1+'Summary. Assumptions. Inputs'!$C$28)</f>
        <v>0</v>
      </c>
      <c r="BH30" s="340">
        <f>AU30*(1+'Summary. Assumptions. Inputs'!$C$28)</f>
        <v>0</v>
      </c>
      <c r="BI30" s="340">
        <f>AV30*(1+'Summary. Assumptions. Inputs'!$C$28)</f>
        <v>0</v>
      </c>
      <c r="BJ30" s="340">
        <f>AW30*(1+'Summary. Assumptions. Inputs'!$C$28)</f>
        <v>0</v>
      </c>
      <c r="BK30" s="340">
        <f>AX30*(1+'Summary. Assumptions. Inputs'!$C$28)</f>
        <v>0</v>
      </c>
      <c r="BL30" s="340">
        <f>AY30*(1+'Summary. Assumptions. Inputs'!$C$28)</f>
        <v>0</v>
      </c>
      <c r="BM30" s="340">
        <f>AZ30*(1+'Summary. Assumptions. Inputs'!$C$28)</f>
        <v>0</v>
      </c>
      <c r="BN30" s="340">
        <f>BA30*(1+'Summary. Assumptions. Inputs'!$C$28)</f>
        <v>0</v>
      </c>
      <c r="BO30" s="340">
        <f>BB30*(1+'Summary. Assumptions. Inputs'!$C$28)</f>
        <v>0</v>
      </c>
      <c r="BP30" s="345">
        <f t="shared" si="25"/>
        <v>0</v>
      </c>
      <c r="BQ30" s="340">
        <f>BD30*(1+'Summary. Assumptions. Inputs'!$C$28)</f>
        <v>0</v>
      </c>
      <c r="BR30" s="340">
        <f>BE30*(1+'Summary. Assumptions. Inputs'!$C$28)</f>
        <v>0</v>
      </c>
      <c r="BS30" s="340">
        <f>BF30*(1+'Summary. Assumptions. Inputs'!$C$28)</f>
        <v>0</v>
      </c>
      <c r="BT30" s="340">
        <f>BG30*(1+'Summary. Assumptions. Inputs'!$C$28)</f>
        <v>0</v>
      </c>
      <c r="BU30" s="340">
        <f>BH30*(1+'Summary. Assumptions. Inputs'!$C$28)</f>
        <v>0</v>
      </c>
      <c r="BV30" s="340">
        <f>BI30*(1+'Summary. Assumptions. Inputs'!$C$28)</f>
        <v>0</v>
      </c>
      <c r="BW30" s="340">
        <f>BJ30*(1+'Summary. Assumptions. Inputs'!$C$28)</f>
        <v>0</v>
      </c>
      <c r="BX30" s="340">
        <f>BK30*(1+'Summary. Assumptions. Inputs'!$C$28)</f>
        <v>0</v>
      </c>
      <c r="BY30" s="340">
        <f>BL30*(1+'Summary. Assumptions. Inputs'!$C$28)</f>
        <v>0</v>
      </c>
      <c r="BZ30" s="340">
        <f>BM30*(1+'Summary. Assumptions. Inputs'!$C$28)</f>
        <v>0</v>
      </c>
      <c r="CA30" s="340">
        <f>BN30*(1+'Summary. Assumptions. Inputs'!$C$28)</f>
        <v>0</v>
      </c>
      <c r="CB30" s="340">
        <f>BO30*(1+'Summary. Assumptions. Inputs'!$C$28)</f>
        <v>0</v>
      </c>
      <c r="CC30" s="345">
        <f t="shared" si="27"/>
        <v>0</v>
      </c>
      <c r="CD30" s="340">
        <f>BQ30*(1+'Summary. Assumptions. Inputs'!$C$28)</f>
        <v>0</v>
      </c>
      <c r="CE30" s="340">
        <f>BR30*(1+'Summary. Assumptions. Inputs'!$C$28)</f>
        <v>0</v>
      </c>
      <c r="CF30" s="340">
        <f>BS30*(1+'Summary. Assumptions. Inputs'!$C$28)</f>
        <v>0</v>
      </c>
      <c r="CG30" s="340">
        <f>BT30*(1+'Summary. Assumptions. Inputs'!$C$28)</f>
        <v>0</v>
      </c>
      <c r="CH30" s="340">
        <f>BU30*(1+'Summary. Assumptions. Inputs'!$C$28)</f>
        <v>0</v>
      </c>
      <c r="CI30" s="340">
        <f>BV30*(1+'Summary. Assumptions. Inputs'!$C$28)</f>
        <v>0</v>
      </c>
      <c r="CJ30" s="340">
        <f>BW30*(1+'Summary. Assumptions. Inputs'!$C$28)</f>
        <v>0</v>
      </c>
      <c r="CK30" s="340">
        <f>BX30*(1+'Summary. Assumptions. Inputs'!$C$28)</f>
        <v>0</v>
      </c>
      <c r="CL30" s="340">
        <f>BY30*(1+'Summary. Assumptions. Inputs'!$C$28)</f>
        <v>0</v>
      </c>
      <c r="CM30" s="340">
        <f>BZ30*(1+'Summary. Assumptions. Inputs'!$C$28)</f>
        <v>0</v>
      </c>
      <c r="CN30" s="340">
        <f>CA30*(1+'Summary. Assumptions. Inputs'!$C$28)</f>
        <v>0</v>
      </c>
      <c r="CO30" s="340">
        <f>CB30*(1+'Summary. Assumptions. Inputs'!$C$28)</f>
        <v>0</v>
      </c>
      <c r="CP30" s="345">
        <f t="shared" si="29"/>
        <v>0</v>
      </c>
    </row>
    <row r="31" spans="1:94" hidden="1">
      <c r="A31" s="342">
        <f>'Summary. Assumptions. Inputs'!A58</f>
        <v>0</v>
      </c>
      <c r="B31" s="343">
        <f>'Summary. Assumptions. Inputs'!B58</f>
        <v>0</v>
      </c>
      <c r="C31" s="343"/>
      <c r="D31" s="340"/>
      <c r="E31" s="340"/>
      <c r="F31" s="340"/>
      <c r="G31" s="340"/>
      <c r="H31" s="340"/>
      <c r="I31" s="340"/>
      <c r="J31" s="340"/>
      <c r="K31" s="340"/>
      <c r="L31" s="340"/>
      <c r="M31" s="340"/>
      <c r="N31" s="340"/>
      <c r="O31" s="340"/>
      <c r="P31" s="343">
        <f t="shared" si="10"/>
        <v>0</v>
      </c>
      <c r="Q31" s="340">
        <f>D31*(1+'Summary. Assumptions. Inputs'!$C$28)</f>
        <v>0</v>
      </c>
      <c r="R31" s="340">
        <f>E31*(1+'Summary. Assumptions. Inputs'!$C$28)</f>
        <v>0</v>
      </c>
      <c r="S31" s="340">
        <f>F31*(1+'Summary. Assumptions. Inputs'!$C$28)</f>
        <v>0</v>
      </c>
      <c r="T31" s="340">
        <f>G31*(1+'Summary. Assumptions. Inputs'!$C$28)</f>
        <v>0</v>
      </c>
      <c r="U31" s="340">
        <f>H31*(1+'Summary. Assumptions. Inputs'!$C$28)</f>
        <v>0</v>
      </c>
      <c r="V31" s="340">
        <f>I31*(1+'Summary. Assumptions. Inputs'!$C$28)</f>
        <v>0</v>
      </c>
      <c r="W31" s="340">
        <f>J31*(1+'Summary. Assumptions. Inputs'!$C$28)</f>
        <v>0</v>
      </c>
      <c r="X31" s="340">
        <f>K31*(1+'Summary. Assumptions. Inputs'!$C$28)</f>
        <v>0</v>
      </c>
      <c r="Y31" s="340">
        <f>L31*(1+'Summary. Assumptions. Inputs'!$C$28)</f>
        <v>0</v>
      </c>
      <c r="Z31" s="340">
        <f>M31*(1+'Summary. Assumptions. Inputs'!$C$28)</f>
        <v>0</v>
      </c>
      <c r="AA31" s="340">
        <f>N31*(1+'Summary. Assumptions. Inputs'!$C$28)</f>
        <v>0</v>
      </c>
      <c r="AB31" s="340">
        <f>O31*(1+'Summary. Assumptions. Inputs'!$C$28)</f>
        <v>0</v>
      </c>
      <c r="AC31" s="343">
        <f t="shared" si="19"/>
        <v>0</v>
      </c>
      <c r="AD31" s="340">
        <f>Q31*(1+'Summary. Assumptions. Inputs'!$C$28)</f>
        <v>0</v>
      </c>
      <c r="AE31" s="340">
        <f>R31*(1+'Summary. Assumptions. Inputs'!$C$28)</f>
        <v>0</v>
      </c>
      <c r="AF31" s="340">
        <f>S31*(1+'Summary. Assumptions. Inputs'!$C$28)</f>
        <v>0</v>
      </c>
      <c r="AG31" s="340">
        <f>T31*(1+'Summary. Assumptions. Inputs'!$C$28)</f>
        <v>0</v>
      </c>
      <c r="AH31" s="340">
        <f>U31*(1+'Summary. Assumptions. Inputs'!$C$28)</f>
        <v>0</v>
      </c>
      <c r="AI31" s="340">
        <f>V31*(1+'Summary. Assumptions. Inputs'!$C$28)</f>
        <v>0</v>
      </c>
      <c r="AJ31" s="340">
        <f>W31*(1+'Summary. Assumptions. Inputs'!$C$28)</f>
        <v>0</v>
      </c>
      <c r="AK31" s="340">
        <f>X31*(1+'Summary. Assumptions. Inputs'!$C$28)</f>
        <v>0</v>
      </c>
      <c r="AL31" s="340">
        <f>Y31*(1+'Summary. Assumptions. Inputs'!$C$28)</f>
        <v>0</v>
      </c>
      <c r="AM31" s="340">
        <f>Z31*(1+'Summary. Assumptions. Inputs'!$C$28)</f>
        <v>0</v>
      </c>
      <c r="AN31" s="340">
        <f>AA31*(1+'Summary. Assumptions. Inputs'!$C$28)</f>
        <v>0</v>
      </c>
      <c r="AO31" s="340">
        <f>AB31*(1+'Summary. Assumptions. Inputs'!$C$28)</f>
        <v>0</v>
      </c>
      <c r="AP31" s="343">
        <f t="shared" si="21"/>
        <v>0</v>
      </c>
      <c r="AQ31" s="340">
        <f>AD31*(1+'Summary. Assumptions. Inputs'!$C$28)</f>
        <v>0</v>
      </c>
      <c r="AR31" s="340">
        <f>AE31*(1+'Summary. Assumptions. Inputs'!$C$28)</f>
        <v>0</v>
      </c>
      <c r="AS31" s="340">
        <f>AF31*(1+'Summary. Assumptions. Inputs'!$C$28)</f>
        <v>0</v>
      </c>
      <c r="AT31" s="340">
        <f>AG31*(1+'Summary. Assumptions. Inputs'!$C$28)</f>
        <v>0</v>
      </c>
      <c r="AU31" s="340">
        <f>AH31*(1+'Summary. Assumptions. Inputs'!$C$28)</f>
        <v>0</v>
      </c>
      <c r="AV31" s="340">
        <f>AI31*(1+'Summary. Assumptions. Inputs'!$C$28)</f>
        <v>0</v>
      </c>
      <c r="AW31" s="340">
        <f>AJ31*(1+'Summary. Assumptions. Inputs'!$C$28)</f>
        <v>0</v>
      </c>
      <c r="AX31" s="340">
        <f>AK31*(1+'Summary. Assumptions. Inputs'!$C$28)</f>
        <v>0</v>
      </c>
      <c r="AY31" s="340">
        <f>AL31*(1+'Summary. Assumptions. Inputs'!$C$28)</f>
        <v>0</v>
      </c>
      <c r="AZ31" s="340">
        <f>AM31*(1+'Summary. Assumptions. Inputs'!$C$28)</f>
        <v>0</v>
      </c>
      <c r="BA31" s="340">
        <f>AN31*(1+'Summary. Assumptions. Inputs'!$C$28)</f>
        <v>0</v>
      </c>
      <c r="BB31" s="340">
        <f>AO31*(1+'Summary. Assumptions. Inputs'!$C$28)</f>
        <v>0</v>
      </c>
      <c r="BC31" s="343">
        <f t="shared" si="23"/>
        <v>0</v>
      </c>
      <c r="BD31" s="340">
        <f>AQ31*(1+'Summary. Assumptions. Inputs'!$C$28)</f>
        <v>0</v>
      </c>
      <c r="BE31" s="340">
        <f>AR31*(1+'Summary. Assumptions. Inputs'!$C$28)</f>
        <v>0</v>
      </c>
      <c r="BF31" s="340">
        <f>AS31*(1+'Summary. Assumptions. Inputs'!$C$28)</f>
        <v>0</v>
      </c>
      <c r="BG31" s="340">
        <f>AT31*(1+'Summary. Assumptions. Inputs'!$C$28)</f>
        <v>0</v>
      </c>
      <c r="BH31" s="340">
        <f>AU31*(1+'Summary. Assumptions. Inputs'!$C$28)</f>
        <v>0</v>
      </c>
      <c r="BI31" s="340">
        <f>AV31*(1+'Summary. Assumptions. Inputs'!$C$28)</f>
        <v>0</v>
      </c>
      <c r="BJ31" s="340">
        <f>AW31*(1+'Summary. Assumptions. Inputs'!$C$28)</f>
        <v>0</v>
      </c>
      <c r="BK31" s="340">
        <f>AX31*(1+'Summary. Assumptions. Inputs'!$C$28)</f>
        <v>0</v>
      </c>
      <c r="BL31" s="340">
        <f>AY31*(1+'Summary. Assumptions. Inputs'!$C$28)</f>
        <v>0</v>
      </c>
      <c r="BM31" s="340">
        <f>AZ31*(1+'Summary. Assumptions. Inputs'!$C$28)</f>
        <v>0</v>
      </c>
      <c r="BN31" s="340">
        <f>BA31*(1+'Summary. Assumptions. Inputs'!$C$28)</f>
        <v>0</v>
      </c>
      <c r="BO31" s="340">
        <f>BB31*(1+'Summary. Assumptions. Inputs'!$C$28)</f>
        <v>0</v>
      </c>
      <c r="BP31" s="343">
        <f t="shared" si="25"/>
        <v>0</v>
      </c>
      <c r="BQ31" s="340">
        <f>BD31*(1+'Summary. Assumptions. Inputs'!$C$28)</f>
        <v>0</v>
      </c>
      <c r="BR31" s="340">
        <f>BE31*(1+'Summary. Assumptions. Inputs'!$C$28)</f>
        <v>0</v>
      </c>
      <c r="BS31" s="340">
        <f>BF31*(1+'Summary. Assumptions. Inputs'!$C$28)</f>
        <v>0</v>
      </c>
      <c r="BT31" s="340">
        <f>BG31*(1+'Summary. Assumptions. Inputs'!$C$28)</f>
        <v>0</v>
      </c>
      <c r="BU31" s="340">
        <f>BH31*(1+'Summary. Assumptions. Inputs'!$C$28)</f>
        <v>0</v>
      </c>
      <c r="BV31" s="340">
        <f>BI31*(1+'Summary. Assumptions. Inputs'!$C$28)</f>
        <v>0</v>
      </c>
      <c r="BW31" s="340">
        <f>BJ31*(1+'Summary. Assumptions. Inputs'!$C$28)</f>
        <v>0</v>
      </c>
      <c r="BX31" s="340">
        <f>BK31*(1+'Summary. Assumptions. Inputs'!$C$28)</f>
        <v>0</v>
      </c>
      <c r="BY31" s="340">
        <f>BL31*(1+'Summary. Assumptions. Inputs'!$C$28)</f>
        <v>0</v>
      </c>
      <c r="BZ31" s="340">
        <f>BM31*(1+'Summary. Assumptions. Inputs'!$C$28)</f>
        <v>0</v>
      </c>
      <c r="CA31" s="340">
        <f>BN31*(1+'Summary. Assumptions. Inputs'!$C$28)</f>
        <v>0</v>
      </c>
      <c r="CB31" s="340">
        <f>BO31*(1+'Summary. Assumptions. Inputs'!$C$28)</f>
        <v>0</v>
      </c>
      <c r="CC31" s="343">
        <f t="shared" si="27"/>
        <v>0</v>
      </c>
      <c r="CD31" s="340">
        <f>BQ31*(1+'Summary. Assumptions. Inputs'!$C$28)</f>
        <v>0</v>
      </c>
      <c r="CE31" s="340">
        <f>BR31*(1+'Summary. Assumptions. Inputs'!$C$28)</f>
        <v>0</v>
      </c>
      <c r="CF31" s="340">
        <f>BS31*(1+'Summary. Assumptions. Inputs'!$C$28)</f>
        <v>0</v>
      </c>
      <c r="CG31" s="340">
        <f>BT31*(1+'Summary. Assumptions. Inputs'!$C$28)</f>
        <v>0</v>
      </c>
      <c r="CH31" s="340">
        <f>BU31*(1+'Summary. Assumptions. Inputs'!$C$28)</f>
        <v>0</v>
      </c>
      <c r="CI31" s="340">
        <f>BV31*(1+'Summary. Assumptions. Inputs'!$C$28)</f>
        <v>0</v>
      </c>
      <c r="CJ31" s="340">
        <f>BW31*(1+'Summary. Assumptions. Inputs'!$C$28)</f>
        <v>0</v>
      </c>
      <c r="CK31" s="340">
        <f>BX31*(1+'Summary. Assumptions. Inputs'!$C$28)</f>
        <v>0</v>
      </c>
      <c r="CL31" s="340">
        <f>BY31*(1+'Summary. Assumptions. Inputs'!$C$28)</f>
        <v>0</v>
      </c>
      <c r="CM31" s="340">
        <f>BZ31*(1+'Summary. Assumptions. Inputs'!$C$28)</f>
        <v>0</v>
      </c>
      <c r="CN31" s="340">
        <f>CA31*(1+'Summary. Assumptions. Inputs'!$C$28)</f>
        <v>0</v>
      </c>
      <c r="CO31" s="340">
        <f>CB31*(1+'Summary. Assumptions. Inputs'!$C$28)</f>
        <v>0</v>
      </c>
      <c r="CP31" s="343">
        <f t="shared" si="29"/>
        <v>0</v>
      </c>
    </row>
    <row r="32" spans="1:94" hidden="1">
      <c r="A32" s="344">
        <f>'Summary. Assumptions. Inputs'!A59</f>
        <v>0</v>
      </c>
      <c r="B32" s="345">
        <f>'Summary. Assumptions. Inputs'!B59</f>
        <v>0</v>
      </c>
      <c r="C32" s="345"/>
      <c r="D32" s="340"/>
      <c r="E32" s="340"/>
      <c r="F32" s="340"/>
      <c r="G32" s="340"/>
      <c r="H32" s="340"/>
      <c r="I32" s="340"/>
      <c r="J32" s="340"/>
      <c r="K32" s="340"/>
      <c r="L32" s="340"/>
      <c r="M32" s="340"/>
      <c r="N32" s="340"/>
      <c r="O32" s="340"/>
      <c r="P32" s="345">
        <f t="shared" si="10"/>
        <v>0</v>
      </c>
      <c r="Q32" s="340">
        <f>D32*(1+'Summary. Assumptions. Inputs'!$C$28)</f>
        <v>0</v>
      </c>
      <c r="R32" s="340">
        <f>E32*(1+'Summary. Assumptions. Inputs'!$C$28)</f>
        <v>0</v>
      </c>
      <c r="S32" s="340">
        <f>F32*(1+'Summary. Assumptions. Inputs'!$C$28)</f>
        <v>0</v>
      </c>
      <c r="T32" s="340">
        <f>G32*(1+'Summary. Assumptions. Inputs'!$C$28)</f>
        <v>0</v>
      </c>
      <c r="U32" s="340">
        <f>H32*(1+'Summary. Assumptions. Inputs'!$C$28)</f>
        <v>0</v>
      </c>
      <c r="V32" s="340">
        <f>I32*(1+'Summary. Assumptions. Inputs'!$C$28)</f>
        <v>0</v>
      </c>
      <c r="W32" s="340">
        <f>J32*(1+'Summary. Assumptions. Inputs'!$C$28)</f>
        <v>0</v>
      </c>
      <c r="X32" s="340">
        <f>K32*(1+'Summary. Assumptions. Inputs'!$C$28)</f>
        <v>0</v>
      </c>
      <c r="Y32" s="340">
        <f>L32*(1+'Summary. Assumptions. Inputs'!$C$28)</f>
        <v>0</v>
      </c>
      <c r="Z32" s="340">
        <f>M32*(1+'Summary. Assumptions. Inputs'!$C$28)</f>
        <v>0</v>
      </c>
      <c r="AA32" s="340">
        <f>N32*(1+'Summary. Assumptions. Inputs'!$C$28)</f>
        <v>0</v>
      </c>
      <c r="AB32" s="340">
        <f>O32*(1+'Summary. Assumptions. Inputs'!$C$28)</f>
        <v>0</v>
      </c>
      <c r="AC32" s="345">
        <f t="shared" si="19"/>
        <v>0</v>
      </c>
      <c r="AD32" s="340">
        <f>Q32*(1+'Summary. Assumptions. Inputs'!$C$28)</f>
        <v>0</v>
      </c>
      <c r="AE32" s="340">
        <f>R32*(1+'Summary. Assumptions. Inputs'!$C$28)</f>
        <v>0</v>
      </c>
      <c r="AF32" s="340">
        <f>S32*(1+'Summary. Assumptions. Inputs'!$C$28)</f>
        <v>0</v>
      </c>
      <c r="AG32" s="340">
        <f>T32*(1+'Summary. Assumptions. Inputs'!$C$28)</f>
        <v>0</v>
      </c>
      <c r="AH32" s="340">
        <f>U32*(1+'Summary. Assumptions. Inputs'!$C$28)</f>
        <v>0</v>
      </c>
      <c r="AI32" s="340">
        <f>V32*(1+'Summary. Assumptions. Inputs'!$C$28)</f>
        <v>0</v>
      </c>
      <c r="AJ32" s="340">
        <f>W32*(1+'Summary. Assumptions. Inputs'!$C$28)</f>
        <v>0</v>
      </c>
      <c r="AK32" s="340">
        <f>X32*(1+'Summary. Assumptions. Inputs'!$C$28)</f>
        <v>0</v>
      </c>
      <c r="AL32" s="340">
        <f>Y32*(1+'Summary. Assumptions. Inputs'!$C$28)</f>
        <v>0</v>
      </c>
      <c r="AM32" s="340">
        <f>Z32*(1+'Summary. Assumptions. Inputs'!$C$28)</f>
        <v>0</v>
      </c>
      <c r="AN32" s="340">
        <f>AA32*(1+'Summary. Assumptions. Inputs'!$C$28)</f>
        <v>0</v>
      </c>
      <c r="AO32" s="340">
        <f>AB32*(1+'Summary. Assumptions. Inputs'!$C$28)</f>
        <v>0</v>
      </c>
      <c r="AP32" s="345">
        <f t="shared" si="21"/>
        <v>0</v>
      </c>
      <c r="AQ32" s="340">
        <f>AD32*(1+'Summary. Assumptions. Inputs'!$C$28)</f>
        <v>0</v>
      </c>
      <c r="AR32" s="340">
        <f>AE32*(1+'Summary. Assumptions. Inputs'!$C$28)</f>
        <v>0</v>
      </c>
      <c r="AS32" s="340">
        <f>AF32*(1+'Summary. Assumptions. Inputs'!$C$28)</f>
        <v>0</v>
      </c>
      <c r="AT32" s="340">
        <f>AG32*(1+'Summary. Assumptions. Inputs'!$C$28)</f>
        <v>0</v>
      </c>
      <c r="AU32" s="340">
        <f>AH32*(1+'Summary. Assumptions. Inputs'!$C$28)</f>
        <v>0</v>
      </c>
      <c r="AV32" s="340">
        <f>AI32*(1+'Summary. Assumptions. Inputs'!$C$28)</f>
        <v>0</v>
      </c>
      <c r="AW32" s="340">
        <f>AJ32*(1+'Summary. Assumptions. Inputs'!$C$28)</f>
        <v>0</v>
      </c>
      <c r="AX32" s="340">
        <f>AK32*(1+'Summary. Assumptions. Inputs'!$C$28)</f>
        <v>0</v>
      </c>
      <c r="AY32" s="340">
        <f>AL32*(1+'Summary. Assumptions. Inputs'!$C$28)</f>
        <v>0</v>
      </c>
      <c r="AZ32" s="340">
        <f>AM32*(1+'Summary. Assumptions. Inputs'!$C$28)</f>
        <v>0</v>
      </c>
      <c r="BA32" s="340">
        <f>AN32*(1+'Summary. Assumptions. Inputs'!$C$28)</f>
        <v>0</v>
      </c>
      <c r="BB32" s="340">
        <f>AO32*(1+'Summary. Assumptions. Inputs'!$C$28)</f>
        <v>0</v>
      </c>
      <c r="BC32" s="345">
        <f t="shared" si="23"/>
        <v>0</v>
      </c>
      <c r="BD32" s="340">
        <f>AQ32*(1+'Summary. Assumptions. Inputs'!$C$28)</f>
        <v>0</v>
      </c>
      <c r="BE32" s="340">
        <f>AR32*(1+'Summary. Assumptions. Inputs'!$C$28)</f>
        <v>0</v>
      </c>
      <c r="BF32" s="340">
        <f>AS32*(1+'Summary. Assumptions. Inputs'!$C$28)</f>
        <v>0</v>
      </c>
      <c r="BG32" s="340">
        <f>AT32*(1+'Summary. Assumptions. Inputs'!$C$28)</f>
        <v>0</v>
      </c>
      <c r="BH32" s="340">
        <f>AU32*(1+'Summary. Assumptions. Inputs'!$C$28)</f>
        <v>0</v>
      </c>
      <c r="BI32" s="340">
        <f>AV32*(1+'Summary. Assumptions. Inputs'!$C$28)</f>
        <v>0</v>
      </c>
      <c r="BJ32" s="340">
        <f>AW32*(1+'Summary. Assumptions. Inputs'!$C$28)</f>
        <v>0</v>
      </c>
      <c r="BK32" s="340">
        <f>AX32*(1+'Summary. Assumptions. Inputs'!$C$28)</f>
        <v>0</v>
      </c>
      <c r="BL32" s="340">
        <f>AY32*(1+'Summary. Assumptions. Inputs'!$C$28)</f>
        <v>0</v>
      </c>
      <c r="BM32" s="340">
        <f>AZ32*(1+'Summary. Assumptions. Inputs'!$C$28)</f>
        <v>0</v>
      </c>
      <c r="BN32" s="340">
        <f>BA32*(1+'Summary. Assumptions. Inputs'!$C$28)</f>
        <v>0</v>
      </c>
      <c r="BO32" s="340">
        <f>BB32*(1+'Summary. Assumptions. Inputs'!$C$28)</f>
        <v>0</v>
      </c>
      <c r="BP32" s="345">
        <f t="shared" si="25"/>
        <v>0</v>
      </c>
      <c r="BQ32" s="340">
        <f>BD32*(1+'Summary. Assumptions. Inputs'!$C$28)</f>
        <v>0</v>
      </c>
      <c r="BR32" s="340">
        <f>BE32*(1+'Summary. Assumptions. Inputs'!$C$28)</f>
        <v>0</v>
      </c>
      <c r="BS32" s="340">
        <f>BF32*(1+'Summary. Assumptions. Inputs'!$C$28)</f>
        <v>0</v>
      </c>
      <c r="BT32" s="340">
        <f>BG32*(1+'Summary. Assumptions. Inputs'!$C$28)</f>
        <v>0</v>
      </c>
      <c r="BU32" s="340">
        <f>BH32*(1+'Summary. Assumptions. Inputs'!$C$28)</f>
        <v>0</v>
      </c>
      <c r="BV32" s="340">
        <f>BI32*(1+'Summary. Assumptions. Inputs'!$C$28)</f>
        <v>0</v>
      </c>
      <c r="BW32" s="340">
        <f>BJ32*(1+'Summary. Assumptions. Inputs'!$C$28)</f>
        <v>0</v>
      </c>
      <c r="BX32" s="340">
        <f>BK32*(1+'Summary. Assumptions. Inputs'!$C$28)</f>
        <v>0</v>
      </c>
      <c r="BY32" s="340">
        <f>BL32*(1+'Summary. Assumptions. Inputs'!$C$28)</f>
        <v>0</v>
      </c>
      <c r="BZ32" s="340">
        <f>BM32*(1+'Summary. Assumptions. Inputs'!$C$28)</f>
        <v>0</v>
      </c>
      <c r="CA32" s="340">
        <f>BN32*(1+'Summary. Assumptions. Inputs'!$C$28)</f>
        <v>0</v>
      </c>
      <c r="CB32" s="340">
        <f>BO32*(1+'Summary. Assumptions. Inputs'!$C$28)</f>
        <v>0</v>
      </c>
      <c r="CC32" s="345">
        <f t="shared" si="27"/>
        <v>0</v>
      </c>
      <c r="CD32" s="340">
        <f>BQ32*(1+'Summary. Assumptions. Inputs'!$C$28)</f>
        <v>0</v>
      </c>
      <c r="CE32" s="340">
        <f>BR32*(1+'Summary. Assumptions. Inputs'!$C$28)</f>
        <v>0</v>
      </c>
      <c r="CF32" s="340">
        <f>BS32*(1+'Summary. Assumptions. Inputs'!$C$28)</f>
        <v>0</v>
      </c>
      <c r="CG32" s="340">
        <f>BT32*(1+'Summary. Assumptions. Inputs'!$C$28)</f>
        <v>0</v>
      </c>
      <c r="CH32" s="340">
        <f>BU32*(1+'Summary. Assumptions. Inputs'!$C$28)</f>
        <v>0</v>
      </c>
      <c r="CI32" s="340">
        <f>BV32*(1+'Summary. Assumptions. Inputs'!$C$28)</f>
        <v>0</v>
      </c>
      <c r="CJ32" s="340">
        <f>BW32*(1+'Summary. Assumptions. Inputs'!$C$28)</f>
        <v>0</v>
      </c>
      <c r="CK32" s="340">
        <f>BX32*(1+'Summary. Assumptions. Inputs'!$C$28)</f>
        <v>0</v>
      </c>
      <c r="CL32" s="340">
        <f>BY32*(1+'Summary. Assumptions. Inputs'!$C$28)</f>
        <v>0</v>
      </c>
      <c r="CM32" s="340">
        <f>BZ32*(1+'Summary. Assumptions. Inputs'!$C$28)</f>
        <v>0</v>
      </c>
      <c r="CN32" s="340">
        <f>CA32*(1+'Summary. Assumptions. Inputs'!$C$28)</f>
        <v>0</v>
      </c>
      <c r="CO32" s="340">
        <f>CB32*(1+'Summary. Assumptions. Inputs'!$C$28)</f>
        <v>0</v>
      </c>
      <c r="CP32" s="345">
        <f t="shared" si="29"/>
        <v>0</v>
      </c>
    </row>
    <row r="33" spans="1:94" hidden="1">
      <c r="A33" s="342">
        <f>'Summary. Assumptions. Inputs'!A60</f>
        <v>0</v>
      </c>
      <c r="B33" s="343">
        <f>'Summary. Assumptions. Inputs'!B60</f>
        <v>0</v>
      </c>
      <c r="C33" s="343"/>
      <c r="D33" s="340"/>
      <c r="E33" s="340"/>
      <c r="F33" s="340"/>
      <c r="G33" s="340"/>
      <c r="H33" s="340"/>
      <c r="I33" s="340"/>
      <c r="J33" s="340"/>
      <c r="K33" s="340"/>
      <c r="L33" s="340"/>
      <c r="M33" s="340"/>
      <c r="N33" s="340"/>
      <c r="O33" s="340"/>
      <c r="P33" s="343">
        <f t="shared" si="10"/>
        <v>0</v>
      </c>
      <c r="Q33" s="340">
        <f>D33*(1+'Summary. Assumptions. Inputs'!$C$28)</f>
        <v>0</v>
      </c>
      <c r="R33" s="340">
        <f>E33*(1+'Summary. Assumptions. Inputs'!$C$28)</f>
        <v>0</v>
      </c>
      <c r="S33" s="340">
        <f>F33*(1+'Summary. Assumptions. Inputs'!$C$28)</f>
        <v>0</v>
      </c>
      <c r="T33" s="340">
        <f>G33*(1+'Summary. Assumptions. Inputs'!$C$28)</f>
        <v>0</v>
      </c>
      <c r="U33" s="340">
        <f>H33*(1+'Summary. Assumptions. Inputs'!$C$28)</f>
        <v>0</v>
      </c>
      <c r="V33" s="340">
        <f>I33*(1+'Summary. Assumptions. Inputs'!$C$28)</f>
        <v>0</v>
      </c>
      <c r="W33" s="340">
        <f>J33*(1+'Summary. Assumptions. Inputs'!$C$28)</f>
        <v>0</v>
      </c>
      <c r="X33" s="340">
        <f>K33*(1+'Summary. Assumptions. Inputs'!$C$28)</f>
        <v>0</v>
      </c>
      <c r="Y33" s="340">
        <f>L33*(1+'Summary. Assumptions. Inputs'!$C$28)</f>
        <v>0</v>
      </c>
      <c r="Z33" s="340">
        <f>M33*(1+'Summary. Assumptions. Inputs'!$C$28)</f>
        <v>0</v>
      </c>
      <c r="AA33" s="340">
        <f>N33*(1+'Summary. Assumptions. Inputs'!$C$28)</f>
        <v>0</v>
      </c>
      <c r="AB33" s="340">
        <f>O33*(1+'Summary. Assumptions. Inputs'!$C$28)</f>
        <v>0</v>
      </c>
      <c r="AC33" s="343">
        <f t="shared" si="19"/>
        <v>0</v>
      </c>
      <c r="AD33" s="340">
        <f>Q33*(1+'Summary. Assumptions. Inputs'!$C$28)</f>
        <v>0</v>
      </c>
      <c r="AE33" s="340">
        <f>R33*(1+'Summary. Assumptions. Inputs'!$C$28)</f>
        <v>0</v>
      </c>
      <c r="AF33" s="340">
        <f>S33*(1+'Summary. Assumptions. Inputs'!$C$28)</f>
        <v>0</v>
      </c>
      <c r="AG33" s="340">
        <f>T33*(1+'Summary. Assumptions. Inputs'!$C$28)</f>
        <v>0</v>
      </c>
      <c r="AH33" s="340">
        <f>U33*(1+'Summary. Assumptions. Inputs'!$C$28)</f>
        <v>0</v>
      </c>
      <c r="AI33" s="340">
        <f>V33*(1+'Summary. Assumptions. Inputs'!$C$28)</f>
        <v>0</v>
      </c>
      <c r="AJ33" s="340">
        <f>W33*(1+'Summary. Assumptions. Inputs'!$C$28)</f>
        <v>0</v>
      </c>
      <c r="AK33" s="340">
        <f>X33*(1+'Summary. Assumptions. Inputs'!$C$28)</f>
        <v>0</v>
      </c>
      <c r="AL33" s="340">
        <f>Y33*(1+'Summary. Assumptions. Inputs'!$C$28)</f>
        <v>0</v>
      </c>
      <c r="AM33" s="340">
        <f>Z33*(1+'Summary. Assumptions. Inputs'!$C$28)</f>
        <v>0</v>
      </c>
      <c r="AN33" s="340">
        <f>AA33*(1+'Summary. Assumptions. Inputs'!$C$28)</f>
        <v>0</v>
      </c>
      <c r="AO33" s="340">
        <f>AB33*(1+'Summary. Assumptions. Inputs'!$C$28)</f>
        <v>0</v>
      </c>
      <c r="AP33" s="343">
        <f t="shared" si="21"/>
        <v>0</v>
      </c>
      <c r="AQ33" s="340">
        <f>AD33*(1+'Summary. Assumptions. Inputs'!$C$28)</f>
        <v>0</v>
      </c>
      <c r="AR33" s="340">
        <f>AE33*(1+'Summary. Assumptions. Inputs'!$C$28)</f>
        <v>0</v>
      </c>
      <c r="AS33" s="340">
        <f>AF33*(1+'Summary. Assumptions. Inputs'!$C$28)</f>
        <v>0</v>
      </c>
      <c r="AT33" s="340">
        <f>AG33*(1+'Summary. Assumptions. Inputs'!$C$28)</f>
        <v>0</v>
      </c>
      <c r="AU33" s="340">
        <f>AH33*(1+'Summary. Assumptions. Inputs'!$C$28)</f>
        <v>0</v>
      </c>
      <c r="AV33" s="340">
        <f>AI33*(1+'Summary. Assumptions. Inputs'!$C$28)</f>
        <v>0</v>
      </c>
      <c r="AW33" s="340">
        <f>AJ33*(1+'Summary. Assumptions. Inputs'!$C$28)</f>
        <v>0</v>
      </c>
      <c r="AX33" s="340">
        <f>AK33*(1+'Summary. Assumptions. Inputs'!$C$28)</f>
        <v>0</v>
      </c>
      <c r="AY33" s="340">
        <f>AL33*(1+'Summary. Assumptions. Inputs'!$C$28)</f>
        <v>0</v>
      </c>
      <c r="AZ33" s="340">
        <f>AM33*(1+'Summary. Assumptions. Inputs'!$C$28)</f>
        <v>0</v>
      </c>
      <c r="BA33" s="340">
        <f>AN33*(1+'Summary. Assumptions. Inputs'!$C$28)</f>
        <v>0</v>
      </c>
      <c r="BB33" s="340">
        <f>AO33*(1+'Summary. Assumptions. Inputs'!$C$28)</f>
        <v>0</v>
      </c>
      <c r="BC33" s="343">
        <f t="shared" si="23"/>
        <v>0</v>
      </c>
      <c r="BD33" s="340">
        <f>AQ33*(1+'Summary. Assumptions. Inputs'!$C$28)</f>
        <v>0</v>
      </c>
      <c r="BE33" s="340">
        <f>AR33*(1+'Summary. Assumptions. Inputs'!$C$28)</f>
        <v>0</v>
      </c>
      <c r="BF33" s="340">
        <f>AS33*(1+'Summary. Assumptions. Inputs'!$C$28)</f>
        <v>0</v>
      </c>
      <c r="BG33" s="340">
        <f>AT33*(1+'Summary. Assumptions. Inputs'!$C$28)</f>
        <v>0</v>
      </c>
      <c r="BH33" s="340">
        <f>AU33*(1+'Summary. Assumptions. Inputs'!$C$28)</f>
        <v>0</v>
      </c>
      <c r="BI33" s="340">
        <f>AV33*(1+'Summary. Assumptions. Inputs'!$C$28)</f>
        <v>0</v>
      </c>
      <c r="BJ33" s="340">
        <f>AW33*(1+'Summary. Assumptions. Inputs'!$C$28)</f>
        <v>0</v>
      </c>
      <c r="BK33" s="340">
        <f>AX33*(1+'Summary. Assumptions. Inputs'!$C$28)</f>
        <v>0</v>
      </c>
      <c r="BL33" s="340">
        <f>AY33*(1+'Summary. Assumptions. Inputs'!$C$28)</f>
        <v>0</v>
      </c>
      <c r="BM33" s="340">
        <f>AZ33*(1+'Summary. Assumptions. Inputs'!$C$28)</f>
        <v>0</v>
      </c>
      <c r="BN33" s="340">
        <f>BA33*(1+'Summary. Assumptions. Inputs'!$C$28)</f>
        <v>0</v>
      </c>
      <c r="BO33" s="340">
        <f>BB33*(1+'Summary. Assumptions. Inputs'!$C$28)</f>
        <v>0</v>
      </c>
      <c r="BP33" s="343">
        <f t="shared" si="25"/>
        <v>0</v>
      </c>
      <c r="BQ33" s="340">
        <f>BD33*(1+'Summary. Assumptions. Inputs'!$C$28)</f>
        <v>0</v>
      </c>
      <c r="BR33" s="340">
        <f>BE33*(1+'Summary. Assumptions. Inputs'!$C$28)</f>
        <v>0</v>
      </c>
      <c r="BS33" s="340">
        <f>BF33*(1+'Summary. Assumptions. Inputs'!$C$28)</f>
        <v>0</v>
      </c>
      <c r="BT33" s="340">
        <f>BG33*(1+'Summary. Assumptions. Inputs'!$C$28)</f>
        <v>0</v>
      </c>
      <c r="BU33" s="340">
        <f>BH33*(1+'Summary. Assumptions. Inputs'!$C$28)</f>
        <v>0</v>
      </c>
      <c r="BV33" s="340">
        <f>BI33*(1+'Summary. Assumptions. Inputs'!$C$28)</f>
        <v>0</v>
      </c>
      <c r="BW33" s="340">
        <f>BJ33*(1+'Summary. Assumptions. Inputs'!$C$28)</f>
        <v>0</v>
      </c>
      <c r="BX33" s="340">
        <f>BK33*(1+'Summary. Assumptions. Inputs'!$C$28)</f>
        <v>0</v>
      </c>
      <c r="BY33" s="340">
        <f>BL33*(1+'Summary. Assumptions. Inputs'!$C$28)</f>
        <v>0</v>
      </c>
      <c r="BZ33" s="340">
        <f>BM33*(1+'Summary. Assumptions. Inputs'!$C$28)</f>
        <v>0</v>
      </c>
      <c r="CA33" s="340">
        <f>BN33*(1+'Summary. Assumptions. Inputs'!$C$28)</f>
        <v>0</v>
      </c>
      <c r="CB33" s="340">
        <f>BO33*(1+'Summary. Assumptions. Inputs'!$C$28)</f>
        <v>0</v>
      </c>
      <c r="CC33" s="343">
        <f t="shared" si="27"/>
        <v>0</v>
      </c>
      <c r="CD33" s="340">
        <f>BQ33*(1+'Summary. Assumptions. Inputs'!$C$28)</f>
        <v>0</v>
      </c>
      <c r="CE33" s="340">
        <f>BR33*(1+'Summary. Assumptions. Inputs'!$C$28)</f>
        <v>0</v>
      </c>
      <c r="CF33" s="340">
        <f>BS33*(1+'Summary. Assumptions. Inputs'!$C$28)</f>
        <v>0</v>
      </c>
      <c r="CG33" s="340">
        <f>BT33*(1+'Summary. Assumptions. Inputs'!$C$28)</f>
        <v>0</v>
      </c>
      <c r="CH33" s="340">
        <f>BU33*(1+'Summary. Assumptions. Inputs'!$C$28)</f>
        <v>0</v>
      </c>
      <c r="CI33" s="340">
        <f>BV33*(1+'Summary. Assumptions. Inputs'!$C$28)</f>
        <v>0</v>
      </c>
      <c r="CJ33" s="340">
        <f>BW33*(1+'Summary. Assumptions. Inputs'!$C$28)</f>
        <v>0</v>
      </c>
      <c r="CK33" s="340">
        <f>BX33*(1+'Summary. Assumptions. Inputs'!$C$28)</f>
        <v>0</v>
      </c>
      <c r="CL33" s="340">
        <f>BY33*(1+'Summary. Assumptions. Inputs'!$C$28)</f>
        <v>0</v>
      </c>
      <c r="CM33" s="340">
        <f>BZ33*(1+'Summary. Assumptions. Inputs'!$C$28)</f>
        <v>0</v>
      </c>
      <c r="CN33" s="340">
        <f>CA33*(1+'Summary. Assumptions. Inputs'!$C$28)</f>
        <v>0</v>
      </c>
      <c r="CO33" s="340">
        <f>CB33*(1+'Summary. Assumptions. Inputs'!$C$28)</f>
        <v>0</v>
      </c>
      <c r="CP33" s="343">
        <f t="shared" si="29"/>
        <v>0</v>
      </c>
    </row>
    <row r="34" spans="1:94" hidden="1">
      <c r="A34" s="344">
        <f>'Summary. Assumptions. Inputs'!A61</f>
        <v>0</v>
      </c>
      <c r="B34" s="345">
        <f>'Summary. Assumptions. Inputs'!B61</f>
        <v>0</v>
      </c>
      <c r="C34" s="345"/>
      <c r="D34" s="340"/>
      <c r="E34" s="340"/>
      <c r="F34" s="340"/>
      <c r="G34" s="340"/>
      <c r="H34" s="340"/>
      <c r="I34" s="340"/>
      <c r="J34" s="340"/>
      <c r="K34" s="340"/>
      <c r="L34" s="340"/>
      <c r="M34" s="340"/>
      <c r="N34" s="340"/>
      <c r="O34" s="340"/>
      <c r="P34" s="345">
        <f t="shared" si="10"/>
        <v>0</v>
      </c>
      <c r="Q34" s="340">
        <f>D34*(1+'Summary. Assumptions. Inputs'!$C$28)</f>
        <v>0</v>
      </c>
      <c r="R34" s="340">
        <f>E34*(1+'Summary. Assumptions. Inputs'!$C$28)</f>
        <v>0</v>
      </c>
      <c r="S34" s="340">
        <f>F34*(1+'Summary. Assumptions. Inputs'!$C$28)</f>
        <v>0</v>
      </c>
      <c r="T34" s="340">
        <f>G34*(1+'Summary. Assumptions. Inputs'!$C$28)</f>
        <v>0</v>
      </c>
      <c r="U34" s="340">
        <f>H34*(1+'Summary. Assumptions. Inputs'!$C$28)</f>
        <v>0</v>
      </c>
      <c r="V34" s="340">
        <f>I34*(1+'Summary. Assumptions. Inputs'!$C$28)</f>
        <v>0</v>
      </c>
      <c r="W34" s="340">
        <f>J34*(1+'Summary. Assumptions. Inputs'!$C$28)</f>
        <v>0</v>
      </c>
      <c r="X34" s="340">
        <f>K34*(1+'Summary. Assumptions. Inputs'!$C$28)</f>
        <v>0</v>
      </c>
      <c r="Y34" s="340">
        <f>L34*(1+'Summary. Assumptions. Inputs'!$C$28)</f>
        <v>0</v>
      </c>
      <c r="Z34" s="340">
        <f>M34*(1+'Summary. Assumptions. Inputs'!$C$28)</f>
        <v>0</v>
      </c>
      <c r="AA34" s="340">
        <f>N34*(1+'Summary. Assumptions. Inputs'!$C$28)</f>
        <v>0</v>
      </c>
      <c r="AB34" s="340">
        <f>O34*(1+'Summary. Assumptions. Inputs'!$C$28)</f>
        <v>0</v>
      </c>
      <c r="AC34" s="345">
        <f t="shared" si="19"/>
        <v>0</v>
      </c>
      <c r="AD34" s="340">
        <f>Q34*(1+'Summary. Assumptions. Inputs'!$C$28)</f>
        <v>0</v>
      </c>
      <c r="AE34" s="340">
        <f>R34*(1+'Summary. Assumptions. Inputs'!$C$28)</f>
        <v>0</v>
      </c>
      <c r="AF34" s="340">
        <f>S34*(1+'Summary. Assumptions. Inputs'!$C$28)</f>
        <v>0</v>
      </c>
      <c r="AG34" s="340">
        <f>T34*(1+'Summary. Assumptions. Inputs'!$C$28)</f>
        <v>0</v>
      </c>
      <c r="AH34" s="340">
        <f>U34*(1+'Summary. Assumptions. Inputs'!$C$28)</f>
        <v>0</v>
      </c>
      <c r="AI34" s="340">
        <f>V34*(1+'Summary. Assumptions. Inputs'!$C$28)</f>
        <v>0</v>
      </c>
      <c r="AJ34" s="340">
        <f>W34*(1+'Summary. Assumptions. Inputs'!$C$28)</f>
        <v>0</v>
      </c>
      <c r="AK34" s="340">
        <f>X34*(1+'Summary. Assumptions. Inputs'!$C$28)</f>
        <v>0</v>
      </c>
      <c r="AL34" s="340">
        <f>Y34*(1+'Summary. Assumptions. Inputs'!$C$28)</f>
        <v>0</v>
      </c>
      <c r="AM34" s="340">
        <f>Z34*(1+'Summary. Assumptions. Inputs'!$C$28)</f>
        <v>0</v>
      </c>
      <c r="AN34" s="340">
        <f>AA34*(1+'Summary. Assumptions. Inputs'!$C$28)</f>
        <v>0</v>
      </c>
      <c r="AO34" s="340">
        <f>AB34*(1+'Summary. Assumptions. Inputs'!$C$28)</f>
        <v>0</v>
      </c>
      <c r="AP34" s="345">
        <f t="shared" si="21"/>
        <v>0</v>
      </c>
      <c r="AQ34" s="340">
        <f>AD34*(1+'Summary. Assumptions. Inputs'!$C$28)</f>
        <v>0</v>
      </c>
      <c r="AR34" s="340">
        <f>AE34*(1+'Summary. Assumptions. Inputs'!$C$28)</f>
        <v>0</v>
      </c>
      <c r="AS34" s="340">
        <f>AF34*(1+'Summary. Assumptions. Inputs'!$C$28)</f>
        <v>0</v>
      </c>
      <c r="AT34" s="340">
        <f>AG34*(1+'Summary. Assumptions. Inputs'!$C$28)</f>
        <v>0</v>
      </c>
      <c r="AU34" s="340">
        <f>AH34*(1+'Summary. Assumptions. Inputs'!$C$28)</f>
        <v>0</v>
      </c>
      <c r="AV34" s="340">
        <f>AI34*(1+'Summary. Assumptions. Inputs'!$C$28)</f>
        <v>0</v>
      </c>
      <c r="AW34" s="340">
        <f>AJ34*(1+'Summary. Assumptions. Inputs'!$C$28)</f>
        <v>0</v>
      </c>
      <c r="AX34" s="340">
        <f>AK34*(1+'Summary. Assumptions. Inputs'!$C$28)</f>
        <v>0</v>
      </c>
      <c r="AY34" s="340">
        <f>AL34*(1+'Summary. Assumptions. Inputs'!$C$28)</f>
        <v>0</v>
      </c>
      <c r="AZ34" s="340">
        <f>AM34*(1+'Summary. Assumptions. Inputs'!$C$28)</f>
        <v>0</v>
      </c>
      <c r="BA34" s="340">
        <f>AN34*(1+'Summary. Assumptions. Inputs'!$C$28)</f>
        <v>0</v>
      </c>
      <c r="BB34" s="340">
        <f>AO34*(1+'Summary. Assumptions. Inputs'!$C$28)</f>
        <v>0</v>
      </c>
      <c r="BC34" s="345">
        <f t="shared" si="23"/>
        <v>0</v>
      </c>
      <c r="BD34" s="340">
        <f>AQ34*(1+'Summary. Assumptions. Inputs'!$C$28)</f>
        <v>0</v>
      </c>
      <c r="BE34" s="340">
        <f>AR34*(1+'Summary. Assumptions. Inputs'!$C$28)</f>
        <v>0</v>
      </c>
      <c r="BF34" s="340">
        <f>AS34*(1+'Summary. Assumptions. Inputs'!$C$28)</f>
        <v>0</v>
      </c>
      <c r="BG34" s="340">
        <f>AT34*(1+'Summary. Assumptions. Inputs'!$C$28)</f>
        <v>0</v>
      </c>
      <c r="BH34" s="340">
        <f>AU34*(1+'Summary. Assumptions. Inputs'!$C$28)</f>
        <v>0</v>
      </c>
      <c r="BI34" s="340">
        <f>AV34*(1+'Summary. Assumptions. Inputs'!$C$28)</f>
        <v>0</v>
      </c>
      <c r="BJ34" s="340">
        <f>AW34*(1+'Summary. Assumptions. Inputs'!$C$28)</f>
        <v>0</v>
      </c>
      <c r="BK34" s="340">
        <f>AX34*(1+'Summary. Assumptions. Inputs'!$C$28)</f>
        <v>0</v>
      </c>
      <c r="BL34" s="340">
        <f>AY34*(1+'Summary. Assumptions. Inputs'!$C$28)</f>
        <v>0</v>
      </c>
      <c r="BM34" s="340">
        <f>AZ34*(1+'Summary. Assumptions. Inputs'!$C$28)</f>
        <v>0</v>
      </c>
      <c r="BN34" s="340">
        <f>BA34*(1+'Summary. Assumptions. Inputs'!$C$28)</f>
        <v>0</v>
      </c>
      <c r="BO34" s="340">
        <f>BB34*(1+'Summary. Assumptions. Inputs'!$C$28)</f>
        <v>0</v>
      </c>
      <c r="BP34" s="345">
        <f t="shared" si="25"/>
        <v>0</v>
      </c>
      <c r="BQ34" s="340">
        <f>BD34*(1+'Summary. Assumptions. Inputs'!$C$28)</f>
        <v>0</v>
      </c>
      <c r="BR34" s="340">
        <f>BE34*(1+'Summary. Assumptions. Inputs'!$C$28)</f>
        <v>0</v>
      </c>
      <c r="BS34" s="340">
        <f>BF34*(1+'Summary. Assumptions. Inputs'!$C$28)</f>
        <v>0</v>
      </c>
      <c r="BT34" s="340">
        <f>BG34*(1+'Summary. Assumptions. Inputs'!$C$28)</f>
        <v>0</v>
      </c>
      <c r="BU34" s="340">
        <f>BH34*(1+'Summary. Assumptions. Inputs'!$C$28)</f>
        <v>0</v>
      </c>
      <c r="BV34" s="340">
        <f>BI34*(1+'Summary. Assumptions. Inputs'!$C$28)</f>
        <v>0</v>
      </c>
      <c r="BW34" s="340">
        <f>BJ34*(1+'Summary. Assumptions. Inputs'!$C$28)</f>
        <v>0</v>
      </c>
      <c r="BX34" s="340">
        <f>BK34*(1+'Summary. Assumptions. Inputs'!$C$28)</f>
        <v>0</v>
      </c>
      <c r="BY34" s="340">
        <f>BL34*(1+'Summary. Assumptions. Inputs'!$C$28)</f>
        <v>0</v>
      </c>
      <c r="BZ34" s="340">
        <f>BM34*(1+'Summary. Assumptions. Inputs'!$C$28)</f>
        <v>0</v>
      </c>
      <c r="CA34" s="340">
        <f>BN34*(1+'Summary. Assumptions. Inputs'!$C$28)</f>
        <v>0</v>
      </c>
      <c r="CB34" s="340">
        <f>BO34*(1+'Summary. Assumptions. Inputs'!$C$28)</f>
        <v>0</v>
      </c>
      <c r="CC34" s="345">
        <f t="shared" si="27"/>
        <v>0</v>
      </c>
      <c r="CD34" s="340">
        <f>BQ34*(1+'Summary. Assumptions. Inputs'!$C$28)</f>
        <v>0</v>
      </c>
      <c r="CE34" s="340">
        <f>BR34*(1+'Summary. Assumptions. Inputs'!$C$28)</f>
        <v>0</v>
      </c>
      <c r="CF34" s="340">
        <f>BS34*(1+'Summary. Assumptions. Inputs'!$C$28)</f>
        <v>0</v>
      </c>
      <c r="CG34" s="340">
        <f>BT34*(1+'Summary. Assumptions. Inputs'!$C$28)</f>
        <v>0</v>
      </c>
      <c r="CH34" s="340">
        <f>BU34*(1+'Summary. Assumptions. Inputs'!$C$28)</f>
        <v>0</v>
      </c>
      <c r="CI34" s="340">
        <f>BV34*(1+'Summary. Assumptions. Inputs'!$C$28)</f>
        <v>0</v>
      </c>
      <c r="CJ34" s="340">
        <f>BW34*(1+'Summary. Assumptions. Inputs'!$C$28)</f>
        <v>0</v>
      </c>
      <c r="CK34" s="340">
        <f>BX34*(1+'Summary. Assumptions. Inputs'!$C$28)</f>
        <v>0</v>
      </c>
      <c r="CL34" s="340">
        <f>BY34*(1+'Summary. Assumptions. Inputs'!$C$28)</f>
        <v>0</v>
      </c>
      <c r="CM34" s="340">
        <f>BZ34*(1+'Summary. Assumptions. Inputs'!$C$28)</f>
        <v>0</v>
      </c>
      <c r="CN34" s="340">
        <f>CA34*(1+'Summary. Assumptions. Inputs'!$C$28)</f>
        <v>0</v>
      </c>
      <c r="CO34" s="340">
        <f>CB34*(1+'Summary. Assumptions. Inputs'!$C$28)</f>
        <v>0</v>
      </c>
      <c r="CP34" s="345">
        <f t="shared" si="29"/>
        <v>0</v>
      </c>
    </row>
    <row r="35" spans="1:94" hidden="1">
      <c r="A35" s="342">
        <f>'Summary. Assumptions. Inputs'!A62</f>
        <v>0</v>
      </c>
      <c r="B35" s="343">
        <f>'Summary. Assumptions. Inputs'!B62</f>
        <v>0</v>
      </c>
      <c r="C35" s="343"/>
      <c r="D35" s="340"/>
      <c r="E35" s="340"/>
      <c r="F35" s="340"/>
      <c r="G35" s="340"/>
      <c r="H35" s="340"/>
      <c r="I35" s="340"/>
      <c r="J35" s="340"/>
      <c r="K35" s="340"/>
      <c r="L35" s="340"/>
      <c r="M35" s="340"/>
      <c r="N35" s="340"/>
      <c r="O35" s="340"/>
      <c r="P35" s="343">
        <f t="shared" si="10"/>
        <v>0</v>
      </c>
      <c r="Q35" s="340">
        <f>D35*(1+'Summary. Assumptions. Inputs'!$C$28)</f>
        <v>0</v>
      </c>
      <c r="R35" s="340">
        <f>E35*(1+'Summary. Assumptions. Inputs'!$C$28)</f>
        <v>0</v>
      </c>
      <c r="S35" s="340">
        <f>F35*(1+'Summary. Assumptions. Inputs'!$C$28)</f>
        <v>0</v>
      </c>
      <c r="T35" s="340">
        <f>G35*(1+'Summary. Assumptions. Inputs'!$C$28)</f>
        <v>0</v>
      </c>
      <c r="U35" s="340">
        <f>H35*(1+'Summary. Assumptions. Inputs'!$C$28)</f>
        <v>0</v>
      </c>
      <c r="V35" s="340">
        <f>I35*(1+'Summary. Assumptions. Inputs'!$C$28)</f>
        <v>0</v>
      </c>
      <c r="W35" s="340">
        <f>J35*(1+'Summary. Assumptions. Inputs'!$C$28)</f>
        <v>0</v>
      </c>
      <c r="X35" s="340">
        <f>K35*(1+'Summary. Assumptions. Inputs'!$C$28)</f>
        <v>0</v>
      </c>
      <c r="Y35" s="340">
        <f>L35*(1+'Summary. Assumptions. Inputs'!$C$28)</f>
        <v>0</v>
      </c>
      <c r="Z35" s="340">
        <f>M35*(1+'Summary. Assumptions. Inputs'!$C$28)</f>
        <v>0</v>
      </c>
      <c r="AA35" s="340">
        <f>N35*(1+'Summary. Assumptions. Inputs'!$C$28)</f>
        <v>0</v>
      </c>
      <c r="AB35" s="340">
        <f>O35*(1+'Summary. Assumptions. Inputs'!$C$28)</f>
        <v>0</v>
      </c>
      <c r="AC35" s="343">
        <f t="shared" si="19"/>
        <v>0</v>
      </c>
      <c r="AD35" s="340">
        <f>Q35*(1+'Summary. Assumptions. Inputs'!$C$28)</f>
        <v>0</v>
      </c>
      <c r="AE35" s="340">
        <f>R35*(1+'Summary. Assumptions. Inputs'!$C$28)</f>
        <v>0</v>
      </c>
      <c r="AF35" s="340">
        <f>S35*(1+'Summary. Assumptions. Inputs'!$C$28)</f>
        <v>0</v>
      </c>
      <c r="AG35" s="340">
        <f>T35*(1+'Summary. Assumptions. Inputs'!$C$28)</f>
        <v>0</v>
      </c>
      <c r="AH35" s="340">
        <f>U35*(1+'Summary. Assumptions. Inputs'!$C$28)</f>
        <v>0</v>
      </c>
      <c r="AI35" s="340">
        <f>V35*(1+'Summary. Assumptions. Inputs'!$C$28)</f>
        <v>0</v>
      </c>
      <c r="AJ35" s="340">
        <f>W35*(1+'Summary. Assumptions. Inputs'!$C$28)</f>
        <v>0</v>
      </c>
      <c r="AK35" s="340">
        <f>X35*(1+'Summary. Assumptions. Inputs'!$C$28)</f>
        <v>0</v>
      </c>
      <c r="AL35" s="340">
        <f>Y35*(1+'Summary. Assumptions. Inputs'!$C$28)</f>
        <v>0</v>
      </c>
      <c r="AM35" s="340">
        <f>Z35*(1+'Summary. Assumptions. Inputs'!$C$28)</f>
        <v>0</v>
      </c>
      <c r="AN35" s="340">
        <f>AA35*(1+'Summary. Assumptions. Inputs'!$C$28)</f>
        <v>0</v>
      </c>
      <c r="AO35" s="340">
        <f>AB35*(1+'Summary. Assumptions. Inputs'!$C$28)</f>
        <v>0</v>
      </c>
      <c r="AP35" s="343">
        <f t="shared" si="21"/>
        <v>0</v>
      </c>
      <c r="AQ35" s="340">
        <f>AD35*(1+'Summary. Assumptions. Inputs'!$C$28)</f>
        <v>0</v>
      </c>
      <c r="AR35" s="340">
        <f>AE35*(1+'Summary. Assumptions. Inputs'!$C$28)</f>
        <v>0</v>
      </c>
      <c r="AS35" s="340">
        <f>AF35*(1+'Summary. Assumptions. Inputs'!$C$28)</f>
        <v>0</v>
      </c>
      <c r="AT35" s="340">
        <f>AG35*(1+'Summary. Assumptions. Inputs'!$C$28)</f>
        <v>0</v>
      </c>
      <c r="AU35" s="340">
        <f>AH35*(1+'Summary. Assumptions. Inputs'!$C$28)</f>
        <v>0</v>
      </c>
      <c r="AV35" s="340">
        <f>AI35*(1+'Summary. Assumptions. Inputs'!$C$28)</f>
        <v>0</v>
      </c>
      <c r="AW35" s="340">
        <f>AJ35*(1+'Summary. Assumptions. Inputs'!$C$28)</f>
        <v>0</v>
      </c>
      <c r="AX35" s="340">
        <f>AK35*(1+'Summary. Assumptions. Inputs'!$C$28)</f>
        <v>0</v>
      </c>
      <c r="AY35" s="340">
        <f>AL35*(1+'Summary. Assumptions. Inputs'!$C$28)</f>
        <v>0</v>
      </c>
      <c r="AZ35" s="340">
        <f>AM35*(1+'Summary. Assumptions. Inputs'!$C$28)</f>
        <v>0</v>
      </c>
      <c r="BA35" s="340">
        <f>AN35*(1+'Summary. Assumptions. Inputs'!$C$28)</f>
        <v>0</v>
      </c>
      <c r="BB35" s="340">
        <f>AO35*(1+'Summary. Assumptions. Inputs'!$C$28)</f>
        <v>0</v>
      </c>
      <c r="BC35" s="343">
        <f t="shared" si="23"/>
        <v>0</v>
      </c>
      <c r="BD35" s="340">
        <f>AQ35*(1+'Summary. Assumptions. Inputs'!$C$28)</f>
        <v>0</v>
      </c>
      <c r="BE35" s="340">
        <f>AR35*(1+'Summary. Assumptions. Inputs'!$C$28)</f>
        <v>0</v>
      </c>
      <c r="BF35" s="340">
        <f>AS35*(1+'Summary. Assumptions. Inputs'!$C$28)</f>
        <v>0</v>
      </c>
      <c r="BG35" s="340">
        <f>AT35*(1+'Summary. Assumptions. Inputs'!$C$28)</f>
        <v>0</v>
      </c>
      <c r="BH35" s="340">
        <f>AU35*(1+'Summary. Assumptions. Inputs'!$C$28)</f>
        <v>0</v>
      </c>
      <c r="BI35" s="340">
        <f>AV35*(1+'Summary. Assumptions. Inputs'!$C$28)</f>
        <v>0</v>
      </c>
      <c r="BJ35" s="340">
        <f>AW35*(1+'Summary. Assumptions. Inputs'!$C$28)</f>
        <v>0</v>
      </c>
      <c r="BK35" s="340">
        <f>AX35*(1+'Summary. Assumptions. Inputs'!$C$28)</f>
        <v>0</v>
      </c>
      <c r="BL35" s="340">
        <f>AY35*(1+'Summary. Assumptions. Inputs'!$C$28)</f>
        <v>0</v>
      </c>
      <c r="BM35" s="340">
        <f>AZ35*(1+'Summary. Assumptions. Inputs'!$C$28)</f>
        <v>0</v>
      </c>
      <c r="BN35" s="340">
        <f>BA35*(1+'Summary. Assumptions. Inputs'!$C$28)</f>
        <v>0</v>
      </c>
      <c r="BO35" s="340">
        <f>BB35*(1+'Summary. Assumptions. Inputs'!$C$28)</f>
        <v>0</v>
      </c>
      <c r="BP35" s="343">
        <f t="shared" si="25"/>
        <v>0</v>
      </c>
      <c r="BQ35" s="340">
        <f>BD35*(1+'Summary. Assumptions. Inputs'!$C$28)</f>
        <v>0</v>
      </c>
      <c r="BR35" s="340">
        <f>BE35*(1+'Summary. Assumptions. Inputs'!$C$28)</f>
        <v>0</v>
      </c>
      <c r="BS35" s="340">
        <f>BF35*(1+'Summary. Assumptions. Inputs'!$C$28)</f>
        <v>0</v>
      </c>
      <c r="BT35" s="340">
        <f>BG35*(1+'Summary. Assumptions. Inputs'!$C$28)</f>
        <v>0</v>
      </c>
      <c r="BU35" s="340">
        <f>BH35*(1+'Summary. Assumptions. Inputs'!$C$28)</f>
        <v>0</v>
      </c>
      <c r="BV35" s="340">
        <f>BI35*(1+'Summary. Assumptions. Inputs'!$C$28)</f>
        <v>0</v>
      </c>
      <c r="BW35" s="340">
        <f>BJ35*(1+'Summary. Assumptions. Inputs'!$C$28)</f>
        <v>0</v>
      </c>
      <c r="BX35" s="340">
        <f>BK35*(1+'Summary. Assumptions. Inputs'!$C$28)</f>
        <v>0</v>
      </c>
      <c r="BY35" s="340">
        <f>BL35*(1+'Summary. Assumptions. Inputs'!$C$28)</f>
        <v>0</v>
      </c>
      <c r="BZ35" s="340">
        <f>BM35*(1+'Summary. Assumptions. Inputs'!$C$28)</f>
        <v>0</v>
      </c>
      <c r="CA35" s="340">
        <f>BN35*(1+'Summary. Assumptions. Inputs'!$C$28)</f>
        <v>0</v>
      </c>
      <c r="CB35" s="340">
        <f>BO35*(1+'Summary. Assumptions. Inputs'!$C$28)</f>
        <v>0</v>
      </c>
      <c r="CC35" s="343">
        <f t="shared" si="27"/>
        <v>0</v>
      </c>
      <c r="CD35" s="340">
        <f>BQ35*(1+'Summary. Assumptions. Inputs'!$C$28)</f>
        <v>0</v>
      </c>
      <c r="CE35" s="340">
        <f>BR35*(1+'Summary. Assumptions. Inputs'!$C$28)</f>
        <v>0</v>
      </c>
      <c r="CF35" s="340">
        <f>BS35*(1+'Summary. Assumptions. Inputs'!$C$28)</f>
        <v>0</v>
      </c>
      <c r="CG35" s="340">
        <f>BT35*(1+'Summary. Assumptions. Inputs'!$C$28)</f>
        <v>0</v>
      </c>
      <c r="CH35" s="340">
        <f>BU35*(1+'Summary. Assumptions. Inputs'!$C$28)</f>
        <v>0</v>
      </c>
      <c r="CI35" s="340">
        <f>BV35*(1+'Summary. Assumptions. Inputs'!$C$28)</f>
        <v>0</v>
      </c>
      <c r="CJ35" s="340">
        <f>BW35*(1+'Summary. Assumptions. Inputs'!$C$28)</f>
        <v>0</v>
      </c>
      <c r="CK35" s="340">
        <f>BX35*(1+'Summary. Assumptions. Inputs'!$C$28)</f>
        <v>0</v>
      </c>
      <c r="CL35" s="340">
        <f>BY35*(1+'Summary. Assumptions. Inputs'!$C$28)</f>
        <v>0</v>
      </c>
      <c r="CM35" s="340">
        <f>BZ35*(1+'Summary. Assumptions. Inputs'!$C$28)</f>
        <v>0</v>
      </c>
      <c r="CN35" s="340">
        <f>CA35*(1+'Summary. Assumptions. Inputs'!$C$28)</f>
        <v>0</v>
      </c>
      <c r="CO35" s="340">
        <f>CB35*(1+'Summary. Assumptions. Inputs'!$C$28)</f>
        <v>0</v>
      </c>
      <c r="CP35" s="343">
        <f t="shared" si="29"/>
        <v>0</v>
      </c>
    </row>
    <row r="36" spans="1:94" hidden="1">
      <c r="A36" s="344">
        <f>'Summary. Assumptions. Inputs'!A63</f>
        <v>0</v>
      </c>
      <c r="B36" s="345">
        <f>'Summary. Assumptions. Inputs'!B63</f>
        <v>0</v>
      </c>
      <c r="C36" s="345"/>
      <c r="D36" s="340"/>
      <c r="E36" s="340"/>
      <c r="F36" s="340"/>
      <c r="G36" s="340"/>
      <c r="H36" s="340"/>
      <c r="I36" s="340"/>
      <c r="J36" s="340"/>
      <c r="K36" s="340"/>
      <c r="L36" s="340"/>
      <c r="M36" s="340"/>
      <c r="N36" s="340"/>
      <c r="O36" s="340"/>
      <c r="P36" s="345">
        <f t="shared" si="10"/>
        <v>0</v>
      </c>
      <c r="Q36" s="340">
        <f>D36*(1+'Summary. Assumptions. Inputs'!$C$28)</f>
        <v>0</v>
      </c>
      <c r="R36" s="340">
        <f>E36*(1+'Summary. Assumptions. Inputs'!$C$28)</f>
        <v>0</v>
      </c>
      <c r="S36" s="340">
        <f>F36*(1+'Summary. Assumptions. Inputs'!$C$28)</f>
        <v>0</v>
      </c>
      <c r="T36" s="340">
        <f>G36*(1+'Summary. Assumptions. Inputs'!$C$28)</f>
        <v>0</v>
      </c>
      <c r="U36" s="340">
        <f>H36*(1+'Summary. Assumptions. Inputs'!$C$28)</f>
        <v>0</v>
      </c>
      <c r="V36" s="340">
        <f>I36*(1+'Summary. Assumptions. Inputs'!$C$28)</f>
        <v>0</v>
      </c>
      <c r="W36" s="340">
        <f>J36*(1+'Summary. Assumptions. Inputs'!$C$28)</f>
        <v>0</v>
      </c>
      <c r="X36" s="340">
        <f>K36*(1+'Summary. Assumptions. Inputs'!$C$28)</f>
        <v>0</v>
      </c>
      <c r="Y36" s="340">
        <f>L36*(1+'Summary. Assumptions. Inputs'!$C$28)</f>
        <v>0</v>
      </c>
      <c r="Z36" s="340">
        <f>M36*(1+'Summary. Assumptions. Inputs'!$C$28)</f>
        <v>0</v>
      </c>
      <c r="AA36" s="340">
        <f>N36*(1+'Summary. Assumptions. Inputs'!$C$28)</f>
        <v>0</v>
      </c>
      <c r="AB36" s="340">
        <f>O36*(1+'Summary. Assumptions. Inputs'!$C$28)</f>
        <v>0</v>
      </c>
      <c r="AC36" s="345">
        <f t="shared" si="19"/>
        <v>0</v>
      </c>
      <c r="AD36" s="340">
        <f>Q36*(1+'Summary. Assumptions. Inputs'!$C$28)</f>
        <v>0</v>
      </c>
      <c r="AE36" s="340">
        <f>R36*(1+'Summary. Assumptions. Inputs'!$C$28)</f>
        <v>0</v>
      </c>
      <c r="AF36" s="340">
        <f>S36*(1+'Summary. Assumptions. Inputs'!$C$28)</f>
        <v>0</v>
      </c>
      <c r="AG36" s="340">
        <f>T36*(1+'Summary. Assumptions. Inputs'!$C$28)</f>
        <v>0</v>
      </c>
      <c r="AH36" s="340">
        <f>U36*(1+'Summary. Assumptions. Inputs'!$C$28)</f>
        <v>0</v>
      </c>
      <c r="AI36" s="340">
        <f>V36*(1+'Summary. Assumptions. Inputs'!$C$28)</f>
        <v>0</v>
      </c>
      <c r="AJ36" s="340">
        <f>W36*(1+'Summary. Assumptions. Inputs'!$C$28)</f>
        <v>0</v>
      </c>
      <c r="AK36" s="340">
        <f>X36*(1+'Summary. Assumptions. Inputs'!$C$28)</f>
        <v>0</v>
      </c>
      <c r="AL36" s="340">
        <f>Y36*(1+'Summary. Assumptions. Inputs'!$C$28)</f>
        <v>0</v>
      </c>
      <c r="AM36" s="340">
        <f>Z36*(1+'Summary. Assumptions. Inputs'!$C$28)</f>
        <v>0</v>
      </c>
      <c r="AN36" s="340">
        <f>AA36*(1+'Summary. Assumptions. Inputs'!$C$28)</f>
        <v>0</v>
      </c>
      <c r="AO36" s="340">
        <f>AB36*(1+'Summary. Assumptions. Inputs'!$C$28)</f>
        <v>0</v>
      </c>
      <c r="AP36" s="345">
        <f t="shared" si="21"/>
        <v>0</v>
      </c>
      <c r="AQ36" s="340">
        <f>AD36*(1+'Summary. Assumptions. Inputs'!$C$28)</f>
        <v>0</v>
      </c>
      <c r="AR36" s="340">
        <f>AE36*(1+'Summary. Assumptions. Inputs'!$C$28)</f>
        <v>0</v>
      </c>
      <c r="AS36" s="340">
        <f>AF36*(1+'Summary. Assumptions. Inputs'!$C$28)</f>
        <v>0</v>
      </c>
      <c r="AT36" s="340">
        <f>AG36*(1+'Summary. Assumptions. Inputs'!$C$28)</f>
        <v>0</v>
      </c>
      <c r="AU36" s="340">
        <f>AH36*(1+'Summary. Assumptions. Inputs'!$C$28)</f>
        <v>0</v>
      </c>
      <c r="AV36" s="340">
        <f>AI36*(1+'Summary. Assumptions. Inputs'!$C$28)</f>
        <v>0</v>
      </c>
      <c r="AW36" s="340">
        <f>AJ36*(1+'Summary. Assumptions. Inputs'!$C$28)</f>
        <v>0</v>
      </c>
      <c r="AX36" s="340">
        <f>AK36*(1+'Summary. Assumptions. Inputs'!$C$28)</f>
        <v>0</v>
      </c>
      <c r="AY36" s="340">
        <f>AL36*(1+'Summary. Assumptions. Inputs'!$C$28)</f>
        <v>0</v>
      </c>
      <c r="AZ36" s="340">
        <f>AM36*(1+'Summary. Assumptions. Inputs'!$C$28)</f>
        <v>0</v>
      </c>
      <c r="BA36" s="340">
        <f>AN36*(1+'Summary. Assumptions. Inputs'!$C$28)</f>
        <v>0</v>
      </c>
      <c r="BB36" s="340">
        <f>AO36*(1+'Summary. Assumptions. Inputs'!$C$28)</f>
        <v>0</v>
      </c>
      <c r="BC36" s="345">
        <f t="shared" si="23"/>
        <v>0</v>
      </c>
      <c r="BD36" s="340">
        <f>AQ36*(1+'Summary. Assumptions. Inputs'!$C$28)</f>
        <v>0</v>
      </c>
      <c r="BE36" s="340">
        <f>AR36*(1+'Summary. Assumptions. Inputs'!$C$28)</f>
        <v>0</v>
      </c>
      <c r="BF36" s="340">
        <f>AS36*(1+'Summary. Assumptions. Inputs'!$C$28)</f>
        <v>0</v>
      </c>
      <c r="BG36" s="340">
        <f>AT36*(1+'Summary. Assumptions. Inputs'!$C$28)</f>
        <v>0</v>
      </c>
      <c r="BH36" s="340">
        <f>AU36*(1+'Summary. Assumptions. Inputs'!$C$28)</f>
        <v>0</v>
      </c>
      <c r="BI36" s="340">
        <f>AV36*(1+'Summary. Assumptions. Inputs'!$C$28)</f>
        <v>0</v>
      </c>
      <c r="BJ36" s="340">
        <f>AW36*(1+'Summary. Assumptions. Inputs'!$C$28)</f>
        <v>0</v>
      </c>
      <c r="BK36" s="340">
        <f>AX36*(1+'Summary. Assumptions. Inputs'!$C$28)</f>
        <v>0</v>
      </c>
      <c r="BL36" s="340">
        <f>AY36*(1+'Summary. Assumptions. Inputs'!$C$28)</f>
        <v>0</v>
      </c>
      <c r="BM36" s="340">
        <f>AZ36*(1+'Summary. Assumptions. Inputs'!$C$28)</f>
        <v>0</v>
      </c>
      <c r="BN36" s="340">
        <f>BA36*(1+'Summary. Assumptions. Inputs'!$C$28)</f>
        <v>0</v>
      </c>
      <c r="BO36" s="340">
        <f>BB36*(1+'Summary. Assumptions. Inputs'!$C$28)</f>
        <v>0</v>
      </c>
      <c r="BP36" s="345">
        <f t="shared" si="25"/>
        <v>0</v>
      </c>
      <c r="BQ36" s="340">
        <f>BD36*(1+'Summary. Assumptions. Inputs'!$C$28)</f>
        <v>0</v>
      </c>
      <c r="BR36" s="340">
        <f>BE36*(1+'Summary. Assumptions. Inputs'!$C$28)</f>
        <v>0</v>
      </c>
      <c r="BS36" s="340">
        <f>BF36*(1+'Summary. Assumptions. Inputs'!$C$28)</f>
        <v>0</v>
      </c>
      <c r="BT36" s="340">
        <f>BG36*(1+'Summary. Assumptions. Inputs'!$C$28)</f>
        <v>0</v>
      </c>
      <c r="BU36" s="340">
        <f>BH36*(1+'Summary. Assumptions. Inputs'!$C$28)</f>
        <v>0</v>
      </c>
      <c r="BV36" s="340">
        <f>BI36*(1+'Summary. Assumptions. Inputs'!$C$28)</f>
        <v>0</v>
      </c>
      <c r="BW36" s="340">
        <f>BJ36*(1+'Summary. Assumptions. Inputs'!$C$28)</f>
        <v>0</v>
      </c>
      <c r="BX36" s="340">
        <f>BK36*(1+'Summary. Assumptions. Inputs'!$C$28)</f>
        <v>0</v>
      </c>
      <c r="BY36" s="340">
        <f>BL36*(1+'Summary. Assumptions. Inputs'!$C$28)</f>
        <v>0</v>
      </c>
      <c r="BZ36" s="340">
        <f>BM36*(1+'Summary. Assumptions. Inputs'!$C$28)</f>
        <v>0</v>
      </c>
      <c r="CA36" s="340">
        <f>BN36*(1+'Summary. Assumptions. Inputs'!$C$28)</f>
        <v>0</v>
      </c>
      <c r="CB36" s="340">
        <f>BO36*(1+'Summary. Assumptions. Inputs'!$C$28)</f>
        <v>0</v>
      </c>
      <c r="CC36" s="345">
        <f t="shared" si="27"/>
        <v>0</v>
      </c>
      <c r="CD36" s="340">
        <f>BQ36*(1+'Summary. Assumptions. Inputs'!$C$28)</f>
        <v>0</v>
      </c>
      <c r="CE36" s="340">
        <f>BR36*(1+'Summary. Assumptions. Inputs'!$C$28)</f>
        <v>0</v>
      </c>
      <c r="CF36" s="340">
        <f>BS36*(1+'Summary. Assumptions. Inputs'!$C$28)</f>
        <v>0</v>
      </c>
      <c r="CG36" s="340">
        <f>BT36*(1+'Summary. Assumptions. Inputs'!$C$28)</f>
        <v>0</v>
      </c>
      <c r="CH36" s="340">
        <f>BU36*(1+'Summary. Assumptions. Inputs'!$C$28)</f>
        <v>0</v>
      </c>
      <c r="CI36" s="340">
        <f>BV36*(1+'Summary. Assumptions. Inputs'!$C$28)</f>
        <v>0</v>
      </c>
      <c r="CJ36" s="340">
        <f>BW36*(1+'Summary. Assumptions. Inputs'!$C$28)</f>
        <v>0</v>
      </c>
      <c r="CK36" s="340">
        <f>BX36*(1+'Summary. Assumptions. Inputs'!$C$28)</f>
        <v>0</v>
      </c>
      <c r="CL36" s="340">
        <f>BY36*(1+'Summary. Assumptions. Inputs'!$C$28)</f>
        <v>0</v>
      </c>
      <c r="CM36" s="340">
        <f>BZ36*(1+'Summary. Assumptions. Inputs'!$C$28)</f>
        <v>0</v>
      </c>
      <c r="CN36" s="340">
        <f>CA36*(1+'Summary. Assumptions. Inputs'!$C$28)</f>
        <v>0</v>
      </c>
      <c r="CO36" s="340">
        <f>CB36*(1+'Summary. Assumptions. Inputs'!$C$28)</f>
        <v>0</v>
      </c>
      <c r="CP36" s="345">
        <f t="shared" si="29"/>
        <v>0</v>
      </c>
    </row>
    <row r="37" spans="1:94" hidden="1">
      <c r="A37" s="342">
        <f>'Summary. Assumptions. Inputs'!A64</f>
        <v>0</v>
      </c>
      <c r="B37" s="343">
        <f>'Summary. Assumptions. Inputs'!B64</f>
        <v>0</v>
      </c>
      <c r="C37" s="343"/>
      <c r="D37" s="340"/>
      <c r="E37" s="340"/>
      <c r="F37" s="340"/>
      <c r="G37" s="340"/>
      <c r="H37" s="340"/>
      <c r="I37" s="340"/>
      <c r="J37" s="340"/>
      <c r="K37" s="340"/>
      <c r="L37" s="340"/>
      <c r="M37" s="340"/>
      <c r="N37" s="340"/>
      <c r="O37" s="340"/>
      <c r="P37" s="343">
        <f t="shared" si="10"/>
        <v>0</v>
      </c>
      <c r="Q37" s="340">
        <f>D37*(1+'Summary. Assumptions. Inputs'!$C$28)</f>
        <v>0</v>
      </c>
      <c r="R37" s="340">
        <f>E37*(1+'Summary. Assumptions. Inputs'!$C$28)</f>
        <v>0</v>
      </c>
      <c r="S37" s="340">
        <f>F37*(1+'Summary. Assumptions. Inputs'!$C$28)</f>
        <v>0</v>
      </c>
      <c r="T37" s="340">
        <f>G37*(1+'Summary. Assumptions. Inputs'!$C$28)</f>
        <v>0</v>
      </c>
      <c r="U37" s="340">
        <f>H37*(1+'Summary. Assumptions. Inputs'!$C$28)</f>
        <v>0</v>
      </c>
      <c r="V37" s="340">
        <f>I37*(1+'Summary. Assumptions. Inputs'!$C$28)</f>
        <v>0</v>
      </c>
      <c r="W37" s="340">
        <f>J37*(1+'Summary. Assumptions. Inputs'!$C$28)</f>
        <v>0</v>
      </c>
      <c r="X37" s="340">
        <f>K37*(1+'Summary. Assumptions. Inputs'!$C$28)</f>
        <v>0</v>
      </c>
      <c r="Y37" s="340">
        <f>L37*(1+'Summary. Assumptions. Inputs'!$C$28)</f>
        <v>0</v>
      </c>
      <c r="Z37" s="340">
        <f>M37*(1+'Summary. Assumptions. Inputs'!$C$28)</f>
        <v>0</v>
      </c>
      <c r="AA37" s="340">
        <f>N37*(1+'Summary. Assumptions. Inputs'!$C$28)</f>
        <v>0</v>
      </c>
      <c r="AB37" s="340">
        <f>O37*(1+'Summary. Assumptions. Inputs'!$C$28)</f>
        <v>0</v>
      </c>
      <c r="AC37" s="343">
        <f t="shared" si="19"/>
        <v>0</v>
      </c>
      <c r="AD37" s="340">
        <f>Q37*(1+'Summary. Assumptions. Inputs'!$C$28)</f>
        <v>0</v>
      </c>
      <c r="AE37" s="340">
        <f>R37*(1+'Summary. Assumptions. Inputs'!$C$28)</f>
        <v>0</v>
      </c>
      <c r="AF37" s="340">
        <f>S37*(1+'Summary. Assumptions. Inputs'!$C$28)</f>
        <v>0</v>
      </c>
      <c r="AG37" s="340">
        <f>T37*(1+'Summary. Assumptions. Inputs'!$C$28)</f>
        <v>0</v>
      </c>
      <c r="AH37" s="340">
        <f>U37*(1+'Summary. Assumptions. Inputs'!$C$28)</f>
        <v>0</v>
      </c>
      <c r="AI37" s="340">
        <f>V37*(1+'Summary. Assumptions. Inputs'!$C$28)</f>
        <v>0</v>
      </c>
      <c r="AJ37" s="340">
        <f>W37*(1+'Summary. Assumptions. Inputs'!$C$28)</f>
        <v>0</v>
      </c>
      <c r="AK37" s="340">
        <f>X37*(1+'Summary. Assumptions. Inputs'!$C$28)</f>
        <v>0</v>
      </c>
      <c r="AL37" s="340">
        <f>Y37*(1+'Summary. Assumptions. Inputs'!$C$28)</f>
        <v>0</v>
      </c>
      <c r="AM37" s="340">
        <f>Z37*(1+'Summary. Assumptions. Inputs'!$C$28)</f>
        <v>0</v>
      </c>
      <c r="AN37" s="340">
        <f>AA37*(1+'Summary. Assumptions. Inputs'!$C$28)</f>
        <v>0</v>
      </c>
      <c r="AO37" s="340">
        <f>AB37*(1+'Summary. Assumptions. Inputs'!$C$28)</f>
        <v>0</v>
      </c>
      <c r="AP37" s="343">
        <f t="shared" si="21"/>
        <v>0</v>
      </c>
      <c r="AQ37" s="340">
        <f>AD37*(1+'Summary. Assumptions. Inputs'!$C$28)</f>
        <v>0</v>
      </c>
      <c r="AR37" s="340">
        <f>AE37*(1+'Summary. Assumptions. Inputs'!$C$28)</f>
        <v>0</v>
      </c>
      <c r="AS37" s="340">
        <f>AF37*(1+'Summary. Assumptions. Inputs'!$C$28)</f>
        <v>0</v>
      </c>
      <c r="AT37" s="340">
        <f>AG37*(1+'Summary. Assumptions. Inputs'!$C$28)</f>
        <v>0</v>
      </c>
      <c r="AU37" s="340">
        <f>AH37*(1+'Summary. Assumptions. Inputs'!$C$28)</f>
        <v>0</v>
      </c>
      <c r="AV37" s="340">
        <f>AI37*(1+'Summary. Assumptions. Inputs'!$C$28)</f>
        <v>0</v>
      </c>
      <c r="AW37" s="340">
        <f>AJ37*(1+'Summary. Assumptions. Inputs'!$C$28)</f>
        <v>0</v>
      </c>
      <c r="AX37" s="340">
        <f>AK37*(1+'Summary. Assumptions. Inputs'!$C$28)</f>
        <v>0</v>
      </c>
      <c r="AY37" s="340">
        <f>AL37*(1+'Summary. Assumptions. Inputs'!$C$28)</f>
        <v>0</v>
      </c>
      <c r="AZ37" s="340">
        <f>AM37*(1+'Summary. Assumptions. Inputs'!$C$28)</f>
        <v>0</v>
      </c>
      <c r="BA37" s="340">
        <f>AN37*(1+'Summary. Assumptions. Inputs'!$C$28)</f>
        <v>0</v>
      </c>
      <c r="BB37" s="340">
        <f>AO37*(1+'Summary. Assumptions. Inputs'!$C$28)</f>
        <v>0</v>
      </c>
      <c r="BC37" s="343">
        <f t="shared" si="23"/>
        <v>0</v>
      </c>
      <c r="BD37" s="340">
        <f>AQ37*(1+'Summary. Assumptions. Inputs'!$C$28)</f>
        <v>0</v>
      </c>
      <c r="BE37" s="340">
        <f>AR37*(1+'Summary. Assumptions. Inputs'!$C$28)</f>
        <v>0</v>
      </c>
      <c r="BF37" s="340">
        <f>AS37*(1+'Summary. Assumptions. Inputs'!$C$28)</f>
        <v>0</v>
      </c>
      <c r="BG37" s="340">
        <f>AT37*(1+'Summary. Assumptions. Inputs'!$C$28)</f>
        <v>0</v>
      </c>
      <c r="BH37" s="340">
        <f>AU37*(1+'Summary. Assumptions. Inputs'!$C$28)</f>
        <v>0</v>
      </c>
      <c r="BI37" s="340">
        <f>AV37*(1+'Summary. Assumptions. Inputs'!$C$28)</f>
        <v>0</v>
      </c>
      <c r="BJ37" s="340">
        <f>AW37*(1+'Summary. Assumptions. Inputs'!$C$28)</f>
        <v>0</v>
      </c>
      <c r="BK37" s="340">
        <f>AX37*(1+'Summary. Assumptions. Inputs'!$C$28)</f>
        <v>0</v>
      </c>
      <c r="BL37" s="340">
        <f>AY37*(1+'Summary. Assumptions. Inputs'!$C$28)</f>
        <v>0</v>
      </c>
      <c r="BM37" s="340">
        <f>AZ37*(1+'Summary. Assumptions. Inputs'!$C$28)</f>
        <v>0</v>
      </c>
      <c r="BN37" s="340">
        <f>BA37*(1+'Summary. Assumptions. Inputs'!$C$28)</f>
        <v>0</v>
      </c>
      <c r="BO37" s="340">
        <f>BB37*(1+'Summary. Assumptions. Inputs'!$C$28)</f>
        <v>0</v>
      </c>
      <c r="BP37" s="343">
        <f t="shared" si="25"/>
        <v>0</v>
      </c>
      <c r="BQ37" s="340">
        <f>BD37*(1+'Summary. Assumptions. Inputs'!$C$28)</f>
        <v>0</v>
      </c>
      <c r="BR37" s="340">
        <f>BE37*(1+'Summary. Assumptions. Inputs'!$C$28)</f>
        <v>0</v>
      </c>
      <c r="BS37" s="340">
        <f>BF37*(1+'Summary. Assumptions. Inputs'!$C$28)</f>
        <v>0</v>
      </c>
      <c r="BT37" s="340">
        <f>BG37*(1+'Summary. Assumptions. Inputs'!$C$28)</f>
        <v>0</v>
      </c>
      <c r="BU37" s="340">
        <f>BH37*(1+'Summary. Assumptions. Inputs'!$C$28)</f>
        <v>0</v>
      </c>
      <c r="BV37" s="340">
        <f>BI37*(1+'Summary. Assumptions. Inputs'!$C$28)</f>
        <v>0</v>
      </c>
      <c r="BW37" s="340">
        <f>BJ37*(1+'Summary. Assumptions. Inputs'!$C$28)</f>
        <v>0</v>
      </c>
      <c r="BX37" s="340">
        <f>BK37*(1+'Summary. Assumptions. Inputs'!$C$28)</f>
        <v>0</v>
      </c>
      <c r="BY37" s="340">
        <f>BL37*(1+'Summary. Assumptions. Inputs'!$C$28)</f>
        <v>0</v>
      </c>
      <c r="BZ37" s="340">
        <f>BM37*(1+'Summary. Assumptions. Inputs'!$C$28)</f>
        <v>0</v>
      </c>
      <c r="CA37" s="340">
        <f>BN37*(1+'Summary. Assumptions. Inputs'!$C$28)</f>
        <v>0</v>
      </c>
      <c r="CB37" s="340">
        <f>BO37*(1+'Summary. Assumptions. Inputs'!$C$28)</f>
        <v>0</v>
      </c>
      <c r="CC37" s="343">
        <f t="shared" si="27"/>
        <v>0</v>
      </c>
      <c r="CD37" s="340">
        <f>BQ37*(1+'Summary. Assumptions. Inputs'!$C$28)</f>
        <v>0</v>
      </c>
      <c r="CE37" s="340">
        <f>BR37*(1+'Summary. Assumptions. Inputs'!$C$28)</f>
        <v>0</v>
      </c>
      <c r="CF37" s="340">
        <f>BS37*(1+'Summary. Assumptions. Inputs'!$C$28)</f>
        <v>0</v>
      </c>
      <c r="CG37" s="340">
        <f>BT37*(1+'Summary. Assumptions. Inputs'!$C$28)</f>
        <v>0</v>
      </c>
      <c r="CH37" s="340">
        <f>BU37*(1+'Summary. Assumptions. Inputs'!$C$28)</f>
        <v>0</v>
      </c>
      <c r="CI37" s="340">
        <f>BV37*(1+'Summary. Assumptions. Inputs'!$C$28)</f>
        <v>0</v>
      </c>
      <c r="CJ37" s="340">
        <f>BW37*(1+'Summary. Assumptions. Inputs'!$C$28)</f>
        <v>0</v>
      </c>
      <c r="CK37" s="340">
        <f>BX37*(1+'Summary. Assumptions. Inputs'!$C$28)</f>
        <v>0</v>
      </c>
      <c r="CL37" s="340">
        <f>BY37*(1+'Summary. Assumptions. Inputs'!$C$28)</f>
        <v>0</v>
      </c>
      <c r="CM37" s="340">
        <f>BZ37*(1+'Summary. Assumptions. Inputs'!$C$28)</f>
        <v>0</v>
      </c>
      <c r="CN37" s="340">
        <f>CA37*(1+'Summary. Assumptions. Inputs'!$C$28)</f>
        <v>0</v>
      </c>
      <c r="CO37" s="340">
        <f>CB37*(1+'Summary. Assumptions. Inputs'!$C$28)</f>
        <v>0</v>
      </c>
      <c r="CP37" s="343">
        <f t="shared" si="29"/>
        <v>0</v>
      </c>
    </row>
    <row r="38" spans="1:94" hidden="1">
      <c r="A38" s="344">
        <f>'Summary. Assumptions. Inputs'!A65</f>
        <v>0</v>
      </c>
      <c r="B38" s="345">
        <f>'Summary. Assumptions. Inputs'!B65</f>
        <v>0</v>
      </c>
      <c r="C38" s="345"/>
      <c r="D38" s="340"/>
      <c r="E38" s="340"/>
      <c r="F38" s="340"/>
      <c r="G38" s="340"/>
      <c r="H38" s="340"/>
      <c r="I38" s="340"/>
      <c r="J38" s="340"/>
      <c r="K38" s="340"/>
      <c r="L38" s="340"/>
      <c r="M38" s="340"/>
      <c r="N38" s="340"/>
      <c r="O38" s="340"/>
      <c r="P38" s="345">
        <f t="shared" si="10"/>
        <v>0</v>
      </c>
      <c r="Q38" s="340">
        <f>D38*(1+'Summary. Assumptions. Inputs'!$C$28)</f>
        <v>0</v>
      </c>
      <c r="R38" s="340">
        <f>E38*(1+'Summary. Assumptions. Inputs'!$C$28)</f>
        <v>0</v>
      </c>
      <c r="S38" s="340">
        <f>F38*(1+'Summary. Assumptions. Inputs'!$C$28)</f>
        <v>0</v>
      </c>
      <c r="T38" s="340">
        <f>G38*(1+'Summary. Assumptions. Inputs'!$C$28)</f>
        <v>0</v>
      </c>
      <c r="U38" s="340">
        <f>H38*(1+'Summary. Assumptions. Inputs'!$C$28)</f>
        <v>0</v>
      </c>
      <c r="V38" s="340">
        <f>I38*(1+'Summary. Assumptions. Inputs'!$C$28)</f>
        <v>0</v>
      </c>
      <c r="W38" s="340">
        <f>J38*(1+'Summary. Assumptions. Inputs'!$C$28)</f>
        <v>0</v>
      </c>
      <c r="X38" s="340">
        <f>K38*(1+'Summary. Assumptions. Inputs'!$C$28)</f>
        <v>0</v>
      </c>
      <c r="Y38" s="340">
        <f>L38*(1+'Summary. Assumptions. Inputs'!$C$28)</f>
        <v>0</v>
      </c>
      <c r="Z38" s="340">
        <f>M38*(1+'Summary. Assumptions. Inputs'!$C$28)</f>
        <v>0</v>
      </c>
      <c r="AA38" s="340">
        <f>N38*(1+'Summary. Assumptions. Inputs'!$C$28)</f>
        <v>0</v>
      </c>
      <c r="AB38" s="340">
        <f>O38*(1+'Summary. Assumptions. Inputs'!$C$28)</f>
        <v>0</v>
      </c>
      <c r="AC38" s="345">
        <f t="shared" si="19"/>
        <v>0</v>
      </c>
      <c r="AD38" s="340">
        <f>Q38*(1+'Summary. Assumptions. Inputs'!$C$28)</f>
        <v>0</v>
      </c>
      <c r="AE38" s="340">
        <f>R38*(1+'Summary. Assumptions. Inputs'!$C$28)</f>
        <v>0</v>
      </c>
      <c r="AF38" s="340">
        <f>S38*(1+'Summary. Assumptions. Inputs'!$C$28)</f>
        <v>0</v>
      </c>
      <c r="AG38" s="340">
        <f>T38*(1+'Summary. Assumptions. Inputs'!$C$28)</f>
        <v>0</v>
      </c>
      <c r="AH38" s="340">
        <f>U38*(1+'Summary. Assumptions. Inputs'!$C$28)</f>
        <v>0</v>
      </c>
      <c r="AI38" s="340">
        <f>V38*(1+'Summary. Assumptions. Inputs'!$C$28)</f>
        <v>0</v>
      </c>
      <c r="AJ38" s="340">
        <f>W38*(1+'Summary. Assumptions. Inputs'!$C$28)</f>
        <v>0</v>
      </c>
      <c r="AK38" s="340">
        <f>X38*(1+'Summary. Assumptions. Inputs'!$C$28)</f>
        <v>0</v>
      </c>
      <c r="AL38" s="340">
        <f>Y38*(1+'Summary. Assumptions. Inputs'!$C$28)</f>
        <v>0</v>
      </c>
      <c r="AM38" s="340">
        <f>Z38*(1+'Summary. Assumptions. Inputs'!$C$28)</f>
        <v>0</v>
      </c>
      <c r="AN38" s="340">
        <f>AA38*(1+'Summary. Assumptions. Inputs'!$C$28)</f>
        <v>0</v>
      </c>
      <c r="AO38" s="340">
        <f>AB38*(1+'Summary. Assumptions. Inputs'!$C$28)</f>
        <v>0</v>
      </c>
      <c r="AP38" s="345">
        <f t="shared" si="21"/>
        <v>0</v>
      </c>
      <c r="AQ38" s="340">
        <f>AD38*(1+'Summary. Assumptions. Inputs'!$C$28)</f>
        <v>0</v>
      </c>
      <c r="AR38" s="340">
        <f>AE38*(1+'Summary. Assumptions. Inputs'!$C$28)</f>
        <v>0</v>
      </c>
      <c r="AS38" s="340">
        <f>AF38*(1+'Summary. Assumptions. Inputs'!$C$28)</f>
        <v>0</v>
      </c>
      <c r="AT38" s="340">
        <f>AG38*(1+'Summary. Assumptions. Inputs'!$C$28)</f>
        <v>0</v>
      </c>
      <c r="AU38" s="340">
        <f>AH38*(1+'Summary. Assumptions. Inputs'!$C$28)</f>
        <v>0</v>
      </c>
      <c r="AV38" s="340">
        <f>AI38*(1+'Summary. Assumptions. Inputs'!$C$28)</f>
        <v>0</v>
      </c>
      <c r="AW38" s="340">
        <f>AJ38*(1+'Summary. Assumptions. Inputs'!$C$28)</f>
        <v>0</v>
      </c>
      <c r="AX38" s="340">
        <f>AK38*(1+'Summary. Assumptions. Inputs'!$C$28)</f>
        <v>0</v>
      </c>
      <c r="AY38" s="340">
        <f>AL38*(1+'Summary. Assumptions. Inputs'!$C$28)</f>
        <v>0</v>
      </c>
      <c r="AZ38" s="340">
        <f>AM38*(1+'Summary. Assumptions. Inputs'!$C$28)</f>
        <v>0</v>
      </c>
      <c r="BA38" s="340">
        <f>AN38*(1+'Summary. Assumptions. Inputs'!$C$28)</f>
        <v>0</v>
      </c>
      <c r="BB38" s="340">
        <f>AO38*(1+'Summary. Assumptions. Inputs'!$C$28)</f>
        <v>0</v>
      </c>
      <c r="BC38" s="345">
        <f t="shared" si="23"/>
        <v>0</v>
      </c>
      <c r="BD38" s="340">
        <f>AQ38*(1+'Summary. Assumptions. Inputs'!$C$28)</f>
        <v>0</v>
      </c>
      <c r="BE38" s="340">
        <f>AR38*(1+'Summary. Assumptions. Inputs'!$C$28)</f>
        <v>0</v>
      </c>
      <c r="BF38" s="340">
        <f>AS38*(1+'Summary. Assumptions. Inputs'!$C$28)</f>
        <v>0</v>
      </c>
      <c r="BG38" s="340">
        <f>AT38*(1+'Summary. Assumptions. Inputs'!$C$28)</f>
        <v>0</v>
      </c>
      <c r="BH38" s="340">
        <f>AU38*(1+'Summary. Assumptions. Inputs'!$C$28)</f>
        <v>0</v>
      </c>
      <c r="BI38" s="340">
        <f>AV38*(1+'Summary. Assumptions. Inputs'!$C$28)</f>
        <v>0</v>
      </c>
      <c r="BJ38" s="340">
        <f>AW38*(1+'Summary. Assumptions. Inputs'!$C$28)</f>
        <v>0</v>
      </c>
      <c r="BK38" s="340">
        <f>AX38*(1+'Summary. Assumptions. Inputs'!$C$28)</f>
        <v>0</v>
      </c>
      <c r="BL38" s="340">
        <f>AY38*(1+'Summary. Assumptions. Inputs'!$C$28)</f>
        <v>0</v>
      </c>
      <c r="BM38" s="340">
        <f>AZ38*(1+'Summary. Assumptions. Inputs'!$C$28)</f>
        <v>0</v>
      </c>
      <c r="BN38" s="340">
        <f>BA38*(1+'Summary. Assumptions. Inputs'!$C$28)</f>
        <v>0</v>
      </c>
      <c r="BO38" s="340">
        <f>BB38*(1+'Summary. Assumptions. Inputs'!$C$28)</f>
        <v>0</v>
      </c>
      <c r="BP38" s="345">
        <f t="shared" si="25"/>
        <v>0</v>
      </c>
      <c r="BQ38" s="340">
        <f>BD38*(1+'Summary. Assumptions. Inputs'!$C$28)</f>
        <v>0</v>
      </c>
      <c r="BR38" s="340">
        <f>BE38*(1+'Summary. Assumptions. Inputs'!$C$28)</f>
        <v>0</v>
      </c>
      <c r="BS38" s="340">
        <f>BF38*(1+'Summary. Assumptions. Inputs'!$C$28)</f>
        <v>0</v>
      </c>
      <c r="BT38" s="340">
        <f>BG38*(1+'Summary. Assumptions. Inputs'!$C$28)</f>
        <v>0</v>
      </c>
      <c r="BU38" s="340">
        <f>BH38*(1+'Summary. Assumptions. Inputs'!$C$28)</f>
        <v>0</v>
      </c>
      <c r="BV38" s="340">
        <f>BI38*(1+'Summary. Assumptions. Inputs'!$C$28)</f>
        <v>0</v>
      </c>
      <c r="BW38" s="340">
        <f>BJ38*(1+'Summary. Assumptions. Inputs'!$C$28)</f>
        <v>0</v>
      </c>
      <c r="BX38" s="340">
        <f>BK38*(1+'Summary. Assumptions. Inputs'!$C$28)</f>
        <v>0</v>
      </c>
      <c r="BY38" s="340">
        <f>BL38*(1+'Summary. Assumptions. Inputs'!$C$28)</f>
        <v>0</v>
      </c>
      <c r="BZ38" s="340">
        <f>BM38*(1+'Summary. Assumptions. Inputs'!$C$28)</f>
        <v>0</v>
      </c>
      <c r="CA38" s="340">
        <f>BN38*(1+'Summary. Assumptions. Inputs'!$C$28)</f>
        <v>0</v>
      </c>
      <c r="CB38" s="340">
        <f>BO38*(1+'Summary. Assumptions. Inputs'!$C$28)</f>
        <v>0</v>
      </c>
      <c r="CC38" s="345">
        <f t="shared" si="27"/>
        <v>0</v>
      </c>
      <c r="CD38" s="340">
        <f>BQ38*(1+'Summary. Assumptions. Inputs'!$C$28)</f>
        <v>0</v>
      </c>
      <c r="CE38" s="340">
        <f>BR38*(1+'Summary. Assumptions. Inputs'!$C$28)</f>
        <v>0</v>
      </c>
      <c r="CF38" s="340">
        <f>BS38*(1+'Summary. Assumptions. Inputs'!$C$28)</f>
        <v>0</v>
      </c>
      <c r="CG38" s="340">
        <f>BT38*(1+'Summary. Assumptions. Inputs'!$C$28)</f>
        <v>0</v>
      </c>
      <c r="CH38" s="340">
        <f>BU38*(1+'Summary. Assumptions. Inputs'!$C$28)</f>
        <v>0</v>
      </c>
      <c r="CI38" s="340">
        <f>BV38*(1+'Summary. Assumptions. Inputs'!$C$28)</f>
        <v>0</v>
      </c>
      <c r="CJ38" s="340">
        <f>BW38*(1+'Summary. Assumptions. Inputs'!$C$28)</f>
        <v>0</v>
      </c>
      <c r="CK38" s="340">
        <f>BX38*(1+'Summary. Assumptions. Inputs'!$C$28)</f>
        <v>0</v>
      </c>
      <c r="CL38" s="340">
        <f>BY38*(1+'Summary. Assumptions. Inputs'!$C$28)</f>
        <v>0</v>
      </c>
      <c r="CM38" s="340">
        <f>BZ38*(1+'Summary. Assumptions. Inputs'!$C$28)</f>
        <v>0</v>
      </c>
      <c r="CN38" s="340">
        <f>CA38*(1+'Summary. Assumptions. Inputs'!$C$28)</f>
        <v>0</v>
      </c>
      <c r="CO38" s="340">
        <f>CB38*(1+'Summary. Assumptions. Inputs'!$C$28)</f>
        <v>0</v>
      </c>
      <c r="CP38" s="345">
        <f t="shared" si="29"/>
        <v>0</v>
      </c>
    </row>
    <row r="39" spans="1:94" hidden="1">
      <c r="A39" s="342">
        <f>'Summary. Assumptions. Inputs'!A66</f>
        <v>0</v>
      </c>
      <c r="B39" s="343">
        <f>'Summary. Assumptions. Inputs'!B66</f>
        <v>0</v>
      </c>
      <c r="C39" s="343"/>
      <c r="D39" s="340"/>
      <c r="E39" s="340"/>
      <c r="F39" s="340"/>
      <c r="G39" s="340"/>
      <c r="H39" s="340"/>
      <c r="I39" s="340"/>
      <c r="J39" s="340"/>
      <c r="K39" s="340"/>
      <c r="L39" s="340"/>
      <c r="M39" s="340"/>
      <c r="N39" s="340"/>
      <c r="O39" s="340"/>
      <c r="P39" s="343">
        <f t="shared" si="10"/>
        <v>0</v>
      </c>
      <c r="Q39" s="340">
        <f>D39*(1+'Summary. Assumptions. Inputs'!$C$28)</f>
        <v>0</v>
      </c>
      <c r="R39" s="340">
        <f>E39*(1+'Summary. Assumptions. Inputs'!$C$28)</f>
        <v>0</v>
      </c>
      <c r="S39" s="340">
        <f>F39*(1+'Summary. Assumptions. Inputs'!$C$28)</f>
        <v>0</v>
      </c>
      <c r="T39" s="340">
        <f>G39*(1+'Summary. Assumptions. Inputs'!$C$28)</f>
        <v>0</v>
      </c>
      <c r="U39" s="340">
        <f>H39*(1+'Summary. Assumptions. Inputs'!$C$28)</f>
        <v>0</v>
      </c>
      <c r="V39" s="340">
        <f>I39*(1+'Summary. Assumptions. Inputs'!$C$28)</f>
        <v>0</v>
      </c>
      <c r="W39" s="340">
        <f>J39*(1+'Summary. Assumptions. Inputs'!$C$28)</f>
        <v>0</v>
      </c>
      <c r="X39" s="340">
        <f>K39*(1+'Summary. Assumptions. Inputs'!$C$28)</f>
        <v>0</v>
      </c>
      <c r="Y39" s="340">
        <f>L39*(1+'Summary. Assumptions. Inputs'!$C$28)</f>
        <v>0</v>
      </c>
      <c r="Z39" s="340">
        <f>M39*(1+'Summary. Assumptions. Inputs'!$C$28)</f>
        <v>0</v>
      </c>
      <c r="AA39" s="340">
        <f>N39*(1+'Summary. Assumptions. Inputs'!$C$28)</f>
        <v>0</v>
      </c>
      <c r="AB39" s="340">
        <f>O39*(1+'Summary. Assumptions. Inputs'!$C$28)</f>
        <v>0</v>
      </c>
      <c r="AC39" s="343">
        <f t="shared" si="19"/>
        <v>0</v>
      </c>
      <c r="AD39" s="340">
        <f>Q39*(1+'Summary. Assumptions. Inputs'!$C$28)</f>
        <v>0</v>
      </c>
      <c r="AE39" s="340">
        <f>R39*(1+'Summary. Assumptions. Inputs'!$C$28)</f>
        <v>0</v>
      </c>
      <c r="AF39" s="340">
        <f>S39*(1+'Summary. Assumptions. Inputs'!$C$28)</f>
        <v>0</v>
      </c>
      <c r="AG39" s="340">
        <f>T39*(1+'Summary. Assumptions. Inputs'!$C$28)</f>
        <v>0</v>
      </c>
      <c r="AH39" s="340">
        <f>U39*(1+'Summary. Assumptions. Inputs'!$C$28)</f>
        <v>0</v>
      </c>
      <c r="AI39" s="340">
        <f>V39*(1+'Summary. Assumptions. Inputs'!$C$28)</f>
        <v>0</v>
      </c>
      <c r="AJ39" s="340">
        <f>W39*(1+'Summary. Assumptions. Inputs'!$C$28)</f>
        <v>0</v>
      </c>
      <c r="AK39" s="340">
        <f>X39*(1+'Summary. Assumptions. Inputs'!$C$28)</f>
        <v>0</v>
      </c>
      <c r="AL39" s="340">
        <f>Y39*(1+'Summary. Assumptions. Inputs'!$C$28)</f>
        <v>0</v>
      </c>
      <c r="AM39" s="340">
        <f>Z39*(1+'Summary. Assumptions. Inputs'!$C$28)</f>
        <v>0</v>
      </c>
      <c r="AN39" s="340">
        <f>AA39*(1+'Summary. Assumptions. Inputs'!$C$28)</f>
        <v>0</v>
      </c>
      <c r="AO39" s="340">
        <f>AB39*(1+'Summary. Assumptions. Inputs'!$C$28)</f>
        <v>0</v>
      </c>
      <c r="AP39" s="343">
        <f t="shared" si="21"/>
        <v>0</v>
      </c>
      <c r="AQ39" s="340">
        <f>AD39*(1+'Summary. Assumptions. Inputs'!$C$28)</f>
        <v>0</v>
      </c>
      <c r="AR39" s="340">
        <f>AE39*(1+'Summary. Assumptions. Inputs'!$C$28)</f>
        <v>0</v>
      </c>
      <c r="AS39" s="340">
        <f>AF39*(1+'Summary. Assumptions. Inputs'!$C$28)</f>
        <v>0</v>
      </c>
      <c r="AT39" s="340">
        <f>AG39*(1+'Summary. Assumptions. Inputs'!$C$28)</f>
        <v>0</v>
      </c>
      <c r="AU39" s="340">
        <f>AH39*(1+'Summary. Assumptions. Inputs'!$C$28)</f>
        <v>0</v>
      </c>
      <c r="AV39" s="340">
        <f>AI39*(1+'Summary. Assumptions. Inputs'!$C$28)</f>
        <v>0</v>
      </c>
      <c r="AW39" s="340">
        <f>AJ39*(1+'Summary. Assumptions. Inputs'!$C$28)</f>
        <v>0</v>
      </c>
      <c r="AX39" s="340">
        <f>AK39*(1+'Summary. Assumptions. Inputs'!$C$28)</f>
        <v>0</v>
      </c>
      <c r="AY39" s="340">
        <f>AL39*(1+'Summary. Assumptions. Inputs'!$C$28)</f>
        <v>0</v>
      </c>
      <c r="AZ39" s="340">
        <f>AM39*(1+'Summary. Assumptions. Inputs'!$C$28)</f>
        <v>0</v>
      </c>
      <c r="BA39" s="340">
        <f>AN39*(1+'Summary. Assumptions. Inputs'!$C$28)</f>
        <v>0</v>
      </c>
      <c r="BB39" s="340">
        <f>AO39*(1+'Summary. Assumptions. Inputs'!$C$28)</f>
        <v>0</v>
      </c>
      <c r="BC39" s="343">
        <f t="shared" si="23"/>
        <v>0</v>
      </c>
      <c r="BD39" s="340">
        <f>AQ39*(1+'Summary. Assumptions. Inputs'!$C$28)</f>
        <v>0</v>
      </c>
      <c r="BE39" s="340">
        <f>AR39*(1+'Summary. Assumptions. Inputs'!$C$28)</f>
        <v>0</v>
      </c>
      <c r="BF39" s="340">
        <f>AS39*(1+'Summary. Assumptions. Inputs'!$C$28)</f>
        <v>0</v>
      </c>
      <c r="BG39" s="340">
        <f>AT39*(1+'Summary. Assumptions. Inputs'!$C$28)</f>
        <v>0</v>
      </c>
      <c r="BH39" s="340">
        <f>AU39*(1+'Summary. Assumptions. Inputs'!$C$28)</f>
        <v>0</v>
      </c>
      <c r="BI39" s="340">
        <f>AV39*(1+'Summary. Assumptions. Inputs'!$C$28)</f>
        <v>0</v>
      </c>
      <c r="BJ39" s="340">
        <f>AW39*(1+'Summary. Assumptions. Inputs'!$C$28)</f>
        <v>0</v>
      </c>
      <c r="BK39" s="340">
        <f>AX39*(1+'Summary. Assumptions. Inputs'!$C$28)</f>
        <v>0</v>
      </c>
      <c r="BL39" s="340">
        <f>AY39*(1+'Summary. Assumptions. Inputs'!$C$28)</f>
        <v>0</v>
      </c>
      <c r="BM39" s="340">
        <f>AZ39*(1+'Summary. Assumptions. Inputs'!$C$28)</f>
        <v>0</v>
      </c>
      <c r="BN39" s="340">
        <f>BA39*(1+'Summary. Assumptions. Inputs'!$C$28)</f>
        <v>0</v>
      </c>
      <c r="BO39" s="340">
        <f>BB39*(1+'Summary. Assumptions. Inputs'!$C$28)</f>
        <v>0</v>
      </c>
      <c r="BP39" s="343">
        <f t="shared" si="25"/>
        <v>0</v>
      </c>
      <c r="BQ39" s="340">
        <f>BD39*(1+'Summary. Assumptions. Inputs'!$C$28)</f>
        <v>0</v>
      </c>
      <c r="BR39" s="340">
        <f>BE39*(1+'Summary. Assumptions. Inputs'!$C$28)</f>
        <v>0</v>
      </c>
      <c r="BS39" s="340">
        <f>BF39*(1+'Summary. Assumptions. Inputs'!$C$28)</f>
        <v>0</v>
      </c>
      <c r="BT39" s="340">
        <f>BG39*(1+'Summary. Assumptions. Inputs'!$C$28)</f>
        <v>0</v>
      </c>
      <c r="BU39" s="340">
        <f>BH39*(1+'Summary. Assumptions. Inputs'!$C$28)</f>
        <v>0</v>
      </c>
      <c r="BV39" s="340">
        <f>BI39*(1+'Summary. Assumptions. Inputs'!$C$28)</f>
        <v>0</v>
      </c>
      <c r="BW39" s="340">
        <f>BJ39*(1+'Summary. Assumptions. Inputs'!$C$28)</f>
        <v>0</v>
      </c>
      <c r="BX39" s="340">
        <f>BK39*(1+'Summary. Assumptions. Inputs'!$C$28)</f>
        <v>0</v>
      </c>
      <c r="BY39" s="340">
        <f>BL39*(1+'Summary. Assumptions. Inputs'!$C$28)</f>
        <v>0</v>
      </c>
      <c r="BZ39" s="340">
        <f>BM39*(1+'Summary. Assumptions. Inputs'!$C$28)</f>
        <v>0</v>
      </c>
      <c r="CA39" s="340">
        <f>BN39*(1+'Summary. Assumptions. Inputs'!$C$28)</f>
        <v>0</v>
      </c>
      <c r="CB39" s="340">
        <f>BO39*(1+'Summary. Assumptions. Inputs'!$C$28)</f>
        <v>0</v>
      </c>
      <c r="CC39" s="343">
        <f t="shared" si="27"/>
        <v>0</v>
      </c>
      <c r="CD39" s="340">
        <f>BQ39*(1+'Summary. Assumptions. Inputs'!$C$28)</f>
        <v>0</v>
      </c>
      <c r="CE39" s="340">
        <f>BR39*(1+'Summary. Assumptions. Inputs'!$C$28)</f>
        <v>0</v>
      </c>
      <c r="CF39" s="340">
        <f>BS39*(1+'Summary. Assumptions. Inputs'!$C$28)</f>
        <v>0</v>
      </c>
      <c r="CG39" s="340">
        <f>BT39*(1+'Summary. Assumptions. Inputs'!$C$28)</f>
        <v>0</v>
      </c>
      <c r="CH39" s="340">
        <f>BU39*(1+'Summary. Assumptions. Inputs'!$C$28)</f>
        <v>0</v>
      </c>
      <c r="CI39" s="340">
        <f>BV39*(1+'Summary. Assumptions. Inputs'!$C$28)</f>
        <v>0</v>
      </c>
      <c r="CJ39" s="340">
        <f>BW39*(1+'Summary. Assumptions. Inputs'!$C$28)</f>
        <v>0</v>
      </c>
      <c r="CK39" s="340">
        <f>BX39*(1+'Summary. Assumptions. Inputs'!$C$28)</f>
        <v>0</v>
      </c>
      <c r="CL39" s="340">
        <f>BY39*(1+'Summary. Assumptions. Inputs'!$C$28)</f>
        <v>0</v>
      </c>
      <c r="CM39" s="340">
        <f>BZ39*(1+'Summary. Assumptions. Inputs'!$C$28)</f>
        <v>0</v>
      </c>
      <c r="CN39" s="340">
        <f>CA39*(1+'Summary. Assumptions. Inputs'!$C$28)</f>
        <v>0</v>
      </c>
      <c r="CO39" s="340">
        <f>CB39*(1+'Summary. Assumptions. Inputs'!$C$28)</f>
        <v>0</v>
      </c>
      <c r="CP39" s="343">
        <f t="shared" si="29"/>
        <v>0</v>
      </c>
    </row>
    <row r="40" spans="1:94" hidden="1">
      <c r="A40" s="344">
        <f>'Summary. Assumptions. Inputs'!A67</f>
        <v>0</v>
      </c>
      <c r="B40" s="345">
        <f>'Summary. Assumptions. Inputs'!B67</f>
        <v>0</v>
      </c>
      <c r="C40" s="345"/>
      <c r="D40" s="340"/>
      <c r="E40" s="340"/>
      <c r="F40" s="340"/>
      <c r="G40" s="340"/>
      <c r="H40" s="340"/>
      <c r="I40" s="340"/>
      <c r="J40" s="340"/>
      <c r="K40" s="340"/>
      <c r="L40" s="340"/>
      <c r="M40" s="340"/>
      <c r="N40" s="340"/>
      <c r="O40" s="340"/>
      <c r="P40" s="345">
        <f t="shared" si="10"/>
        <v>0</v>
      </c>
      <c r="Q40" s="340">
        <f>D40*(1+'Summary. Assumptions. Inputs'!$C$28)</f>
        <v>0</v>
      </c>
      <c r="R40" s="340">
        <f>E40*(1+'Summary. Assumptions. Inputs'!$C$28)</f>
        <v>0</v>
      </c>
      <c r="S40" s="340">
        <f>F40*(1+'Summary. Assumptions. Inputs'!$C$28)</f>
        <v>0</v>
      </c>
      <c r="T40" s="340">
        <f>G40*(1+'Summary. Assumptions. Inputs'!$C$28)</f>
        <v>0</v>
      </c>
      <c r="U40" s="340">
        <f>H40*(1+'Summary. Assumptions. Inputs'!$C$28)</f>
        <v>0</v>
      </c>
      <c r="V40" s="340">
        <f>I40*(1+'Summary. Assumptions. Inputs'!$C$28)</f>
        <v>0</v>
      </c>
      <c r="W40" s="340">
        <f>J40*(1+'Summary. Assumptions. Inputs'!$C$28)</f>
        <v>0</v>
      </c>
      <c r="X40" s="340">
        <f>K40*(1+'Summary. Assumptions. Inputs'!$C$28)</f>
        <v>0</v>
      </c>
      <c r="Y40" s="340">
        <f>L40*(1+'Summary. Assumptions. Inputs'!$C$28)</f>
        <v>0</v>
      </c>
      <c r="Z40" s="340">
        <f>M40*(1+'Summary. Assumptions. Inputs'!$C$28)</f>
        <v>0</v>
      </c>
      <c r="AA40" s="340">
        <f>N40*(1+'Summary. Assumptions. Inputs'!$C$28)</f>
        <v>0</v>
      </c>
      <c r="AB40" s="340">
        <f>O40*(1+'Summary. Assumptions. Inputs'!$C$28)</f>
        <v>0</v>
      </c>
      <c r="AC40" s="345">
        <f t="shared" si="19"/>
        <v>0</v>
      </c>
      <c r="AD40" s="340">
        <f>Q40*(1+'Summary. Assumptions. Inputs'!$C$28)</f>
        <v>0</v>
      </c>
      <c r="AE40" s="340">
        <f>R40*(1+'Summary. Assumptions. Inputs'!$C$28)</f>
        <v>0</v>
      </c>
      <c r="AF40" s="340">
        <f>S40*(1+'Summary. Assumptions. Inputs'!$C$28)</f>
        <v>0</v>
      </c>
      <c r="AG40" s="340">
        <f>T40*(1+'Summary. Assumptions. Inputs'!$C$28)</f>
        <v>0</v>
      </c>
      <c r="AH40" s="340">
        <f>U40*(1+'Summary. Assumptions. Inputs'!$C$28)</f>
        <v>0</v>
      </c>
      <c r="AI40" s="340">
        <f>V40*(1+'Summary. Assumptions. Inputs'!$C$28)</f>
        <v>0</v>
      </c>
      <c r="AJ40" s="340">
        <f>W40*(1+'Summary. Assumptions. Inputs'!$C$28)</f>
        <v>0</v>
      </c>
      <c r="AK40" s="340">
        <f>X40*(1+'Summary. Assumptions. Inputs'!$C$28)</f>
        <v>0</v>
      </c>
      <c r="AL40" s="340">
        <f>Y40*(1+'Summary. Assumptions. Inputs'!$C$28)</f>
        <v>0</v>
      </c>
      <c r="AM40" s="340">
        <f>Z40*(1+'Summary. Assumptions. Inputs'!$C$28)</f>
        <v>0</v>
      </c>
      <c r="AN40" s="340">
        <f>AA40*(1+'Summary. Assumptions. Inputs'!$C$28)</f>
        <v>0</v>
      </c>
      <c r="AO40" s="340">
        <f>AB40*(1+'Summary. Assumptions. Inputs'!$C$28)</f>
        <v>0</v>
      </c>
      <c r="AP40" s="345">
        <f t="shared" si="21"/>
        <v>0</v>
      </c>
      <c r="AQ40" s="340">
        <f>AD40*(1+'Summary. Assumptions. Inputs'!$C$28)</f>
        <v>0</v>
      </c>
      <c r="AR40" s="340">
        <f>AE40*(1+'Summary. Assumptions. Inputs'!$C$28)</f>
        <v>0</v>
      </c>
      <c r="AS40" s="340">
        <f>AF40*(1+'Summary. Assumptions. Inputs'!$C$28)</f>
        <v>0</v>
      </c>
      <c r="AT40" s="340">
        <f>AG40*(1+'Summary. Assumptions. Inputs'!$C$28)</f>
        <v>0</v>
      </c>
      <c r="AU40" s="340">
        <f>AH40*(1+'Summary. Assumptions. Inputs'!$C$28)</f>
        <v>0</v>
      </c>
      <c r="AV40" s="340">
        <f>AI40*(1+'Summary. Assumptions. Inputs'!$C$28)</f>
        <v>0</v>
      </c>
      <c r="AW40" s="340">
        <f>AJ40*(1+'Summary. Assumptions. Inputs'!$C$28)</f>
        <v>0</v>
      </c>
      <c r="AX40" s="340">
        <f>AK40*(1+'Summary. Assumptions. Inputs'!$C$28)</f>
        <v>0</v>
      </c>
      <c r="AY40" s="340">
        <f>AL40*(1+'Summary. Assumptions. Inputs'!$C$28)</f>
        <v>0</v>
      </c>
      <c r="AZ40" s="340">
        <f>AM40*(1+'Summary. Assumptions. Inputs'!$C$28)</f>
        <v>0</v>
      </c>
      <c r="BA40" s="340">
        <f>AN40*(1+'Summary. Assumptions. Inputs'!$C$28)</f>
        <v>0</v>
      </c>
      <c r="BB40" s="340">
        <f>AO40*(1+'Summary. Assumptions. Inputs'!$C$28)</f>
        <v>0</v>
      </c>
      <c r="BC40" s="345">
        <f t="shared" si="23"/>
        <v>0</v>
      </c>
      <c r="BD40" s="340">
        <f>AQ40*(1+'Summary. Assumptions. Inputs'!$C$28)</f>
        <v>0</v>
      </c>
      <c r="BE40" s="340">
        <f>AR40*(1+'Summary. Assumptions. Inputs'!$C$28)</f>
        <v>0</v>
      </c>
      <c r="BF40" s="340">
        <f>AS40*(1+'Summary. Assumptions. Inputs'!$C$28)</f>
        <v>0</v>
      </c>
      <c r="BG40" s="340">
        <f>AT40*(1+'Summary. Assumptions. Inputs'!$C$28)</f>
        <v>0</v>
      </c>
      <c r="BH40" s="340">
        <f>AU40*(1+'Summary. Assumptions. Inputs'!$C$28)</f>
        <v>0</v>
      </c>
      <c r="BI40" s="340">
        <f>AV40*(1+'Summary. Assumptions. Inputs'!$C$28)</f>
        <v>0</v>
      </c>
      <c r="BJ40" s="340">
        <f>AW40*(1+'Summary. Assumptions. Inputs'!$C$28)</f>
        <v>0</v>
      </c>
      <c r="BK40" s="340">
        <f>AX40*(1+'Summary. Assumptions. Inputs'!$C$28)</f>
        <v>0</v>
      </c>
      <c r="BL40" s="340">
        <f>AY40*(1+'Summary. Assumptions. Inputs'!$C$28)</f>
        <v>0</v>
      </c>
      <c r="BM40" s="340">
        <f>AZ40*(1+'Summary. Assumptions. Inputs'!$C$28)</f>
        <v>0</v>
      </c>
      <c r="BN40" s="340">
        <f>BA40*(1+'Summary. Assumptions. Inputs'!$C$28)</f>
        <v>0</v>
      </c>
      <c r="BO40" s="340">
        <f>BB40*(1+'Summary. Assumptions. Inputs'!$C$28)</f>
        <v>0</v>
      </c>
      <c r="BP40" s="345">
        <f t="shared" si="25"/>
        <v>0</v>
      </c>
      <c r="BQ40" s="340">
        <f>BD40*(1+'Summary. Assumptions. Inputs'!$C$28)</f>
        <v>0</v>
      </c>
      <c r="BR40" s="340">
        <f>BE40*(1+'Summary. Assumptions. Inputs'!$C$28)</f>
        <v>0</v>
      </c>
      <c r="BS40" s="340">
        <f>BF40*(1+'Summary. Assumptions. Inputs'!$C$28)</f>
        <v>0</v>
      </c>
      <c r="BT40" s="340">
        <f>BG40*(1+'Summary. Assumptions. Inputs'!$C$28)</f>
        <v>0</v>
      </c>
      <c r="BU40" s="340">
        <f>BH40*(1+'Summary. Assumptions. Inputs'!$C$28)</f>
        <v>0</v>
      </c>
      <c r="BV40" s="340">
        <f>BI40*(1+'Summary. Assumptions. Inputs'!$C$28)</f>
        <v>0</v>
      </c>
      <c r="BW40" s="340">
        <f>BJ40*(1+'Summary. Assumptions. Inputs'!$C$28)</f>
        <v>0</v>
      </c>
      <c r="BX40" s="340">
        <f>BK40*(1+'Summary. Assumptions. Inputs'!$C$28)</f>
        <v>0</v>
      </c>
      <c r="BY40" s="340">
        <f>BL40*(1+'Summary. Assumptions. Inputs'!$C$28)</f>
        <v>0</v>
      </c>
      <c r="BZ40" s="340">
        <f>BM40*(1+'Summary. Assumptions. Inputs'!$C$28)</f>
        <v>0</v>
      </c>
      <c r="CA40" s="340">
        <f>BN40*(1+'Summary. Assumptions. Inputs'!$C$28)</f>
        <v>0</v>
      </c>
      <c r="CB40" s="340">
        <f>BO40*(1+'Summary. Assumptions. Inputs'!$C$28)</f>
        <v>0</v>
      </c>
      <c r="CC40" s="345">
        <f t="shared" si="27"/>
        <v>0</v>
      </c>
      <c r="CD40" s="340">
        <f>BQ40*(1+'Summary. Assumptions. Inputs'!$C$28)</f>
        <v>0</v>
      </c>
      <c r="CE40" s="340">
        <f>BR40*(1+'Summary. Assumptions. Inputs'!$C$28)</f>
        <v>0</v>
      </c>
      <c r="CF40" s="340">
        <f>BS40*(1+'Summary. Assumptions. Inputs'!$C$28)</f>
        <v>0</v>
      </c>
      <c r="CG40" s="340">
        <f>BT40*(1+'Summary. Assumptions. Inputs'!$C$28)</f>
        <v>0</v>
      </c>
      <c r="CH40" s="340">
        <f>BU40*(1+'Summary. Assumptions. Inputs'!$C$28)</f>
        <v>0</v>
      </c>
      <c r="CI40" s="340">
        <f>BV40*(1+'Summary. Assumptions. Inputs'!$C$28)</f>
        <v>0</v>
      </c>
      <c r="CJ40" s="340">
        <f>BW40*(1+'Summary. Assumptions. Inputs'!$C$28)</f>
        <v>0</v>
      </c>
      <c r="CK40" s="340">
        <f>BX40*(1+'Summary. Assumptions. Inputs'!$C$28)</f>
        <v>0</v>
      </c>
      <c r="CL40" s="340">
        <f>BY40*(1+'Summary. Assumptions. Inputs'!$C$28)</f>
        <v>0</v>
      </c>
      <c r="CM40" s="340">
        <f>BZ40*(1+'Summary. Assumptions. Inputs'!$C$28)</f>
        <v>0</v>
      </c>
      <c r="CN40" s="340">
        <f>CA40*(1+'Summary. Assumptions. Inputs'!$C$28)</f>
        <v>0</v>
      </c>
      <c r="CO40" s="340">
        <f>CB40*(1+'Summary. Assumptions. Inputs'!$C$28)</f>
        <v>0</v>
      </c>
      <c r="CP40" s="345">
        <f t="shared" si="29"/>
        <v>0</v>
      </c>
    </row>
    <row r="41" spans="1:94" hidden="1">
      <c r="A41" s="342">
        <f>'Summary. Assumptions. Inputs'!A68</f>
        <v>0</v>
      </c>
      <c r="B41" s="343">
        <f>'Summary. Assumptions. Inputs'!B68</f>
        <v>0</v>
      </c>
      <c r="C41" s="343"/>
      <c r="D41" s="340"/>
      <c r="E41" s="340"/>
      <c r="F41" s="340"/>
      <c r="G41" s="340"/>
      <c r="H41" s="340"/>
      <c r="I41" s="340"/>
      <c r="J41" s="340"/>
      <c r="K41" s="340"/>
      <c r="L41" s="340"/>
      <c r="M41" s="340"/>
      <c r="N41" s="340"/>
      <c r="O41" s="340"/>
      <c r="P41" s="343">
        <f t="shared" si="10"/>
        <v>0</v>
      </c>
      <c r="Q41" s="340">
        <f>D41*(1+'Summary. Assumptions. Inputs'!$C$28)</f>
        <v>0</v>
      </c>
      <c r="R41" s="340">
        <f>E41*(1+'Summary. Assumptions. Inputs'!$C$28)</f>
        <v>0</v>
      </c>
      <c r="S41" s="340">
        <f>F41*(1+'Summary. Assumptions. Inputs'!$C$28)</f>
        <v>0</v>
      </c>
      <c r="T41" s="340">
        <f>G41*(1+'Summary. Assumptions. Inputs'!$C$28)</f>
        <v>0</v>
      </c>
      <c r="U41" s="340">
        <f>H41*(1+'Summary. Assumptions. Inputs'!$C$28)</f>
        <v>0</v>
      </c>
      <c r="V41" s="340">
        <f>I41*(1+'Summary. Assumptions. Inputs'!$C$28)</f>
        <v>0</v>
      </c>
      <c r="W41" s="340">
        <f>J41*(1+'Summary. Assumptions. Inputs'!$C$28)</f>
        <v>0</v>
      </c>
      <c r="X41" s="340">
        <f>K41*(1+'Summary. Assumptions. Inputs'!$C$28)</f>
        <v>0</v>
      </c>
      <c r="Y41" s="340">
        <f>L41*(1+'Summary. Assumptions. Inputs'!$C$28)</f>
        <v>0</v>
      </c>
      <c r="Z41" s="340">
        <f>M41*(1+'Summary. Assumptions. Inputs'!$C$28)</f>
        <v>0</v>
      </c>
      <c r="AA41" s="340">
        <f>N41*(1+'Summary. Assumptions. Inputs'!$C$28)</f>
        <v>0</v>
      </c>
      <c r="AB41" s="340">
        <f>O41*(1+'Summary. Assumptions. Inputs'!$C$28)</f>
        <v>0</v>
      </c>
      <c r="AC41" s="343">
        <f t="shared" si="19"/>
        <v>0</v>
      </c>
      <c r="AD41" s="340">
        <f>Q41*(1+'Summary. Assumptions. Inputs'!$C$28)</f>
        <v>0</v>
      </c>
      <c r="AE41" s="340">
        <f>R41*(1+'Summary. Assumptions. Inputs'!$C$28)</f>
        <v>0</v>
      </c>
      <c r="AF41" s="340">
        <f>S41*(1+'Summary. Assumptions. Inputs'!$C$28)</f>
        <v>0</v>
      </c>
      <c r="AG41" s="340">
        <f>T41*(1+'Summary. Assumptions. Inputs'!$C$28)</f>
        <v>0</v>
      </c>
      <c r="AH41" s="340">
        <f>U41*(1+'Summary. Assumptions. Inputs'!$C$28)</f>
        <v>0</v>
      </c>
      <c r="AI41" s="340">
        <f>V41*(1+'Summary. Assumptions. Inputs'!$C$28)</f>
        <v>0</v>
      </c>
      <c r="AJ41" s="340">
        <f>W41*(1+'Summary. Assumptions. Inputs'!$C$28)</f>
        <v>0</v>
      </c>
      <c r="AK41" s="340">
        <f>X41*(1+'Summary. Assumptions. Inputs'!$C$28)</f>
        <v>0</v>
      </c>
      <c r="AL41" s="340">
        <f>Y41*(1+'Summary. Assumptions. Inputs'!$C$28)</f>
        <v>0</v>
      </c>
      <c r="AM41" s="340">
        <f>Z41*(1+'Summary. Assumptions. Inputs'!$C$28)</f>
        <v>0</v>
      </c>
      <c r="AN41" s="340">
        <f>AA41*(1+'Summary. Assumptions. Inputs'!$C$28)</f>
        <v>0</v>
      </c>
      <c r="AO41" s="340">
        <f>AB41*(1+'Summary. Assumptions. Inputs'!$C$28)</f>
        <v>0</v>
      </c>
      <c r="AP41" s="343">
        <f t="shared" si="21"/>
        <v>0</v>
      </c>
      <c r="AQ41" s="340">
        <f>AD41*(1+'Summary. Assumptions. Inputs'!$C$28)</f>
        <v>0</v>
      </c>
      <c r="AR41" s="340">
        <f>AE41*(1+'Summary. Assumptions. Inputs'!$C$28)</f>
        <v>0</v>
      </c>
      <c r="AS41" s="340">
        <f>AF41*(1+'Summary. Assumptions. Inputs'!$C$28)</f>
        <v>0</v>
      </c>
      <c r="AT41" s="340">
        <f>AG41*(1+'Summary. Assumptions. Inputs'!$C$28)</f>
        <v>0</v>
      </c>
      <c r="AU41" s="340">
        <f>AH41*(1+'Summary. Assumptions. Inputs'!$C$28)</f>
        <v>0</v>
      </c>
      <c r="AV41" s="340">
        <f>AI41*(1+'Summary. Assumptions. Inputs'!$C$28)</f>
        <v>0</v>
      </c>
      <c r="AW41" s="340">
        <f>AJ41*(1+'Summary. Assumptions. Inputs'!$C$28)</f>
        <v>0</v>
      </c>
      <c r="AX41" s="340">
        <f>AK41*(1+'Summary. Assumptions. Inputs'!$C$28)</f>
        <v>0</v>
      </c>
      <c r="AY41" s="340">
        <f>AL41*(1+'Summary. Assumptions. Inputs'!$C$28)</f>
        <v>0</v>
      </c>
      <c r="AZ41" s="340">
        <f>AM41*(1+'Summary. Assumptions. Inputs'!$C$28)</f>
        <v>0</v>
      </c>
      <c r="BA41" s="340">
        <f>AN41*(1+'Summary. Assumptions. Inputs'!$C$28)</f>
        <v>0</v>
      </c>
      <c r="BB41" s="340">
        <f>AO41*(1+'Summary. Assumptions. Inputs'!$C$28)</f>
        <v>0</v>
      </c>
      <c r="BC41" s="343">
        <f t="shared" si="23"/>
        <v>0</v>
      </c>
      <c r="BD41" s="340">
        <f>AQ41*(1+'Summary. Assumptions. Inputs'!$C$28)</f>
        <v>0</v>
      </c>
      <c r="BE41" s="340">
        <f>AR41*(1+'Summary. Assumptions. Inputs'!$C$28)</f>
        <v>0</v>
      </c>
      <c r="BF41" s="340">
        <f>AS41*(1+'Summary. Assumptions. Inputs'!$C$28)</f>
        <v>0</v>
      </c>
      <c r="BG41" s="340">
        <f>AT41*(1+'Summary. Assumptions. Inputs'!$C$28)</f>
        <v>0</v>
      </c>
      <c r="BH41" s="340">
        <f>AU41*(1+'Summary. Assumptions. Inputs'!$C$28)</f>
        <v>0</v>
      </c>
      <c r="BI41" s="340">
        <f>AV41*(1+'Summary. Assumptions. Inputs'!$C$28)</f>
        <v>0</v>
      </c>
      <c r="BJ41" s="340">
        <f>AW41*(1+'Summary. Assumptions. Inputs'!$C$28)</f>
        <v>0</v>
      </c>
      <c r="BK41" s="340">
        <f>AX41*(1+'Summary. Assumptions. Inputs'!$C$28)</f>
        <v>0</v>
      </c>
      <c r="BL41" s="340">
        <f>AY41*(1+'Summary. Assumptions. Inputs'!$C$28)</f>
        <v>0</v>
      </c>
      <c r="BM41" s="340">
        <f>AZ41*(1+'Summary. Assumptions. Inputs'!$C$28)</f>
        <v>0</v>
      </c>
      <c r="BN41" s="340">
        <f>BA41*(1+'Summary. Assumptions. Inputs'!$C$28)</f>
        <v>0</v>
      </c>
      <c r="BO41" s="340">
        <f>BB41*(1+'Summary. Assumptions. Inputs'!$C$28)</f>
        <v>0</v>
      </c>
      <c r="BP41" s="343">
        <f t="shared" si="25"/>
        <v>0</v>
      </c>
      <c r="BQ41" s="340">
        <f>BD41*(1+'Summary. Assumptions. Inputs'!$C$28)</f>
        <v>0</v>
      </c>
      <c r="BR41" s="340">
        <f>BE41*(1+'Summary. Assumptions. Inputs'!$C$28)</f>
        <v>0</v>
      </c>
      <c r="BS41" s="340">
        <f>BF41*(1+'Summary. Assumptions. Inputs'!$C$28)</f>
        <v>0</v>
      </c>
      <c r="BT41" s="340">
        <f>BG41*(1+'Summary. Assumptions. Inputs'!$C$28)</f>
        <v>0</v>
      </c>
      <c r="BU41" s="340">
        <f>BH41*(1+'Summary. Assumptions. Inputs'!$C$28)</f>
        <v>0</v>
      </c>
      <c r="BV41" s="340">
        <f>BI41*(1+'Summary. Assumptions. Inputs'!$C$28)</f>
        <v>0</v>
      </c>
      <c r="BW41" s="340">
        <f>BJ41*(1+'Summary. Assumptions. Inputs'!$C$28)</f>
        <v>0</v>
      </c>
      <c r="BX41" s="340">
        <f>BK41*(1+'Summary. Assumptions. Inputs'!$C$28)</f>
        <v>0</v>
      </c>
      <c r="BY41" s="340">
        <f>BL41*(1+'Summary. Assumptions. Inputs'!$C$28)</f>
        <v>0</v>
      </c>
      <c r="BZ41" s="340">
        <f>BM41*(1+'Summary. Assumptions. Inputs'!$C$28)</f>
        <v>0</v>
      </c>
      <c r="CA41" s="340">
        <f>BN41*(1+'Summary. Assumptions. Inputs'!$C$28)</f>
        <v>0</v>
      </c>
      <c r="CB41" s="340">
        <f>BO41*(1+'Summary. Assumptions. Inputs'!$C$28)</f>
        <v>0</v>
      </c>
      <c r="CC41" s="343">
        <f t="shared" si="27"/>
        <v>0</v>
      </c>
      <c r="CD41" s="340">
        <f>BQ41*(1+'Summary. Assumptions. Inputs'!$C$28)</f>
        <v>0</v>
      </c>
      <c r="CE41" s="340">
        <f>BR41*(1+'Summary. Assumptions. Inputs'!$C$28)</f>
        <v>0</v>
      </c>
      <c r="CF41" s="340">
        <f>BS41*(1+'Summary. Assumptions. Inputs'!$C$28)</f>
        <v>0</v>
      </c>
      <c r="CG41" s="340">
        <f>BT41*(1+'Summary. Assumptions. Inputs'!$C$28)</f>
        <v>0</v>
      </c>
      <c r="CH41" s="340">
        <f>BU41*(1+'Summary. Assumptions. Inputs'!$C$28)</f>
        <v>0</v>
      </c>
      <c r="CI41" s="340">
        <f>BV41*(1+'Summary. Assumptions. Inputs'!$C$28)</f>
        <v>0</v>
      </c>
      <c r="CJ41" s="340">
        <f>BW41*(1+'Summary. Assumptions. Inputs'!$C$28)</f>
        <v>0</v>
      </c>
      <c r="CK41" s="340">
        <f>BX41*(1+'Summary. Assumptions. Inputs'!$C$28)</f>
        <v>0</v>
      </c>
      <c r="CL41" s="340">
        <f>BY41*(1+'Summary. Assumptions. Inputs'!$C$28)</f>
        <v>0</v>
      </c>
      <c r="CM41" s="340">
        <f>BZ41*(1+'Summary. Assumptions. Inputs'!$C$28)</f>
        <v>0</v>
      </c>
      <c r="CN41" s="340">
        <f>CA41*(1+'Summary. Assumptions. Inputs'!$C$28)</f>
        <v>0</v>
      </c>
      <c r="CO41" s="340">
        <f>CB41*(1+'Summary. Assumptions. Inputs'!$C$28)</f>
        <v>0</v>
      </c>
      <c r="CP41" s="343">
        <f t="shared" si="29"/>
        <v>0</v>
      </c>
    </row>
    <row r="42" spans="1:94" hidden="1">
      <c r="A42" s="344">
        <f>'Summary. Assumptions. Inputs'!A69</f>
        <v>0</v>
      </c>
      <c r="B42" s="345">
        <f>'Summary. Assumptions. Inputs'!B69</f>
        <v>0</v>
      </c>
      <c r="C42" s="345"/>
      <c r="D42" s="340"/>
      <c r="E42" s="340"/>
      <c r="F42" s="340"/>
      <c r="G42" s="340"/>
      <c r="H42" s="340"/>
      <c r="I42" s="340"/>
      <c r="J42" s="340"/>
      <c r="K42" s="340"/>
      <c r="L42" s="340"/>
      <c r="M42" s="340"/>
      <c r="N42" s="340"/>
      <c r="O42" s="340"/>
      <c r="P42" s="345">
        <f t="shared" si="10"/>
        <v>0</v>
      </c>
      <c r="Q42" s="340">
        <f>D42*(1+'Summary. Assumptions. Inputs'!$C$28)</f>
        <v>0</v>
      </c>
      <c r="R42" s="340">
        <f>E42*(1+'Summary. Assumptions. Inputs'!$C$28)</f>
        <v>0</v>
      </c>
      <c r="S42" s="340">
        <f>F42*(1+'Summary. Assumptions. Inputs'!$C$28)</f>
        <v>0</v>
      </c>
      <c r="T42" s="340">
        <f>G42*(1+'Summary. Assumptions. Inputs'!$C$28)</f>
        <v>0</v>
      </c>
      <c r="U42" s="340">
        <f>H42*(1+'Summary. Assumptions. Inputs'!$C$28)</f>
        <v>0</v>
      </c>
      <c r="V42" s="340">
        <f>I42*(1+'Summary. Assumptions. Inputs'!$C$28)</f>
        <v>0</v>
      </c>
      <c r="W42" s="340">
        <f>J42*(1+'Summary. Assumptions. Inputs'!$C$28)</f>
        <v>0</v>
      </c>
      <c r="X42" s="340">
        <f>K42*(1+'Summary. Assumptions. Inputs'!$C$28)</f>
        <v>0</v>
      </c>
      <c r="Y42" s="340">
        <f>L42*(1+'Summary. Assumptions. Inputs'!$C$28)</f>
        <v>0</v>
      </c>
      <c r="Z42" s="340">
        <f>M42*(1+'Summary. Assumptions. Inputs'!$C$28)</f>
        <v>0</v>
      </c>
      <c r="AA42" s="340">
        <f>N42*(1+'Summary. Assumptions. Inputs'!$C$28)</f>
        <v>0</v>
      </c>
      <c r="AB42" s="340">
        <f>O42*(1+'Summary. Assumptions. Inputs'!$C$28)</f>
        <v>0</v>
      </c>
      <c r="AC42" s="345">
        <f t="shared" si="19"/>
        <v>0</v>
      </c>
      <c r="AD42" s="340">
        <f>Q42*(1+'Summary. Assumptions. Inputs'!$C$28)</f>
        <v>0</v>
      </c>
      <c r="AE42" s="340">
        <f>R42*(1+'Summary. Assumptions. Inputs'!$C$28)</f>
        <v>0</v>
      </c>
      <c r="AF42" s="340">
        <f>S42*(1+'Summary. Assumptions. Inputs'!$C$28)</f>
        <v>0</v>
      </c>
      <c r="AG42" s="340">
        <f>T42*(1+'Summary. Assumptions. Inputs'!$C$28)</f>
        <v>0</v>
      </c>
      <c r="AH42" s="340">
        <f>U42*(1+'Summary. Assumptions. Inputs'!$C$28)</f>
        <v>0</v>
      </c>
      <c r="AI42" s="340">
        <f>V42*(1+'Summary. Assumptions. Inputs'!$C$28)</f>
        <v>0</v>
      </c>
      <c r="AJ42" s="340">
        <f>W42*(1+'Summary. Assumptions. Inputs'!$C$28)</f>
        <v>0</v>
      </c>
      <c r="AK42" s="340">
        <f>X42*(1+'Summary. Assumptions. Inputs'!$C$28)</f>
        <v>0</v>
      </c>
      <c r="AL42" s="340">
        <f>Y42*(1+'Summary. Assumptions. Inputs'!$C$28)</f>
        <v>0</v>
      </c>
      <c r="AM42" s="340">
        <f>Z42*(1+'Summary. Assumptions. Inputs'!$C$28)</f>
        <v>0</v>
      </c>
      <c r="AN42" s="340">
        <f>AA42*(1+'Summary. Assumptions. Inputs'!$C$28)</f>
        <v>0</v>
      </c>
      <c r="AO42" s="340">
        <f>AB42*(1+'Summary. Assumptions. Inputs'!$C$28)</f>
        <v>0</v>
      </c>
      <c r="AP42" s="345">
        <f t="shared" si="21"/>
        <v>0</v>
      </c>
      <c r="AQ42" s="340">
        <f>AD42*(1+'Summary. Assumptions. Inputs'!$C$28)</f>
        <v>0</v>
      </c>
      <c r="AR42" s="340">
        <f>AE42*(1+'Summary. Assumptions. Inputs'!$C$28)</f>
        <v>0</v>
      </c>
      <c r="AS42" s="340">
        <f>AF42*(1+'Summary. Assumptions. Inputs'!$C$28)</f>
        <v>0</v>
      </c>
      <c r="AT42" s="340">
        <f>AG42*(1+'Summary. Assumptions. Inputs'!$C$28)</f>
        <v>0</v>
      </c>
      <c r="AU42" s="340">
        <f>AH42*(1+'Summary. Assumptions. Inputs'!$C$28)</f>
        <v>0</v>
      </c>
      <c r="AV42" s="340">
        <f>AI42*(1+'Summary. Assumptions. Inputs'!$C$28)</f>
        <v>0</v>
      </c>
      <c r="AW42" s="340">
        <f>AJ42*(1+'Summary. Assumptions. Inputs'!$C$28)</f>
        <v>0</v>
      </c>
      <c r="AX42" s="340">
        <f>AK42*(1+'Summary. Assumptions. Inputs'!$C$28)</f>
        <v>0</v>
      </c>
      <c r="AY42" s="340">
        <f>AL42*(1+'Summary. Assumptions. Inputs'!$C$28)</f>
        <v>0</v>
      </c>
      <c r="AZ42" s="340">
        <f>AM42*(1+'Summary. Assumptions. Inputs'!$C$28)</f>
        <v>0</v>
      </c>
      <c r="BA42" s="340">
        <f>AN42*(1+'Summary. Assumptions. Inputs'!$C$28)</f>
        <v>0</v>
      </c>
      <c r="BB42" s="340">
        <f>AO42*(1+'Summary. Assumptions. Inputs'!$C$28)</f>
        <v>0</v>
      </c>
      <c r="BC42" s="345">
        <f t="shared" si="23"/>
        <v>0</v>
      </c>
      <c r="BD42" s="340">
        <f>AQ42*(1+'Summary. Assumptions. Inputs'!$C$28)</f>
        <v>0</v>
      </c>
      <c r="BE42" s="340">
        <f>AR42*(1+'Summary. Assumptions. Inputs'!$C$28)</f>
        <v>0</v>
      </c>
      <c r="BF42" s="340">
        <f>AS42*(1+'Summary. Assumptions. Inputs'!$C$28)</f>
        <v>0</v>
      </c>
      <c r="BG42" s="340">
        <f>AT42*(1+'Summary. Assumptions. Inputs'!$C$28)</f>
        <v>0</v>
      </c>
      <c r="BH42" s="340">
        <f>AU42*(1+'Summary. Assumptions. Inputs'!$C$28)</f>
        <v>0</v>
      </c>
      <c r="BI42" s="340">
        <f>AV42*(1+'Summary. Assumptions. Inputs'!$C$28)</f>
        <v>0</v>
      </c>
      <c r="BJ42" s="340">
        <f>AW42*(1+'Summary. Assumptions. Inputs'!$C$28)</f>
        <v>0</v>
      </c>
      <c r="BK42" s="340">
        <f>AX42*(1+'Summary. Assumptions. Inputs'!$C$28)</f>
        <v>0</v>
      </c>
      <c r="BL42" s="340">
        <f>AY42*(1+'Summary. Assumptions. Inputs'!$C$28)</f>
        <v>0</v>
      </c>
      <c r="BM42" s="340">
        <f>AZ42*(1+'Summary. Assumptions. Inputs'!$C$28)</f>
        <v>0</v>
      </c>
      <c r="BN42" s="340">
        <f>BA42*(1+'Summary. Assumptions. Inputs'!$C$28)</f>
        <v>0</v>
      </c>
      <c r="BO42" s="340">
        <f>BB42*(1+'Summary. Assumptions. Inputs'!$C$28)</f>
        <v>0</v>
      </c>
      <c r="BP42" s="345">
        <f t="shared" si="25"/>
        <v>0</v>
      </c>
      <c r="BQ42" s="340">
        <f>BD42*(1+'Summary. Assumptions. Inputs'!$C$28)</f>
        <v>0</v>
      </c>
      <c r="BR42" s="340">
        <f>BE42*(1+'Summary. Assumptions. Inputs'!$C$28)</f>
        <v>0</v>
      </c>
      <c r="BS42" s="340">
        <f>BF42*(1+'Summary. Assumptions. Inputs'!$C$28)</f>
        <v>0</v>
      </c>
      <c r="BT42" s="340">
        <f>BG42*(1+'Summary. Assumptions. Inputs'!$C$28)</f>
        <v>0</v>
      </c>
      <c r="BU42" s="340">
        <f>BH42*(1+'Summary. Assumptions. Inputs'!$C$28)</f>
        <v>0</v>
      </c>
      <c r="BV42" s="340">
        <f>BI42*(1+'Summary. Assumptions. Inputs'!$C$28)</f>
        <v>0</v>
      </c>
      <c r="BW42" s="340">
        <f>BJ42*(1+'Summary. Assumptions. Inputs'!$C$28)</f>
        <v>0</v>
      </c>
      <c r="BX42" s="340">
        <f>BK42*(1+'Summary. Assumptions. Inputs'!$C$28)</f>
        <v>0</v>
      </c>
      <c r="BY42" s="340">
        <f>BL42*(1+'Summary. Assumptions. Inputs'!$C$28)</f>
        <v>0</v>
      </c>
      <c r="BZ42" s="340">
        <f>BM42*(1+'Summary. Assumptions. Inputs'!$C$28)</f>
        <v>0</v>
      </c>
      <c r="CA42" s="340">
        <f>BN42*(1+'Summary. Assumptions. Inputs'!$C$28)</f>
        <v>0</v>
      </c>
      <c r="CB42" s="340">
        <f>BO42*(1+'Summary. Assumptions. Inputs'!$C$28)</f>
        <v>0</v>
      </c>
      <c r="CC42" s="345">
        <f t="shared" si="27"/>
        <v>0</v>
      </c>
      <c r="CD42" s="340">
        <f>BQ42*(1+'Summary. Assumptions. Inputs'!$C$28)</f>
        <v>0</v>
      </c>
      <c r="CE42" s="340">
        <f>BR42*(1+'Summary. Assumptions. Inputs'!$C$28)</f>
        <v>0</v>
      </c>
      <c r="CF42" s="340">
        <f>BS42*(1+'Summary. Assumptions. Inputs'!$C$28)</f>
        <v>0</v>
      </c>
      <c r="CG42" s="340">
        <f>BT42*(1+'Summary. Assumptions. Inputs'!$C$28)</f>
        <v>0</v>
      </c>
      <c r="CH42" s="340">
        <f>BU42*(1+'Summary. Assumptions. Inputs'!$C$28)</f>
        <v>0</v>
      </c>
      <c r="CI42" s="340">
        <f>BV42*(1+'Summary. Assumptions. Inputs'!$C$28)</f>
        <v>0</v>
      </c>
      <c r="CJ42" s="340">
        <f>BW42*(1+'Summary. Assumptions. Inputs'!$C$28)</f>
        <v>0</v>
      </c>
      <c r="CK42" s="340">
        <f>BX42*(1+'Summary. Assumptions. Inputs'!$C$28)</f>
        <v>0</v>
      </c>
      <c r="CL42" s="340">
        <f>BY42*(1+'Summary. Assumptions. Inputs'!$C$28)</f>
        <v>0</v>
      </c>
      <c r="CM42" s="340">
        <f>BZ42*(1+'Summary. Assumptions. Inputs'!$C$28)</f>
        <v>0</v>
      </c>
      <c r="CN42" s="340">
        <f>CA42*(1+'Summary. Assumptions. Inputs'!$C$28)</f>
        <v>0</v>
      </c>
      <c r="CO42" s="340">
        <f>CB42*(1+'Summary. Assumptions. Inputs'!$C$28)</f>
        <v>0</v>
      </c>
      <c r="CP42" s="345">
        <f t="shared" si="29"/>
        <v>0</v>
      </c>
    </row>
    <row r="43" spans="1:94" hidden="1">
      <c r="A43" s="342">
        <f>'Summary. Assumptions. Inputs'!A70</f>
        <v>0</v>
      </c>
      <c r="B43" s="343">
        <f>'Summary. Assumptions. Inputs'!B70</f>
        <v>0</v>
      </c>
      <c r="C43" s="343"/>
      <c r="D43" s="340"/>
      <c r="E43" s="340"/>
      <c r="F43" s="340"/>
      <c r="G43" s="340"/>
      <c r="H43" s="340"/>
      <c r="I43" s="340"/>
      <c r="J43" s="340"/>
      <c r="K43" s="340"/>
      <c r="L43" s="340"/>
      <c r="M43" s="340"/>
      <c r="N43" s="340"/>
      <c r="O43" s="340"/>
      <c r="P43" s="343">
        <f t="shared" si="10"/>
        <v>0</v>
      </c>
      <c r="Q43" s="340">
        <f>D43*(1+'Summary. Assumptions. Inputs'!$C$28)</f>
        <v>0</v>
      </c>
      <c r="R43" s="340">
        <f>E43*(1+'Summary. Assumptions. Inputs'!$C$28)</f>
        <v>0</v>
      </c>
      <c r="S43" s="340">
        <f>F43*(1+'Summary. Assumptions. Inputs'!$C$28)</f>
        <v>0</v>
      </c>
      <c r="T43" s="340">
        <f>G43*(1+'Summary. Assumptions. Inputs'!$C$28)</f>
        <v>0</v>
      </c>
      <c r="U43" s="340">
        <f>H43*(1+'Summary. Assumptions. Inputs'!$C$28)</f>
        <v>0</v>
      </c>
      <c r="V43" s="340">
        <f>I43*(1+'Summary. Assumptions. Inputs'!$C$28)</f>
        <v>0</v>
      </c>
      <c r="W43" s="340">
        <f>J43*(1+'Summary. Assumptions. Inputs'!$C$28)</f>
        <v>0</v>
      </c>
      <c r="X43" s="340">
        <f>K43*(1+'Summary. Assumptions. Inputs'!$C$28)</f>
        <v>0</v>
      </c>
      <c r="Y43" s="340">
        <f>L43*(1+'Summary. Assumptions. Inputs'!$C$28)</f>
        <v>0</v>
      </c>
      <c r="Z43" s="340">
        <f>M43*(1+'Summary. Assumptions. Inputs'!$C$28)</f>
        <v>0</v>
      </c>
      <c r="AA43" s="340">
        <f>N43*(1+'Summary. Assumptions. Inputs'!$C$28)</f>
        <v>0</v>
      </c>
      <c r="AB43" s="340">
        <f>O43*(1+'Summary. Assumptions. Inputs'!$C$28)</f>
        <v>0</v>
      </c>
      <c r="AC43" s="343">
        <f t="shared" si="19"/>
        <v>0</v>
      </c>
      <c r="AD43" s="340">
        <f>Q43*(1+'Summary. Assumptions. Inputs'!$C$28)</f>
        <v>0</v>
      </c>
      <c r="AE43" s="340">
        <f>R43*(1+'Summary. Assumptions. Inputs'!$C$28)</f>
        <v>0</v>
      </c>
      <c r="AF43" s="340">
        <f>S43*(1+'Summary. Assumptions. Inputs'!$C$28)</f>
        <v>0</v>
      </c>
      <c r="AG43" s="340">
        <f>T43*(1+'Summary. Assumptions. Inputs'!$C$28)</f>
        <v>0</v>
      </c>
      <c r="AH43" s="340">
        <f>U43*(1+'Summary. Assumptions. Inputs'!$C$28)</f>
        <v>0</v>
      </c>
      <c r="AI43" s="340">
        <f>V43*(1+'Summary. Assumptions. Inputs'!$C$28)</f>
        <v>0</v>
      </c>
      <c r="AJ43" s="340">
        <f>W43*(1+'Summary. Assumptions. Inputs'!$C$28)</f>
        <v>0</v>
      </c>
      <c r="AK43" s="340">
        <f>X43*(1+'Summary. Assumptions. Inputs'!$C$28)</f>
        <v>0</v>
      </c>
      <c r="AL43" s="340">
        <f>Y43*(1+'Summary. Assumptions. Inputs'!$C$28)</f>
        <v>0</v>
      </c>
      <c r="AM43" s="340">
        <f>Z43*(1+'Summary. Assumptions. Inputs'!$C$28)</f>
        <v>0</v>
      </c>
      <c r="AN43" s="340">
        <f>AA43*(1+'Summary. Assumptions. Inputs'!$C$28)</f>
        <v>0</v>
      </c>
      <c r="AO43" s="340">
        <f>AB43*(1+'Summary. Assumptions. Inputs'!$C$28)</f>
        <v>0</v>
      </c>
      <c r="AP43" s="343">
        <f t="shared" si="21"/>
        <v>0</v>
      </c>
      <c r="AQ43" s="340">
        <f>AD43*(1+'Summary. Assumptions. Inputs'!$C$28)</f>
        <v>0</v>
      </c>
      <c r="AR43" s="340">
        <f>AE43*(1+'Summary. Assumptions. Inputs'!$C$28)</f>
        <v>0</v>
      </c>
      <c r="AS43" s="340">
        <f>AF43*(1+'Summary. Assumptions. Inputs'!$C$28)</f>
        <v>0</v>
      </c>
      <c r="AT43" s="340">
        <f>AG43*(1+'Summary. Assumptions. Inputs'!$C$28)</f>
        <v>0</v>
      </c>
      <c r="AU43" s="340">
        <f>AH43*(1+'Summary. Assumptions. Inputs'!$C$28)</f>
        <v>0</v>
      </c>
      <c r="AV43" s="340">
        <f>AI43*(1+'Summary. Assumptions. Inputs'!$C$28)</f>
        <v>0</v>
      </c>
      <c r="AW43" s="340">
        <f>AJ43*(1+'Summary. Assumptions. Inputs'!$C$28)</f>
        <v>0</v>
      </c>
      <c r="AX43" s="340">
        <f>AK43*(1+'Summary. Assumptions. Inputs'!$C$28)</f>
        <v>0</v>
      </c>
      <c r="AY43" s="340">
        <f>AL43*(1+'Summary. Assumptions. Inputs'!$C$28)</f>
        <v>0</v>
      </c>
      <c r="AZ43" s="340">
        <f>AM43*(1+'Summary. Assumptions. Inputs'!$C$28)</f>
        <v>0</v>
      </c>
      <c r="BA43" s="340">
        <f>AN43*(1+'Summary. Assumptions. Inputs'!$C$28)</f>
        <v>0</v>
      </c>
      <c r="BB43" s="340">
        <f>AO43*(1+'Summary. Assumptions. Inputs'!$C$28)</f>
        <v>0</v>
      </c>
      <c r="BC43" s="343">
        <f t="shared" si="23"/>
        <v>0</v>
      </c>
      <c r="BD43" s="340">
        <f>AQ43*(1+'Summary. Assumptions. Inputs'!$C$28)</f>
        <v>0</v>
      </c>
      <c r="BE43" s="340">
        <f>AR43*(1+'Summary. Assumptions. Inputs'!$C$28)</f>
        <v>0</v>
      </c>
      <c r="BF43" s="340">
        <f>AS43*(1+'Summary. Assumptions. Inputs'!$C$28)</f>
        <v>0</v>
      </c>
      <c r="BG43" s="340">
        <f>AT43*(1+'Summary. Assumptions. Inputs'!$C$28)</f>
        <v>0</v>
      </c>
      <c r="BH43" s="340">
        <f>AU43*(1+'Summary. Assumptions. Inputs'!$C$28)</f>
        <v>0</v>
      </c>
      <c r="BI43" s="340">
        <f>AV43*(1+'Summary. Assumptions. Inputs'!$C$28)</f>
        <v>0</v>
      </c>
      <c r="BJ43" s="340">
        <f>AW43*(1+'Summary. Assumptions. Inputs'!$C$28)</f>
        <v>0</v>
      </c>
      <c r="BK43" s="340">
        <f>AX43*(1+'Summary. Assumptions. Inputs'!$C$28)</f>
        <v>0</v>
      </c>
      <c r="BL43" s="340">
        <f>AY43*(1+'Summary. Assumptions. Inputs'!$C$28)</f>
        <v>0</v>
      </c>
      <c r="BM43" s="340">
        <f>AZ43*(1+'Summary. Assumptions. Inputs'!$C$28)</f>
        <v>0</v>
      </c>
      <c r="BN43" s="340">
        <f>BA43*(1+'Summary. Assumptions. Inputs'!$C$28)</f>
        <v>0</v>
      </c>
      <c r="BO43" s="340">
        <f>BB43*(1+'Summary. Assumptions. Inputs'!$C$28)</f>
        <v>0</v>
      </c>
      <c r="BP43" s="343">
        <f t="shared" si="25"/>
        <v>0</v>
      </c>
      <c r="BQ43" s="340">
        <f>BD43*(1+'Summary. Assumptions. Inputs'!$C$28)</f>
        <v>0</v>
      </c>
      <c r="BR43" s="340">
        <f>BE43*(1+'Summary. Assumptions. Inputs'!$C$28)</f>
        <v>0</v>
      </c>
      <c r="BS43" s="340">
        <f>BF43*(1+'Summary. Assumptions. Inputs'!$C$28)</f>
        <v>0</v>
      </c>
      <c r="BT43" s="340">
        <f>BG43*(1+'Summary. Assumptions. Inputs'!$C$28)</f>
        <v>0</v>
      </c>
      <c r="BU43" s="340">
        <f>BH43*(1+'Summary. Assumptions. Inputs'!$C$28)</f>
        <v>0</v>
      </c>
      <c r="BV43" s="340">
        <f>BI43*(1+'Summary. Assumptions. Inputs'!$C$28)</f>
        <v>0</v>
      </c>
      <c r="BW43" s="340">
        <f>BJ43*(1+'Summary. Assumptions. Inputs'!$C$28)</f>
        <v>0</v>
      </c>
      <c r="BX43" s="340">
        <f>BK43*(1+'Summary. Assumptions. Inputs'!$C$28)</f>
        <v>0</v>
      </c>
      <c r="BY43" s="340">
        <f>BL43*(1+'Summary. Assumptions. Inputs'!$C$28)</f>
        <v>0</v>
      </c>
      <c r="BZ43" s="340">
        <f>BM43*(1+'Summary. Assumptions. Inputs'!$C$28)</f>
        <v>0</v>
      </c>
      <c r="CA43" s="340">
        <f>BN43*(1+'Summary. Assumptions. Inputs'!$C$28)</f>
        <v>0</v>
      </c>
      <c r="CB43" s="340">
        <f>BO43*(1+'Summary. Assumptions. Inputs'!$C$28)</f>
        <v>0</v>
      </c>
      <c r="CC43" s="343">
        <f t="shared" si="27"/>
        <v>0</v>
      </c>
      <c r="CD43" s="340">
        <f>BQ43*(1+'Summary. Assumptions. Inputs'!$C$28)</f>
        <v>0</v>
      </c>
      <c r="CE43" s="340">
        <f>BR43*(1+'Summary. Assumptions. Inputs'!$C$28)</f>
        <v>0</v>
      </c>
      <c r="CF43" s="340">
        <f>BS43*(1+'Summary. Assumptions. Inputs'!$C$28)</f>
        <v>0</v>
      </c>
      <c r="CG43" s="340">
        <f>BT43*(1+'Summary. Assumptions. Inputs'!$C$28)</f>
        <v>0</v>
      </c>
      <c r="CH43" s="340">
        <f>BU43*(1+'Summary. Assumptions. Inputs'!$C$28)</f>
        <v>0</v>
      </c>
      <c r="CI43" s="340">
        <f>BV43*(1+'Summary. Assumptions. Inputs'!$C$28)</f>
        <v>0</v>
      </c>
      <c r="CJ43" s="340">
        <f>BW43*(1+'Summary. Assumptions. Inputs'!$C$28)</f>
        <v>0</v>
      </c>
      <c r="CK43" s="340">
        <f>BX43*(1+'Summary. Assumptions. Inputs'!$C$28)</f>
        <v>0</v>
      </c>
      <c r="CL43" s="340">
        <f>BY43*(1+'Summary. Assumptions. Inputs'!$C$28)</f>
        <v>0</v>
      </c>
      <c r="CM43" s="340">
        <f>BZ43*(1+'Summary. Assumptions. Inputs'!$C$28)</f>
        <v>0</v>
      </c>
      <c r="CN43" s="340">
        <f>CA43*(1+'Summary. Assumptions. Inputs'!$C$28)</f>
        <v>0</v>
      </c>
      <c r="CO43" s="340">
        <f>CB43*(1+'Summary. Assumptions. Inputs'!$C$28)</f>
        <v>0</v>
      </c>
      <c r="CP43" s="343">
        <f t="shared" si="29"/>
        <v>0</v>
      </c>
    </row>
    <row r="44" spans="1:94" hidden="1">
      <c r="A44" s="344">
        <f>'Summary. Assumptions. Inputs'!A71</f>
        <v>0</v>
      </c>
      <c r="B44" s="345">
        <f>'Summary. Assumptions. Inputs'!B71</f>
        <v>0</v>
      </c>
      <c r="C44" s="345"/>
      <c r="D44" s="340"/>
      <c r="E44" s="340"/>
      <c r="F44" s="340"/>
      <c r="G44" s="340"/>
      <c r="H44" s="340"/>
      <c r="I44" s="340"/>
      <c r="J44" s="340"/>
      <c r="K44" s="340"/>
      <c r="L44" s="340"/>
      <c r="M44" s="340"/>
      <c r="N44" s="340"/>
      <c r="O44" s="340"/>
      <c r="P44" s="345">
        <f t="shared" si="10"/>
        <v>0</v>
      </c>
      <c r="Q44" s="340">
        <f>D44*(1+'Summary. Assumptions. Inputs'!$C$28)</f>
        <v>0</v>
      </c>
      <c r="R44" s="340">
        <f>E44*(1+'Summary. Assumptions. Inputs'!$C$28)</f>
        <v>0</v>
      </c>
      <c r="S44" s="340">
        <f>F44*(1+'Summary. Assumptions. Inputs'!$C$28)</f>
        <v>0</v>
      </c>
      <c r="T44" s="340">
        <f>G44*(1+'Summary. Assumptions. Inputs'!$C$28)</f>
        <v>0</v>
      </c>
      <c r="U44" s="340">
        <f>H44*(1+'Summary. Assumptions. Inputs'!$C$28)</f>
        <v>0</v>
      </c>
      <c r="V44" s="340">
        <f>I44*(1+'Summary. Assumptions. Inputs'!$C$28)</f>
        <v>0</v>
      </c>
      <c r="W44" s="340">
        <f>J44*(1+'Summary. Assumptions. Inputs'!$C$28)</f>
        <v>0</v>
      </c>
      <c r="X44" s="340">
        <f>K44*(1+'Summary. Assumptions. Inputs'!$C$28)</f>
        <v>0</v>
      </c>
      <c r="Y44" s="340">
        <f>L44*(1+'Summary. Assumptions. Inputs'!$C$28)</f>
        <v>0</v>
      </c>
      <c r="Z44" s="340">
        <f>M44*(1+'Summary. Assumptions. Inputs'!$C$28)</f>
        <v>0</v>
      </c>
      <c r="AA44" s="340">
        <f>N44*(1+'Summary. Assumptions. Inputs'!$C$28)</f>
        <v>0</v>
      </c>
      <c r="AB44" s="340">
        <f>O44*(1+'Summary. Assumptions. Inputs'!$C$28)</f>
        <v>0</v>
      </c>
      <c r="AC44" s="345">
        <f t="shared" si="19"/>
        <v>0</v>
      </c>
      <c r="AD44" s="340">
        <f>Q44*(1+'Summary. Assumptions. Inputs'!$C$28)</f>
        <v>0</v>
      </c>
      <c r="AE44" s="340">
        <f>R44*(1+'Summary. Assumptions. Inputs'!$C$28)</f>
        <v>0</v>
      </c>
      <c r="AF44" s="340">
        <f>S44*(1+'Summary. Assumptions. Inputs'!$C$28)</f>
        <v>0</v>
      </c>
      <c r="AG44" s="340">
        <f>T44*(1+'Summary. Assumptions. Inputs'!$C$28)</f>
        <v>0</v>
      </c>
      <c r="AH44" s="340">
        <f>U44*(1+'Summary. Assumptions. Inputs'!$C$28)</f>
        <v>0</v>
      </c>
      <c r="AI44" s="340">
        <f>V44*(1+'Summary. Assumptions. Inputs'!$C$28)</f>
        <v>0</v>
      </c>
      <c r="AJ44" s="340">
        <f>W44*(1+'Summary. Assumptions. Inputs'!$C$28)</f>
        <v>0</v>
      </c>
      <c r="AK44" s="340">
        <f>X44*(1+'Summary. Assumptions. Inputs'!$C$28)</f>
        <v>0</v>
      </c>
      <c r="AL44" s="340">
        <f>Y44*(1+'Summary. Assumptions. Inputs'!$C$28)</f>
        <v>0</v>
      </c>
      <c r="AM44" s="340">
        <f>Z44*(1+'Summary. Assumptions. Inputs'!$C$28)</f>
        <v>0</v>
      </c>
      <c r="AN44" s="340">
        <f>AA44*(1+'Summary. Assumptions. Inputs'!$C$28)</f>
        <v>0</v>
      </c>
      <c r="AO44" s="340">
        <f>AB44*(1+'Summary. Assumptions. Inputs'!$C$28)</f>
        <v>0</v>
      </c>
      <c r="AP44" s="345">
        <f t="shared" si="21"/>
        <v>0</v>
      </c>
      <c r="AQ44" s="340">
        <f>AD44*(1+'Summary. Assumptions. Inputs'!$C$28)</f>
        <v>0</v>
      </c>
      <c r="AR44" s="340">
        <f>AE44*(1+'Summary. Assumptions. Inputs'!$C$28)</f>
        <v>0</v>
      </c>
      <c r="AS44" s="340">
        <f>AF44*(1+'Summary. Assumptions. Inputs'!$C$28)</f>
        <v>0</v>
      </c>
      <c r="AT44" s="340">
        <f>AG44*(1+'Summary. Assumptions. Inputs'!$C$28)</f>
        <v>0</v>
      </c>
      <c r="AU44" s="340">
        <f>AH44*(1+'Summary. Assumptions. Inputs'!$C$28)</f>
        <v>0</v>
      </c>
      <c r="AV44" s="340">
        <f>AI44*(1+'Summary. Assumptions. Inputs'!$C$28)</f>
        <v>0</v>
      </c>
      <c r="AW44" s="340">
        <f>AJ44*(1+'Summary. Assumptions. Inputs'!$C$28)</f>
        <v>0</v>
      </c>
      <c r="AX44" s="340">
        <f>AK44*(1+'Summary. Assumptions. Inputs'!$C$28)</f>
        <v>0</v>
      </c>
      <c r="AY44" s="340">
        <f>AL44*(1+'Summary. Assumptions. Inputs'!$C$28)</f>
        <v>0</v>
      </c>
      <c r="AZ44" s="340">
        <f>AM44*(1+'Summary. Assumptions. Inputs'!$C$28)</f>
        <v>0</v>
      </c>
      <c r="BA44" s="340">
        <f>AN44*(1+'Summary. Assumptions. Inputs'!$C$28)</f>
        <v>0</v>
      </c>
      <c r="BB44" s="340">
        <f>AO44*(1+'Summary. Assumptions. Inputs'!$C$28)</f>
        <v>0</v>
      </c>
      <c r="BC44" s="345">
        <f t="shared" si="23"/>
        <v>0</v>
      </c>
      <c r="BD44" s="340">
        <f>AQ44*(1+'Summary. Assumptions. Inputs'!$C$28)</f>
        <v>0</v>
      </c>
      <c r="BE44" s="340">
        <f>AR44*(1+'Summary. Assumptions. Inputs'!$C$28)</f>
        <v>0</v>
      </c>
      <c r="BF44" s="340">
        <f>AS44*(1+'Summary. Assumptions. Inputs'!$C$28)</f>
        <v>0</v>
      </c>
      <c r="BG44" s="340">
        <f>AT44*(1+'Summary. Assumptions. Inputs'!$C$28)</f>
        <v>0</v>
      </c>
      <c r="BH44" s="340">
        <f>AU44*(1+'Summary. Assumptions. Inputs'!$C$28)</f>
        <v>0</v>
      </c>
      <c r="BI44" s="340">
        <f>AV44*(1+'Summary. Assumptions. Inputs'!$C$28)</f>
        <v>0</v>
      </c>
      <c r="BJ44" s="340">
        <f>AW44*(1+'Summary. Assumptions. Inputs'!$C$28)</f>
        <v>0</v>
      </c>
      <c r="BK44" s="340">
        <f>AX44*(1+'Summary. Assumptions. Inputs'!$C$28)</f>
        <v>0</v>
      </c>
      <c r="BL44" s="340">
        <f>AY44*(1+'Summary. Assumptions. Inputs'!$C$28)</f>
        <v>0</v>
      </c>
      <c r="BM44" s="340">
        <f>AZ44*(1+'Summary. Assumptions. Inputs'!$C$28)</f>
        <v>0</v>
      </c>
      <c r="BN44" s="340">
        <f>BA44*(1+'Summary. Assumptions. Inputs'!$C$28)</f>
        <v>0</v>
      </c>
      <c r="BO44" s="340">
        <f>BB44*(1+'Summary. Assumptions. Inputs'!$C$28)</f>
        <v>0</v>
      </c>
      <c r="BP44" s="345">
        <f t="shared" si="25"/>
        <v>0</v>
      </c>
      <c r="BQ44" s="340">
        <f>BD44*(1+'Summary. Assumptions. Inputs'!$C$28)</f>
        <v>0</v>
      </c>
      <c r="BR44" s="340">
        <f>BE44*(1+'Summary. Assumptions. Inputs'!$C$28)</f>
        <v>0</v>
      </c>
      <c r="BS44" s="340">
        <f>BF44*(1+'Summary. Assumptions. Inputs'!$C$28)</f>
        <v>0</v>
      </c>
      <c r="BT44" s="340">
        <f>BG44*(1+'Summary. Assumptions. Inputs'!$C$28)</f>
        <v>0</v>
      </c>
      <c r="BU44" s="340">
        <f>BH44*(1+'Summary. Assumptions. Inputs'!$C$28)</f>
        <v>0</v>
      </c>
      <c r="BV44" s="340">
        <f>BI44*(1+'Summary. Assumptions. Inputs'!$C$28)</f>
        <v>0</v>
      </c>
      <c r="BW44" s="340">
        <f>BJ44*(1+'Summary. Assumptions. Inputs'!$C$28)</f>
        <v>0</v>
      </c>
      <c r="BX44" s="340">
        <f>BK44*(1+'Summary. Assumptions. Inputs'!$C$28)</f>
        <v>0</v>
      </c>
      <c r="BY44" s="340">
        <f>BL44*(1+'Summary. Assumptions. Inputs'!$C$28)</f>
        <v>0</v>
      </c>
      <c r="BZ44" s="340">
        <f>BM44*(1+'Summary. Assumptions. Inputs'!$C$28)</f>
        <v>0</v>
      </c>
      <c r="CA44" s="340">
        <f>BN44*(1+'Summary. Assumptions. Inputs'!$C$28)</f>
        <v>0</v>
      </c>
      <c r="CB44" s="340">
        <f>BO44*(1+'Summary. Assumptions. Inputs'!$C$28)</f>
        <v>0</v>
      </c>
      <c r="CC44" s="345">
        <f t="shared" si="27"/>
        <v>0</v>
      </c>
      <c r="CD44" s="340">
        <f>BQ44*(1+'Summary. Assumptions. Inputs'!$C$28)</f>
        <v>0</v>
      </c>
      <c r="CE44" s="340">
        <f>BR44*(1+'Summary. Assumptions. Inputs'!$C$28)</f>
        <v>0</v>
      </c>
      <c r="CF44" s="340">
        <f>BS44*(1+'Summary. Assumptions. Inputs'!$C$28)</f>
        <v>0</v>
      </c>
      <c r="CG44" s="340">
        <f>BT44*(1+'Summary. Assumptions. Inputs'!$C$28)</f>
        <v>0</v>
      </c>
      <c r="CH44" s="340">
        <f>BU44*(1+'Summary. Assumptions. Inputs'!$C$28)</f>
        <v>0</v>
      </c>
      <c r="CI44" s="340">
        <f>BV44*(1+'Summary. Assumptions. Inputs'!$C$28)</f>
        <v>0</v>
      </c>
      <c r="CJ44" s="340">
        <f>BW44*(1+'Summary. Assumptions. Inputs'!$C$28)</f>
        <v>0</v>
      </c>
      <c r="CK44" s="340">
        <f>BX44*(1+'Summary. Assumptions. Inputs'!$C$28)</f>
        <v>0</v>
      </c>
      <c r="CL44" s="340">
        <f>BY44*(1+'Summary. Assumptions. Inputs'!$C$28)</f>
        <v>0</v>
      </c>
      <c r="CM44" s="340">
        <f>BZ44*(1+'Summary. Assumptions. Inputs'!$C$28)</f>
        <v>0</v>
      </c>
      <c r="CN44" s="340">
        <f>CA44*(1+'Summary. Assumptions. Inputs'!$C$28)</f>
        <v>0</v>
      </c>
      <c r="CO44" s="340">
        <f>CB44*(1+'Summary. Assumptions. Inputs'!$C$28)</f>
        <v>0</v>
      </c>
      <c r="CP44" s="345">
        <f t="shared" si="29"/>
        <v>0</v>
      </c>
    </row>
    <row r="45" spans="1:94" hidden="1">
      <c r="A45" s="342">
        <f>'Summary. Assumptions. Inputs'!A72</f>
        <v>0</v>
      </c>
      <c r="B45" s="343">
        <f>'Summary. Assumptions. Inputs'!B72</f>
        <v>0</v>
      </c>
      <c r="C45" s="343"/>
      <c r="D45" s="340"/>
      <c r="E45" s="340"/>
      <c r="F45" s="340"/>
      <c r="G45" s="340"/>
      <c r="H45" s="340"/>
      <c r="I45" s="340"/>
      <c r="J45" s="340"/>
      <c r="K45" s="340"/>
      <c r="L45" s="340"/>
      <c r="M45" s="340"/>
      <c r="N45" s="340"/>
      <c r="O45" s="340"/>
      <c r="P45" s="343">
        <f t="shared" si="10"/>
        <v>0</v>
      </c>
      <c r="Q45" s="340">
        <f>D45*(1+'Summary. Assumptions. Inputs'!$C$28)</f>
        <v>0</v>
      </c>
      <c r="R45" s="340">
        <f>E45*(1+'Summary. Assumptions. Inputs'!$C$28)</f>
        <v>0</v>
      </c>
      <c r="S45" s="340">
        <f>F45*(1+'Summary. Assumptions. Inputs'!$C$28)</f>
        <v>0</v>
      </c>
      <c r="T45" s="340">
        <f>G45*(1+'Summary. Assumptions. Inputs'!$C$28)</f>
        <v>0</v>
      </c>
      <c r="U45" s="340">
        <f>H45*(1+'Summary. Assumptions. Inputs'!$C$28)</f>
        <v>0</v>
      </c>
      <c r="V45" s="340">
        <f>I45*(1+'Summary. Assumptions. Inputs'!$C$28)</f>
        <v>0</v>
      </c>
      <c r="W45" s="340">
        <f>J45*(1+'Summary. Assumptions. Inputs'!$C$28)</f>
        <v>0</v>
      </c>
      <c r="X45" s="340">
        <f>K45*(1+'Summary. Assumptions. Inputs'!$C$28)</f>
        <v>0</v>
      </c>
      <c r="Y45" s="340">
        <f>L45*(1+'Summary. Assumptions. Inputs'!$C$28)</f>
        <v>0</v>
      </c>
      <c r="Z45" s="340">
        <f>M45*(1+'Summary. Assumptions. Inputs'!$C$28)</f>
        <v>0</v>
      </c>
      <c r="AA45" s="340">
        <f>N45*(1+'Summary. Assumptions. Inputs'!$C$28)</f>
        <v>0</v>
      </c>
      <c r="AB45" s="340">
        <f>O45*(1+'Summary. Assumptions. Inputs'!$C$28)</f>
        <v>0</v>
      </c>
      <c r="AC45" s="343">
        <f t="shared" si="19"/>
        <v>0</v>
      </c>
      <c r="AD45" s="340">
        <f>Q45*(1+'Summary. Assumptions. Inputs'!$C$28)</f>
        <v>0</v>
      </c>
      <c r="AE45" s="340">
        <f>R45*(1+'Summary. Assumptions. Inputs'!$C$28)</f>
        <v>0</v>
      </c>
      <c r="AF45" s="340">
        <f>S45*(1+'Summary. Assumptions. Inputs'!$C$28)</f>
        <v>0</v>
      </c>
      <c r="AG45" s="340">
        <f>T45*(1+'Summary. Assumptions. Inputs'!$C$28)</f>
        <v>0</v>
      </c>
      <c r="AH45" s="340">
        <f>U45*(1+'Summary. Assumptions. Inputs'!$C$28)</f>
        <v>0</v>
      </c>
      <c r="AI45" s="340">
        <f>V45*(1+'Summary. Assumptions. Inputs'!$C$28)</f>
        <v>0</v>
      </c>
      <c r="AJ45" s="340">
        <f>W45*(1+'Summary. Assumptions. Inputs'!$C$28)</f>
        <v>0</v>
      </c>
      <c r="AK45" s="340">
        <f>X45*(1+'Summary. Assumptions. Inputs'!$C$28)</f>
        <v>0</v>
      </c>
      <c r="AL45" s="340">
        <f>Y45*(1+'Summary. Assumptions. Inputs'!$C$28)</f>
        <v>0</v>
      </c>
      <c r="AM45" s="340">
        <f>Z45*(1+'Summary. Assumptions. Inputs'!$C$28)</f>
        <v>0</v>
      </c>
      <c r="AN45" s="340">
        <f>AA45*(1+'Summary. Assumptions. Inputs'!$C$28)</f>
        <v>0</v>
      </c>
      <c r="AO45" s="340">
        <f>AB45*(1+'Summary. Assumptions. Inputs'!$C$28)</f>
        <v>0</v>
      </c>
      <c r="AP45" s="343">
        <f t="shared" si="21"/>
        <v>0</v>
      </c>
      <c r="AQ45" s="340">
        <f>AD45*(1+'Summary. Assumptions. Inputs'!$C$28)</f>
        <v>0</v>
      </c>
      <c r="AR45" s="340">
        <f>AE45*(1+'Summary. Assumptions. Inputs'!$C$28)</f>
        <v>0</v>
      </c>
      <c r="AS45" s="340">
        <f>AF45*(1+'Summary. Assumptions. Inputs'!$C$28)</f>
        <v>0</v>
      </c>
      <c r="AT45" s="340">
        <f>AG45*(1+'Summary. Assumptions. Inputs'!$C$28)</f>
        <v>0</v>
      </c>
      <c r="AU45" s="340">
        <f>AH45*(1+'Summary. Assumptions. Inputs'!$C$28)</f>
        <v>0</v>
      </c>
      <c r="AV45" s="340">
        <f>AI45*(1+'Summary. Assumptions. Inputs'!$C$28)</f>
        <v>0</v>
      </c>
      <c r="AW45" s="340">
        <f>AJ45*(1+'Summary. Assumptions. Inputs'!$C$28)</f>
        <v>0</v>
      </c>
      <c r="AX45" s="340">
        <f>AK45*(1+'Summary. Assumptions. Inputs'!$C$28)</f>
        <v>0</v>
      </c>
      <c r="AY45" s="340">
        <f>AL45*(1+'Summary. Assumptions. Inputs'!$C$28)</f>
        <v>0</v>
      </c>
      <c r="AZ45" s="340">
        <f>AM45*(1+'Summary. Assumptions. Inputs'!$C$28)</f>
        <v>0</v>
      </c>
      <c r="BA45" s="340">
        <f>AN45*(1+'Summary. Assumptions. Inputs'!$C$28)</f>
        <v>0</v>
      </c>
      <c r="BB45" s="340">
        <f>AO45*(1+'Summary. Assumptions. Inputs'!$C$28)</f>
        <v>0</v>
      </c>
      <c r="BC45" s="343">
        <f t="shared" si="23"/>
        <v>0</v>
      </c>
      <c r="BD45" s="340">
        <f>AQ45*(1+'Summary. Assumptions. Inputs'!$C$28)</f>
        <v>0</v>
      </c>
      <c r="BE45" s="340">
        <f>AR45*(1+'Summary. Assumptions. Inputs'!$C$28)</f>
        <v>0</v>
      </c>
      <c r="BF45" s="340">
        <f>AS45*(1+'Summary. Assumptions. Inputs'!$C$28)</f>
        <v>0</v>
      </c>
      <c r="BG45" s="340">
        <f>AT45*(1+'Summary. Assumptions. Inputs'!$C$28)</f>
        <v>0</v>
      </c>
      <c r="BH45" s="340">
        <f>AU45*(1+'Summary. Assumptions. Inputs'!$C$28)</f>
        <v>0</v>
      </c>
      <c r="BI45" s="340">
        <f>AV45*(1+'Summary. Assumptions. Inputs'!$C$28)</f>
        <v>0</v>
      </c>
      <c r="BJ45" s="340">
        <f>AW45*(1+'Summary. Assumptions. Inputs'!$C$28)</f>
        <v>0</v>
      </c>
      <c r="BK45" s="340">
        <f>AX45*(1+'Summary. Assumptions. Inputs'!$C$28)</f>
        <v>0</v>
      </c>
      <c r="BL45" s="340">
        <f>AY45*(1+'Summary. Assumptions. Inputs'!$C$28)</f>
        <v>0</v>
      </c>
      <c r="BM45" s="340">
        <f>AZ45*(1+'Summary. Assumptions. Inputs'!$C$28)</f>
        <v>0</v>
      </c>
      <c r="BN45" s="340">
        <f>BA45*(1+'Summary. Assumptions. Inputs'!$C$28)</f>
        <v>0</v>
      </c>
      <c r="BO45" s="340">
        <f>BB45*(1+'Summary. Assumptions. Inputs'!$C$28)</f>
        <v>0</v>
      </c>
      <c r="BP45" s="343">
        <f t="shared" si="25"/>
        <v>0</v>
      </c>
      <c r="BQ45" s="340">
        <f>BD45*(1+'Summary. Assumptions. Inputs'!$C$28)</f>
        <v>0</v>
      </c>
      <c r="BR45" s="340">
        <f>BE45*(1+'Summary. Assumptions. Inputs'!$C$28)</f>
        <v>0</v>
      </c>
      <c r="BS45" s="340">
        <f>BF45*(1+'Summary. Assumptions. Inputs'!$C$28)</f>
        <v>0</v>
      </c>
      <c r="BT45" s="340">
        <f>BG45*(1+'Summary. Assumptions. Inputs'!$C$28)</f>
        <v>0</v>
      </c>
      <c r="BU45" s="340">
        <f>BH45*(1+'Summary. Assumptions. Inputs'!$C$28)</f>
        <v>0</v>
      </c>
      <c r="BV45" s="340">
        <f>BI45*(1+'Summary. Assumptions. Inputs'!$C$28)</f>
        <v>0</v>
      </c>
      <c r="BW45" s="340">
        <f>BJ45*(1+'Summary. Assumptions. Inputs'!$C$28)</f>
        <v>0</v>
      </c>
      <c r="BX45" s="340">
        <f>BK45*(1+'Summary. Assumptions. Inputs'!$C$28)</f>
        <v>0</v>
      </c>
      <c r="BY45" s="340">
        <f>BL45*(1+'Summary. Assumptions. Inputs'!$C$28)</f>
        <v>0</v>
      </c>
      <c r="BZ45" s="340">
        <f>BM45*(1+'Summary. Assumptions. Inputs'!$C$28)</f>
        <v>0</v>
      </c>
      <c r="CA45" s="340">
        <f>BN45*(1+'Summary. Assumptions. Inputs'!$C$28)</f>
        <v>0</v>
      </c>
      <c r="CB45" s="340">
        <f>BO45*(1+'Summary. Assumptions. Inputs'!$C$28)</f>
        <v>0</v>
      </c>
      <c r="CC45" s="343">
        <f t="shared" si="27"/>
        <v>0</v>
      </c>
      <c r="CD45" s="340">
        <f>BQ45*(1+'Summary. Assumptions. Inputs'!$C$28)</f>
        <v>0</v>
      </c>
      <c r="CE45" s="340">
        <f>BR45*(1+'Summary. Assumptions. Inputs'!$C$28)</f>
        <v>0</v>
      </c>
      <c r="CF45" s="340">
        <f>BS45*(1+'Summary. Assumptions. Inputs'!$C$28)</f>
        <v>0</v>
      </c>
      <c r="CG45" s="340">
        <f>BT45*(1+'Summary. Assumptions. Inputs'!$C$28)</f>
        <v>0</v>
      </c>
      <c r="CH45" s="340">
        <f>BU45*(1+'Summary. Assumptions. Inputs'!$C$28)</f>
        <v>0</v>
      </c>
      <c r="CI45" s="340">
        <f>BV45*(1+'Summary. Assumptions. Inputs'!$C$28)</f>
        <v>0</v>
      </c>
      <c r="CJ45" s="340">
        <f>BW45*(1+'Summary. Assumptions. Inputs'!$C$28)</f>
        <v>0</v>
      </c>
      <c r="CK45" s="340">
        <f>BX45*(1+'Summary. Assumptions. Inputs'!$C$28)</f>
        <v>0</v>
      </c>
      <c r="CL45" s="340">
        <f>BY45*(1+'Summary. Assumptions. Inputs'!$C$28)</f>
        <v>0</v>
      </c>
      <c r="CM45" s="340">
        <f>BZ45*(1+'Summary. Assumptions. Inputs'!$C$28)</f>
        <v>0</v>
      </c>
      <c r="CN45" s="340">
        <f>CA45*(1+'Summary. Assumptions. Inputs'!$C$28)</f>
        <v>0</v>
      </c>
      <c r="CO45" s="340">
        <f>CB45*(1+'Summary. Assumptions. Inputs'!$C$28)</f>
        <v>0</v>
      </c>
      <c r="CP45" s="343">
        <f t="shared" si="29"/>
        <v>0</v>
      </c>
    </row>
    <row r="46" spans="1:94" hidden="1">
      <c r="A46" s="344">
        <f>'Summary. Assumptions. Inputs'!A73</f>
        <v>0</v>
      </c>
      <c r="B46" s="345">
        <f>'Summary. Assumptions. Inputs'!B73</f>
        <v>0</v>
      </c>
      <c r="C46" s="345"/>
      <c r="D46" s="340"/>
      <c r="E46" s="340"/>
      <c r="F46" s="340"/>
      <c r="G46" s="340"/>
      <c r="H46" s="340"/>
      <c r="I46" s="340"/>
      <c r="J46" s="340"/>
      <c r="K46" s="340"/>
      <c r="L46" s="340"/>
      <c r="M46" s="340"/>
      <c r="N46" s="340"/>
      <c r="O46" s="340"/>
      <c r="P46" s="345">
        <f t="shared" si="10"/>
        <v>0</v>
      </c>
      <c r="Q46" s="340">
        <f>D46*(1+'Summary. Assumptions. Inputs'!$C$28)</f>
        <v>0</v>
      </c>
      <c r="R46" s="340">
        <f>E46*(1+'Summary. Assumptions. Inputs'!$C$28)</f>
        <v>0</v>
      </c>
      <c r="S46" s="340">
        <f>F46*(1+'Summary. Assumptions. Inputs'!$C$28)</f>
        <v>0</v>
      </c>
      <c r="T46" s="340">
        <f>G46*(1+'Summary. Assumptions. Inputs'!$C$28)</f>
        <v>0</v>
      </c>
      <c r="U46" s="340">
        <f>H46*(1+'Summary. Assumptions. Inputs'!$C$28)</f>
        <v>0</v>
      </c>
      <c r="V46" s="340">
        <f>I46*(1+'Summary. Assumptions. Inputs'!$C$28)</f>
        <v>0</v>
      </c>
      <c r="W46" s="340">
        <f>J46*(1+'Summary. Assumptions. Inputs'!$C$28)</f>
        <v>0</v>
      </c>
      <c r="X46" s="340">
        <f>K46*(1+'Summary. Assumptions. Inputs'!$C$28)</f>
        <v>0</v>
      </c>
      <c r="Y46" s="340">
        <f>L46*(1+'Summary. Assumptions. Inputs'!$C$28)</f>
        <v>0</v>
      </c>
      <c r="Z46" s="340">
        <f>M46*(1+'Summary. Assumptions. Inputs'!$C$28)</f>
        <v>0</v>
      </c>
      <c r="AA46" s="340">
        <f>N46*(1+'Summary. Assumptions. Inputs'!$C$28)</f>
        <v>0</v>
      </c>
      <c r="AB46" s="340">
        <f>O46*(1+'Summary. Assumptions. Inputs'!$C$28)</f>
        <v>0</v>
      </c>
      <c r="AC46" s="345">
        <f t="shared" si="19"/>
        <v>0</v>
      </c>
      <c r="AD46" s="340">
        <f>Q46*(1+'Summary. Assumptions. Inputs'!$C$28)</f>
        <v>0</v>
      </c>
      <c r="AE46" s="340">
        <f>R46*(1+'Summary. Assumptions. Inputs'!$C$28)</f>
        <v>0</v>
      </c>
      <c r="AF46" s="340">
        <f>S46*(1+'Summary. Assumptions. Inputs'!$C$28)</f>
        <v>0</v>
      </c>
      <c r="AG46" s="340">
        <f>T46*(1+'Summary. Assumptions. Inputs'!$C$28)</f>
        <v>0</v>
      </c>
      <c r="AH46" s="340">
        <f>U46*(1+'Summary. Assumptions. Inputs'!$C$28)</f>
        <v>0</v>
      </c>
      <c r="AI46" s="340">
        <f>V46*(1+'Summary. Assumptions. Inputs'!$C$28)</f>
        <v>0</v>
      </c>
      <c r="AJ46" s="340">
        <f>W46*(1+'Summary. Assumptions. Inputs'!$C$28)</f>
        <v>0</v>
      </c>
      <c r="AK46" s="340">
        <f>X46*(1+'Summary. Assumptions. Inputs'!$C$28)</f>
        <v>0</v>
      </c>
      <c r="AL46" s="340">
        <f>Y46*(1+'Summary. Assumptions. Inputs'!$C$28)</f>
        <v>0</v>
      </c>
      <c r="AM46" s="340">
        <f>Z46*(1+'Summary. Assumptions. Inputs'!$C$28)</f>
        <v>0</v>
      </c>
      <c r="AN46" s="340">
        <f>AA46*(1+'Summary. Assumptions. Inputs'!$C$28)</f>
        <v>0</v>
      </c>
      <c r="AO46" s="340">
        <f>AB46*(1+'Summary. Assumptions. Inputs'!$C$28)</f>
        <v>0</v>
      </c>
      <c r="AP46" s="345">
        <f t="shared" si="21"/>
        <v>0</v>
      </c>
      <c r="AQ46" s="340">
        <f>AD46*(1+'Summary. Assumptions. Inputs'!$C$28)</f>
        <v>0</v>
      </c>
      <c r="AR46" s="340">
        <f>AE46*(1+'Summary. Assumptions. Inputs'!$C$28)</f>
        <v>0</v>
      </c>
      <c r="AS46" s="340">
        <f>AF46*(1+'Summary. Assumptions. Inputs'!$C$28)</f>
        <v>0</v>
      </c>
      <c r="AT46" s="340">
        <f>AG46*(1+'Summary. Assumptions. Inputs'!$C$28)</f>
        <v>0</v>
      </c>
      <c r="AU46" s="340">
        <f>AH46*(1+'Summary. Assumptions. Inputs'!$C$28)</f>
        <v>0</v>
      </c>
      <c r="AV46" s="340">
        <f>AI46*(1+'Summary. Assumptions. Inputs'!$C$28)</f>
        <v>0</v>
      </c>
      <c r="AW46" s="340">
        <f>AJ46*(1+'Summary. Assumptions. Inputs'!$C$28)</f>
        <v>0</v>
      </c>
      <c r="AX46" s="340">
        <f>AK46*(1+'Summary. Assumptions. Inputs'!$C$28)</f>
        <v>0</v>
      </c>
      <c r="AY46" s="340">
        <f>AL46*(1+'Summary. Assumptions. Inputs'!$C$28)</f>
        <v>0</v>
      </c>
      <c r="AZ46" s="340">
        <f>AM46*(1+'Summary. Assumptions. Inputs'!$C$28)</f>
        <v>0</v>
      </c>
      <c r="BA46" s="340">
        <f>AN46*(1+'Summary. Assumptions. Inputs'!$C$28)</f>
        <v>0</v>
      </c>
      <c r="BB46" s="340">
        <f>AO46*(1+'Summary. Assumptions. Inputs'!$C$28)</f>
        <v>0</v>
      </c>
      <c r="BC46" s="345">
        <f t="shared" si="23"/>
        <v>0</v>
      </c>
      <c r="BD46" s="340">
        <f>AQ46*(1+'Summary. Assumptions. Inputs'!$C$28)</f>
        <v>0</v>
      </c>
      <c r="BE46" s="340">
        <f>AR46*(1+'Summary. Assumptions. Inputs'!$C$28)</f>
        <v>0</v>
      </c>
      <c r="BF46" s="340">
        <f>AS46*(1+'Summary. Assumptions. Inputs'!$C$28)</f>
        <v>0</v>
      </c>
      <c r="BG46" s="340">
        <f>AT46*(1+'Summary. Assumptions. Inputs'!$C$28)</f>
        <v>0</v>
      </c>
      <c r="BH46" s="340">
        <f>AU46*(1+'Summary. Assumptions. Inputs'!$C$28)</f>
        <v>0</v>
      </c>
      <c r="BI46" s="340">
        <f>AV46*(1+'Summary. Assumptions. Inputs'!$C$28)</f>
        <v>0</v>
      </c>
      <c r="BJ46" s="340">
        <f>AW46*(1+'Summary. Assumptions. Inputs'!$C$28)</f>
        <v>0</v>
      </c>
      <c r="BK46" s="340">
        <f>AX46*(1+'Summary. Assumptions. Inputs'!$C$28)</f>
        <v>0</v>
      </c>
      <c r="BL46" s="340">
        <f>AY46*(1+'Summary. Assumptions. Inputs'!$C$28)</f>
        <v>0</v>
      </c>
      <c r="BM46" s="340">
        <f>AZ46*(1+'Summary. Assumptions. Inputs'!$C$28)</f>
        <v>0</v>
      </c>
      <c r="BN46" s="340">
        <f>BA46*(1+'Summary. Assumptions. Inputs'!$C$28)</f>
        <v>0</v>
      </c>
      <c r="BO46" s="340">
        <f>BB46*(1+'Summary. Assumptions. Inputs'!$C$28)</f>
        <v>0</v>
      </c>
      <c r="BP46" s="345">
        <f t="shared" si="25"/>
        <v>0</v>
      </c>
      <c r="BQ46" s="340">
        <f>BD46*(1+'Summary. Assumptions. Inputs'!$C$28)</f>
        <v>0</v>
      </c>
      <c r="BR46" s="340">
        <f>BE46*(1+'Summary. Assumptions. Inputs'!$C$28)</f>
        <v>0</v>
      </c>
      <c r="BS46" s="340">
        <f>BF46*(1+'Summary. Assumptions. Inputs'!$C$28)</f>
        <v>0</v>
      </c>
      <c r="BT46" s="340">
        <f>BG46*(1+'Summary. Assumptions. Inputs'!$C$28)</f>
        <v>0</v>
      </c>
      <c r="BU46" s="340">
        <f>BH46*(1+'Summary. Assumptions. Inputs'!$C$28)</f>
        <v>0</v>
      </c>
      <c r="BV46" s="340">
        <f>BI46*(1+'Summary. Assumptions. Inputs'!$C$28)</f>
        <v>0</v>
      </c>
      <c r="BW46" s="340">
        <f>BJ46*(1+'Summary. Assumptions. Inputs'!$C$28)</f>
        <v>0</v>
      </c>
      <c r="BX46" s="340">
        <f>BK46*(1+'Summary. Assumptions. Inputs'!$C$28)</f>
        <v>0</v>
      </c>
      <c r="BY46" s="340">
        <f>BL46*(1+'Summary. Assumptions. Inputs'!$C$28)</f>
        <v>0</v>
      </c>
      <c r="BZ46" s="340">
        <f>BM46*(1+'Summary. Assumptions. Inputs'!$C$28)</f>
        <v>0</v>
      </c>
      <c r="CA46" s="340">
        <f>BN46*(1+'Summary. Assumptions. Inputs'!$C$28)</f>
        <v>0</v>
      </c>
      <c r="CB46" s="340">
        <f>BO46*(1+'Summary. Assumptions. Inputs'!$C$28)</f>
        <v>0</v>
      </c>
      <c r="CC46" s="345">
        <f t="shared" si="27"/>
        <v>0</v>
      </c>
      <c r="CD46" s="340">
        <f>BQ46*(1+'Summary. Assumptions. Inputs'!$C$28)</f>
        <v>0</v>
      </c>
      <c r="CE46" s="340">
        <f>BR46*(1+'Summary. Assumptions. Inputs'!$C$28)</f>
        <v>0</v>
      </c>
      <c r="CF46" s="340">
        <f>BS46*(1+'Summary. Assumptions. Inputs'!$C$28)</f>
        <v>0</v>
      </c>
      <c r="CG46" s="340">
        <f>BT46*(1+'Summary. Assumptions. Inputs'!$C$28)</f>
        <v>0</v>
      </c>
      <c r="CH46" s="340">
        <f>BU46*(1+'Summary. Assumptions. Inputs'!$C$28)</f>
        <v>0</v>
      </c>
      <c r="CI46" s="340">
        <f>BV46*(1+'Summary. Assumptions. Inputs'!$C$28)</f>
        <v>0</v>
      </c>
      <c r="CJ46" s="340">
        <f>BW46*(1+'Summary. Assumptions. Inputs'!$C$28)</f>
        <v>0</v>
      </c>
      <c r="CK46" s="340">
        <f>BX46*(1+'Summary. Assumptions. Inputs'!$C$28)</f>
        <v>0</v>
      </c>
      <c r="CL46" s="340">
        <f>BY46*(1+'Summary. Assumptions. Inputs'!$C$28)</f>
        <v>0</v>
      </c>
      <c r="CM46" s="340">
        <f>BZ46*(1+'Summary. Assumptions. Inputs'!$C$28)</f>
        <v>0</v>
      </c>
      <c r="CN46" s="340">
        <f>CA46*(1+'Summary. Assumptions. Inputs'!$C$28)</f>
        <v>0</v>
      </c>
      <c r="CO46" s="340">
        <f>CB46*(1+'Summary. Assumptions. Inputs'!$C$28)</f>
        <v>0</v>
      </c>
      <c r="CP46" s="345">
        <f t="shared" si="29"/>
        <v>0</v>
      </c>
    </row>
    <row r="47" spans="1:94" hidden="1">
      <c r="A47" s="342">
        <f>'Summary. Assumptions. Inputs'!A74</f>
        <v>0</v>
      </c>
      <c r="B47" s="343">
        <f>'Summary. Assumptions. Inputs'!B74</f>
        <v>0</v>
      </c>
      <c r="C47" s="343"/>
      <c r="D47" s="340"/>
      <c r="E47" s="340"/>
      <c r="F47" s="340"/>
      <c r="G47" s="340"/>
      <c r="H47" s="340"/>
      <c r="I47" s="340"/>
      <c r="J47" s="340"/>
      <c r="K47" s="340"/>
      <c r="L47" s="340"/>
      <c r="M47" s="340"/>
      <c r="N47" s="340"/>
      <c r="O47" s="340"/>
      <c r="P47" s="343">
        <f t="shared" si="10"/>
        <v>0</v>
      </c>
      <c r="Q47" s="340">
        <f>D47*(1+'Summary. Assumptions. Inputs'!$C$28)</f>
        <v>0</v>
      </c>
      <c r="R47" s="340">
        <f>E47*(1+'Summary. Assumptions. Inputs'!$C$28)</f>
        <v>0</v>
      </c>
      <c r="S47" s="340">
        <f>F47*(1+'Summary. Assumptions. Inputs'!$C$28)</f>
        <v>0</v>
      </c>
      <c r="T47" s="340">
        <f>G47*(1+'Summary. Assumptions. Inputs'!$C$28)</f>
        <v>0</v>
      </c>
      <c r="U47" s="340">
        <f>H47*(1+'Summary. Assumptions. Inputs'!$C$28)</f>
        <v>0</v>
      </c>
      <c r="V47" s="340">
        <f>I47*(1+'Summary. Assumptions. Inputs'!$C$28)</f>
        <v>0</v>
      </c>
      <c r="W47" s="340">
        <f>J47*(1+'Summary. Assumptions. Inputs'!$C$28)</f>
        <v>0</v>
      </c>
      <c r="X47" s="340">
        <f>K47*(1+'Summary. Assumptions. Inputs'!$C$28)</f>
        <v>0</v>
      </c>
      <c r="Y47" s="340">
        <f>L47*(1+'Summary. Assumptions. Inputs'!$C$28)</f>
        <v>0</v>
      </c>
      <c r="Z47" s="340">
        <f>M47*(1+'Summary. Assumptions. Inputs'!$C$28)</f>
        <v>0</v>
      </c>
      <c r="AA47" s="340">
        <f>N47*(1+'Summary. Assumptions. Inputs'!$C$28)</f>
        <v>0</v>
      </c>
      <c r="AB47" s="340">
        <f>O47*(1+'Summary. Assumptions. Inputs'!$C$28)</f>
        <v>0</v>
      </c>
      <c r="AC47" s="343">
        <f t="shared" si="19"/>
        <v>0</v>
      </c>
      <c r="AD47" s="340">
        <f>Q47*(1+'Summary. Assumptions. Inputs'!$C$28)</f>
        <v>0</v>
      </c>
      <c r="AE47" s="340">
        <f>R47*(1+'Summary. Assumptions. Inputs'!$C$28)</f>
        <v>0</v>
      </c>
      <c r="AF47" s="340">
        <f>S47*(1+'Summary. Assumptions. Inputs'!$C$28)</f>
        <v>0</v>
      </c>
      <c r="AG47" s="340">
        <f>T47*(1+'Summary. Assumptions. Inputs'!$C$28)</f>
        <v>0</v>
      </c>
      <c r="AH47" s="340">
        <f>U47*(1+'Summary. Assumptions. Inputs'!$C$28)</f>
        <v>0</v>
      </c>
      <c r="AI47" s="340">
        <f>V47*(1+'Summary. Assumptions. Inputs'!$C$28)</f>
        <v>0</v>
      </c>
      <c r="AJ47" s="340">
        <f>W47*(1+'Summary. Assumptions. Inputs'!$C$28)</f>
        <v>0</v>
      </c>
      <c r="AK47" s="340">
        <f>X47*(1+'Summary. Assumptions. Inputs'!$C$28)</f>
        <v>0</v>
      </c>
      <c r="AL47" s="340">
        <f>Y47*(1+'Summary. Assumptions. Inputs'!$C$28)</f>
        <v>0</v>
      </c>
      <c r="AM47" s="340">
        <f>Z47*(1+'Summary. Assumptions. Inputs'!$C$28)</f>
        <v>0</v>
      </c>
      <c r="AN47" s="340">
        <f>AA47*(1+'Summary. Assumptions. Inputs'!$C$28)</f>
        <v>0</v>
      </c>
      <c r="AO47" s="340">
        <f>AB47*(1+'Summary. Assumptions. Inputs'!$C$28)</f>
        <v>0</v>
      </c>
      <c r="AP47" s="343">
        <f t="shared" si="21"/>
        <v>0</v>
      </c>
      <c r="AQ47" s="340">
        <f>AD47*(1+'Summary. Assumptions. Inputs'!$C$28)</f>
        <v>0</v>
      </c>
      <c r="AR47" s="340">
        <f>AE47*(1+'Summary. Assumptions. Inputs'!$C$28)</f>
        <v>0</v>
      </c>
      <c r="AS47" s="340">
        <f>AF47*(1+'Summary. Assumptions. Inputs'!$C$28)</f>
        <v>0</v>
      </c>
      <c r="AT47" s="340">
        <f>AG47*(1+'Summary. Assumptions. Inputs'!$C$28)</f>
        <v>0</v>
      </c>
      <c r="AU47" s="340">
        <f>AH47*(1+'Summary. Assumptions. Inputs'!$C$28)</f>
        <v>0</v>
      </c>
      <c r="AV47" s="340">
        <f>AI47*(1+'Summary. Assumptions. Inputs'!$C$28)</f>
        <v>0</v>
      </c>
      <c r="AW47" s="340">
        <f>AJ47*(1+'Summary. Assumptions. Inputs'!$C$28)</f>
        <v>0</v>
      </c>
      <c r="AX47" s="340">
        <f>AK47*(1+'Summary. Assumptions. Inputs'!$C$28)</f>
        <v>0</v>
      </c>
      <c r="AY47" s="340">
        <f>AL47*(1+'Summary. Assumptions. Inputs'!$C$28)</f>
        <v>0</v>
      </c>
      <c r="AZ47" s="340">
        <f>AM47*(1+'Summary. Assumptions. Inputs'!$C$28)</f>
        <v>0</v>
      </c>
      <c r="BA47" s="340">
        <f>AN47*(1+'Summary. Assumptions. Inputs'!$C$28)</f>
        <v>0</v>
      </c>
      <c r="BB47" s="340">
        <f>AO47*(1+'Summary. Assumptions. Inputs'!$C$28)</f>
        <v>0</v>
      </c>
      <c r="BC47" s="343">
        <f t="shared" si="23"/>
        <v>0</v>
      </c>
      <c r="BD47" s="340">
        <f>AQ47*(1+'Summary. Assumptions. Inputs'!$C$28)</f>
        <v>0</v>
      </c>
      <c r="BE47" s="340">
        <f>AR47*(1+'Summary. Assumptions. Inputs'!$C$28)</f>
        <v>0</v>
      </c>
      <c r="BF47" s="340">
        <f>AS47*(1+'Summary. Assumptions. Inputs'!$C$28)</f>
        <v>0</v>
      </c>
      <c r="BG47" s="340">
        <f>AT47*(1+'Summary. Assumptions. Inputs'!$C$28)</f>
        <v>0</v>
      </c>
      <c r="BH47" s="340">
        <f>AU47*(1+'Summary. Assumptions. Inputs'!$C$28)</f>
        <v>0</v>
      </c>
      <c r="BI47" s="340">
        <f>AV47*(1+'Summary. Assumptions. Inputs'!$C$28)</f>
        <v>0</v>
      </c>
      <c r="BJ47" s="340">
        <f>AW47*(1+'Summary. Assumptions. Inputs'!$C$28)</f>
        <v>0</v>
      </c>
      <c r="BK47" s="340">
        <f>AX47*(1+'Summary. Assumptions. Inputs'!$C$28)</f>
        <v>0</v>
      </c>
      <c r="BL47" s="340">
        <f>AY47*(1+'Summary. Assumptions. Inputs'!$C$28)</f>
        <v>0</v>
      </c>
      <c r="BM47" s="340">
        <f>AZ47*(1+'Summary. Assumptions. Inputs'!$C$28)</f>
        <v>0</v>
      </c>
      <c r="BN47" s="340">
        <f>BA47*(1+'Summary. Assumptions. Inputs'!$C$28)</f>
        <v>0</v>
      </c>
      <c r="BO47" s="340">
        <f>BB47*(1+'Summary. Assumptions. Inputs'!$C$28)</f>
        <v>0</v>
      </c>
      <c r="BP47" s="343">
        <f t="shared" si="25"/>
        <v>0</v>
      </c>
      <c r="BQ47" s="340">
        <f>BD47*(1+'Summary. Assumptions. Inputs'!$C$28)</f>
        <v>0</v>
      </c>
      <c r="BR47" s="340">
        <f>BE47*(1+'Summary. Assumptions. Inputs'!$C$28)</f>
        <v>0</v>
      </c>
      <c r="BS47" s="340">
        <f>BF47*(1+'Summary. Assumptions. Inputs'!$C$28)</f>
        <v>0</v>
      </c>
      <c r="BT47" s="340">
        <f>BG47*(1+'Summary. Assumptions. Inputs'!$C$28)</f>
        <v>0</v>
      </c>
      <c r="BU47" s="340">
        <f>BH47*(1+'Summary. Assumptions. Inputs'!$C$28)</f>
        <v>0</v>
      </c>
      <c r="BV47" s="340">
        <f>BI47*(1+'Summary. Assumptions. Inputs'!$C$28)</f>
        <v>0</v>
      </c>
      <c r="BW47" s="340">
        <f>BJ47*(1+'Summary. Assumptions. Inputs'!$C$28)</f>
        <v>0</v>
      </c>
      <c r="BX47" s="340">
        <f>BK47*(1+'Summary. Assumptions. Inputs'!$C$28)</f>
        <v>0</v>
      </c>
      <c r="BY47" s="340">
        <f>BL47*(1+'Summary. Assumptions. Inputs'!$C$28)</f>
        <v>0</v>
      </c>
      <c r="BZ47" s="340">
        <f>BM47*(1+'Summary. Assumptions. Inputs'!$C$28)</f>
        <v>0</v>
      </c>
      <c r="CA47" s="340">
        <f>BN47*(1+'Summary. Assumptions. Inputs'!$C$28)</f>
        <v>0</v>
      </c>
      <c r="CB47" s="340">
        <f>BO47*(1+'Summary. Assumptions. Inputs'!$C$28)</f>
        <v>0</v>
      </c>
      <c r="CC47" s="343">
        <f t="shared" si="27"/>
        <v>0</v>
      </c>
      <c r="CD47" s="340">
        <f>BQ47*(1+'Summary. Assumptions. Inputs'!$C$28)</f>
        <v>0</v>
      </c>
      <c r="CE47" s="340">
        <f>BR47*(1+'Summary. Assumptions. Inputs'!$C$28)</f>
        <v>0</v>
      </c>
      <c r="CF47" s="340">
        <f>BS47*(1+'Summary. Assumptions. Inputs'!$C$28)</f>
        <v>0</v>
      </c>
      <c r="CG47" s="340">
        <f>BT47*(1+'Summary. Assumptions. Inputs'!$C$28)</f>
        <v>0</v>
      </c>
      <c r="CH47" s="340">
        <f>BU47*(1+'Summary. Assumptions. Inputs'!$C$28)</f>
        <v>0</v>
      </c>
      <c r="CI47" s="340">
        <f>BV47*(1+'Summary. Assumptions. Inputs'!$C$28)</f>
        <v>0</v>
      </c>
      <c r="CJ47" s="340">
        <f>BW47*(1+'Summary. Assumptions. Inputs'!$C$28)</f>
        <v>0</v>
      </c>
      <c r="CK47" s="340">
        <f>BX47*(1+'Summary. Assumptions. Inputs'!$C$28)</f>
        <v>0</v>
      </c>
      <c r="CL47" s="340">
        <f>BY47*(1+'Summary. Assumptions. Inputs'!$C$28)</f>
        <v>0</v>
      </c>
      <c r="CM47" s="340">
        <f>BZ47*(1+'Summary. Assumptions. Inputs'!$C$28)</f>
        <v>0</v>
      </c>
      <c r="CN47" s="340">
        <f>CA47*(1+'Summary. Assumptions. Inputs'!$C$28)</f>
        <v>0</v>
      </c>
      <c r="CO47" s="340">
        <f>CB47*(1+'Summary. Assumptions. Inputs'!$C$28)</f>
        <v>0</v>
      </c>
      <c r="CP47" s="343">
        <f t="shared" si="29"/>
        <v>0</v>
      </c>
    </row>
    <row r="48" spans="1:94" ht="15.75" hidden="1" thickBot="1">
      <c r="A48" s="344">
        <f>'Summary. Assumptions. Inputs'!A75</f>
        <v>0</v>
      </c>
      <c r="B48" s="345">
        <f>'Summary. Assumptions. Inputs'!B75</f>
        <v>0</v>
      </c>
      <c r="C48" s="345"/>
      <c r="D48" s="340"/>
      <c r="E48" s="340"/>
      <c r="F48" s="340"/>
      <c r="G48" s="340"/>
      <c r="H48" s="340"/>
      <c r="I48" s="340"/>
      <c r="J48" s="340"/>
      <c r="K48" s="340"/>
      <c r="L48" s="340"/>
      <c r="M48" s="340"/>
      <c r="N48" s="340"/>
      <c r="O48" s="340"/>
      <c r="P48" s="345">
        <f t="shared" si="10"/>
        <v>0</v>
      </c>
    </row>
    <row r="49" spans="1:94" ht="15.75" thickTop="1">
      <c r="A49" s="346" t="s">
        <v>110</v>
      </c>
      <c r="B49" s="347">
        <f>SUBTOTAL(103,'Sales, Production, &amp; Other Assu'!$B$19:$B$48)</f>
        <v>3</v>
      </c>
      <c r="C49" s="347"/>
      <c r="D49" s="475">
        <f>SUM(D19:D20)</f>
        <v>219600</v>
      </c>
      <c r="E49" s="475">
        <f t="shared" ref="E49:BP49" si="30">SUM(E19:E20)</f>
        <v>219600</v>
      </c>
      <c r="F49" s="475">
        <f t="shared" si="30"/>
        <v>219600</v>
      </c>
      <c r="G49" s="475">
        <f t="shared" si="30"/>
        <v>219600</v>
      </c>
      <c r="H49" s="475">
        <f t="shared" si="30"/>
        <v>219600</v>
      </c>
      <c r="I49" s="475">
        <f t="shared" si="30"/>
        <v>219600</v>
      </c>
      <c r="J49" s="475">
        <f t="shared" si="30"/>
        <v>219600</v>
      </c>
      <c r="K49" s="475">
        <f t="shared" si="30"/>
        <v>219600</v>
      </c>
      <c r="L49" s="475">
        <f t="shared" si="30"/>
        <v>219600</v>
      </c>
      <c r="M49" s="475">
        <f t="shared" si="30"/>
        <v>219600</v>
      </c>
      <c r="N49" s="475">
        <f t="shared" si="30"/>
        <v>219600</v>
      </c>
      <c r="O49" s="475">
        <f t="shared" si="30"/>
        <v>219600</v>
      </c>
      <c r="P49" s="475">
        <f t="shared" si="30"/>
        <v>2635200</v>
      </c>
      <c r="Q49" s="475">
        <f t="shared" si="30"/>
        <v>256053.59999999998</v>
      </c>
      <c r="R49" s="475">
        <f t="shared" si="30"/>
        <v>256053.59999999998</v>
      </c>
      <c r="S49" s="475">
        <f t="shared" si="30"/>
        <v>256053.59999999998</v>
      </c>
      <c r="T49" s="475">
        <f t="shared" si="30"/>
        <v>256053.59999999998</v>
      </c>
      <c r="U49" s="475">
        <f t="shared" si="30"/>
        <v>256053.59999999998</v>
      </c>
      <c r="V49" s="475">
        <f t="shared" si="30"/>
        <v>256053.59999999998</v>
      </c>
      <c r="W49" s="475">
        <f t="shared" si="30"/>
        <v>256053.59999999998</v>
      </c>
      <c r="X49" s="475">
        <f t="shared" si="30"/>
        <v>256053.59999999998</v>
      </c>
      <c r="Y49" s="475">
        <f t="shared" si="30"/>
        <v>256053.59999999998</v>
      </c>
      <c r="Z49" s="475">
        <f t="shared" si="30"/>
        <v>256053.59999999998</v>
      </c>
      <c r="AA49" s="475">
        <f t="shared" si="30"/>
        <v>256053.59999999998</v>
      </c>
      <c r="AB49" s="475">
        <f t="shared" si="30"/>
        <v>256053.59999999998</v>
      </c>
      <c r="AC49" s="475">
        <f t="shared" si="30"/>
        <v>3072643.2</v>
      </c>
      <c r="AD49" s="475">
        <f t="shared" si="30"/>
        <v>296094</v>
      </c>
      <c r="AE49" s="475">
        <f t="shared" si="30"/>
        <v>296094</v>
      </c>
      <c r="AF49" s="475">
        <f t="shared" si="30"/>
        <v>296094</v>
      </c>
      <c r="AG49" s="475">
        <f t="shared" si="30"/>
        <v>296094</v>
      </c>
      <c r="AH49" s="475">
        <f t="shared" si="30"/>
        <v>296094</v>
      </c>
      <c r="AI49" s="475">
        <f t="shared" si="30"/>
        <v>296094</v>
      </c>
      <c r="AJ49" s="475">
        <f t="shared" si="30"/>
        <v>296094</v>
      </c>
      <c r="AK49" s="475">
        <f t="shared" si="30"/>
        <v>296094</v>
      </c>
      <c r="AL49" s="475">
        <f t="shared" si="30"/>
        <v>296094</v>
      </c>
      <c r="AM49" s="475">
        <f t="shared" si="30"/>
        <v>296094</v>
      </c>
      <c r="AN49" s="475">
        <f t="shared" si="30"/>
        <v>296094</v>
      </c>
      <c r="AO49" s="475">
        <f t="shared" si="30"/>
        <v>296094</v>
      </c>
      <c r="AP49" s="475">
        <f t="shared" si="30"/>
        <v>3553128</v>
      </c>
      <c r="AQ49" s="475">
        <f t="shared" si="30"/>
        <v>340014</v>
      </c>
      <c r="AR49" s="475">
        <f t="shared" si="30"/>
        <v>340014</v>
      </c>
      <c r="AS49" s="475">
        <f t="shared" si="30"/>
        <v>340014</v>
      </c>
      <c r="AT49" s="475">
        <f t="shared" si="30"/>
        <v>340014</v>
      </c>
      <c r="AU49" s="475">
        <f t="shared" si="30"/>
        <v>340014</v>
      </c>
      <c r="AV49" s="475">
        <f t="shared" si="30"/>
        <v>340014</v>
      </c>
      <c r="AW49" s="475">
        <f t="shared" si="30"/>
        <v>340014</v>
      </c>
      <c r="AX49" s="475">
        <f t="shared" si="30"/>
        <v>340014</v>
      </c>
      <c r="AY49" s="475">
        <f t="shared" si="30"/>
        <v>340014</v>
      </c>
      <c r="AZ49" s="475">
        <f t="shared" si="30"/>
        <v>340014</v>
      </c>
      <c r="BA49" s="475">
        <f t="shared" si="30"/>
        <v>340014</v>
      </c>
      <c r="BB49" s="475">
        <f t="shared" si="30"/>
        <v>340014</v>
      </c>
      <c r="BC49" s="475">
        <f t="shared" si="30"/>
        <v>4080167.9999999995</v>
      </c>
      <c r="BD49" s="475">
        <f t="shared" si="30"/>
        <v>388135.67999999993</v>
      </c>
      <c r="BE49" s="475">
        <f t="shared" si="30"/>
        <v>388135.67999999993</v>
      </c>
      <c r="BF49" s="475">
        <f t="shared" si="30"/>
        <v>388135.67999999993</v>
      </c>
      <c r="BG49" s="475">
        <f t="shared" si="30"/>
        <v>388135.67999999993</v>
      </c>
      <c r="BH49" s="475">
        <f t="shared" si="30"/>
        <v>388135.67999999993</v>
      </c>
      <c r="BI49" s="475">
        <f t="shared" si="30"/>
        <v>388135.67999999993</v>
      </c>
      <c r="BJ49" s="475">
        <f t="shared" si="30"/>
        <v>388135.67999999993</v>
      </c>
      <c r="BK49" s="475">
        <f t="shared" si="30"/>
        <v>388135.67999999993</v>
      </c>
      <c r="BL49" s="475">
        <f t="shared" si="30"/>
        <v>388135.67999999993</v>
      </c>
      <c r="BM49" s="475">
        <f t="shared" si="30"/>
        <v>388135.67999999993</v>
      </c>
      <c r="BN49" s="475">
        <f t="shared" si="30"/>
        <v>388135.67999999993</v>
      </c>
      <c r="BO49" s="475">
        <f t="shared" si="30"/>
        <v>388135.67999999993</v>
      </c>
      <c r="BP49" s="475">
        <f t="shared" si="30"/>
        <v>4657628.1599999983</v>
      </c>
      <c r="BQ49" s="475">
        <f t="shared" ref="BQ49:CP49" si="31">SUM(BQ19:BQ20)</f>
        <v>440810.39999999997</v>
      </c>
      <c r="BR49" s="475">
        <f t="shared" si="31"/>
        <v>440810.39999999997</v>
      </c>
      <c r="BS49" s="475">
        <f t="shared" si="31"/>
        <v>440810.39999999997</v>
      </c>
      <c r="BT49" s="475">
        <f t="shared" si="31"/>
        <v>440810.39999999997</v>
      </c>
      <c r="BU49" s="475">
        <f t="shared" si="31"/>
        <v>440810.39999999997</v>
      </c>
      <c r="BV49" s="475">
        <f t="shared" si="31"/>
        <v>440810.39999999997</v>
      </c>
      <c r="BW49" s="475">
        <f t="shared" si="31"/>
        <v>440810.39999999997</v>
      </c>
      <c r="BX49" s="475">
        <f t="shared" si="31"/>
        <v>440810.39999999997</v>
      </c>
      <c r="BY49" s="475">
        <f t="shared" si="31"/>
        <v>440810.39999999997</v>
      </c>
      <c r="BZ49" s="475">
        <f t="shared" si="31"/>
        <v>440810.39999999997</v>
      </c>
      <c r="CA49" s="475">
        <f t="shared" si="31"/>
        <v>440810.39999999997</v>
      </c>
      <c r="CB49" s="475">
        <f t="shared" si="31"/>
        <v>440810.39999999997</v>
      </c>
      <c r="CC49" s="475">
        <f t="shared" si="31"/>
        <v>5289724.7999999989</v>
      </c>
      <c r="CD49" s="475">
        <f t="shared" si="31"/>
        <v>467264.87999999995</v>
      </c>
      <c r="CE49" s="475">
        <f t="shared" si="31"/>
        <v>467264.87999999995</v>
      </c>
      <c r="CF49" s="475">
        <f t="shared" si="31"/>
        <v>467264.87999999995</v>
      </c>
      <c r="CG49" s="475">
        <f t="shared" si="31"/>
        <v>467264.87999999995</v>
      </c>
      <c r="CH49" s="475">
        <f t="shared" si="31"/>
        <v>467264.87999999995</v>
      </c>
      <c r="CI49" s="475">
        <f t="shared" si="31"/>
        <v>467264.87999999995</v>
      </c>
      <c r="CJ49" s="475">
        <f t="shared" si="31"/>
        <v>467264.87999999995</v>
      </c>
      <c r="CK49" s="475">
        <f t="shared" si="31"/>
        <v>467264.87999999995</v>
      </c>
      <c r="CL49" s="475">
        <f t="shared" si="31"/>
        <v>467264.87999999995</v>
      </c>
      <c r="CM49" s="475">
        <f t="shared" si="31"/>
        <v>467264.87999999995</v>
      </c>
      <c r="CN49" s="475">
        <f t="shared" si="31"/>
        <v>467264.87999999995</v>
      </c>
      <c r="CO49" s="475">
        <f t="shared" si="31"/>
        <v>467264.87999999995</v>
      </c>
      <c r="CP49" s="475">
        <f t="shared" si="31"/>
        <v>5607178.5599999987</v>
      </c>
    </row>
    <row r="50" spans="1:94">
      <c r="A50" s="512"/>
      <c r="B50" s="512"/>
      <c r="C50" s="512"/>
      <c r="D50" s="513"/>
      <c r="E50" s="513"/>
      <c r="F50" s="513"/>
      <c r="G50" s="513"/>
      <c r="H50" s="513"/>
      <c r="I50" s="513"/>
      <c r="J50" s="513"/>
      <c r="K50" s="513"/>
      <c r="L50" s="513"/>
      <c r="M50" s="513"/>
      <c r="N50" s="513"/>
      <c r="O50" s="513"/>
      <c r="P50" s="513"/>
      <c r="Q50" s="513"/>
      <c r="R50" s="513"/>
      <c r="S50" s="513"/>
      <c r="T50" s="513"/>
      <c r="U50" s="513"/>
      <c r="V50" s="513"/>
      <c r="W50" s="513"/>
      <c r="X50" s="513"/>
      <c r="Y50" s="513"/>
      <c r="Z50" s="513"/>
      <c r="AA50" s="513"/>
      <c r="AB50" s="513"/>
      <c r="AC50" s="513"/>
      <c r="AD50" s="513"/>
      <c r="AE50" s="513"/>
      <c r="AF50" s="513"/>
      <c r="AG50" s="513"/>
      <c r="AH50" s="513"/>
      <c r="AI50" s="513"/>
      <c r="AJ50" s="513"/>
      <c r="AK50" s="513"/>
      <c r="AL50" s="513"/>
      <c r="AM50" s="513"/>
      <c r="AN50" s="513"/>
      <c r="AO50" s="513"/>
      <c r="AP50" s="513"/>
      <c r="AQ50" s="513"/>
      <c r="AR50" s="513"/>
      <c r="AS50" s="513"/>
      <c r="AT50" s="513"/>
      <c r="AU50" s="513"/>
      <c r="AV50" s="513"/>
      <c r="AW50" s="513"/>
      <c r="AX50" s="513"/>
      <c r="AY50" s="513"/>
      <c r="AZ50" s="513"/>
      <c r="BA50" s="513"/>
      <c r="BB50" s="513"/>
      <c r="BC50" s="513"/>
      <c r="BD50" s="513"/>
      <c r="BE50" s="513"/>
      <c r="BF50" s="513"/>
      <c r="BG50" s="513"/>
      <c r="BH50" s="513"/>
      <c r="BI50" s="513"/>
      <c r="BJ50" s="513"/>
      <c r="BK50" s="513"/>
      <c r="BL50" s="513"/>
      <c r="BM50" s="513"/>
      <c r="BN50" s="513"/>
      <c r="BO50" s="513"/>
      <c r="BP50" s="513"/>
      <c r="BQ50" s="513"/>
      <c r="BR50" s="513"/>
      <c r="BS50" s="513"/>
      <c r="BT50" s="513"/>
      <c r="BU50" s="513"/>
      <c r="BV50" s="513"/>
      <c r="BW50" s="513"/>
      <c r="BX50" s="513"/>
      <c r="BY50" s="513"/>
      <c r="BZ50" s="513"/>
      <c r="CA50" s="513"/>
      <c r="CB50" s="513"/>
      <c r="CC50" s="513"/>
      <c r="CD50" s="513"/>
      <c r="CE50" s="513"/>
      <c r="CF50" s="513"/>
      <c r="CG50" s="513"/>
      <c r="CH50" s="513"/>
      <c r="CI50" s="513"/>
      <c r="CJ50" s="513"/>
      <c r="CK50" s="513"/>
      <c r="CL50" s="513"/>
      <c r="CM50" s="513"/>
      <c r="CN50" s="513"/>
      <c r="CO50" s="513"/>
      <c r="CP50" s="513"/>
    </row>
    <row r="52" spans="1:94" ht="91.9" customHeight="1">
      <c r="A52" s="812" t="s">
        <v>597</v>
      </c>
      <c r="B52" s="813"/>
      <c r="C52" s="813"/>
      <c r="D52" s="813"/>
      <c r="E52" s="813"/>
      <c r="F52" s="813"/>
      <c r="G52" s="813"/>
      <c r="H52" s="813"/>
      <c r="I52" s="813"/>
      <c r="J52" s="813"/>
      <c r="K52" s="813"/>
      <c r="L52" s="813"/>
      <c r="M52" s="813"/>
      <c r="N52" s="813"/>
      <c r="O52" s="813"/>
      <c r="P52" s="813"/>
      <c r="Q52" s="812" t="s">
        <v>598</v>
      </c>
      <c r="R52" s="813"/>
      <c r="S52" s="813"/>
      <c r="T52" s="813"/>
      <c r="U52" s="813"/>
      <c r="V52" s="813"/>
      <c r="W52" s="813"/>
      <c r="X52" s="813"/>
      <c r="Y52" s="813"/>
      <c r="Z52" s="813"/>
      <c r="AA52" s="813"/>
      <c r="AB52" s="813"/>
      <c r="AC52" s="813"/>
      <c r="AD52" s="814" t="s">
        <v>599</v>
      </c>
      <c r="AE52" s="815"/>
      <c r="AF52" s="815"/>
      <c r="AG52" s="815"/>
      <c r="AH52" s="815"/>
      <c r="AI52" s="815"/>
      <c r="AJ52" s="815"/>
      <c r="AK52" s="815"/>
      <c r="AL52" s="815"/>
      <c r="AM52" s="815"/>
      <c r="AN52" s="815"/>
      <c r="AO52" s="815"/>
      <c r="AP52" s="813"/>
      <c r="AQ52" s="812" t="s">
        <v>600</v>
      </c>
      <c r="AR52" s="813"/>
      <c r="AS52" s="813"/>
      <c r="AT52" s="813"/>
      <c r="AU52" s="813"/>
      <c r="AV52" s="813"/>
      <c r="AW52" s="813"/>
      <c r="AX52" s="813"/>
      <c r="AY52" s="813"/>
      <c r="AZ52" s="813"/>
      <c r="BA52" s="813"/>
      <c r="BB52" s="813"/>
      <c r="BC52" s="813"/>
      <c r="BD52" s="812" t="s">
        <v>601</v>
      </c>
      <c r="BE52" s="813"/>
      <c r="BF52" s="813"/>
      <c r="BG52" s="813"/>
      <c r="BH52" s="813"/>
      <c r="BI52" s="813"/>
      <c r="BJ52" s="813"/>
      <c r="BK52" s="813"/>
      <c r="BL52" s="813"/>
      <c r="BM52" s="813"/>
      <c r="BN52" s="813"/>
      <c r="BO52" s="813"/>
      <c r="BP52" s="813"/>
      <c r="BQ52" s="812" t="s">
        <v>602</v>
      </c>
      <c r="BR52" s="813"/>
      <c r="BS52" s="813"/>
      <c r="BT52" s="813"/>
      <c r="BU52" s="813"/>
      <c r="BV52" s="813"/>
      <c r="BW52" s="813"/>
      <c r="BX52" s="813"/>
      <c r="BY52" s="813"/>
      <c r="BZ52" s="813"/>
      <c r="CA52" s="813"/>
      <c r="CB52" s="813"/>
      <c r="CC52" s="813"/>
      <c r="CD52" s="812" t="s">
        <v>603</v>
      </c>
      <c r="CE52" s="813"/>
      <c r="CF52" s="813"/>
      <c r="CG52" s="813"/>
      <c r="CH52" s="813"/>
      <c r="CI52" s="813"/>
      <c r="CJ52" s="813"/>
      <c r="CK52" s="813"/>
      <c r="CL52" s="813"/>
      <c r="CM52" s="813"/>
      <c r="CN52" s="813"/>
      <c r="CO52" s="813"/>
      <c r="CP52" s="813"/>
    </row>
    <row r="54" spans="1:94" ht="84.75">
      <c r="A54" s="679" t="s">
        <v>594</v>
      </c>
      <c r="B54" s="679" t="s">
        <v>113</v>
      </c>
      <c r="C54" s="679" t="s">
        <v>301</v>
      </c>
      <c r="D54" s="677" t="s">
        <v>347</v>
      </c>
      <c r="E54" s="677" t="s">
        <v>348</v>
      </c>
      <c r="F54" s="677" t="s">
        <v>349</v>
      </c>
      <c r="G54" s="677" t="s">
        <v>350</v>
      </c>
      <c r="H54" s="677" t="s">
        <v>351</v>
      </c>
      <c r="I54" s="677" t="s">
        <v>352</v>
      </c>
      <c r="J54" s="677" t="s">
        <v>353</v>
      </c>
      <c r="K54" s="677" t="s">
        <v>354</v>
      </c>
      <c r="L54" s="677" t="s">
        <v>355</v>
      </c>
      <c r="M54" s="677" t="s">
        <v>356</v>
      </c>
      <c r="N54" s="677" t="s">
        <v>357</v>
      </c>
      <c r="O54" s="677" t="s">
        <v>358</v>
      </c>
      <c r="P54" s="680" t="s">
        <v>604</v>
      </c>
      <c r="Q54" s="677" t="s">
        <v>360</v>
      </c>
      <c r="R54" s="677" t="s">
        <v>361</v>
      </c>
      <c r="S54" s="677" t="s">
        <v>362</v>
      </c>
      <c r="T54" s="677" t="s">
        <v>363</v>
      </c>
      <c r="U54" s="677" t="s">
        <v>364</v>
      </c>
      <c r="V54" s="677" t="s">
        <v>365</v>
      </c>
      <c r="W54" s="677" t="s">
        <v>366</v>
      </c>
      <c r="X54" s="677" t="s">
        <v>367</v>
      </c>
      <c r="Y54" s="677" t="s">
        <v>368</v>
      </c>
      <c r="Z54" s="677" t="s">
        <v>369</v>
      </c>
      <c r="AA54" s="677" t="s">
        <v>370</v>
      </c>
      <c r="AB54" s="677" t="s">
        <v>371</v>
      </c>
      <c r="AC54" s="680" t="s">
        <v>605</v>
      </c>
      <c r="AD54" s="341" t="s">
        <v>373</v>
      </c>
      <c r="AE54" s="341" t="s">
        <v>374</v>
      </c>
      <c r="AF54" s="341" t="s">
        <v>375</v>
      </c>
      <c r="AG54" s="341" t="s">
        <v>376</v>
      </c>
      <c r="AH54" s="341" t="s">
        <v>377</v>
      </c>
      <c r="AI54" s="341" t="s">
        <v>378</v>
      </c>
      <c r="AJ54" s="341" t="s">
        <v>379</v>
      </c>
      <c r="AK54" s="341" t="s">
        <v>380</v>
      </c>
      <c r="AL54" s="341" t="s">
        <v>381</v>
      </c>
      <c r="AM54" s="341" t="s">
        <v>382</v>
      </c>
      <c r="AN54" s="341" t="s">
        <v>383</v>
      </c>
      <c r="AO54" s="341" t="s">
        <v>384</v>
      </c>
      <c r="AP54" s="680" t="s">
        <v>599</v>
      </c>
      <c r="AQ54" s="677" t="s">
        <v>386</v>
      </c>
      <c r="AR54" s="677" t="s">
        <v>387</v>
      </c>
      <c r="AS54" s="677" t="s">
        <v>388</v>
      </c>
      <c r="AT54" s="677" t="s">
        <v>389</v>
      </c>
      <c r="AU54" s="677" t="s">
        <v>390</v>
      </c>
      <c r="AV54" s="677" t="s">
        <v>391</v>
      </c>
      <c r="AW54" s="677" t="s">
        <v>392</v>
      </c>
      <c r="AX54" s="677" t="s">
        <v>393</v>
      </c>
      <c r="AY54" s="677" t="s">
        <v>394</v>
      </c>
      <c r="AZ54" s="677" t="s">
        <v>395</v>
      </c>
      <c r="BA54" s="677" t="s">
        <v>396</v>
      </c>
      <c r="BB54" s="677" t="s">
        <v>397</v>
      </c>
      <c r="BC54" s="680" t="s">
        <v>606</v>
      </c>
      <c r="BD54" s="677" t="s">
        <v>399</v>
      </c>
      <c r="BE54" s="677" t="s">
        <v>400</v>
      </c>
      <c r="BF54" s="677" t="s">
        <v>401</v>
      </c>
      <c r="BG54" s="677" t="s">
        <v>402</v>
      </c>
      <c r="BH54" s="677" t="s">
        <v>403</v>
      </c>
      <c r="BI54" s="677" t="s">
        <v>404</v>
      </c>
      <c r="BJ54" s="677" t="s">
        <v>405</v>
      </c>
      <c r="BK54" s="677" t="s">
        <v>406</v>
      </c>
      <c r="BL54" s="677" t="s">
        <v>407</v>
      </c>
      <c r="BM54" s="677" t="s">
        <v>408</v>
      </c>
      <c r="BN54" s="677" t="s">
        <v>409</v>
      </c>
      <c r="BO54" s="677" t="s">
        <v>410</v>
      </c>
      <c r="BP54" s="680" t="s">
        <v>601</v>
      </c>
      <c r="BQ54" s="677" t="s">
        <v>412</v>
      </c>
      <c r="BR54" s="677" t="s">
        <v>413</v>
      </c>
      <c r="BS54" s="677" t="s">
        <v>414</v>
      </c>
      <c r="BT54" s="677" t="s">
        <v>415</v>
      </c>
      <c r="BU54" s="677" t="s">
        <v>416</v>
      </c>
      <c r="BV54" s="677" t="s">
        <v>417</v>
      </c>
      <c r="BW54" s="677" t="s">
        <v>418</v>
      </c>
      <c r="BX54" s="677" t="s">
        <v>419</v>
      </c>
      <c r="BY54" s="677" t="s">
        <v>420</v>
      </c>
      <c r="BZ54" s="677" t="s">
        <v>421</v>
      </c>
      <c r="CA54" s="677" t="s">
        <v>422</v>
      </c>
      <c r="CB54" s="677" t="s">
        <v>423</v>
      </c>
      <c r="CC54" s="680" t="s">
        <v>602</v>
      </c>
      <c r="CD54" s="677" t="s">
        <v>425</v>
      </c>
      <c r="CE54" s="677" t="s">
        <v>426</v>
      </c>
      <c r="CF54" s="677" t="s">
        <v>427</v>
      </c>
      <c r="CG54" s="677" t="s">
        <v>428</v>
      </c>
      <c r="CH54" s="677" t="s">
        <v>429</v>
      </c>
      <c r="CI54" s="677" t="s">
        <v>430</v>
      </c>
      <c r="CJ54" s="677" t="s">
        <v>431</v>
      </c>
      <c r="CK54" s="677" t="s">
        <v>432</v>
      </c>
      <c r="CL54" s="677" t="s">
        <v>433</v>
      </c>
      <c r="CM54" s="677" t="s">
        <v>434</v>
      </c>
      <c r="CN54" s="677" t="s">
        <v>435</v>
      </c>
      <c r="CO54" s="677" t="s">
        <v>436</v>
      </c>
      <c r="CP54" s="680" t="s">
        <v>603</v>
      </c>
    </row>
    <row r="55" spans="1:94">
      <c r="A55" s="4" t="str">
        <f>'Summary. Assumptions. Inputs'!A46</f>
        <v>Greenhouse cover films</v>
      </c>
      <c r="B55" s="4" t="str">
        <f>'Summary. Assumptions. Inputs'!B46</f>
        <v>KG</v>
      </c>
      <c r="C55" s="4">
        <f t="shared" ref="C55:N55" si="32">D19</f>
        <v>159600</v>
      </c>
      <c r="D55">
        <f t="shared" si="32"/>
        <v>159600</v>
      </c>
      <c r="E55">
        <f t="shared" si="32"/>
        <v>159600</v>
      </c>
      <c r="F55">
        <f t="shared" si="32"/>
        <v>159600</v>
      </c>
      <c r="G55">
        <f t="shared" si="32"/>
        <v>159600</v>
      </c>
      <c r="H55">
        <f t="shared" si="32"/>
        <v>159600</v>
      </c>
      <c r="I55">
        <f t="shared" si="32"/>
        <v>159600</v>
      </c>
      <c r="J55">
        <f t="shared" si="32"/>
        <v>159600</v>
      </c>
      <c r="K55">
        <f t="shared" si="32"/>
        <v>159600</v>
      </c>
      <c r="L55">
        <f t="shared" si="32"/>
        <v>159600</v>
      </c>
      <c r="M55">
        <f t="shared" si="32"/>
        <v>159600</v>
      </c>
      <c r="N55">
        <f t="shared" si="32"/>
        <v>159600</v>
      </c>
      <c r="O55">
        <f t="shared" ref="O55:O83" si="33">O19</f>
        <v>159600</v>
      </c>
      <c r="P55" s="429">
        <f t="shared" ref="P55:P84" si="34">SUM(C55:O55)</f>
        <v>2074800</v>
      </c>
      <c r="Q55" s="4">
        <f t="shared" ref="Q55:AA55" si="35">R19</f>
        <v>186093.59999999998</v>
      </c>
      <c r="R55" s="4">
        <f t="shared" si="35"/>
        <v>186093.59999999998</v>
      </c>
      <c r="S55" s="4">
        <f t="shared" si="35"/>
        <v>186093.59999999998</v>
      </c>
      <c r="T55" s="4">
        <f t="shared" si="35"/>
        <v>186093.59999999998</v>
      </c>
      <c r="U55" s="4">
        <f t="shared" si="35"/>
        <v>186093.59999999998</v>
      </c>
      <c r="V55" s="4">
        <f t="shared" si="35"/>
        <v>186093.59999999998</v>
      </c>
      <c r="W55" s="4">
        <f t="shared" si="35"/>
        <v>186093.59999999998</v>
      </c>
      <c r="X55" s="4">
        <f t="shared" si="35"/>
        <v>186093.59999999998</v>
      </c>
      <c r="Y55" s="4">
        <f t="shared" si="35"/>
        <v>186093.59999999998</v>
      </c>
      <c r="Z55" s="4">
        <f t="shared" si="35"/>
        <v>186093.59999999998</v>
      </c>
      <c r="AA55" s="4">
        <f t="shared" si="35"/>
        <v>186093.59999999998</v>
      </c>
      <c r="AB55" s="4">
        <f t="shared" ref="AB55:AB83" si="36">AB19</f>
        <v>186093.59999999998</v>
      </c>
      <c r="AC55" s="476">
        <f>SUM(Q55:AB55)</f>
        <v>2233123.2000000002</v>
      </c>
      <c r="AD55" s="4">
        <f t="shared" ref="AD55:AN55" si="37">AE19</f>
        <v>215194</v>
      </c>
      <c r="AE55" s="4">
        <f t="shared" si="37"/>
        <v>215194</v>
      </c>
      <c r="AF55" s="4">
        <f t="shared" si="37"/>
        <v>215194</v>
      </c>
      <c r="AG55" s="4">
        <f t="shared" si="37"/>
        <v>215194</v>
      </c>
      <c r="AH55" s="4">
        <f t="shared" si="37"/>
        <v>215194</v>
      </c>
      <c r="AI55" s="4">
        <f t="shared" si="37"/>
        <v>215194</v>
      </c>
      <c r="AJ55" s="4">
        <f t="shared" si="37"/>
        <v>215194</v>
      </c>
      <c r="AK55" s="4">
        <f t="shared" si="37"/>
        <v>215194</v>
      </c>
      <c r="AL55" s="4">
        <f t="shared" si="37"/>
        <v>215194</v>
      </c>
      <c r="AM55" s="4">
        <f t="shared" si="37"/>
        <v>215194</v>
      </c>
      <c r="AN55" s="4">
        <f t="shared" si="37"/>
        <v>215194</v>
      </c>
      <c r="AO55" s="4">
        <f t="shared" ref="AO55:AO83" si="38">AO19</f>
        <v>215194</v>
      </c>
      <c r="AP55" s="476">
        <f>SUM(AD55:AO55)</f>
        <v>2582328</v>
      </c>
      <c r="AQ55" s="4">
        <f t="shared" ref="AQ55:BA55" si="39">AR19</f>
        <v>247113.99999999997</v>
      </c>
      <c r="AR55" s="4">
        <f t="shared" si="39"/>
        <v>247113.99999999997</v>
      </c>
      <c r="AS55" s="4">
        <f t="shared" si="39"/>
        <v>247113.99999999997</v>
      </c>
      <c r="AT55" s="4">
        <f t="shared" si="39"/>
        <v>247113.99999999997</v>
      </c>
      <c r="AU55" s="4">
        <f t="shared" si="39"/>
        <v>247113.99999999997</v>
      </c>
      <c r="AV55" s="4">
        <f t="shared" si="39"/>
        <v>247113.99999999997</v>
      </c>
      <c r="AW55" s="4">
        <f t="shared" si="39"/>
        <v>247113.99999999997</v>
      </c>
      <c r="AX55" s="4">
        <f t="shared" si="39"/>
        <v>247113.99999999997</v>
      </c>
      <c r="AY55" s="4">
        <f t="shared" si="39"/>
        <v>247113.99999999997</v>
      </c>
      <c r="AZ55" s="4">
        <f t="shared" si="39"/>
        <v>247113.99999999997</v>
      </c>
      <c r="BA55" s="4">
        <f t="shared" si="39"/>
        <v>247113.99999999997</v>
      </c>
      <c r="BB55" s="4">
        <f t="shared" ref="BB55:BB83" si="40">BB19</f>
        <v>247113.99999999997</v>
      </c>
      <c r="BC55" s="476">
        <f>SUM(AQ55:BB55)</f>
        <v>2965367.9999999995</v>
      </c>
      <c r="BD55" s="4">
        <f t="shared" ref="BD55:BN55" si="41">BE19</f>
        <v>282087.67999999993</v>
      </c>
      <c r="BE55" s="4">
        <f t="shared" si="41"/>
        <v>282087.67999999993</v>
      </c>
      <c r="BF55" s="4">
        <f t="shared" si="41"/>
        <v>282087.67999999993</v>
      </c>
      <c r="BG55" s="4">
        <f t="shared" si="41"/>
        <v>282087.67999999993</v>
      </c>
      <c r="BH55" s="4">
        <f t="shared" si="41"/>
        <v>282087.67999999993</v>
      </c>
      <c r="BI55" s="4">
        <f t="shared" si="41"/>
        <v>282087.67999999993</v>
      </c>
      <c r="BJ55" s="4">
        <f t="shared" si="41"/>
        <v>282087.67999999993</v>
      </c>
      <c r="BK55" s="4">
        <f t="shared" si="41"/>
        <v>282087.67999999993</v>
      </c>
      <c r="BL55" s="4">
        <f t="shared" si="41"/>
        <v>282087.67999999993</v>
      </c>
      <c r="BM55" s="4">
        <f t="shared" si="41"/>
        <v>282087.67999999993</v>
      </c>
      <c r="BN55" s="4">
        <f t="shared" si="41"/>
        <v>282087.67999999993</v>
      </c>
      <c r="BO55" s="4">
        <f t="shared" ref="BO55:BO83" si="42">BO19</f>
        <v>282087.67999999993</v>
      </c>
      <c r="BP55" s="476">
        <f>SUM(BD55:BO55)</f>
        <v>3385052.1599999983</v>
      </c>
      <c r="BQ55" s="4">
        <f t="shared" ref="BQ55:CA55" si="43">BR19</f>
        <v>320370.39999999997</v>
      </c>
      <c r="BR55" s="4">
        <f t="shared" si="43"/>
        <v>320370.39999999997</v>
      </c>
      <c r="BS55" s="4">
        <f t="shared" si="43"/>
        <v>320370.39999999997</v>
      </c>
      <c r="BT55" s="4">
        <f t="shared" si="43"/>
        <v>320370.39999999997</v>
      </c>
      <c r="BU55" s="4">
        <f t="shared" si="43"/>
        <v>320370.39999999997</v>
      </c>
      <c r="BV55" s="4">
        <f t="shared" si="43"/>
        <v>320370.39999999997</v>
      </c>
      <c r="BW55" s="4">
        <f t="shared" si="43"/>
        <v>320370.39999999997</v>
      </c>
      <c r="BX55" s="4">
        <f t="shared" si="43"/>
        <v>320370.39999999997</v>
      </c>
      <c r="BY55" s="4">
        <f t="shared" si="43"/>
        <v>320370.39999999997</v>
      </c>
      <c r="BZ55" s="4">
        <f t="shared" si="43"/>
        <v>320370.39999999997</v>
      </c>
      <c r="CA55" s="4">
        <f t="shared" si="43"/>
        <v>320370.39999999997</v>
      </c>
      <c r="CB55" s="4">
        <f t="shared" ref="CB55:CB83" si="44">CB19</f>
        <v>320370.39999999997</v>
      </c>
      <c r="CC55" s="476">
        <f>SUM(BQ55:CB55)</f>
        <v>3844444.7999999993</v>
      </c>
      <c r="CD55" s="4">
        <f t="shared" ref="CD55:CN55" si="45">CE19</f>
        <v>339596.87999999995</v>
      </c>
      <c r="CE55" s="4">
        <f t="shared" si="45"/>
        <v>339596.87999999995</v>
      </c>
      <c r="CF55" s="4">
        <f t="shared" si="45"/>
        <v>339596.87999999995</v>
      </c>
      <c r="CG55" s="4">
        <f t="shared" si="45"/>
        <v>339596.87999999995</v>
      </c>
      <c r="CH55" s="4">
        <f t="shared" si="45"/>
        <v>339596.87999999995</v>
      </c>
      <c r="CI55" s="4">
        <f t="shared" si="45"/>
        <v>339596.87999999995</v>
      </c>
      <c r="CJ55" s="4">
        <f t="shared" si="45"/>
        <v>339596.87999999995</v>
      </c>
      <c r="CK55" s="4">
        <f t="shared" si="45"/>
        <v>339596.87999999995</v>
      </c>
      <c r="CL55" s="4">
        <f t="shared" si="45"/>
        <v>339596.87999999995</v>
      </c>
      <c r="CM55" s="4">
        <f t="shared" si="45"/>
        <v>339596.87999999995</v>
      </c>
      <c r="CN55" s="4">
        <f t="shared" si="45"/>
        <v>339596.87999999995</v>
      </c>
      <c r="CO55" s="4">
        <f t="shared" ref="CO55:CO83" si="46">CO19</f>
        <v>339596.87999999995</v>
      </c>
      <c r="CP55" s="476">
        <f>SUM(CD55:CO55)</f>
        <v>4075162.5599999991</v>
      </c>
    </row>
    <row r="56" spans="1:94">
      <c r="A56" s="4" t="str">
        <f>'Summary. Assumptions. Inputs'!A47</f>
        <v>Thermal shaders</v>
      </c>
      <c r="B56" s="4" t="str">
        <f>'Summary. Assumptions. Inputs'!B47</f>
        <v>KG</v>
      </c>
      <c r="C56" s="4">
        <f t="shared" ref="C56:N56" si="47">D20</f>
        <v>60000</v>
      </c>
      <c r="D56">
        <f t="shared" si="47"/>
        <v>60000</v>
      </c>
      <c r="E56">
        <f t="shared" si="47"/>
        <v>60000</v>
      </c>
      <c r="F56">
        <f t="shared" si="47"/>
        <v>60000</v>
      </c>
      <c r="G56">
        <f t="shared" si="47"/>
        <v>60000</v>
      </c>
      <c r="H56">
        <f t="shared" si="47"/>
        <v>60000</v>
      </c>
      <c r="I56">
        <f t="shared" si="47"/>
        <v>60000</v>
      </c>
      <c r="J56">
        <f t="shared" si="47"/>
        <v>60000</v>
      </c>
      <c r="K56">
        <f t="shared" si="47"/>
        <v>60000</v>
      </c>
      <c r="L56">
        <f t="shared" si="47"/>
        <v>60000</v>
      </c>
      <c r="M56">
        <f t="shared" si="47"/>
        <v>60000</v>
      </c>
      <c r="N56">
        <f t="shared" si="47"/>
        <v>60000</v>
      </c>
      <c r="O56">
        <f t="shared" si="33"/>
        <v>60000</v>
      </c>
      <c r="P56" s="429">
        <f t="shared" si="34"/>
        <v>780000</v>
      </c>
      <c r="Q56" s="4">
        <f t="shared" ref="Q56:AA56" si="48">R20</f>
        <v>69960</v>
      </c>
      <c r="R56" s="4">
        <f t="shared" si="48"/>
        <v>69960</v>
      </c>
      <c r="S56" s="4">
        <f t="shared" si="48"/>
        <v>69960</v>
      </c>
      <c r="T56" s="4">
        <f t="shared" si="48"/>
        <v>69960</v>
      </c>
      <c r="U56" s="4">
        <f t="shared" si="48"/>
        <v>69960</v>
      </c>
      <c r="V56" s="4">
        <f t="shared" si="48"/>
        <v>69960</v>
      </c>
      <c r="W56" s="4">
        <f t="shared" si="48"/>
        <v>69960</v>
      </c>
      <c r="X56" s="4">
        <f t="shared" si="48"/>
        <v>69960</v>
      </c>
      <c r="Y56" s="4">
        <f t="shared" si="48"/>
        <v>69960</v>
      </c>
      <c r="Z56" s="4">
        <f t="shared" si="48"/>
        <v>69960</v>
      </c>
      <c r="AA56" s="4">
        <f t="shared" si="48"/>
        <v>69960</v>
      </c>
      <c r="AB56" s="4">
        <f t="shared" si="36"/>
        <v>69960</v>
      </c>
      <c r="AC56" s="477">
        <f>SUM(Q56:AB56)</f>
        <v>839520</v>
      </c>
      <c r="AD56" s="4">
        <f t="shared" ref="AD56:AN56" si="49">AE20</f>
        <v>80900</v>
      </c>
      <c r="AE56" s="4">
        <f t="shared" si="49"/>
        <v>80900</v>
      </c>
      <c r="AF56" s="4">
        <f t="shared" si="49"/>
        <v>80900</v>
      </c>
      <c r="AG56" s="4">
        <f t="shared" si="49"/>
        <v>80900</v>
      </c>
      <c r="AH56" s="4">
        <f t="shared" si="49"/>
        <v>80900</v>
      </c>
      <c r="AI56" s="4">
        <f t="shared" si="49"/>
        <v>80900</v>
      </c>
      <c r="AJ56" s="4">
        <f t="shared" si="49"/>
        <v>80900</v>
      </c>
      <c r="AK56" s="4">
        <f t="shared" si="49"/>
        <v>80900</v>
      </c>
      <c r="AL56" s="4">
        <f t="shared" si="49"/>
        <v>80900</v>
      </c>
      <c r="AM56" s="4">
        <f t="shared" si="49"/>
        <v>80900</v>
      </c>
      <c r="AN56" s="4">
        <f t="shared" si="49"/>
        <v>80900</v>
      </c>
      <c r="AO56" s="4">
        <f t="shared" si="38"/>
        <v>80900</v>
      </c>
      <c r="AP56" s="477">
        <f>SUM(AD56:AO56)</f>
        <v>970800</v>
      </c>
      <c r="AQ56" s="4">
        <f t="shared" ref="AQ56:BA56" si="50">AR20</f>
        <v>92900</v>
      </c>
      <c r="AR56" s="4">
        <f t="shared" si="50"/>
        <v>92900</v>
      </c>
      <c r="AS56" s="4">
        <f t="shared" si="50"/>
        <v>92900</v>
      </c>
      <c r="AT56" s="4">
        <f t="shared" si="50"/>
        <v>92900</v>
      </c>
      <c r="AU56" s="4">
        <f t="shared" si="50"/>
        <v>92900</v>
      </c>
      <c r="AV56" s="4">
        <f t="shared" si="50"/>
        <v>92900</v>
      </c>
      <c r="AW56" s="4">
        <f t="shared" si="50"/>
        <v>92900</v>
      </c>
      <c r="AX56" s="4">
        <f t="shared" si="50"/>
        <v>92900</v>
      </c>
      <c r="AY56" s="4">
        <f t="shared" si="50"/>
        <v>92900</v>
      </c>
      <c r="AZ56" s="4">
        <f t="shared" si="50"/>
        <v>92900</v>
      </c>
      <c r="BA56" s="4">
        <f t="shared" si="50"/>
        <v>92900</v>
      </c>
      <c r="BB56" s="4">
        <f t="shared" si="40"/>
        <v>92900</v>
      </c>
      <c r="BC56" s="477">
        <f>SUM(AQ56:BB56)</f>
        <v>1114800</v>
      </c>
      <c r="BD56" s="4">
        <f t="shared" ref="BD56:BN56" si="51">BE20</f>
        <v>106048</v>
      </c>
      <c r="BE56" s="4">
        <f t="shared" si="51"/>
        <v>106048</v>
      </c>
      <c r="BF56" s="4">
        <f t="shared" si="51"/>
        <v>106048</v>
      </c>
      <c r="BG56" s="4">
        <f t="shared" si="51"/>
        <v>106048</v>
      </c>
      <c r="BH56" s="4">
        <f t="shared" si="51"/>
        <v>106048</v>
      </c>
      <c r="BI56" s="4">
        <f t="shared" si="51"/>
        <v>106048</v>
      </c>
      <c r="BJ56" s="4">
        <f t="shared" si="51"/>
        <v>106048</v>
      </c>
      <c r="BK56" s="4">
        <f t="shared" si="51"/>
        <v>106048</v>
      </c>
      <c r="BL56" s="4">
        <f t="shared" si="51"/>
        <v>106048</v>
      </c>
      <c r="BM56" s="4">
        <f t="shared" si="51"/>
        <v>106048</v>
      </c>
      <c r="BN56" s="4">
        <f t="shared" si="51"/>
        <v>106048</v>
      </c>
      <c r="BO56" s="4">
        <f t="shared" si="42"/>
        <v>106048</v>
      </c>
      <c r="BP56" s="477">
        <f>SUM(BD56:BO56)</f>
        <v>1272576</v>
      </c>
      <c r="BQ56" s="4">
        <f t="shared" ref="BQ56:CA56" si="52">BR20</f>
        <v>120440</v>
      </c>
      <c r="BR56" s="4">
        <f t="shared" si="52"/>
        <v>120440</v>
      </c>
      <c r="BS56" s="4">
        <f t="shared" si="52"/>
        <v>120440</v>
      </c>
      <c r="BT56" s="4">
        <f t="shared" si="52"/>
        <v>120440</v>
      </c>
      <c r="BU56" s="4">
        <f t="shared" si="52"/>
        <v>120440</v>
      </c>
      <c r="BV56" s="4">
        <f t="shared" si="52"/>
        <v>120440</v>
      </c>
      <c r="BW56" s="4">
        <f t="shared" si="52"/>
        <v>120440</v>
      </c>
      <c r="BX56" s="4">
        <f t="shared" si="52"/>
        <v>120440</v>
      </c>
      <c r="BY56" s="4">
        <f t="shared" si="52"/>
        <v>120440</v>
      </c>
      <c r="BZ56" s="4">
        <f t="shared" si="52"/>
        <v>120440</v>
      </c>
      <c r="CA56" s="4">
        <f t="shared" si="52"/>
        <v>120440</v>
      </c>
      <c r="CB56" s="4">
        <f t="shared" si="44"/>
        <v>120440</v>
      </c>
      <c r="CC56" s="477">
        <f>SUM(BQ56:CB56)</f>
        <v>1445280</v>
      </c>
      <c r="CD56" s="4">
        <f t="shared" ref="CD56:CN56" si="53">CE20</f>
        <v>127668</v>
      </c>
      <c r="CE56" s="4">
        <f t="shared" si="53"/>
        <v>127668</v>
      </c>
      <c r="CF56" s="4">
        <f t="shared" si="53"/>
        <v>127668</v>
      </c>
      <c r="CG56" s="4">
        <f t="shared" si="53"/>
        <v>127668</v>
      </c>
      <c r="CH56" s="4">
        <f t="shared" si="53"/>
        <v>127668</v>
      </c>
      <c r="CI56" s="4">
        <f t="shared" si="53"/>
        <v>127668</v>
      </c>
      <c r="CJ56" s="4">
        <f t="shared" si="53"/>
        <v>127668</v>
      </c>
      <c r="CK56" s="4">
        <f t="shared" si="53"/>
        <v>127668</v>
      </c>
      <c r="CL56" s="4">
        <f t="shared" si="53"/>
        <v>127668</v>
      </c>
      <c r="CM56" s="4">
        <f t="shared" si="53"/>
        <v>127668</v>
      </c>
      <c r="CN56" s="4">
        <f t="shared" si="53"/>
        <v>127668</v>
      </c>
      <c r="CO56" s="4">
        <f t="shared" si="46"/>
        <v>127668</v>
      </c>
      <c r="CP56" s="477">
        <f>SUM(CD56:CO56)</f>
        <v>1532016</v>
      </c>
    </row>
    <row r="57" spans="1:94">
      <c r="A57" s="4" t="str">
        <f>'Summary. Assumptions. Inputs'!A48</f>
        <v>Recycled plastic</v>
      </c>
      <c r="B57" s="4" t="str">
        <f>'Summary. Assumptions. Inputs'!B48</f>
        <v>KG</v>
      </c>
      <c r="C57" s="4">
        <f t="shared" ref="C57:N57" si="54">D21</f>
        <v>68400</v>
      </c>
      <c r="D57">
        <f t="shared" si="54"/>
        <v>68400</v>
      </c>
      <c r="E57">
        <f t="shared" si="54"/>
        <v>68400</v>
      </c>
      <c r="F57">
        <f t="shared" si="54"/>
        <v>68400</v>
      </c>
      <c r="G57">
        <f t="shared" si="54"/>
        <v>68400</v>
      </c>
      <c r="H57">
        <f t="shared" si="54"/>
        <v>68400</v>
      </c>
      <c r="I57">
        <f t="shared" si="54"/>
        <v>68400</v>
      </c>
      <c r="J57">
        <f t="shared" si="54"/>
        <v>68400</v>
      </c>
      <c r="K57">
        <f t="shared" si="54"/>
        <v>68400</v>
      </c>
      <c r="L57">
        <f t="shared" si="54"/>
        <v>68400</v>
      </c>
      <c r="M57">
        <f t="shared" si="54"/>
        <v>68400</v>
      </c>
      <c r="N57">
        <f t="shared" si="54"/>
        <v>68400</v>
      </c>
      <c r="O57">
        <f t="shared" si="33"/>
        <v>68400</v>
      </c>
      <c r="P57" s="429">
        <f t="shared" si="34"/>
        <v>889200</v>
      </c>
      <c r="Q57" s="4">
        <f t="shared" ref="Q57:AA57" si="55">R21</f>
        <v>79754.399999999994</v>
      </c>
      <c r="R57" s="4">
        <f t="shared" si="55"/>
        <v>79754.399999999994</v>
      </c>
      <c r="S57" s="4">
        <f t="shared" si="55"/>
        <v>79754.399999999994</v>
      </c>
      <c r="T57" s="4">
        <f t="shared" si="55"/>
        <v>79754.399999999994</v>
      </c>
      <c r="U57" s="4">
        <f t="shared" si="55"/>
        <v>79754.399999999994</v>
      </c>
      <c r="V57" s="4">
        <f t="shared" si="55"/>
        <v>79754.399999999994</v>
      </c>
      <c r="W57" s="4">
        <f t="shared" si="55"/>
        <v>79754.399999999994</v>
      </c>
      <c r="X57" s="4">
        <f t="shared" si="55"/>
        <v>79754.399999999994</v>
      </c>
      <c r="Y57" s="4">
        <f t="shared" si="55"/>
        <v>79754.399999999994</v>
      </c>
      <c r="Z57" s="4">
        <f t="shared" si="55"/>
        <v>79754.399999999994</v>
      </c>
      <c r="AA57" s="4">
        <f t="shared" si="55"/>
        <v>79754.399999999994</v>
      </c>
      <c r="AB57" s="4">
        <f t="shared" si="36"/>
        <v>79754.399999999994</v>
      </c>
      <c r="AC57" s="429">
        <f t="shared" ref="AC57:AC84" si="56">SUM(Q57:AB57)</f>
        <v>957052.80000000016</v>
      </c>
      <c r="AD57" s="4">
        <f t="shared" ref="AD57:AN57" si="57">AE21</f>
        <v>92226</v>
      </c>
      <c r="AE57" s="4">
        <f t="shared" si="57"/>
        <v>92226</v>
      </c>
      <c r="AF57" s="4">
        <f t="shared" si="57"/>
        <v>92226</v>
      </c>
      <c r="AG57" s="4">
        <f t="shared" si="57"/>
        <v>92226</v>
      </c>
      <c r="AH57" s="4">
        <f t="shared" si="57"/>
        <v>92226</v>
      </c>
      <c r="AI57" s="4">
        <f t="shared" si="57"/>
        <v>92226</v>
      </c>
      <c r="AJ57" s="4">
        <f t="shared" si="57"/>
        <v>92226</v>
      </c>
      <c r="AK57" s="4">
        <f t="shared" si="57"/>
        <v>92226</v>
      </c>
      <c r="AL57" s="4">
        <f t="shared" si="57"/>
        <v>92226</v>
      </c>
      <c r="AM57" s="4">
        <f t="shared" si="57"/>
        <v>92226</v>
      </c>
      <c r="AN57" s="4">
        <f t="shared" si="57"/>
        <v>92226</v>
      </c>
      <c r="AO57" s="4">
        <f t="shared" si="38"/>
        <v>92226</v>
      </c>
      <c r="AP57" s="429">
        <f t="shared" ref="AP57:AP84" si="58">SUM(AD57:AO57)</f>
        <v>1106712</v>
      </c>
      <c r="AQ57" s="4">
        <f t="shared" ref="AQ57:BA57" si="59">AR21</f>
        <v>105906</v>
      </c>
      <c r="AR57" s="4">
        <f t="shared" si="59"/>
        <v>105906</v>
      </c>
      <c r="AS57" s="4">
        <f t="shared" si="59"/>
        <v>105906</v>
      </c>
      <c r="AT57" s="4">
        <f t="shared" si="59"/>
        <v>105906</v>
      </c>
      <c r="AU57" s="4">
        <f t="shared" si="59"/>
        <v>105906</v>
      </c>
      <c r="AV57" s="4">
        <f t="shared" si="59"/>
        <v>105906</v>
      </c>
      <c r="AW57" s="4">
        <f t="shared" si="59"/>
        <v>105906</v>
      </c>
      <c r="AX57" s="4">
        <f t="shared" si="59"/>
        <v>105906</v>
      </c>
      <c r="AY57" s="4">
        <f t="shared" si="59"/>
        <v>105906</v>
      </c>
      <c r="AZ57" s="4">
        <f t="shared" si="59"/>
        <v>105906</v>
      </c>
      <c r="BA57" s="4">
        <f t="shared" si="59"/>
        <v>105906</v>
      </c>
      <c r="BB57" s="4">
        <f t="shared" si="40"/>
        <v>105906</v>
      </c>
      <c r="BC57" s="429">
        <f t="shared" ref="BC57:BC84" si="60">SUM(AQ57:BB57)</f>
        <v>1270872</v>
      </c>
      <c r="BD57" s="4">
        <f t="shared" ref="BD57:BN57" si="61">BE21</f>
        <v>120894.71999999999</v>
      </c>
      <c r="BE57" s="4">
        <f t="shared" si="61"/>
        <v>120894.71999999999</v>
      </c>
      <c r="BF57" s="4">
        <f t="shared" si="61"/>
        <v>120894.71999999999</v>
      </c>
      <c r="BG57" s="4">
        <f t="shared" si="61"/>
        <v>120894.71999999999</v>
      </c>
      <c r="BH57" s="4">
        <f t="shared" si="61"/>
        <v>120894.71999999999</v>
      </c>
      <c r="BI57" s="4">
        <f t="shared" si="61"/>
        <v>120894.71999999999</v>
      </c>
      <c r="BJ57" s="4">
        <f t="shared" si="61"/>
        <v>120894.71999999999</v>
      </c>
      <c r="BK57" s="4">
        <f t="shared" si="61"/>
        <v>120894.71999999999</v>
      </c>
      <c r="BL57" s="4">
        <f t="shared" si="61"/>
        <v>120894.71999999999</v>
      </c>
      <c r="BM57" s="4">
        <f t="shared" si="61"/>
        <v>120894.71999999999</v>
      </c>
      <c r="BN57" s="4">
        <f t="shared" si="61"/>
        <v>120894.71999999999</v>
      </c>
      <c r="BO57" s="4">
        <f t="shared" si="42"/>
        <v>120894.71999999999</v>
      </c>
      <c r="BP57" s="429">
        <f t="shared" ref="BP57:BP84" si="62">SUM(BD57:BO57)</f>
        <v>1450736.6399999999</v>
      </c>
      <c r="BQ57" s="4">
        <f t="shared" ref="BQ57:CA57" si="63">BR21</f>
        <v>137301.6</v>
      </c>
      <c r="BR57" s="4">
        <f t="shared" si="63"/>
        <v>137301.6</v>
      </c>
      <c r="BS57" s="4">
        <f t="shared" si="63"/>
        <v>137301.6</v>
      </c>
      <c r="BT57" s="4">
        <f t="shared" si="63"/>
        <v>137301.6</v>
      </c>
      <c r="BU57" s="4">
        <f t="shared" si="63"/>
        <v>137301.6</v>
      </c>
      <c r="BV57" s="4">
        <f t="shared" si="63"/>
        <v>137301.6</v>
      </c>
      <c r="BW57" s="4">
        <f t="shared" si="63"/>
        <v>137301.6</v>
      </c>
      <c r="BX57" s="4">
        <f t="shared" si="63"/>
        <v>137301.6</v>
      </c>
      <c r="BY57" s="4">
        <f t="shared" si="63"/>
        <v>137301.6</v>
      </c>
      <c r="BZ57" s="4">
        <f t="shared" si="63"/>
        <v>137301.6</v>
      </c>
      <c r="CA57" s="4">
        <f t="shared" si="63"/>
        <v>137301.6</v>
      </c>
      <c r="CB57" s="4">
        <f t="shared" si="44"/>
        <v>137301.6</v>
      </c>
      <c r="CC57" s="429">
        <f t="shared" ref="CC57:CC84" si="64">SUM(BQ57:CB57)</f>
        <v>1647619.2000000004</v>
      </c>
      <c r="CD57" s="4">
        <f t="shared" ref="CD57:CN57" si="65">CE21</f>
        <v>145541.51999999999</v>
      </c>
      <c r="CE57" s="4">
        <f t="shared" si="65"/>
        <v>145541.51999999999</v>
      </c>
      <c r="CF57" s="4">
        <f t="shared" si="65"/>
        <v>145541.51999999999</v>
      </c>
      <c r="CG57" s="4">
        <f t="shared" si="65"/>
        <v>145541.51999999999</v>
      </c>
      <c r="CH57" s="4">
        <f t="shared" si="65"/>
        <v>145541.51999999999</v>
      </c>
      <c r="CI57" s="4">
        <f t="shared" si="65"/>
        <v>145541.51999999999</v>
      </c>
      <c r="CJ57" s="4">
        <f t="shared" si="65"/>
        <v>145541.51999999999</v>
      </c>
      <c r="CK57" s="4">
        <f t="shared" si="65"/>
        <v>145541.51999999999</v>
      </c>
      <c r="CL57" s="4">
        <f t="shared" si="65"/>
        <v>145541.51999999999</v>
      </c>
      <c r="CM57" s="4">
        <f t="shared" si="65"/>
        <v>145541.51999999999</v>
      </c>
      <c r="CN57" s="4">
        <f t="shared" si="65"/>
        <v>145541.51999999999</v>
      </c>
      <c r="CO57" s="4">
        <f t="shared" si="46"/>
        <v>145541.51999999999</v>
      </c>
      <c r="CP57" s="429">
        <f t="shared" ref="CP57:CP84" si="66">SUM(CD57:CO57)</f>
        <v>1746498.24</v>
      </c>
    </row>
    <row r="58" spans="1:94" hidden="1">
      <c r="A58" s="4">
        <f>'Summary. Assumptions. Inputs'!A49</f>
        <v>0</v>
      </c>
      <c r="B58" s="4">
        <f>'Summary. Assumptions. Inputs'!B49</f>
        <v>0</v>
      </c>
      <c r="C58" s="4">
        <f t="shared" ref="C58:N58" si="67">D22</f>
        <v>0</v>
      </c>
      <c r="D58">
        <f t="shared" si="67"/>
        <v>0</v>
      </c>
      <c r="E58">
        <f t="shared" si="67"/>
        <v>0</v>
      </c>
      <c r="F58">
        <f t="shared" si="67"/>
        <v>0</v>
      </c>
      <c r="G58">
        <f t="shared" si="67"/>
        <v>0</v>
      </c>
      <c r="H58">
        <f t="shared" si="67"/>
        <v>0</v>
      </c>
      <c r="I58">
        <f t="shared" si="67"/>
        <v>0</v>
      </c>
      <c r="J58">
        <f t="shared" si="67"/>
        <v>0</v>
      </c>
      <c r="K58">
        <f t="shared" si="67"/>
        <v>0</v>
      </c>
      <c r="L58">
        <f t="shared" si="67"/>
        <v>0</v>
      </c>
      <c r="M58">
        <f t="shared" si="67"/>
        <v>0</v>
      </c>
      <c r="N58">
        <f t="shared" si="67"/>
        <v>0</v>
      </c>
      <c r="O58">
        <f t="shared" si="33"/>
        <v>0</v>
      </c>
      <c r="P58" s="429">
        <f t="shared" si="34"/>
        <v>0</v>
      </c>
      <c r="Q58" s="4">
        <f t="shared" ref="Q58:AA58" si="68">R22</f>
        <v>0</v>
      </c>
      <c r="R58" s="4">
        <f t="shared" si="68"/>
        <v>0</v>
      </c>
      <c r="S58" s="4">
        <f t="shared" si="68"/>
        <v>0</v>
      </c>
      <c r="T58" s="4">
        <f t="shared" si="68"/>
        <v>0</v>
      </c>
      <c r="U58" s="4">
        <f t="shared" si="68"/>
        <v>0</v>
      </c>
      <c r="V58" s="4">
        <f t="shared" si="68"/>
        <v>0</v>
      </c>
      <c r="W58" s="4">
        <f t="shared" si="68"/>
        <v>0</v>
      </c>
      <c r="X58" s="4">
        <f t="shared" si="68"/>
        <v>0</v>
      </c>
      <c r="Y58" s="4">
        <f t="shared" si="68"/>
        <v>0</v>
      </c>
      <c r="Z58" s="4">
        <f t="shared" si="68"/>
        <v>0</v>
      </c>
      <c r="AA58" s="4">
        <f t="shared" si="68"/>
        <v>0</v>
      </c>
      <c r="AB58" s="4">
        <f t="shared" si="36"/>
        <v>0</v>
      </c>
      <c r="AC58" s="429">
        <f t="shared" si="56"/>
        <v>0</v>
      </c>
      <c r="AD58" s="4">
        <f t="shared" ref="AD58:AN58" si="69">AE22</f>
        <v>0</v>
      </c>
      <c r="AE58" s="4">
        <f t="shared" si="69"/>
        <v>0</v>
      </c>
      <c r="AF58" s="4">
        <f t="shared" si="69"/>
        <v>0</v>
      </c>
      <c r="AG58" s="4">
        <f t="shared" si="69"/>
        <v>0</v>
      </c>
      <c r="AH58" s="4">
        <f t="shared" si="69"/>
        <v>0</v>
      </c>
      <c r="AI58" s="4">
        <f t="shared" si="69"/>
        <v>0</v>
      </c>
      <c r="AJ58" s="4">
        <f t="shared" si="69"/>
        <v>0</v>
      </c>
      <c r="AK58" s="4">
        <f t="shared" si="69"/>
        <v>0</v>
      </c>
      <c r="AL58" s="4">
        <f t="shared" si="69"/>
        <v>0</v>
      </c>
      <c r="AM58" s="4">
        <f t="shared" si="69"/>
        <v>0</v>
      </c>
      <c r="AN58" s="4">
        <f t="shared" si="69"/>
        <v>0</v>
      </c>
      <c r="AO58" s="4">
        <f t="shared" si="38"/>
        <v>0</v>
      </c>
      <c r="AP58" s="429">
        <f t="shared" si="58"/>
        <v>0</v>
      </c>
      <c r="AQ58" s="4">
        <f t="shared" ref="AQ58:BA58" si="70">AR22</f>
        <v>0</v>
      </c>
      <c r="AR58" s="4">
        <f t="shared" si="70"/>
        <v>0</v>
      </c>
      <c r="AS58" s="4">
        <f t="shared" si="70"/>
        <v>0</v>
      </c>
      <c r="AT58" s="4">
        <f t="shared" si="70"/>
        <v>0</v>
      </c>
      <c r="AU58" s="4">
        <f t="shared" si="70"/>
        <v>0</v>
      </c>
      <c r="AV58" s="4">
        <f t="shared" si="70"/>
        <v>0</v>
      </c>
      <c r="AW58" s="4">
        <f t="shared" si="70"/>
        <v>0</v>
      </c>
      <c r="AX58" s="4">
        <f t="shared" si="70"/>
        <v>0</v>
      </c>
      <c r="AY58" s="4">
        <f t="shared" si="70"/>
        <v>0</v>
      </c>
      <c r="AZ58" s="4">
        <f t="shared" si="70"/>
        <v>0</v>
      </c>
      <c r="BA58" s="4">
        <f t="shared" si="70"/>
        <v>0</v>
      </c>
      <c r="BB58" s="4">
        <f t="shared" si="40"/>
        <v>0</v>
      </c>
      <c r="BC58" s="429">
        <f t="shared" si="60"/>
        <v>0</v>
      </c>
      <c r="BD58" s="4">
        <f t="shared" ref="BD58:BN58" si="71">BE22</f>
        <v>0</v>
      </c>
      <c r="BE58" s="4">
        <f t="shared" si="71"/>
        <v>0</v>
      </c>
      <c r="BF58" s="4">
        <f t="shared" si="71"/>
        <v>0</v>
      </c>
      <c r="BG58" s="4">
        <f t="shared" si="71"/>
        <v>0</v>
      </c>
      <c r="BH58" s="4">
        <f t="shared" si="71"/>
        <v>0</v>
      </c>
      <c r="BI58" s="4">
        <f t="shared" si="71"/>
        <v>0</v>
      </c>
      <c r="BJ58" s="4">
        <f t="shared" si="71"/>
        <v>0</v>
      </c>
      <c r="BK58" s="4">
        <f t="shared" si="71"/>
        <v>0</v>
      </c>
      <c r="BL58" s="4">
        <f t="shared" si="71"/>
        <v>0</v>
      </c>
      <c r="BM58" s="4">
        <f t="shared" si="71"/>
        <v>0</v>
      </c>
      <c r="BN58" s="4">
        <f t="shared" si="71"/>
        <v>0</v>
      </c>
      <c r="BO58" s="4">
        <f t="shared" si="42"/>
        <v>0</v>
      </c>
      <c r="BP58" s="429">
        <f t="shared" si="62"/>
        <v>0</v>
      </c>
      <c r="BQ58" s="4">
        <f t="shared" ref="BQ58:CA58" si="72">BR22</f>
        <v>0</v>
      </c>
      <c r="BR58" s="4">
        <f t="shared" si="72"/>
        <v>0</v>
      </c>
      <c r="BS58" s="4">
        <f t="shared" si="72"/>
        <v>0</v>
      </c>
      <c r="BT58" s="4">
        <f t="shared" si="72"/>
        <v>0</v>
      </c>
      <c r="BU58" s="4">
        <f t="shared" si="72"/>
        <v>0</v>
      </c>
      <c r="BV58" s="4">
        <f t="shared" si="72"/>
        <v>0</v>
      </c>
      <c r="BW58" s="4">
        <f t="shared" si="72"/>
        <v>0</v>
      </c>
      <c r="BX58" s="4">
        <f t="shared" si="72"/>
        <v>0</v>
      </c>
      <c r="BY58" s="4">
        <f t="shared" si="72"/>
        <v>0</v>
      </c>
      <c r="BZ58" s="4">
        <f t="shared" si="72"/>
        <v>0</v>
      </c>
      <c r="CA58" s="4">
        <f t="shared" si="72"/>
        <v>0</v>
      </c>
      <c r="CB58" s="4">
        <f t="shared" si="44"/>
        <v>0</v>
      </c>
      <c r="CC58" s="429">
        <f t="shared" si="64"/>
        <v>0</v>
      </c>
      <c r="CD58" s="4">
        <f t="shared" ref="CD58:CN58" si="73">CE22</f>
        <v>0</v>
      </c>
      <c r="CE58" s="4">
        <f t="shared" si="73"/>
        <v>0</v>
      </c>
      <c r="CF58" s="4">
        <f t="shared" si="73"/>
        <v>0</v>
      </c>
      <c r="CG58" s="4">
        <f t="shared" si="73"/>
        <v>0</v>
      </c>
      <c r="CH58" s="4">
        <f t="shared" si="73"/>
        <v>0</v>
      </c>
      <c r="CI58" s="4">
        <f t="shared" si="73"/>
        <v>0</v>
      </c>
      <c r="CJ58" s="4">
        <f t="shared" si="73"/>
        <v>0</v>
      </c>
      <c r="CK58" s="4">
        <f t="shared" si="73"/>
        <v>0</v>
      </c>
      <c r="CL58" s="4">
        <f t="shared" si="73"/>
        <v>0</v>
      </c>
      <c r="CM58" s="4">
        <f t="shared" si="73"/>
        <v>0</v>
      </c>
      <c r="CN58" s="4">
        <f t="shared" si="73"/>
        <v>0</v>
      </c>
      <c r="CO58" s="4">
        <f t="shared" si="46"/>
        <v>0</v>
      </c>
      <c r="CP58" s="429">
        <f t="shared" si="66"/>
        <v>0</v>
      </c>
    </row>
    <row r="59" spans="1:94" hidden="1">
      <c r="A59" s="4">
        <f>'Summary. Assumptions. Inputs'!A50</f>
        <v>0</v>
      </c>
      <c r="B59" s="4">
        <f>'Summary. Assumptions. Inputs'!B50</f>
        <v>0</v>
      </c>
      <c r="C59" s="4">
        <f t="shared" ref="C59:N59" si="74">D23</f>
        <v>0</v>
      </c>
      <c r="D59">
        <f t="shared" si="74"/>
        <v>0</v>
      </c>
      <c r="E59">
        <f t="shared" si="74"/>
        <v>0</v>
      </c>
      <c r="F59">
        <f t="shared" si="74"/>
        <v>0</v>
      </c>
      <c r="G59">
        <f t="shared" si="74"/>
        <v>0</v>
      </c>
      <c r="H59">
        <f t="shared" si="74"/>
        <v>0</v>
      </c>
      <c r="I59">
        <f t="shared" si="74"/>
        <v>0</v>
      </c>
      <c r="J59">
        <f t="shared" si="74"/>
        <v>0</v>
      </c>
      <c r="K59">
        <f t="shared" si="74"/>
        <v>0</v>
      </c>
      <c r="L59">
        <f t="shared" si="74"/>
        <v>0</v>
      </c>
      <c r="M59">
        <f t="shared" si="74"/>
        <v>0</v>
      </c>
      <c r="N59">
        <f t="shared" si="74"/>
        <v>0</v>
      </c>
      <c r="O59">
        <f t="shared" si="33"/>
        <v>0</v>
      </c>
      <c r="P59" s="429">
        <f t="shared" si="34"/>
        <v>0</v>
      </c>
      <c r="Q59" s="4">
        <f t="shared" ref="Q59:AA59" si="75">R23</f>
        <v>0</v>
      </c>
      <c r="R59" s="4">
        <f t="shared" si="75"/>
        <v>0</v>
      </c>
      <c r="S59" s="4">
        <f t="shared" si="75"/>
        <v>0</v>
      </c>
      <c r="T59" s="4">
        <f t="shared" si="75"/>
        <v>0</v>
      </c>
      <c r="U59" s="4">
        <f t="shared" si="75"/>
        <v>0</v>
      </c>
      <c r="V59" s="4">
        <f t="shared" si="75"/>
        <v>0</v>
      </c>
      <c r="W59" s="4">
        <f t="shared" si="75"/>
        <v>0</v>
      </c>
      <c r="X59" s="4">
        <f t="shared" si="75"/>
        <v>0</v>
      </c>
      <c r="Y59" s="4">
        <f t="shared" si="75"/>
        <v>0</v>
      </c>
      <c r="Z59" s="4">
        <f t="shared" si="75"/>
        <v>0</v>
      </c>
      <c r="AA59" s="4">
        <f t="shared" si="75"/>
        <v>0</v>
      </c>
      <c r="AB59" s="4">
        <f t="shared" si="36"/>
        <v>0</v>
      </c>
      <c r="AC59" s="429">
        <f t="shared" si="56"/>
        <v>0</v>
      </c>
      <c r="AD59" s="4">
        <f t="shared" ref="AD59:AN59" si="76">AE23</f>
        <v>0</v>
      </c>
      <c r="AE59" s="4">
        <f t="shared" si="76"/>
        <v>0</v>
      </c>
      <c r="AF59" s="4">
        <f t="shared" si="76"/>
        <v>0</v>
      </c>
      <c r="AG59" s="4">
        <f t="shared" si="76"/>
        <v>0</v>
      </c>
      <c r="AH59" s="4">
        <f t="shared" si="76"/>
        <v>0</v>
      </c>
      <c r="AI59" s="4">
        <f t="shared" si="76"/>
        <v>0</v>
      </c>
      <c r="AJ59" s="4">
        <f t="shared" si="76"/>
        <v>0</v>
      </c>
      <c r="AK59" s="4">
        <f t="shared" si="76"/>
        <v>0</v>
      </c>
      <c r="AL59" s="4">
        <f t="shared" si="76"/>
        <v>0</v>
      </c>
      <c r="AM59" s="4">
        <f t="shared" si="76"/>
        <v>0</v>
      </c>
      <c r="AN59" s="4">
        <f t="shared" si="76"/>
        <v>0</v>
      </c>
      <c r="AO59" s="4">
        <f t="shared" si="38"/>
        <v>0</v>
      </c>
      <c r="AP59" s="429">
        <f t="shared" si="58"/>
        <v>0</v>
      </c>
      <c r="AQ59" s="4">
        <f t="shared" ref="AQ59:BA59" si="77">AR23</f>
        <v>0</v>
      </c>
      <c r="AR59" s="4">
        <f t="shared" si="77"/>
        <v>0</v>
      </c>
      <c r="AS59" s="4">
        <f t="shared" si="77"/>
        <v>0</v>
      </c>
      <c r="AT59" s="4">
        <f t="shared" si="77"/>
        <v>0</v>
      </c>
      <c r="AU59" s="4">
        <f t="shared" si="77"/>
        <v>0</v>
      </c>
      <c r="AV59" s="4">
        <f t="shared" si="77"/>
        <v>0</v>
      </c>
      <c r="AW59" s="4">
        <f t="shared" si="77"/>
        <v>0</v>
      </c>
      <c r="AX59" s="4">
        <f t="shared" si="77"/>
        <v>0</v>
      </c>
      <c r="AY59" s="4">
        <f t="shared" si="77"/>
        <v>0</v>
      </c>
      <c r="AZ59" s="4">
        <f t="shared" si="77"/>
        <v>0</v>
      </c>
      <c r="BA59" s="4">
        <f t="shared" si="77"/>
        <v>0</v>
      </c>
      <c r="BB59" s="4">
        <f t="shared" si="40"/>
        <v>0</v>
      </c>
      <c r="BC59" s="429">
        <f t="shared" si="60"/>
        <v>0</v>
      </c>
      <c r="BD59" s="4">
        <f t="shared" ref="BD59:BN59" si="78">BE23</f>
        <v>0</v>
      </c>
      <c r="BE59" s="4">
        <f t="shared" si="78"/>
        <v>0</v>
      </c>
      <c r="BF59" s="4">
        <f t="shared" si="78"/>
        <v>0</v>
      </c>
      <c r="BG59" s="4">
        <f t="shared" si="78"/>
        <v>0</v>
      </c>
      <c r="BH59" s="4">
        <f t="shared" si="78"/>
        <v>0</v>
      </c>
      <c r="BI59" s="4">
        <f t="shared" si="78"/>
        <v>0</v>
      </c>
      <c r="BJ59" s="4">
        <f t="shared" si="78"/>
        <v>0</v>
      </c>
      <c r="BK59" s="4">
        <f t="shared" si="78"/>
        <v>0</v>
      </c>
      <c r="BL59" s="4">
        <f t="shared" si="78"/>
        <v>0</v>
      </c>
      <c r="BM59" s="4">
        <f t="shared" si="78"/>
        <v>0</v>
      </c>
      <c r="BN59" s="4">
        <f t="shared" si="78"/>
        <v>0</v>
      </c>
      <c r="BO59" s="4">
        <f t="shared" si="42"/>
        <v>0</v>
      </c>
      <c r="BP59" s="429">
        <f t="shared" si="62"/>
        <v>0</v>
      </c>
      <c r="BQ59" s="4">
        <f t="shared" ref="BQ59:CA59" si="79">BR23</f>
        <v>0</v>
      </c>
      <c r="BR59" s="4">
        <f t="shared" si="79"/>
        <v>0</v>
      </c>
      <c r="BS59" s="4">
        <f t="shared" si="79"/>
        <v>0</v>
      </c>
      <c r="BT59" s="4">
        <f t="shared" si="79"/>
        <v>0</v>
      </c>
      <c r="BU59" s="4">
        <f t="shared" si="79"/>
        <v>0</v>
      </c>
      <c r="BV59" s="4">
        <f t="shared" si="79"/>
        <v>0</v>
      </c>
      <c r="BW59" s="4">
        <f t="shared" si="79"/>
        <v>0</v>
      </c>
      <c r="BX59" s="4">
        <f t="shared" si="79"/>
        <v>0</v>
      </c>
      <c r="BY59" s="4">
        <f t="shared" si="79"/>
        <v>0</v>
      </c>
      <c r="BZ59" s="4">
        <f t="shared" si="79"/>
        <v>0</v>
      </c>
      <c r="CA59" s="4">
        <f t="shared" si="79"/>
        <v>0</v>
      </c>
      <c r="CB59" s="4">
        <f t="shared" si="44"/>
        <v>0</v>
      </c>
      <c r="CC59" s="429">
        <f t="shared" si="64"/>
        <v>0</v>
      </c>
      <c r="CD59" s="4">
        <f t="shared" ref="CD59:CN59" si="80">CE23</f>
        <v>0</v>
      </c>
      <c r="CE59" s="4">
        <f t="shared" si="80"/>
        <v>0</v>
      </c>
      <c r="CF59" s="4">
        <f t="shared" si="80"/>
        <v>0</v>
      </c>
      <c r="CG59" s="4">
        <f t="shared" si="80"/>
        <v>0</v>
      </c>
      <c r="CH59" s="4">
        <f t="shared" si="80"/>
        <v>0</v>
      </c>
      <c r="CI59" s="4">
        <f t="shared" si="80"/>
        <v>0</v>
      </c>
      <c r="CJ59" s="4">
        <f t="shared" si="80"/>
        <v>0</v>
      </c>
      <c r="CK59" s="4">
        <f t="shared" si="80"/>
        <v>0</v>
      </c>
      <c r="CL59" s="4">
        <f t="shared" si="80"/>
        <v>0</v>
      </c>
      <c r="CM59" s="4">
        <f t="shared" si="80"/>
        <v>0</v>
      </c>
      <c r="CN59" s="4">
        <f t="shared" si="80"/>
        <v>0</v>
      </c>
      <c r="CO59" s="4">
        <f t="shared" si="46"/>
        <v>0</v>
      </c>
      <c r="CP59" s="429">
        <f t="shared" si="66"/>
        <v>0</v>
      </c>
    </row>
    <row r="60" spans="1:94" hidden="1">
      <c r="A60" s="4">
        <f>'Summary. Assumptions. Inputs'!A51</f>
        <v>0</v>
      </c>
      <c r="B60" s="4">
        <f>'Summary. Assumptions. Inputs'!B51</f>
        <v>0</v>
      </c>
      <c r="C60" s="4">
        <f t="shared" ref="C60:N60" si="81">D24</f>
        <v>0</v>
      </c>
      <c r="D60">
        <f t="shared" si="81"/>
        <v>0</v>
      </c>
      <c r="E60">
        <f t="shared" si="81"/>
        <v>0</v>
      </c>
      <c r="F60">
        <f t="shared" si="81"/>
        <v>0</v>
      </c>
      <c r="G60">
        <f t="shared" si="81"/>
        <v>0</v>
      </c>
      <c r="H60">
        <f t="shared" si="81"/>
        <v>0</v>
      </c>
      <c r="I60">
        <f t="shared" si="81"/>
        <v>0</v>
      </c>
      <c r="J60">
        <f t="shared" si="81"/>
        <v>0</v>
      </c>
      <c r="K60">
        <f t="shared" si="81"/>
        <v>0</v>
      </c>
      <c r="L60">
        <f t="shared" si="81"/>
        <v>0</v>
      </c>
      <c r="M60">
        <f t="shared" si="81"/>
        <v>0</v>
      </c>
      <c r="N60">
        <f t="shared" si="81"/>
        <v>0</v>
      </c>
      <c r="O60">
        <f t="shared" si="33"/>
        <v>0</v>
      </c>
      <c r="P60" s="429">
        <f t="shared" si="34"/>
        <v>0</v>
      </c>
      <c r="Q60" s="4">
        <f t="shared" ref="Q60:AA60" si="82">R24</f>
        <v>0</v>
      </c>
      <c r="R60" s="4">
        <f t="shared" si="82"/>
        <v>0</v>
      </c>
      <c r="S60" s="4">
        <f t="shared" si="82"/>
        <v>0</v>
      </c>
      <c r="T60" s="4">
        <f t="shared" si="82"/>
        <v>0</v>
      </c>
      <c r="U60" s="4">
        <f t="shared" si="82"/>
        <v>0</v>
      </c>
      <c r="V60" s="4">
        <f t="shared" si="82"/>
        <v>0</v>
      </c>
      <c r="W60" s="4">
        <f t="shared" si="82"/>
        <v>0</v>
      </c>
      <c r="X60" s="4">
        <f t="shared" si="82"/>
        <v>0</v>
      </c>
      <c r="Y60" s="4">
        <f t="shared" si="82"/>
        <v>0</v>
      </c>
      <c r="Z60" s="4">
        <f t="shared" si="82"/>
        <v>0</v>
      </c>
      <c r="AA60" s="4">
        <f t="shared" si="82"/>
        <v>0</v>
      </c>
      <c r="AB60" s="4">
        <f t="shared" si="36"/>
        <v>0</v>
      </c>
      <c r="AC60" s="429">
        <f t="shared" si="56"/>
        <v>0</v>
      </c>
      <c r="AD60" s="4">
        <f t="shared" ref="AD60:AN60" si="83">AE24</f>
        <v>0</v>
      </c>
      <c r="AE60" s="4">
        <f t="shared" si="83"/>
        <v>0</v>
      </c>
      <c r="AF60" s="4">
        <f t="shared" si="83"/>
        <v>0</v>
      </c>
      <c r="AG60" s="4">
        <f t="shared" si="83"/>
        <v>0</v>
      </c>
      <c r="AH60" s="4">
        <f t="shared" si="83"/>
        <v>0</v>
      </c>
      <c r="AI60" s="4">
        <f t="shared" si="83"/>
        <v>0</v>
      </c>
      <c r="AJ60" s="4">
        <f t="shared" si="83"/>
        <v>0</v>
      </c>
      <c r="AK60" s="4">
        <f t="shared" si="83"/>
        <v>0</v>
      </c>
      <c r="AL60" s="4">
        <f t="shared" si="83"/>
        <v>0</v>
      </c>
      <c r="AM60" s="4">
        <f t="shared" si="83"/>
        <v>0</v>
      </c>
      <c r="AN60" s="4">
        <f t="shared" si="83"/>
        <v>0</v>
      </c>
      <c r="AO60" s="4">
        <f t="shared" si="38"/>
        <v>0</v>
      </c>
      <c r="AP60" s="429">
        <f t="shared" si="58"/>
        <v>0</v>
      </c>
      <c r="AQ60" s="4">
        <f t="shared" ref="AQ60:BA60" si="84">AR24</f>
        <v>0</v>
      </c>
      <c r="AR60" s="4">
        <f t="shared" si="84"/>
        <v>0</v>
      </c>
      <c r="AS60" s="4">
        <f t="shared" si="84"/>
        <v>0</v>
      </c>
      <c r="AT60" s="4">
        <f t="shared" si="84"/>
        <v>0</v>
      </c>
      <c r="AU60" s="4">
        <f t="shared" si="84"/>
        <v>0</v>
      </c>
      <c r="AV60" s="4">
        <f t="shared" si="84"/>
        <v>0</v>
      </c>
      <c r="AW60" s="4">
        <f t="shared" si="84"/>
        <v>0</v>
      </c>
      <c r="AX60" s="4">
        <f t="shared" si="84"/>
        <v>0</v>
      </c>
      <c r="AY60" s="4">
        <f t="shared" si="84"/>
        <v>0</v>
      </c>
      <c r="AZ60" s="4">
        <f t="shared" si="84"/>
        <v>0</v>
      </c>
      <c r="BA60" s="4">
        <f t="shared" si="84"/>
        <v>0</v>
      </c>
      <c r="BB60" s="4">
        <f t="shared" si="40"/>
        <v>0</v>
      </c>
      <c r="BC60" s="429">
        <f t="shared" si="60"/>
        <v>0</v>
      </c>
      <c r="BD60" s="4">
        <f t="shared" ref="BD60:BN60" si="85">BE24</f>
        <v>0</v>
      </c>
      <c r="BE60" s="4">
        <f t="shared" si="85"/>
        <v>0</v>
      </c>
      <c r="BF60" s="4">
        <f t="shared" si="85"/>
        <v>0</v>
      </c>
      <c r="BG60" s="4">
        <f t="shared" si="85"/>
        <v>0</v>
      </c>
      <c r="BH60" s="4">
        <f t="shared" si="85"/>
        <v>0</v>
      </c>
      <c r="BI60" s="4">
        <f t="shared" si="85"/>
        <v>0</v>
      </c>
      <c r="BJ60" s="4">
        <f t="shared" si="85"/>
        <v>0</v>
      </c>
      <c r="BK60" s="4">
        <f t="shared" si="85"/>
        <v>0</v>
      </c>
      <c r="BL60" s="4">
        <f t="shared" si="85"/>
        <v>0</v>
      </c>
      <c r="BM60" s="4">
        <f t="shared" si="85"/>
        <v>0</v>
      </c>
      <c r="BN60" s="4">
        <f t="shared" si="85"/>
        <v>0</v>
      </c>
      <c r="BO60" s="4">
        <f t="shared" si="42"/>
        <v>0</v>
      </c>
      <c r="BP60" s="429">
        <f t="shared" si="62"/>
        <v>0</v>
      </c>
      <c r="BQ60" s="4">
        <f t="shared" ref="BQ60:CA60" si="86">BR24</f>
        <v>0</v>
      </c>
      <c r="BR60" s="4">
        <f t="shared" si="86"/>
        <v>0</v>
      </c>
      <c r="BS60" s="4">
        <f t="shared" si="86"/>
        <v>0</v>
      </c>
      <c r="BT60" s="4">
        <f t="shared" si="86"/>
        <v>0</v>
      </c>
      <c r="BU60" s="4">
        <f t="shared" si="86"/>
        <v>0</v>
      </c>
      <c r="BV60" s="4">
        <f t="shared" si="86"/>
        <v>0</v>
      </c>
      <c r="BW60" s="4">
        <f t="shared" si="86"/>
        <v>0</v>
      </c>
      <c r="BX60" s="4">
        <f t="shared" si="86"/>
        <v>0</v>
      </c>
      <c r="BY60" s="4">
        <f t="shared" si="86"/>
        <v>0</v>
      </c>
      <c r="BZ60" s="4">
        <f t="shared" si="86"/>
        <v>0</v>
      </c>
      <c r="CA60" s="4">
        <f t="shared" si="86"/>
        <v>0</v>
      </c>
      <c r="CB60" s="4">
        <f t="shared" si="44"/>
        <v>0</v>
      </c>
      <c r="CC60" s="429">
        <f t="shared" si="64"/>
        <v>0</v>
      </c>
      <c r="CD60" s="4">
        <f t="shared" ref="CD60:CN60" si="87">CE24</f>
        <v>0</v>
      </c>
      <c r="CE60" s="4">
        <f t="shared" si="87"/>
        <v>0</v>
      </c>
      <c r="CF60" s="4">
        <f t="shared" si="87"/>
        <v>0</v>
      </c>
      <c r="CG60" s="4">
        <f t="shared" si="87"/>
        <v>0</v>
      </c>
      <c r="CH60" s="4">
        <f t="shared" si="87"/>
        <v>0</v>
      </c>
      <c r="CI60" s="4">
        <f t="shared" si="87"/>
        <v>0</v>
      </c>
      <c r="CJ60" s="4">
        <f t="shared" si="87"/>
        <v>0</v>
      </c>
      <c r="CK60" s="4">
        <f t="shared" si="87"/>
        <v>0</v>
      </c>
      <c r="CL60" s="4">
        <f t="shared" si="87"/>
        <v>0</v>
      </c>
      <c r="CM60" s="4">
        <f t="shared" si="87"/>
        <v>0</v>
      </c>
      <c r="CN60" s="4">
        <f t="shared" si="87"/>
        <v>0</v>
      </c>
      <c r="CO60" s="4">
        <f t="shared" si="46"/>
        <v>0</v>
      </c>
      <c r="CP60" s="429">
        <f t="shared" si="66"/>
        <v>0</v>
      </c>
    </row>
    <row r="61" spans="1:94" hidden="1">
      <c r="A61" s="4">
        <f>'Summary. Assumptions. Inputs'!A52</f>
        <v>0</v>
      </c>
      <c r="B61" s="4">
        <f>'Summary. Assumptions. Inputs'!B52</f>
        <v>0</v>
      </c>
      <c r="C61" s="4">
        <f t="shared" ref="C61:N61" si="88">D25</f>
        <v>0</v>
      </c>
      <c r="D61">
        <f t="shared" si="88"/>
        <v>0</v>
      </c>
      <c r="E61">
        <f t="shared" si="88"/>
        <v>0</v>
      </c>
      <c r="F61">
        <f t="shared" si="88"/>
        <v>0</v>
      </c>
      <c r="G61">
        <f t="shared" si="88"/>
        <v>0</v>
      </c>
      <c r="H61">
        <f t="shared" si="88"/>
        <v>0</v>
      </c>
      <c r="I61">
        <f t="shared" si="88"/>
        <v>0</v>
      </c>
      <c r="J61">
        <f t="shared" si="88"/>
        <v>0</v>
      </c>
      <c r="K61">
        <f t="shared" si="88"/>
        <v>0</v>
      </c>
      <c r="L61">
        <f t="shared" si="88"/>
        <v>0</v>
      </c>
      <c r="M61">
        <f t="shared" si="88"/>
        <v>0</v>
      </c>
      <c r="N61">
        <f t="shared" si="88"/>
        <v>0</v>
      </c>
      <c r="O61">
        <f t="shared" si="33"/>
        <v>0</v>
      </c>
      <c r="P61" s="429">
        <f t="shared" si="34"/>
        <v>0</v>
      </c>
      <c r="Q61" s="4">
        <f t="shared" ref="Q61:AA61" si="89">R25</f>
        <v>0</v>
      </c>
      <c r="R61" s="4">
        <f t="shared" si="89"/>
        <v>0</v>
      </c>
      <c r="S61" s="4">
        <f t="shared" si="89"/>
        <v>0</v>
      </c>
      <c r="T61" s="4">
        <f t="shared" si="89"/>
        <v>0</v>
      </c>
      <c r="U61" s="4">
        <f t="shared" si="89"/>
        <v>0</v>
      </c>
      <c r="V61" s="4">
        <f t="shared" si="89"/>
        <v>0</v>
      </c>
      <c r="W61" s="4">
        <f t="shared" si="89"/>
        <v>0</v>
      </c>
      <c r="X61" s="4">
        <f t="shared" si="89"/>
        <v>0</v>
      </c>
      <c r="Y61" s="4">
        <f t="shared" si="89"/>
        <v>0</v>
      </c>
      <c r="Z61" s="4">
        <f t="shared" si="89"/>
        <v>0</v>
      </c>
      <c r="AA61" s="4">
        <f t="shared" si="89"/>
        <v>0</v>
      </c>
      <c r="AB61" s="4">
        <f t="shared" si="36"/>
        <v>0</v>
      </c>
      <c r="AC61" s="429">
        <f t="shared" si="56"/>
        <v>0</v>
      </c>
      <c r="AD61" s="4">
        <f t="shared" ref="AD61:AN61" si="90">AE25</f>
        <v>0</v>
      </c>
      <c r="AE61" s="4">
        <f t="shared" si="90"/>
        <v>0</v>
      </c>
      <c r="AF61" s="4">
        <f t="shared" si="90"/>
        <v>0</v>
      </c>
      <c r="AG61" s="4">
        <f t="shared" si="90"/>
        <v>0</v>
      </c>
      <c r="AH61" s="4">
        <f t="shared" si="90"/>
        <v>0</v>
      </c>
      <c r="AI61" s="4">
        <f t="shared" si="90"/>
        <v>0</v>
      </c>
      <c r="AJ61" s="4">
        <f t="shared" si="90"/>
        <v>0</v>
      </c>
      <c r="AK61" s="4">
        <f t="shared" si="90"/>
        <v>0</v>
      </c>
      <c r="AL61" s="4">
        <f t="shared" si="90"/>
        <v>0</v>
      </c>
      <c r="AM61" s="4">
        <f t="shared" si="90"/>
        <v>0</v>
      </c>
      <c r="AN61" s="4">
        <f t="shared" si="90"/>
        <v>0</v>
      </c>
      <c r="AO61" s="4">
        <f t="shared" si="38"/>
        <v>0</v>
      </c>
      <c r="AP61" s="429">
        <f t="shared" si="58"/>
        <v>0</v>
      </c>
      <c r="AQ61" s="4">
        <f t="shared" ref="AQ61:BA61" si="91">AR25</f>
        <v>0</v>
      </c>
      <c r="AR61" s="4">
        <f t="shared" si="91"/>
        <v>0</v>
      </c>
      <c r="AS61" s="4">
        <f t="shared" si="91"/>
        <v>0</v>
      </c>
      <c r="AT61" s="4">
        <f t="shared" si="91"/>
        <v>0</v>
      </c>
      <c r="AU61" s="4">
        <f t="shared" si="91"/>
        <v>0</v>
      </c>
      <c r="AV61" s="4">
        <f t="shared" si="91"/>
        <v>0</v>
      </c>
      <c r="AW61" s="4">
        <f t="shared" si="91"/>
        <v>0</v>
      </c>
      <c r="AX61" s="4">
        <f t="shared" si="91"/>
        <v>0</v>
      </c>
      <c r="AY61" s="4">
        <f t="shared" si="91"/>
        <v>0</v>
      </c>
      <c r="AZ61" s="4">
        <f t="shared" si="91"/>
        <v>0</v>
      </c>
      <c r="BA61" s="4">
        <f t="shared" si="91"/>
        <v>0</v>
      </c>
      <c r="BB61" s="4">
        <f t="shared" si="40"/>
        <v>0</v>
      </c>
      <c r="BC61" s="429">
        <f t="shared" si="60"/>
        <v>0</v>
      </c>
      <c r="BD61" s="4">
        <f t="shared" ref="BD61:BN61" si="92">BE25</f>
        <v>0</v>
      </c>
      <c r="BE61" s="4">
        <f t="shared" si="92"/>
        <v>0</v>
      </c>
      <c r="BF61" s="4">
        <f t="shared" si="92"/>
        <v>0</v>
      </c>
      <c r="BG61" s="4">
        <f t="shared" si="92"/>
        <v>0</v>
      </c>
      <c r="BH61" s="4">
        <f t="shared" si="92"/>
        <v>0</v>
      </c>
      <c r="BI61" s="4">
        <f t="shared" si="92"/>
        <v>0</v>
      </c>
      <c r="BJ61" s="4">
        <f t="shared" si="92"/>
        <v>0</v>
      </c>
      <c r="BK61" s="4">
        <f t="shared" si="92"/>
        <v>0</v>
      </c>
      <c r="BL61" s="4">
        <f t="shared" si="92"/>
        <v>0</v>
      </c>
      <c r="BM61" s="4">
        <f t="shared" si="92"/>
        <v>0</v>
      </c>
      <c r="BN61" s="4">
        <f t="shared" si="92"/>
        <v>0</v>
      </c>
      <c r="BO61" s="4">
        <f t="shared" si="42"/>
        <v>0</v>
      </c>
      <c r="BP61" s="429">
        <f t="shared" si="62"/>
        <v>0</v>
      </c>
      <c r="BQ61" s="4">
        <f t="shared" ref="BQ61:CA61" si="93">BR25</f>
        <v>0</v>
      </c>
      <c r="BR61" s="4">
        <f t="shared" si="93"/>
        <v>0</v>
      </c>
      <c r="BS61" s="4">
        <f t="shared" si="93"/>
        <v>0</v>
      </c>
      <c r="BT61" s="4">
        <f t="shared" si="93"/>
        <v>0</v>
      </c>
      <c r="BU61" s="4">
        <f t="shared" si="93"/>
        <v>0</v>
      </c>
      <c r="BV61" s="4">
        <f t="shared" si="93"/>
        <v>0</v>
      </c>
      <c r="BW61" s="4">
        <f t="shared" si="93"/>
        <v>0</v>
      </c>
      <c r="BX61" s="4">
        <f t="shared" si="93"/>
        <v>0</v>
      </c>
      <c r="BY61" s="4">
        <f t="shared" si="93"/>
        <v>0</v>
      </c>
      <c r="BZ61" s="4">
        <f t="shared" si="93"/>
        <v>0</v>
      </c>
      <c r="CA61" s="4">
        <f t="shared" si="93"/>
        <v>0</v>
      </c>
      <c r="CB61" s="4">
        <f t="shared" si="44"/>
        <v>0</v>
      </c>
      <c r="CC61" s="429">
        <f t="shared" si="64"/>
        <v>0</v>
      </c>
      <c r="CD61" s="4">
        <f t="shared" ref="CD61:CN61" si="94">CE25</f>
        <v>0</v>
      </c>
      <c r="CE61" s="4">
        <f t="shared" si="94"/>
        <v>0</v>
      </c>
      <c r="CF61" s="4">
        <f t="shared" si="94"/>
        <v>0</v>
      </c>
      <c r="CG61" s="4">
        <f t="shared" si="94"/>
        <v>0</v>
      </c>
      <c r="CH61" s="4">
        <f t="shared" si="94"/>
        <v>0</v>
      </c>
      <c r="CI61" s="4">
        <f t="shared" si="94"/>
        <v>0</v>
      </c>
      <c r="CJ61" s="4">
        <f t="shared" si="94"/>
        <v>0</v>
      </c>
      <c r="CK61" s="4">
        <f t="shared" si="94"/>
        <v>0</v>
      </c>
      <c r="CL61" s="4">
        <f t="shared" si="94"/>
        <v>0</v>
      </c>
      <c r="CM61" s="4">
        <f t="shared" si="94"/>
        <v>0</v>
      </c>
      <c r="CN61" s="4">
        <f t="shared" si="94"/>
        <v>0</v>
      </c>
      <c r="CO61" s="4">
        <f t="shared" si="46"/>
        <v>0</v>
      </c>
      <c r="CP61" s="429">
        <f t="shared" si="66"/>
        <v>0</v>
      </c>
    </row>
    <row r="62" spans="1:94" hidden="1">
      <c r="A62" s="4">
        <f>'Summary. Assumptions. Inputs'!A53</f>
        <v>0</v>
      </c>
      <c r="B62" s="4">
        <f>'Summary. Assumptions. Inputs'!B53</f>
        <v>0</v>
      </c>
      <c r="C62" s="4">
        <f t="shared" ref="C62:N62" si="95">D26</f>
        <v>0</v>
      </c>
      <c r="D62">
        <f t="shared" si="95"/>
        <v>0</v>
      </c>
      <c r="E62">
        <f t="shared" si="95"/>
        <v>0</v>
      </c>
      <c r="F62">
        <f t="shared" si="95"/>
        <v>0</v>
      </c>
      <c r="G62">
        <f t="shared" si="95"/>
        <v>0</v>
      </c>
      <c r="H62">
        <f t="shared" si="95"/>
        <v>0</v>
      </c>
      <c r="I62">
        <f t="shared" si="95"/>
        <v>0</v>
      </c>
      <c r="J62">
        <f t="shared" si="95"/>
        <v>0</v>
      </c>
      <c r="K62">
        <f t="shared" si="95"/>
        <v>0</v>
      </c>
      <c r="L62">
        <f t="shared" si="95"/>
        <v>0</v>
      </c>
      <c r="M62">
        <f t="shared" si="95"/>
        <v>0</v>
      </c>
      <c r="N62">
        <f t="shared" si="95"/>
        <v>0</v>
      </c>
      <c r="O62">
        <f t="shared" si="33"/>
        <v>0</v>
      </c>
      <c r="P62" s="429">
        <f t="shared" si="34"/>
        <v>0</v>
      </c>
      <c r="Q62" s="4">
        <f t="shared" ref="Q62:AA62" si="96">R26</f>
        <v>0</v>
      </c>
      <c r="R62" s="4">
        <f t="shared" si="96"/>
        <v>0</v>
      </c>
      <c r="S62" s="4">
        <f t="shared" si="96"/>
        <v>0</v>
      </c>
      <c r="T62" s="4">
        <f t="shared" si="96"/>
        <v>0</v>
      </c>
      <c r="U62" s="4">
        <f t="shared" si="96"/>
        <v>0</v>
      </c>
      <c r="V62" s="4">
        <f t="shared" si="96"/>
        <v>0</v>
      </c>
      <c r="W62" s="4">
        <f t="shared" si="96"/>
        <v>0</v>
      </c>
      <c r="X62" s="4">
        <f t="shared" si="96"/>
        <v>0</v>
      </c>
      <c r="Y62" s="4">
        <f t="shared" si="96"/>
        <v>0</v>
      </c>
      <c r="Z62" s="4">
        <f t="shared" si="96"/>
        <v>0</v>
      </c>
      <c r="AA62" s="4">
        <f t="shared" si="96"/>
        <v>0</v>
      </c>
      <c r="AB62" s="4">
        <f t="shared" si="36"/>
        <v>0</v>
      </c>
      <c r="AC62" s="429">
        <f t="shared" si="56"/>
        <v>0</v>
      </c>
      <c r="AD62" s="4">
        <f t="shared" ref="AD62:AN62" si="97">AE26</f>
        <v>0</v>
      </c>
      <c r="AE62" s="4">
        <f t="shared" si="97"/>
        <v>0</v>
      </c>
      <c r="AF62" s="4">
        <f t="shared" si="97"/>
        <v>0</v>
      </c>
      <c r="AG62" s="4">
        <f t="shared" si="97"/>
        <v>0</v>
      </c>
      <c r="AH62" s="4">
        <f t="shared" si="97"/>
        <v>0</v>
      </c>
      <c r="AI62" s="4">
        <f t="shared" si="97"/>
        <v>0</v>
      </c>
      <c r="AJ62" s="4">
        <f t="shared" si="97"/>
        <v>0</v>
      </c>
      <c r="AK62" s="4">
        <f t="shared" si="97"/>
        <v>0</v>
      </c>
      <c r="AL62" s="4">
        <f t="shared" si="97"/>
        <v>0</v>
      </c>
      <c r="AM62" s="4">
        <f t="shared" si="97"/>
        <v>0</v>
      </c>
      <c r="AN62" s="4">
        <f t="shared" si="97"/>
        <v>0</v>
      </c>
      <c r="AO62" s="4">
        <f t="shared" si="38"/>
        <v>0</v>
      </c>
      <c r="AP62" s="429">
        <f t="shared" si="58"/>
        <v>0</v>
      </c>
      <c r="AQ62" s="4">
        <f t="shared" ref="AQ62:BA62" si="98">AR26</f>
        <v>0</v>
      </c>
      <c r="AR62" s="4">
        <f t="shared" si="98"/>
        <v>0</v>
      </c>
      <c r="AS62" s="4">
        <f t="shared" si="98"/>
        <v>0</v>
      </c>
      <c r="AT62" s="4">
        <f t="shared" si="98"/>
        <v>0</v>
      </c>
      <c r="AU62" s="4">
        <f t="shared" si="98"/>
        <v>0</v>
      </c>
      <c r="AV62" s="4">
        <f t="shared" si="98"/>
        <v>0</v>
      </c>
      <c r="AW62" s="4">
        <f t="shared" si="98"/>
        <v>0</v>
      </c>
      <c r="AX62" s="4">
        <f t="shared" si="98"/>
        <v>0</v>
      </c>
      <c r="AY62" s="4">
        <f t="shared" si="98"/>
        <v>0</v>
      </c>
      <c r="AZ62" s="4">
        <f t="shared" si="98"/>
        <v>0</v>
      </c>
      <c r="BA62" s="4">
        <f t="shared" si="98"/>
        <v>0</v>
      </c>
      <c r="BB62" s="4">
        <f t="shared" si="40"/>
        <v>0</v>
      </c>
      <c r="BC62" s="429">
        <f t="shared" si="60"/>
        <v>0</v>
      </c>
      <c r="BD62" s="4">
        <f t="shared" ref="BD62:BN62" si="99">BE26</f>
        <v>0</v>
      </c>
      <c r="BE62" s="4">
        <f t="shared" si="99"/>
        <v>0</v>
      </c>
      <c r="BF62" s="4">
        <f t="shared" si="99"/>
        <v>0</v>
      </c>
      <c r="BG62" s="4">
        <f t="shared" si="99"/>
        <v>0</v>
      </c>
      <c r="BH62" s="4">
        <f t="shared" si="99"/>
        <v>0</v>
      </c>
      <c r="BI62" s="4">
        <f t="shared" si="99"/>
        <v>0</v>
      </c>
      <c r="BJ62" s="4">
        <f t="shared" si="99"/>
        <v>0</v>
      </c>
      <c r="BK62" s="4">
        <f t="shared" si="99"/>
        <v>0</v>
      </c>
      <c r="BL62" s="4">
        <f t="shared" si="99"/>
        <v>0</v>
      </c>
      <c r="BM62" s="4">
        <f t="shared" si="99"/>
        <v>0</v>
      </c>
      <c r="BN62" s="4">
        <f t="shared" si="99"/>
        <v>0</v>
      </c>
      <c r="BO62" s="4">
        <f t="shared" si="42"/>
        <v>0</v>
      </c>
      <c r="BP62" s="429">
        <f t="shared" si="62"/>
        <v>0</v>
      </c>
      <c r="BQ62" s="4">
        <f t="shared" ref="BQ62:CA62" si="100">BR26</f>
        <v>0</v>
      </c>
      <c r="BR62" s="4">
        <f t="shared" si="100"/>
        <v>0</v>
      </c>
      <c r="BS62" s="4">
        <f t="shared" si="100"/>
        <v>0</v>
      </c>
      <c r="BT62" s="4">
        <f t="shared" si="100"/>
        <v>0</v>
      </c>
      <c r="BU62" s="4">
        <f t="shared" si="100"/>
        <v>0</v>
      </c>
      <c r="BV62" s="4">
        <f t="shared" si="100"/>
        <v>0</v>
      </c>
      <c r="BW62" s="4">
        <f t="shared" si="100"/>
        <v>0</v>
      </c>
      <c r="BX62" s="4">
        <f t="shared" si="100"/>
        <v>0</v>
      </c>
      <c r="BY62" s="4">
        <f t="shared" si="100"/>
        <v>0</v>
      </c>
      <c r="BZ62" s="4">
        <f t="shared" si="100"/>
        <v>0</v>
      </c>
      <c r="CA62" s="4">
        <f t="shared" si="100"/>
        <v>0</v>
      </c>
      <c r="CB62" s="4">
        <f t="shared" si="44"/>
        <v>0</v>
      </c>
      <c r="CC62" s="429">
        <f t="shared" si="64"/>
        <v>0</v>
      </c>
      <c r="CD62" s="4">
        <f t="shared" ref="CD62:CN62" si="101">CE26</f>
        <v>0</v>
      </c>
      <c r="CE62" s="4">
        <f t="shared" si="101"/>
        <v>0</v>
      </c>
      <c r="CF62" s="4">
        <f t="shared" si="101"/>
        <v>0</v>
      </c>
      <c r="CG62" s="4">
        <f t="shared" si="101"/>
        <v>0</v>
      </c>
      <c r="CH62" s="4">
        <f t="shared" si="101"/>
        <v>0</v>
      </c>
      <c r="CI62" s="4">
        <f t="shared" si="101"/>
        <v>0</v>
      </c>
      <c r="CJ62" s="4">
        <f t="shared" si="101"/>
        <v>0</v>
      </c>
      <c r="CK62" s="4">
        <f t="shared" si="101"/>
        <v>0</v>
      </c>
      <c r="CL62" s="4">
        <f t="shared" si="101"/>
        <v>0</v>
      </c>
      <c r="CM62" s="4">
        <f t="shared" si="101"/>
        <v>0</v>
      </c>
      <c r="CN62" s="4">
        <f t="shared" si="101"/>
        <v>0</v>
      </c>
      <c r="CO62" s="4">
        <f t="shared" si="46"/>
        <v>0</v>
      </c>
      <c r="CP62" s="429">
        <f t="shared" si="66"/>
        <v>0</v>
      </c>
    </row>
    <row r="63" spans="1:94" hidden="1">
      <c r="A63" s="4">
        <f>'Summary. Assumptions. Inputs'!A54</f>
        <v>0</v>
      </c>
      <c r="B63" s="4">
        <f>'Summary. Assumptions. Inputs'!B54</f>
        <v>0</v>
      </c>
      <c r="C63" s="4">
        <f t="shared" ref="C63:N63" si="102">D27</f>
        <v>0</v>
      </c>
      <c r="D63">
        <f t="shared" si="102"/>
        <v>0</v>
      </c>
      <c r="E63">
        <f t="shared" si="102"/>
        <v>0</v>
      </c>
      <c r="F63">
        <f t="shared" si="102"/>
        <v>0</v>
      </c>
      <c r="G63">
        <f t="shared" si="102"/>
        <v>0</v>
      </c>
      <c r="H63">
        <f t="shared" si="102"/>
        <v>0</v>
      </c>
      <c r="I63">
        <f t="shared" si="102"/>
        <v>0</v>
      </c>
      <c r="J63">
        <f t="shared" si="102"/>
        <v>0</v>
      </c>
      <c r="K63">
        <f t="shared" si="102"/>
        <v>0</v>
      </c>
      <c r="L63">
        <f t="shared" si="102"/>
        <v>0</v>
      </c>
      <c r="M63">
        <f t="shared" si="102"/>
        <v>0</v>
      </c>
      <c r="N63">
        <f t="shared" si="102"/>
        <v>0</v>
      </c>
      <c r="O63">
        <f t="shared" si="33"/>
        <v>0</v>
      </c>
      <c r="P63" s="429">
        <f t="shared" si="34"/>
        <v>0</v>
      </c>
      <c r="Q63" s="4">
        <f t="shared" ref="Q63:AA63" si="103">R27</f>
        <v>0</v>
      </c>
      <c r="R63" s="4">
        <f t="shared" si="103"/>
        <v>0</v>
      </c>
      <c r="S63" s="4">
        <f t="shared" si="103"/>
        <v>0</v>
      </c>
      <c r="T63" s="4">
        <f t="shared" si="103"/>
        <v>0</v>
      </c>
      <c r="U63" s="4">
        <f t="shared" si="103"/>
        <v>0</v>
      </c>
      <c r="V63" s="4">
        <f t="shared" si="103"/>
        <v>0</v>
      </c>
      <c r="W63" s="4">
        <f t="shared" si="103"/>
        <v>0</v>
      </c>
      <c r="X63" s="4">
        <f t="shared" si="103"/>
        <v>0</v>
      </c>
      <c r="Y63" s="4">
        <f t="shared" si="103"/>
        <v>0</v>
      </c>
      <c r="Z63" s="4">
        <f t="shared" si="103"/>
        <v>0</v>
      </c>
      <c r="AA63" s="4">
        <f t="shared" si="103"/>
        <v>0</v>
      </c>
      <c r="AB63" s="4">
        <f t="shared" si="36"/>
        <v>0</v>
      </c>
      <c r="AC63" s="429">
        <f t="shared" si="56"/>
        <v>0</v>
      </c>
      <c r="AD63" s="4">
        <f t="shared" ref="AD63:AN63" si="104">AE27</f>
        <v>0</v>
      </c>
      <c r="AE63" s="4">
        <f t="shared" si="104"/>
        <v>0</v>
      </c>
      <c r="AF63" s="4">
        <f t="shared" si="104"/>
        <v>0</v>
      </c>
      <c r="AG63" s="4">
        <f t="shared" si="104"/>
        <v>0</v>
      </c>
      <c r="AH63" s="4">
        <f t="shared" si="104"/>
        <v>0</v>
      </c>
      <c r="AI63" s="4">
        <f t="shared" si="104"/>
        <v>0</v>
      </c>
      <c r="AJ63" s="4">
        <f t="shared" si="104"/>
        <v>0</v>
      </c>
      <c r="AK63" s="4">
        <f t="shared" si="104"/>
        <v>0</v>
      </c>
      <c r="AL63" s="4">
        <f t="shared" si="104"/>
        <v>0</v>
      </c>
      <c r="AM63" s="4">
        <f t="shared" si="104"/>
        <v>0</v>
      </c>
      <c r="AN63" s="4">
        <f t="shared" si="104"/>
        <v>0</v>
      </c>
      <c r="AO63" s="4">
        <f t="shared" si="38"/>
        <v>0</v>
      </c>
      <c r="AP63" s="429">
        <f t="shared" si="58"/>
        <v>0</v>
      </c>
      <c r="AQ63" s="4">
        <f t="shared" ref="AQ63:BA63" si="105">AR27</f>
        <v>0</v>
      </c>
      <c r="AR63" s="4">
        <f t="shared" si="105"/>
        <v>0</v>
      </c>
      <c r="AS63" s="4">
        <f t="shared" si="105"/>
        <v>0</v>
      </c>
      <c r="AT63" s="4">
        <f t="shared" si="105"/>
        <v>0</v>
      </c>
      <c r="AU63" s="4">
        <f t="shared" si="105"/>
        <v>0</v>
      </c>
      <c r="AV63" s="4">
        <f t="shared" si="105"/>
        <v>0</v>
      </c>
      <c r="AW63" s="4">
        <f t="shared" si="105"/>
        <v>0</v>
      </c>
      <c r="AX63" s="4">
        <f t="shared" si="105"/>
        <v>0</v>
      </c>
      <c r="AY63" s="4">
        <f t="shared" si="105"/>
        <v>0</v>
      </c>
      <c r="AZ63" s="4">
        <f t="shared" si="105"/>
        <v>0</v>
      </c>
      <c r="BA63" s="4">
        <f t="shared" si="105"/>
        <v>0</v>
      </c>
      <c r="BB63" s="4">
        <f t="shared" si="40"/>
        <v>0</v>
      </c>
      <c r="BC63" s="429">
        <f t="shared" si="60"/>
        <v>0</v>
      </c>
      <c r="BD63" s="4">
        <f t="shared" ref="BD63:BN63" si="106">BE27</f>
        <v>0</v>
      </c>
      <c r="BE63" s="4">
        <f t="shared" si="106"/>
        <v>0</v>
      </c>
      <c r="BF63" s="4">
        <f t="shared" si="106"/>
        <v>0</v>
      </c>
      <c r="BG63" s="4">
        <f t="shared" si="106"/>
        <v>0</v>
      </c>
      <c r="BH63" s="4">
        <f t="shared" si="106"/>
        <v>0</v>
      </c>
      <c r="BI63" s="4">
        <f t="shared" si="106"/>
        <v>0</v>
      </c>
      <c r="BJ63" s="4">
        <f t="shared" si="106"/>
        <v>0</v>
      </c>
      <c r="BK63" s="4">
        <f t="shared" si="106"/>
        <v>0</v>
      </c>
      <c r="BL63" s="4">
        <f t="shared" si="106"/>
        <v>0</v>
      </c>
      <c r="BM63" s="4">
        <f t="shared" si="106"/>
        <v>0</v>
      </c>
      <c r="BN63" s="4">
        <f t="shared" si="106"/>
        <v>0</v>
      </c>
      <c r="BO63" s="4">
        <f t="shared" si="42"/>
        <v>0</v>
      </c>
      <c r="BP63" s="429">
        <f t="shared" si="62"/>
        <v>0</v>
      </c>
      <c r="BQ63" s="4">
        <f t="shared" ref="BQ63:CA63" si="107">BR27</f>
        <v>0</v>
      </c>
      <c r="BR63" s="4">
        <f t="shared" si="107"/>
        <v>0</v>
      </c>
      <c r="BS63" s="4">
        <f t="shared" si="107"/>
        <v>0</v>
      </c>
      <c r="BT63" s="4">
        <f t="shared" si="107"/>
        <v>0</v>
      </c>
      <c r="BU63" s="4">
        <f t="shared" si="107"/>
        <v>0</v>
      </c>
      <c r="BV63" s="4">
        <f t="shared" si="107"/>
        <v>0</v>
      </c>
      <c r="BW63" s="4">
        <f t="shared" si="107"/>
        <v>0</v>
      </c>
      <c r="BX63" s="4">
        <f t="shared" si="107"/>
        <v>0</v>
      </c>
      <c r="BY63" s="4">
        <f t="shared" si="107"/>
        <v>0</v>
      </c>
      <c r="BZ63" s="4">
        <f t="shared" si="107"/>
        <v>0</v>
      </c>
      <c r="CA63" s="4">
        <f t="shared" si="107"/>
        <v>0</v>
      </c>
      <c r="CB63" s="4">
        <f t="shared" si="44"/>
        <v>0</v>
      </c>
      <c r="CC63" s="429">
        <f t="shared" si="64"/>
        <v>0</v>
      </c>
      <c r="CD63" s="4">
        <f t="shared" ref="CD63:CN63" si="108">CE27</f>
        <v>0</v>
      </c>
      <c r="CE63" s="4">
        <f t="shared" si="108"/>
        <v>0</v>
      </c>
      <c r="CF63" s="4">
        <f t="shared" si="108"/>
        <v>0</v>
      </c>
      <c r="CG63" s="4">
        <f t="shared" si="108"/>
        <v>0</v>
      </c>
      <c r="CH63" s="4">
        <f t="shared" si="108"/>
        <v>0</v>
      </c>
      <c r="CI63" s="4">
        <f t="shared" si="108"/>
        <v>0</v>
      </c>
      <c r="CJ63" s="4">
        <f t="shared" si="108"/>
        <v>0</v>
      </c>
      <c r="CK63" s="4">
        <f t="shared" si="108"/>
        <v>0</v>
      </c>
      <c r="CL63" s="4">
        <f t="shared" si="108"/>
        <v>0</v>
      </c>
      <c r="CM63" s="4">
        <f t="shared" si="108"/>
        <v>0</v>
      </c>
      <c r="CN63" s="4">
        <f t="shared" si="108"/>
        <v>0</v>
      </c>
      <c r="CO63" s="4">
        <f t="shared" si="46"/>
        <v>0</v>
      </c>
      <c r="CP63" s="429">
        <f t="shared" si="66"/>
        <v>0</v>
      </c>
    </row>
    <row r="64" spans="1:94" hidden="1">
      <c r="A64" s="4">
        <f>'Summary. Assumptions. Inputs'!A55</f>
        <v>0</v>
      </c>
      <c r="B64" s="4">
        <f>'Summary. Assumptions. Inputs'!B55</f>
        <v>0</v>
      </c>
      <c r="C64" s="4">
        <f t="shared" ref="C64:N64" si="109">D28</f>
        <v>0</v>
      </c>
      <c r="D64">
        <f t="shared" si="109"/>
        <v>0</v>
      </c>
      <c r="E64">
        <f t="shared" si="109"/>
        <v>0</v>
      </c>
      <c r="F64">
        <f t="shared" si="109"/>
        <v>0</v>
      </c>
      <c r="G64">
        <f t="shared" si="109"/>
        <v>0</v>
      </c>
      <c r="H64">
        <f t="shared" si="109"/>
        <v>0</v>
      </c>
      <c r="I64">
        <f t="shared" si="109"/>
        <v>0</v>
      </c>
      <c r="J64">
        <f t="shared" si="109"/>
        <v>0</v>
      </c>
      <c r="K64">
        <f t="shared" si="109"/>
        <v>0</v>
      </c>
      <c r="L64">
        <f t="shared" si="109"/>
        <v>0</v>
      </c>
      <c r="M64">
        <f t="shared" si="109"/>
        <v>0</v>
      </c>
      <c r="N64">
        <f t="shared" si="109"/>
        <v>0</v>
      </c>
      <c r="O64">
        <f t="shared" si="33"/>
        <v>0</v>
      </c>
      <c r="P64" s="429">
        <f t="shared" si="34"/>
        <v>0</v>
      </c>
      <c r="Q64" s="4">
        <f t="shared" ref="Q64:AA64" si="110">R28</f>
        <v>0</v>
      </c>
      <c r="R64" s="4">
        <f t="shared" si="110"/>
        <v>0</v>
      </c>
      <c r="S64" s="4">
        <f t="shared" si="110"/>
        <v>0</v>
      </c>
      <c r="T64" s="4">
        <f t="shared" si="110"/>
        <v>0</v>
      </c>
      <c r="U64" s="4">
        <f t="shared" si="110"/>
        <v>0</v>
      </c>
      <c r="V64" s="4">
        <f t="shared" si="110"/>
        <v>0</v>
      </c>
      <c r="W64" s="4">
        <f t="shared" si="110"/>
        <v>0</v>
      </c>
      <c r="X64" s="4">
        <f t="shared" si="110"/>
        <v>0</v>
      </c>
      <c r="Y64" s="4">
        <f t="shared" si="110"/>
        <v>0</v>
      </c>
      <c r="Z64" s="4">
        <f t="shared" si="110"/>
        <v>0</v>
      </c>
      <c r="AA64" s="4">
        <f t="shared" si="110"/>
        <v>0</v>
      </c>
      <c r="AB64" s="4">
        <f t="shared" si="36"/>
        <v>0</v>
      </c>
      <c r="AC64" s="429">
        <f t="shared" si="56"/>
        <v>0</v>
      </c>
      <c r="AD64" s="4">
        <f t="shared" ref="AD64:AN64" si="111">AE28</f>
        <v>0</v>
      </c>
      <c r="AE64" s="4">
        <f t="shared" si="111"/>
        <v>0</v>
      </c>
      <c r="AF64" s="4">
        <f t="shared" si="111"/>
        <v>0</v>
      </c>
      <c r="AG64" s="4">
        <f t="shared" si="111"/>
        <v>0</v>
      </c>
      <c r="AH64" s="4">
        <f t="shared" si="111"/>
        <v>0</v>
      </c>
      <c r="AI64" s="4">
        <f t="shared" si="111"/>
        <v>0</v>
      </c>
      <c r="AJ64" s="4">
        <f t="shared" si="111"/>
        <v>0</v>
      </c>
      <c r="AK64" s="4">
        <f t="shared" si="111"/>
        <v>0</v>
      </c>
      <c r="AL64" s="4">
        <f t="shared" si="111"/>
        <v>0</v>
      </c>
      <c r="AM64" s="4">
        <f t="shared" si="111"/>
        <v>0</v>
      </c>
      <c r="AN64" s="4">
        <f t="shared" si="111"/>
        <v>0</v>
      </c>
      <c r="AO64" s="4">
        <f t="shared" si="38"/>
        <v>0</v>
      </c>
      <c r="AP64" s="429">
        <f t="shared" si="58"/>
        <v>0</v>
      </c>
      <c r="AQ64" s="4">
        <f t="shared" ref="AQ64:BA64" si="112">AR28</f>
        <v>0</v>
      </c>
      <c r="AR64" s="4">
        <f t="shared" si="112"/>
        <v>0</v>
      </c>
      <c r="AS64" s="4">
        <f t="shared" si="112"/>
        <v>0</v>
      </c>
      <c r="AT64" s="4">
        <f t="shared" si="112"/>
        <v>0</v>
      </c>
      <c r="AU64" s="4">
        <f t="shared" si="112"/>
        <v>0</v>
      </c>
      <c r="AV64" s="4">
        <f t="shared" si="112"/>
        <v>0</v>
      </c>
      <c r="AW64" s="4">
        <f t="shared" si="112"/>
        <v>0</v>
      </c>
      <c r="AX64" s="4">
        <f t="shared" si="112"/>
        <v>0</v>
      </c>
      <c r="AY64" s="4">
        <f t="shared" si="112"/>
        <v>0</v>
      </c>
      <c r="AZ64" s="4">
        <f t="shared" si="112"/>
        <v>0</v>
      </c>
      <c r="BA64" s="4">
        <f t="shared" si="112"/>
        <v>0</v>
      </c>
      <c r="BB64" s="4">
        <f t="shared" si="40"/>
        <v>0</v>
      </c>
      <c r="BC64" s="429">
        <f t="shared" si="60"/>
        <v>0</v>
      </c>
      <c r="BD64" s="4">
        <f t="shared" ref="BD64:BN64" si="113">BE28</f>
        <v>0</v>
      </c>
      <c r="BE64" s="4">
        <f t="shared" si="113"/>
        <v>0</v>
      </c>
      <c r="BF64" s="4">
        <f t="shared" si="113"/>
        <v>0</v>
      </c>
      <c r="BG64" s="4">
        <f t="shared" si="113"/>
        <v>0</v>
      </c>
      <c r="BH64" s="4">
        <f t="shared" si="113"/>
        <v>0</v>
      </c>
      <c r="BI64" s="4">
        <f t="shared" si="113"/>
        <v>0</v>
      </c>
      <c r="BJ64" s="4">
        <f t="shared" si="113"/>
        <v>0</v>
      </c>
      <c r="BK64" s="4">
        <f t="shared" si="113"/>
        <v>0</v>
      </c>
      <c r="BL64" s="4">
        <f t="shared" si="113"/>
        <v>0</v>
      </c>
      <c r="BM64" s="4">
        <f t="shared" si="113"/>
        <v>0</v>
      </c>
      <c r="BN64" s="4">
        <f t="shared" si="113"/>
        <v>0</v>
      </c>
      <c r="BO64" s="4">
        <f t="shared" si="42"/>
        <v>0</v>
      </c>
      <c r="BP64" s="429">
        <f t="shared" si="62"/>
        <v>0</v>
      </c>
      <c r="BQ64" s="4">
        <f t="shared" ref="BQ64:CA64" si="114">BR28</f>
        <v>0</v>
      </c>
      <c r="BR64" s="4">
        <f t="shared" si="114"/>
        <v>0</v>
      </c>
      <c r="BS64" s="4">
        <f t="shared" si="114"/>
        <v>0</v>
      </c>
      <c r="BT64" s="4">
        <f t="shared" si="114"/>
        <v>0</v>
      </c>
      <c r="BU64" s="4">
        <f t="shared" si="114"/>
        <v>0</v>
      </c>
      <c r="BV64" s="4">
        <f t="shared" si="114"/>
        <v>0</v>
      </c>
      <c r="BW64" s="4">
        <f t="shared" si="114"/>
        <v>0</v>
      </c>
      <c r="BX64" s="4">
        <f t="shared" si="114"/>
        <v>0</v>
      </c>
      <c r="BY64" s="4">
        <f t="shared" si="114"/>
        <v>0</v>
      </c>
      <c r="BZ64" s="4">
        <f t="shared" si="114"/>
        <v>0</v>
      </c>
      <c r="CA64" s="4">
        <f t="shared" si="114"/>
        <v>0</v>
      </c>
      <c r="CB64" s="4">
        <f t="shared" si="44"/>
        <v>0</v>
      </c>
      <c r="CC64" s="429">
        <f t="shared" si="64"/>
        <v>0</v>
      </c>
      <c r="CD64" s="4">
        <f t="shared" ref="CD64:CN64" si="115">CE28</f>
        <v>0</v>
      </c>
      <c r="CE64" s="4">
        <f t="shared" si="115"/>
        <v>0</v>
      </c>
      <c r="CF64" s="4">
        <f t="shared" si="115"/>
        <v>0</v>
      </c>
      <c r="CG64" s="4">
        <f t="shared" si="115"/>
        <v>0</v>
      </c>
      <c r="CH64" s="4">
        <f t="shared" si="115"/>
        <v>0</v>
      </c>
      <c r="CI64" s="4">
        <f t="shared" si="115"/>
        <v>0</v>
      </c>
      <c r="CJ64" s="4">
        <f t="shared" si="115"/>
        <v>0</v>
      </c>
      <c r="CK64" s="4">
        <f t="shared" si="115"/>
        <v>0</v>
      </c>
      <c r="CL64" s="4">
        <f t="shared" si="115"/>
        <v>0</v>
      </c>
      <c r="CM64" s="4">
        <f t="shared" si="115"/>
        <v>0</v>
      </c>
      <c r="CN64" s="4">
        <f t="shared" si="115"/>
        <v>0</v>
      </c>
      <c r="CO64" s="4">
        <f t="shared" si="46"/>
        <v>0</v>
      </c>
      <c r="CP64" s="429">
        <f t="shared" si="66"/>
        <v>0</v>
      </c>
    </row>
    <row r="65" spans="1:94" hidden="1">
      <c r="A65" s="4">
        <f>'Summary. Assumptions. Inputs'!A56</f>
        <v>0</v>
      </c>
      <c r="B65" s="4">
        <f>'Summary. Assumptions. Inputs'!B56</f>
        <v>0</v>
      </c>
      <c r="C65" s="4">
        <f t="shared" ref="C65:N65" si="116">D29</f>
        <v>0</v>
      </c>
      <c r="D65">
        <f t="shared" si="116"/>
        <v>0</v>
      </c>
      <c r="E65">
        <f t="shared" si="116"/>
        <v>0</v>
      </c>
      <c r="F65">
        <f t="shared" si="116"/>
        <v>0</v>
      </c>
      <c r="G65">
        <f t="shared" si="116"/>
        <v>0</v>
      </c>
      <c r="H65">
        <f t="shared" si="116"/>
        <v>0</v>
      </c>
      <c r="I65">
        <f t="shared" si="116"/>
        <v>0</v>
      </c>
      <c r="J65">
        <f t="shared" si="116"/>
        <v>0</v>
      </c>
      <c r="K65">
        <f t="shared" si="116"/>
        <v>0</v>
      </c>
      <c r="L65">
        <f t="shared" si="116"/>
        <v>0</v>
      </c>
      <c r="M65">
        <f t="shared" si="116"/>
        <v>0</v>
      </c>
      <c r="N65">
        <f t="shared" si="116"/>
        <v>0</v>
      </c>
      <c r="O65">
        <f t="shared" si="33"/>
        <v>0</v>
      </c>
      <c r="P65" s="429">
        <f t="shared" si="34"/>
        <v>0</v>
      </c>
      <c r="Q65" s="4">
        <f t="shared" ref="Q65:AA65" si="117">R29</f>
        <v>0</v>
      </c>
      <c r="R65" s="4">
        <f t="shared" si="117"/>
        <v>0</v>
      </c>
      <c r="S65" s="4">
        <f t="shared" si="117"/>
        <v>0</v>
      </c>
      <c r="T65" s="4">
        <f t="shared" si="117"/>
        <v>0</v>
      </c>
      <c r="U65" s="4">
        <f t="shared" si="117"/>
        <v>0</v>
      </c>
      <c r="V65" s="4">
        <f t="shared" si="117"/>
        <v>0</v>
      </c>
      <c r="W65" s="4">
        <f t="shared" si="117"/>
        <v>0</v>
      </c>
      <c r="X65" s="4">
        <f t="shared" si="117"/>
        <v>0</v>
      </c>
      <c r="Y65" s="4">
        <f t="shared" si="117"/>
        <v>0</v>
      </c>
      <c r="Z65" s="4">
        <f t="shared" si="117"/>
        <v>0</v>
      </c>
      <c r="AA65" s="4">
        <f t="shared" si="117"/>
        <v>0</v>
      </c>
      <c r="AB65" s="4">
        <f t="shared" si="36"/>
        <v>0</v>
      </c>
      <c r="AC65" s="429">
        <f t="shared" si="56"/>
        <v>0</v>
      </c>
      <c r="AD65" s="4">
        <f t="shared" ref="AD65:AN65" si="118">AE29</f>
        <v>0</v>
      </c>
      <c r="AE65" s="4">
        <f t="shared" si="118"/>
        <v>0</v>
      </c>
      <c r="AF65" s="4">
        <f t="shared" si="118"/>
        <v>0</v>
      </c>
      <c r="AG65" s="4">
        <f t="shared" si="118"/>
        <v>0</v>
      </c>
      <c r="AH65" s="4">
        <f t="shared" si="118"/>
        <v>0</v>
      </c>
      <c r="AI65" s="4">
        <f t="shared" si="118"/>
        <v>0</v>
      </c>
      <c r="AJ65" s="4">
        <f t="shared" si="118"/>
        <v>0</v>
      </c>
      <c r="AK65" s="4">
        <f t="shared" si="118"/>
        <v>0</v>
      </c>
      <c r="AL65" s="4">
        <f t="shared" si="118"/>
        <v>0</v>
      </c>
      <c r="AM65" s="4">
        <f t="shared" si="118"/>
        <v>0</v>
      </c>
      <c r="AN65" s="4">
        <f t="shared" si="118"/>
        <v>0</v>
      </c>
      <c r="AO65" s="4">
        <f t="shared" si="38"/>
        <v>0</v>
      </c>
      <c r="AP65" s="429">
        <f t="shared" si="58"/>
        <v>0</v>
      </c>
      <c r="AQ65" s="4">
        <f t="shared" ref="AQ65:BA65" si="119">AR29</f>
        <v>0</v>
      </c>
      <c r="AR65" s="4">
        <f t="shared" si="119"/>
        <v>0</v>
      </c>
      <c r="AS65" s="4">
        <f t="shared" si="119"/>
        <v>0</v>
      </c>
      <c r="AT65" s="4">
        <f t="shared" si="119"/>
        <v>0</v>
      </c>
      <c r="AU65" s="4">
        <f t="shared" si="119"/>
        <v>0</v>
      </c>
      <c r="AV65" s="4">
        <f t="shared" si="119"/>
        <v>0</v>
      </c>
      <c r="AW65" s="4">
        <f t="shared" si="119"/>
        <v>0</v>
      </c>
      <c r="AX65" s="4">
        <f t="shared" si="119"/>
        <v>0</v>
      </c>
      <c r="AY65" s="4">
        <f t="shared" si="119"/>
        <v>0</v>
      </c>
      <c r="AZ65" s="4">
        <f t="shared" si="119"/>
        <v>0</v>
      </c>
      <c r="BA65" s="4">
        <f t="shared" si="119"/>
        <v>0</v>
      </c>
      <c r="BB65" s="4">
        <f t="shared" si="40"/>
        <v>0</v>
      </c>
      <c r="BC65" s="429">
        <f t="shared" si="60"/>
        <v>0</v>
      </c>
      <c r="BD65" s="4">
        <f t="shared" ref="BD65:BN65" si="120">BE29</f>
        <v>0</v>
      </c>
      <c r="BE65" s="4">
        <f t="shared" si="120"/>
        <v>0</v>
      </c>
      <c r="BF65" s="4">
        <f t="shared" si="120"/>
        <v>0</v>
      </c>
      <c r="BG65" s="4">
        <f t="shared" si="120"/>
        <v>0</v>
      </c>
      <c r="BH65" s="4">
        <f t="shared" si="120"/>
        <v>0</v>
      </c>
      <c r="BI65" s="4">
        <f t="shared" si="120"/>
        <v>0</v>
      </c>
      <c r="BJ65" s="4">
        <f t="shared" si="120"/>
        <v>0</v>
      </c>
      <c r="BK65" s="4">
        <f t="shared" si="120"/>
        <v>0</v>
      </c>
      <c r="BL65" s="4">
        <f t="shared" si="120"/>
        <v>0</v>
      </c>
      <c r="BM65" s="4">
        <f t="shared" si="120"/>
        <v>0</v>
      </c>
      <c r="BN65" s="4">
        <f t="shared" si="120"/>
        <v>0</v>
      </c>
      <c r="BO65" s="4">
        <f t="shared" si="42"/>
        <v>0</v>
      </c>
      <c r="BP65" s="429">
        <f t="shared" si="62"/>
        <v>0</v>
      </c>
      <c r="BQ65" s="4">
        <f t="shared" ref="BQ65:CA65" si="121">BR29</f>
        <v>0</v>
      </c>
      <c r="BR65" s="4">
        <f t="shared" si="121"/>
        <v>0</v>
      </c>
      <c r="BS65" s="4">
        <f t="shared" si="121"/>
        <v>0</v>
      </c>
      <c r="BT65" s="4">
        <f t="shared" si="121"/>
        <v>0</v>
      </c>
      <c r="BU65" s="4">
        <f t="shared" si="121"/>
        <v>0</v>
      </c>
      <c r="BV65" s="4">
        <f t="shared" si="121"/>
        <v>0</v>
      </c>
      <c r="BW65" s="4">
        <f t="shared" si="121"/>
        <v>0</v>
      </c>
      <c r="BX65" s="4">
        <f t="shared" si="121"/>
        <v>0</v>
      </c>
      <c r="BY65" s="4">
        <f t="shared" si="121"/>
        <v>0</v>
      </c>
      <c r="BZ65" s="4">
        <f t="shared" si="121"/>
        <v>0</v>
      </c>
      <c r="CA65" s="4">
        <f t="shared" si="121"/>
        <v>0</v>
      </c>
      <c r="CB65" s="4">
        <f t="shared" si="44"/>
        <v>0</v>
      </c>
      <c r="CC65" s="429">
        <f t="shared" si="64"/>
        <v>0</v>
      </c>
      <c r="CD65" s="4">
        <f t="shared" ref="CD65:CN65" si="122">CE29</f>
        <v>0</v>
      </c>
      <c r="CE65" s="4">
        <f t="shared" si="122"/>
        <v>0</v>
      </c>
      <c r="CF65" s="4">
        <f t="shared" si="122"/>
        <v>0</v>
      </c>
      <c r="CG65" s="4">
        <f t="shared" si="122"/>
        <v>0</v>
      </c>
      <c r="CH65" s="4">
        <f t="shared" si="122"/>
        <v>0</v>
      </c>
      <c r="CI65" s="4">
        <f t="shared" si="122"/>
        <v>0</v>
      </c>
      <c r="CJ65" s="4">
        <f t="shared" si="122"/>
        <v>0</v>
      </c>
      <c r="CK65" s="4">
        <f t="shared" si="122"/>
        <v>0</v>
      </c>
      <c r="CL65" s="4">
        <f t="shared" si="122"/>
        <v>0</v>
      </c>
      <c r="CM65" s="4">
        <f t="shared" si="122"/>
        <v>0</v>
      </c>
      <c r="CN65" s="4">
        <f t="shared" si="122"/>
        <v>0</v>
      </c>
      <c r="CO65" s="4">
        <f t="shared" si="46"/>
        <v>0</v>
      </c>
      <c r="CP65" s="429">
        <f t="shared" si="66"/>
        <v>0</v>
      </c>
    </row>
    <row r="66" spans="1:94" hidden="1">
      <c r="A66" s="4">
        <f>'Summary. Assumptions. Inputs'!A57</f>
        <v>0</v>
      </c>
      <c r="B66" s="4">
        <f>'Summary. Assumptions. Inputs'!B57</f>
        <v>0</v>
      </c>
      <c r="C66" s="4">
        <f t="shared" ref="C66:N66" si="123">D30</f>
        <v>0</v>
      </c>
      <c r="D66">
        <f t="shared" si="123"/>
        <v>0</v>
      </c>
      <c r="E66">
        <f t="shared" si="123"/>
        <v>0</v>
      </c>
      <c r="F66">
        <f t="shared" si="123"/>
        <v>0</v>
      </c>
      <c r="G66">
        <f t="shared" si="123"/>
        <v>0</v>
      </c>
      <c r="H66">
        <f t="shared" si="123"/>
        <v>0</v>
      </c>
      <c r="I66">
        <f t="shared" si="123"/>
        <v>0</v>
      </c>
      <c r="J66">
        <f t="shared" si="123"/>
        <v>0</v>
      </c>
      <c r="K66">
        <f t="shared" si="123"/>
        <v>0</v>
      </c>
      <c r="L66">
        <f t="shared" si="123"/>
        <v>0</v>
      </c>
      <c r="M66">
        <f t="shared" si="123"/>
        <v>0</v>
      </c>
      <c r="N66">
        <f t="shared" si="123"/>
        <v>0</v>
      </c>
      <c r="O66">
        <f t="shared" si="33"/>
        <v>0</v>
      </c>
      <c r="P66" s="429">
        <f t="shared" si="34"/>
        <v>0</v>
      </c>
      <c r="Q66" s="4">
        <f t="shared" ref="Q66:AA66" si="124">R30</f>
        <v>0</v>
      </c>
      <c r="R66" s="4">
        <f t="shared" si="124"/>
        <v>0</v>
      </c>
      <c r="S66" s="4">
        <f t="shared" si="124"/>
        <v>0</v>
      </c>
      <c r="T66" s="4">
        <f t="shared" si="124"/>
        <v>0</v>
      </c>
      <c r="U66" s="4">
        <f t="shared" si="124"/>
        <v>0</v>
      </c>
      <c r="V66" s="4">
        <f t="shared" si="124"/>
        <v>0</v>
      </c>
      <c r="W66" s="4">
        <f t="shared" si="124"/>
        <v>0</v>
      </c>
      <c r="X66" s="4">
        <f t="shared" si="124"/>
        <v>0</v>
      </c>
      <c r="Y66" s="4">
        <f t="shared" si="124"/>
        <v>0</v>
      </c>
      <c r="Z66" s="4">
        <f t="shared" si="124"/>
        <v>0</v>
      </c>
      <c r="AA66" s="4">
        <f t="shared" si="124"/>
        <v>0</v>
      </c>
      <c r="AB66" s="4">
        <f t="shared" si="36"/>
        <v>0</v>
      </c>
      <c r="AC66" s="429">
        <f t="shared" si="56"/>
        <v>0</v>
      </c>
      <c r="AD66" s="4">
        <f t="shared" ref="AD66:AN66" si="125">AE30</f>
        <v>0</v>
      </c>
      <c r="AE66" s="4">
        <f t="shared" si="125"/>
        <v>0</v>
      </c>
      <c r="AF66" s="4">
        <f t="shared" si="125"/>
        <v>0</v>
      </c>
      <c r="AG66" s="4">
        <f t="shared" si="125"/>
        <v>0</v>
      </c>
      <c r="AH66" s="4">
        <f t="shared" si="125"/>
        <v>0</v>
      </c>
      <c r="AI66" s="4">
        <f t="shared" si="125"/>
        <v>0</v>
      </c>
      <c r="AJ66" s="4">
        <f t="shared" si="125"/>
        <v>0</v>
      </c>
      <c r="AK66" s="4">
        <f t="shared" si="125"/>
        <v>0</v>
      </c>
      <c r="AL66" s="4">
        <f t="shared" si="125"/>
        <v>0</v>
      </c>
      <c r="AM66" s="4">
        <f t="shared" si="125"/>
        <v>0</v>
      </c>
      <c r="AN66" s="4">
        <f t="shared" si="125"/>
        <v>0</v>
      </c>
      <c r="AO66" s="4">
        <f t="shared" si="38"/>
        <v>0</v>
      </c>
      <c r="AP66" s="429">
        <f t="shared" si="58"/>
        <v>0</v>
      </c>
      <c r="AQ66" s="4">
        <f t="shared" ref="AQ66:BA66" si="126">AR30</f>
        <v>0</v>
      </c>
      <c r="AR66" s="4">
        <f t="shared" si="126"/>
        <v>0</v>
      </c>
      <c r="AS66" s="4">
        <f t="shared" si="126"/>
        <v>0</v>
      </c>
      <c r="AT66" s="4">
        <f t="shared" si="126"/>
        <v>0</v>
      </c>
      <c r="AU66" s="4">
        <f t="shared" si="126"/>
        <v>0</v>
      </c>
      <c r="AV66" s="4">
        <f t="shared" si="126"/>
        <v>0</v>
      </c>
      <c r="AW66" s="4">
        <f t="shared" si="126"/>
        <v>0</v>
      </c>
      <c r="AX66" s="4">
        <f t="shared" si="126"/>
        <v>0</v>
      </c>
      <c r="AY66" s="4">
        <f t="shared" si="126"/>
        <v>0</v>
      </c>
      <c r="AZ66" s="4">
        <f t="shared" si="126"/>
        <v>0</v>
      </c>
      <c r="BA66" s="4">
        <f t="shared" si="126"/>
        <v>0</v>
      </c>
      <c r="BB66" s="4">
        <f t="shared" si="40"/>
        <v>0</v>
      </c>
      <c r="BC66" s="429">
        <f t="shared" si="60"/>
        <v>0</v>
      </c>
      <c r="BD66" s="4">
        <f t="shared" ref="BD66:BN66" si="127">BE30</f>
        <v>0</v>
      </c>
      <c r="BE66" s="4">
        <f t="shared" si="127"/>
        <v>0</v>
      </c>
      <c r="BF66" s="4">
        <f t="shared" si="127"/>
        <v>0</v>
      </c>
      <c r="BG66" s="4">
        <f t="shared" si="127"/>
        <v>0</v>
      </c>
      <c r="BH66" s="4">
        <f t="shared" si="127"/>
        <v>0</v>
      </c>
      <c r="BI66" s="4">
        <f t="shared" si="127"/>
        <v>0</v>
      </c>
      <c r="BJ66" s="4">
        <f t="shared" si="127"/>
        <v>0</v>
      </c>
      <c r="BK66" s="4">
        <f t="shared" si="127"/>
        <v>0</v>
      </c>
      <c r="BL66" s="4">
        <f t="shared" si="127"/>
        <v>0</v>
      </c>
      <c r="BM66" s="4">
        <f t="shared" si="127"/>
        <v>0</v>
      </c>
      <c r="BN66" s="4">
        <f t="shared" si="127"/>
        <v>0</v>
      </c>
      <c r="BO66" s="4">
        <f t="shared" si="42"/>
        <v>0</v>
      </c>
      <c r="BP66" s="429">
        <f t="shared" si="62"/>
        <v>0</v>
      </c>
      <c r="BQ66" s="4">
        <f t="shared" ref="BQ66:CA66" si="128">BR30</f>
        <v>0</v>
      </c>
      <c r="BR66" s="4">
        <f t="shared" si="128"/>
        <v>0</v>
      </c>
      <c r="BS66" s="4">
        <f t="shared" si="128"/>
        <v>0</v>
      </c>
      <c r="BT66" s="4">
        <f t="shared" si="128"/>
        <v>0</v>
      </c>
      <c r="BU66" s="4">
        <f t="shared" si="128"/>
        <v>0</v>
      </c>
      <c r="BV66" s="4">
        <f t="shared" si="128"/>
        <v>0</v>
      </c>
      <c r="BW66" s="4">
        <f t="shared" si="128"/>
        <v>0</v>
      </c>
      <c r="BX66" s="4">
        <f t="shared" si="128"/>
        <v>0</v>
      </c>
      <c r="BY66" s="4">
        <f t="shared" si="128"/>
        <v>0</v>
      </c>
      <c r="BZ66" s="4">
        <f t="shared" si="128"/>
        <v>0</v>
      </c>
      <c r="CA66" s="4">
        <f t="shared" si="128"/>
        <v>0</v>
      </c>
      <c r="CB66" s="4">
        <f t="shared" si="44"/>
        <v>0</v>
      </c>
      <c r="CC66" s="429">
        <f t="shared" si="64"/>
        <v>0</v>
      </c>
      <c r="CD66" s="4">
        <f t="shared" ref="CD66:CN66" si="129">CE30</f>
        <v>0</v>
      </c>
      <c r="CE66" s="4">
        <f t="shared" si="129"/>
        <v>0</v>
      </c>
      <c r="CF66" s="4">
        <f t="shared" si="129"/>
        <v>0</v>
      </c>
      <c r="CG66" s="4">
        <f t="shared" si="129"/>
        <v>0</v>
      </c>
      <c r="CH66" s="4">
        <f t="shared" si="129"/>
        <v>0</v>
      </c>
      <c r="CI66" s="4">
        <f t="shared" si="129"/>
        <v>0</v>
      </c>
      <c r="CJ66" s="4">
        <f t="shared" si="129"/>
        <v>0</v>
      </c>
      <c r="CK66" s="4">
        <f t="shared" si="129"/>
        <v>0</v>
      </c>
      <c r="CL66" s="4">
        <f t="shared" si="129"/>
        <v>0</v>
      </c>
      <c r="CM66" s="4">
        <f t="shared" si="129"/>
        <v>0</v>
      </c>
      <c r="CN66" s="4">
        <f t="shared" si="129"/>
        <v>0</v>
      </c>
      <c r="CO66" s="4">
        <f t="shared" si="46"/>
        <v>0</v>
      </c>
      <c r="CP66" s="429">
        <f t="shared" si="66"/>
        <v>0</v>
      </c>
    </row>
    <row r="67" spans="1:94" hidden="1">
      <c r="A67" s="4">
        <f>'Summary. Assumptions. Inputs'!A58</f>
        <v>0</v>
      </c>
      <c r="B67" s="4">
        <f>'Summary. Assumptions. Inputs'!B58</f>
        <v>0</v>
      </c>
      <c r="C67" s="4">
        <f t="shared" ref="C67:N67" si="130">D31</f>
        <v>0</v>
      </c>
      <c r="D67">
        <f t="shared" si="130"/>
        <v>0</v>
      </c>
      <c r="E67">
        <f t="shared" si="130"/>
        <v>0</v>
      </c>
      <c r="F67">
        <f t="shared" si="130"/>
        <v>0</v>
      </c>
      <c r="G67">
        <f t="shared" si="130"/>
        <v>0</v>
      </c>
      <c r="H67">
        <f t="shared" si="130"/>
        <v>0</v>
      </c>
      <c r="I67">
        <f t="shared" si="130"/>
        <v>0</v>
      </c>
      <c r="J67">
        <f t="shared" si="130"/>
        <v>0</v>
      </c>
      <c r="K67">
        <f t="shared" si="130"/>
        <v>0</v>
      </c>
      <c r="L67">
        <f t="shared" si="130"/>
        <v>0</v>
      </c>
      <c r="M67">
        <f t="shared" si="130"/>
        <v>0</v>
      </c>
      <c r="N67">
        <f t="shared" si="130"/>
        <v>0</v>
      </c>
      <c r="O67">
        <f t="shared" si="33"/>
        <v>0</v>
      </c>
      <c r="P67" s="429">
        <f t="shared" si="34"/>
        <v>0</v>
      </c>
      <c r="Q67" s="4">
        <f t="shared" ref="Q67:AA67" si="131">R31</f>
        <v>0</v>
      </c>
      <c r="R67" s="4">
        <f t="shared" si="131"/>
        <v>0</v>
      </c>
      <c r="S67" s="4">
        <f t="shared" si="131"/>
        <v>0</v>
      </c>
      <c r="T67" s="4">
        <f t="shared" si="131"/>
        <v>0</v>
      </c>
      <c r="U67" s="4">
        <f t="shared" si="131"/>
        <v>0</v>
      </c>
      <c r="V67" s="4">
        <f t="shared" si="131"/>
        <v>0</v>
      </c>
      <c r="W67" s="4">
        <f t="shared" si="131"/>
        <v>0</v>
      </c>
      <c r="X67" s="4">
        <f t="shared" si="131"/>
        <v>0</v>
      </c>
      <c r="Y67" s="4">
        <f t="shared" si="131"/>
        <v>0</v>
      </c>
      <c r="Z67" s="4">
        <f t="shared" si="131"/>
        <v>0</v>
      </c>
      <c r="AA67" s="4">
        <f t="shared" si="131"/>
        <v>0</v>
      </c>
      <c r="AB67" s="4">
        <f t="shared" si="36"/>
        <v>0</v>
      </c>
      <c r="AC67" s="429">
        <f t="shared" si="56"/>
        <v>0</v>
      </c>
      <c r="AD67" s="4">
        <f t="shared" ref="AD67:AN67" si="132">AE31</f>
        <v>0</v>
      </c>
      <c r="AE67" s="4">
        <f t="shared" si="132"/>
        <v>0</v>
      </c>
      <c r="AF67" s="4">
        <f t="shared" si="132"/>
        <v>0</v>
      </c>
      <c r="AG67" s="4">
        <f t="shared" si="132"/>
        <v>0</v>
      </c>
      <c r="AH67" s="4">
        <f t="shared" si="132"/>
        <v>0</v>
      </c>
      <c r="AI67" s="4">
        <f t="shared" si="132"/>
        <v>0</v>
      </c>
      <c r="AJ67" s="4">
        <f t="shared" si="132"/>
        <v>0</v>
      </c>
      <c r="AK67" s="4">
        <f t="shared" si="132"/>
        <v>0</v>
      </c>
      <c r="AL67" s="4">
        <f t="shared" si="132"/>
        <v>0</v>
      </c>
      <c r="AM67" s="4">
        <f t="shared" si="132"/>
        <v>0</v>
      </c>
      <c r="AN67" s="4">
        <f t="shared" si="132"/>
        <v>0</v>
      </c>
      <c r="AO67" s="4">
        <f t="shared" si="38"/>
        <v>0</v>
      </c>
      <c r="AP67" s="429">
        <f t="shared" si="58"/>
        <v>0</v>
      </c>
      <c r="AQ67" s="4">
        <f t="shared" ref="AQ67:BA67" si="133">AR31</f>
        <v>0</v>
      </c>
      <c r="AR67" s="4">
        <f t="shared" si="133"/>
        <v>0</v>
      </c>
      <c r="AS67" s="4">
        <f t="shared" si="133"/>
        <v>0</v>
      </c>
      <c r="AT67" s="4">
        <f t="shared" si="133"/>
        <v>0</v>
      </c>
      <c r="AU67" s="4">
        <f t="shared" si="133"/>
        <v>0</v>
      </c>
      <c r="AV67" s="4">
        <f t="shared" si="133"/>
        <v>0</v>
      </c>
      <c r="AW67" s="4">
        <f t="shared" si="133"/>
        <v>0</v>
      </c>
      <c r="AX67" s="4">
        <f t="shared" si="133"/>
        <v>0</v>
      </c>
      <c r="AY67" s="4">
        <f t="shared" si="133"/>
        <v>0</v>
      </c>
      <c r="AZ67" s="4">
        <f t="shared" si="133"/>
        <v>0</v>
      </c>
      <c r="BA67" s="4">
        <f t="shared" si="133"/>
        <v>0</v>
      </c>
      <c r="BB67" s="4">
        <f t="shared" si="40"/>
        <v>0</v>
      </c>
      <c r="BC67" s="429">
        <f t="shared" si="60"/>
        <v>0</v>
      </c>
      <c r="BD67" s="4">
        <f t="shared" ref="BD67:BN67" si="134">BE31</f>
        <v>0</v>
      </c>
      <c r="BE67" s="4">
        <f t="shared" si="134"/>
        <v>0</v>
      </c>
      <c r="BF67" s="4">
        <f t="shared" si="134"/>
        <v>0</v>
      </c>
      <c r="BG67" s="4">
        <f t="shared" si="134"/>
        <v>0</v>
      </c>
      <c r="BH67" s="4">
        <f t="shared" si="134"/>
        <v>0</v>
      </c>
      <c r="BI67" s="4">
        <f t="shared" si="134"/>
        <v>0</v>
      </c>
      <c r="BJ67" s="4">
        <f t="shared" si="134"/>
        <v>0</v>
      </c>
      <c r="BK67" s="4">
        <f t="shared" si="134"/>
        <v>0</v>
      </c>
      <c r="BL67" s="4">
        <f t="shared" si="134"/>
        <v>0</v>
      </c>
      <c r="BM67" s="4">
        <f t="shared" si="134"/>
        <v>0</v>
      </c>
      <c r="BN67" s="4">
        <f t="shared" si="134"/>
        <v>0</v>
      </c>
      <c r="BO67" s="4">
        <f t="shared" si="42"/>
        <v>0</v>
      </c>
      <c r="BP67" s="429">
        <f t="shared" si="62"/>
        <v>0</v>
      </c>
      <c r="BQ67" s="4">
        <f t="shared" ref="BQ67:CA67" si="135">BR31</f>
        <v>0</v>
      </c>
      <c r="BR67" s="4">
        <f t="shared" si="135"/>
        <v>0</v>
      </c>
      <c r="BS67" s="4">
        <f t="shared" si="135"/>
        <v>0</v>
      </c>
      <c r="BT67" s="4">
        <f t="shared" si="135"/>
        <v>0</v>
      </c>
      <c r="BU67" s="4">
        <f t="shared" si="135"/>
        <v>0</v>
      </c>
      <c r="BV67" s="4">
        <f t="shared" si="135"/>
        <v>0</v>
      </c>
      <c r="BW67" s="4">
        <f t="shared" si="135"/>
        <v>0</v>
      </c>
      <c r="BX67" s="4">
        <f t="shared" si="135"/>
        <v>0</v>
      </c>
      <c r="BY67" s="4">
        <f t="shared" si="135"/>
        <v>0</v>
      </c>
      <c r="BZ67" s="4">
        <f t="shared" si="135"/>
        <v>0</v>
      </c>
      <c r="CA67" s="4">
        <f t="shared" si="135"/>
        <v>0</v>
      </c>
      <c r="CB67" s="4">
        <f t="shared" si="44"/>
        <v>0</v>
      </c>
      <c r="CC67" s="429">
        <f t="shared" si="64"/>
        <v>0</v>
      </c>
      <c r="CD67" s="4">
        <f t="shared" ref="CD67:CN67" si="136">CE31</f>
        <v>0</v>
      </c>
      <c r="CE67" s="4">
        <f t="shared" si="136"/>
        <v>0</v>
      </c>
      <c r="CF67" s="4">
        <f t="shared" si="136"/>
        <v>0</v>
      </c>
      <c r="CG67" s="4">
        <f t="shared" si="136"/>
        <v>0</v>
      </c>
      <c r="CH67" s="4">
        <f t="shared" si="136"/>
        <v>0</v>
      </c>
      <c r="CI67" s="4">
        <f t="shared" si="136"/>
        <v>0</v>
      </c>
      <c r="CJ67" s="4">
        <f t="shared" si="136"/>
        <v>0</v>
      </c>
      <c r="CK67" s="4">
        <f t="shared" si="136"/>
        <v>0</v>
      </c>
      <c r="CL67" s="4">
        <f t="shared" si="136"/>
        <v>0</v>
      </c>
      <c r="CM67" s="4">
        <f t="shared" si="136"/>
        <v>0</v>
      </c>
      <c r="CN67" s="4">
        <f t="shared" si="136"/>
        <v>0</v>
      </c>
      <c r="CO67" s="4">
        <f t="shared" si="46"/>
        <v>0</v>
      </c>
      <c r="CP67" s="429">
        <f t="shared" si="66"/>
        <v>0</v>
      </c>
    </row>
    <row r="68" spans="1:94" hidden="1">
      <c r="A68" s="4">
        <f>'Summary. Assumptions. Inputs'!A59</f>
        <v>0</v>
      </c>
      <c r="B68" s="4">
        <f>'Summary. Assumptions. Inputs'!B59</f>
        <v>0</v>
      </c>
      <c r="C68" s="4">
        <f t="shared" ref="C68:N68" si="137">D32</f>
        <v>0</v>
      </c>
      <c r="D68">
        <f t="shared" si="137"/>
        <v>0</v>
      </c>
      <c r="E68">
        <f t="shared" si="137"/>
        <v>0</v>
      </c>
      <c r="F68">
        <f t="shared" si="137"/>
        <v>0</v>
      </c>
      <c r="G68">
        <f t="shared" si="137"/>
        <v>0</v>
      </c>
      <c r="H68">
        <f t="shared" si="137"/>
        <v>0</v>
      </c>
      <c r="I68">
        <f t="shared" si="137"/>
        <v>0</v>
      </c>
      <c r="J68">
        <f t="shared" si="137"/>
        <v>0</v>
      </c>
      <c r="K68">
        <f t="shared" si="137"/>
        <v>0</v>
      </c>
      <c r="L68">
        <f t="shared" si="137"/>
        <v>0</v>
      </c>
      <c r="M68">
        <f t="shared" si="137"/>
        <v>0</v>
      </c>
      <c r="N68">
        <f t="shared" si="137"/>
        <v>0</v>
      </c>
      <c r="O68">
        <f t="shared" si="33"/>
        <v>0</v>
      </c>
      <c r="P68" s="429">
        <f t="shared" si="34"/>
        <v>0</v>
      </c>
      <c r="Q68" s="4">
        <f t="shared" ref="Q68:AA68" si="138">R32</f>
        <v>0</v>
      </c>
      <c r="R68" s="4">
        <f t="shared" si="138"/>
        <v>0</v>
      </c>
      <c r="S68" s="4">
        <f t="shared" si="138"/>
        <v>0</v>
      </c>
      <c r="T68" s="4">
        <f t="shared" si="138"/>
        <v>0</v>
      </c>
      <c r="U68" s="4">
        <f t="shared" si="138"/>
        <v>0</v>
      </c>
      <c r="V68" s="4">
        <f t="shared" si="138"/>
        <v>0</v>
      </c>
      <c r="W68" s="4">
        <f t="shared" si="138"/>
        <v>0</v>
      </c>
      <c r="X68" s="4">
        <f t="shared" si="138"/>
        <v>0</v>
      </c>
      <c r="Y68" s="4">
        <f t="shared" si="138"/>
        <v>0</v>
      </c>
      <c r="Z68" s="4">
        <f t="shared" si="138"/>
        <v>0</v>
      </c>
      <c r="AA68" s="4">
        <f t="shared" si="138"/>
        <v>0</v>
      </c>
      <c r="AB68" s="4">
        <f t="shared" si="36"/>
        <v>0</v>
      </c>
      <c r="AC68" s="429">
        <f t="shared" si="56"/>
        <v>0</v>
      </c>
      <c r="AD68" s="4">
        <f t="shared" ref="AD68:AN68" si="139">AE32</f>
        <v>0</v>
      </c>
      <c r="AE68" s="4">
        <f t="shared" si="139"/>
        <v>0</v>
      </c>
      <c r="AF68" s="4">
        <f t="shared" si="139"/>
        <v>0</v>
      </c>
      <c r="AG68" s="4">
        <f t="shared" si="139"/>
        <v>0</v>
      </c>
      <c r="AH68" s="4">
        <f t="shared" si="139"/>
        <v>0</v>
      </c>
      <c r="AI68" s="4">
        <f t="shared" si="139"/>
        <v>0</v>
      </c>
      <c r="AJ68" s="4">
        <f t="shared" si="139"/>
        <v>0</v>
      </c>
      <c r="AK68" s="4">
        <f t="shared" si="139"/>
        <v>0</v>
      </c>
      <c r="AL68" s="4">
        <f t="shared" si="139"/>
        <v>0</v>
      </c>
      <c r="AM68" s="4">
        <f t="shared" si="139"/>
        <v>0</v>
      </c>
      <c r="AN68" s="4">
        <f t="shared" si="139"/>
        <v>0</v>
      </c>
      <c r="AO68" s="4">
        <f t="shared" si="38"/>
        <v>0</v>
      </c>
      <c r="AP68" s="429">
        <f t="shared" si="58"/>
        <v>0</v>
      </c>
      <c r="AQ68" s="4">
        <f t="shared" ref="AQ68:BA68" si="140">AR32</f>
        <v>0</v>
      </c>
      <c r="AR68" s="4">
        <f t="shared" si="140"/>
        <v>0</v>
      </c>
      <c r="AS68" s="4">
        <f t="shared" si="140"/>
        <v>0</v>
      </c>
      <c r="AT68" s="4">
        <f t="shared" si="140"/>
        <v>0</v>
      </c>
      <c r="AU68" s="4">
        <f t="shared" si="140"/>
        <v>0</v>
      </c>
      <c r="AV68" s="4">
        <f t="shared" si="140"/>
        <v>0</v>
      </c>
      <c r="AW68" s="4">
        <f t="shared" si="140"/>
        <v>0</v>
      </c>
      <c r="AX68" s="4">
        <f t="shared" si="140"/>
        <v>0</v>
      </c>
      <c r="AY68" s="4">
        <f t="shared" si="140"/>
        <v>0</v>
      </c>
      <c r="AZ68" s="4">
        <f t="shared" si="140"/>
        <v>0</v>
      </c>
      <c r="BA68" s="4">
        <f t="shared" si="140"/>
        <v>0</v>
      </c>
      <c r="BB68" s="4">
        <f t="shared" si="40"/>
        <v>0</v>
      </c>
      <c r="BC68" s="429">
        <f t="shared" si="60"/>
        <v>0</v>
      </c>
      <c r="BD68" s="4">
        <f t="shared" ref="BD68:BN68" si="141">BE32</f>
        <v>0</v>
      </c>
      <c r="BE68" s="4">
        <f t="shared" si="141"/>
        <v>0</v>
      </c>
      <c r="BF68" s="4">
        <f t="shared" si="141"/>
        <v>0</v>
      </c>
      <c r="BG68" s="4">
        <f t="shared" si="141"/>
        <v>0</v>
      </c>
      <c r="BH68" s="4">
        <f t="shared" si="141"/>
        <v>0</v>
      </c>
      <c r="BI68" s="4">
        <f t="shared" si="141"/>
        <v>0</v>
      </c>
      <c r="BJ68" s="4">
        <f t="shared" si="141"/>
        <v>0</v>
      </c>
      <c r="BK68" s="4">
        <f t="shared" si="141"/>
        <v>0</v>
      </c>
      <c r="BL68" s="4">
        <f t="shared" si="141"/>
        <v>0</v>
      </c>
      <c r="BM68" s="4">
        <f t="shared" si="141"/>
        <v>0</v>
      </c>
      <c r="BN68" s="4">
        <f t="shared" si="141"/>
        <v>0</v>
      </c>
      <c r="BO68" s="4">
        <f t="shared" si="42"/>
        <v>0</v>
      </c>
      <c r="BP68" s="429">
        <f t="shared" si="62"/>
        <v>0</v>
      </c>
      <c r="BQ68" s="4">
        <f t="shared" ref="BQ68:CA68" si="142">BR32</f>
        <v>0</v>
      </c>
      <c r="BR68" s="4">
        <f t="shared" si="142"/>
        <v>0</v>
      </c>
      <c r="BS68" s="4">
        <f t="shared" si="142"/>
        <v>0</v>
      </c>
      <c r="BT68" s="4">
        <f t="shared" si="142"/>
        <v>0</v>
      </c>
      <c r="BU68" s="4">
        <f t="shared" si="142"/>
        <v>0</v>
      </c>
      <c r="BV68" s="4">
        <f t="shared" si="142"/>
        <v>0</v>
      </c>
      <c r="BW68" s="4">
        <f t="shared" si="142"/>
        <v>0</v>
      </c>
      <c r="BX68" s="4">
        <f t="shared" si="142"/>
        <v>0</v>
      </c>
      <c r="BY68" s="4">
        <f t="shared" si="142"/>
        <v>0</v>
      </c>
      <c r="BZ68" s="4">
        <f t="shared" si="142"/>
        <v>0</v>
      </c>
      <c r="CA68" s="4">
        <f t="shared" si="142"/>
        <v>0</v>
      </c>
      <c r="CB68" s="4">
        <f t="shared" si="44"/>
        <v>0</v>
      </c>
      <c r="CC68" s="429">
        <f t="shared" si="64"/>
        <v>0</v>
      </c>
      <c r="CD68" s="4">
        <f t="shared" ref="CD68:CN68" si="143">CE32</f>
        <v>0</v>
      </c>
      <c r="CE68" s="4">
        <f t="shared" si="143"/>
        <v>0</v>
      </c>
      <c r="CF68" s="4">
        <f t="shared" si="143"/>
        <v>0</v>
      </c>
      <c r="CG68" s="4">
        <f t="shared" si="143"/>
        <v>0</v>
      </c>
      <c r="CH68" s="4">
        <f t="shared" si="143"/>
        <v>0</v>
      </c>
      <c r="CI68" s="4">
        <f t="shared" si="143"/>
        <v>0</v>
      </c>
      <c r="CJ68" s="4">
        <f t="shared" si="143"/>
        <v>0</v>
      </c>
      <c r="CK68" s="4">
        <f t="shared" si="143"/>
        <v>0</v>
      </c>
      <c r="CL68" s="4">
        <f t="shared" si="143"/>
        <v>0</v>
      </c>
      <c r="CM68" s="4">
        <f t="shared" si="143"/>
        <v>0</v>
      </c>
      <c r="CN68" s="4">
        <f t="shared" si="143"/>
        <v>0</v>
      </c>
      <c r="CO68" s="4">
        <f t="shared" si="46"/>
        <v>0</v>
      </c>
      <c r="CP68" s="429">
        <f t="shared" si="66"/>
        <v>0</v>
      </c>
    </row>
    <row r="69" spans="1:94" hidden="1">
      <c r="A69" s="4">
        <f>'Summary. Assumptions. Inputs'!A60</f>
        <v>0</v>
      </c>
      <c r="B69" s="4">
        <f>'Summary. Assumptions. Inputs'!B60</f>
        <v>0</v>
      </c>
      <c r="C69" s="4">
        <f t="shared" ref="C69:N69" si="144">D33</f>
        <v>0</v>
      </c>
      <c r="D69">
        <f t="shared" si="144"/>
        <v>0</v>
      </c>
      <c r="E69">
        <f t="shared" si="144"/>
        <v>0</v>
      </c>
      <c r="F69">
        <f t="shared" si="144"/>
        <v>0</v>
      </c>
      <c r="G69">
        <f t="shared" si="144"/>
        <v>0</v>
      </c>
      <c r="H69">
        <f t="shared" si="144"/>
        <v>0</v>
      </c>
      <c r="I69">
        <f t="shared" si="144"/>
        <v>0</v>
      </c>
      <c r="J69">
        <f t="shared" si="144"/>
        <v>0</v>
      </c>
      <c r="K69">
        <f t="shared" si="144"/>
        <v>0</v>
      </c>
      <c r="L69">
        <f t="shared" si="144"/>
        <v>0</v>
      </c>
      <c r="M69">
        <f t="shared" si="144"/>
        <v>0</v>
      </c>
      <c r="N69">
        <f t="shared" si="144"/>
        <v>0</v>
      </c>
      <c r="O69">
        <f t="shared" si="33"/>
        <v>0</v>
      </c>
      <c r="P69" s="429">
        <f t="shared" si="34"/>
        <v>0</v>
      </c>
      <c r="Q69" s="4">
        <f t="shared" ref="Q69:AA69" si="145">R33</f>
        <v>0</v>
      </c>
      <c r="R69" s="4">
        <f t="shared" si="145"/>
        <v>0</v>
      </c>
      <c r="S69" s="4">
        <f t="shared" si="145"/>
        <v>0</v>
      </c>
      <c r="T69" s="4">
        <f t="shared" si="145"/>
        <v>0</v>
      </c>
      <c r="U69" s="4">
        <f t="shared" si="145"/>
        <v>0</v>
      </c>
      <c r="V69" s="4">
        <f t="shared" si="145"/>
        <v>0</v>
      </c>
      <c r="W69" s="4">
        <f t="shared" si="145"/>
        <v>0</v>
      </c>
      <c r="X69" s="4">
        <f t="shared" si="145"/>
        <v>0</v>
      </c>
      <c r="Y69" s="4">
        <f t="shared" si="145"/>
        <v>0</v>
      </c>
      <c r="Z69" s="4">
        <f t="shared" si="145"/>
        <v>0</v>
      </c>
      <c r="AA69" s="4">
        <f t="shared" si="145"/>
        <v>0</v>
      </c>
      <c r="AB69" s="4">
        <f t="shared" si="36"/>
        <v>0</v>
      </c>
      <c r="AC69" s="429">
        <f t="shared" si="56"/>
        <v>0</v>
      </c>
      <c r="AD69" s="4">
        <f t="shared" ref="AD69:AN69" si="146">AE33</f>
        <v>0</v>
      </c>
      <c r="AE69" s="4">
        <f t="shared" si="146"/>
        <v>0</v>
      </c>
      <c r="AF69" s="4">
        <f t="shared" si="146"/>
        <v>0</v>
      </c>
      <c r="AG69" s="4">
        <f t="shared" si="146"/>
        <v>0</v>
      </c>
      <c r="AH69" s="4">
        <f t="shared" si="146"/>
        <v>0</v>
      </c>
      <c r="AI69" s="4">
        <f t="shared" si="146"/>
        <v>0</v>
      </c>
      <c r="AJ69" s="4">
        <f t="shared" si="146"/>
        <v>0</v>
      </c>
      <c r="AK69" s="4">
        <f t="shared" si="146"/>
        <v>0</v>
      </c>
      <c r="AL69" s="4">
        <f t="shared" si="146"/>
        <v>0</v>
      </c>
      <c r="AM69" s="4">
        <f t="shared" si="146"/>
        <v>0</v>
      </c>
      <c r="AN69" s="4">
        <f t="shared" si="146"/>
        <v>0</v>
      </c>
      <c r="AO69" s="4">
        <f t="shared" si="38"/>
        <v>0</v>
      </c>
      <c r="AP69" s="429">
        <f t="shared" si="58"/>
        <v>0</v>
      </c>
      <c r="AQ69" s="4">
        <f t="shared" ref="AQ69:BA69" si="147">AR33</f>
        <v>0</v>
      </c>
      <c r="AR69" s="4">
        <f t="shared" si="147"/>
        <v>0</v>
      </c>
      <c r="AS69" s="4">
        <f t="shared" si="147"/>
        <v>0</v>
      </c>
      <c r="AT69" s="4">
        <f t="shared" si="147"/>
        <v>0</v>
      </c>
      <c r="AU69" s="4">
        <f t="shared" si="147"/>
        <v>0</v>
      </c>
      <c r="AV69" s="4">
        <f t="shared" si="147"/>
        <v>0</v>
      </c>
      <c r="AW69" s="4">
        <f t="shared" si="147"/>
        <v>0</v>
      </c>
      <c r="AX69" s="4">
        <f t="shared" si="147"/>
        <v>0</v>
      </c>
      <c r="AY69" s="4">
        <f t="shared" si="147"/>
        <v>0</v>
      </c>
      <c r="AZ69" s="4">
        <f t="shared" si="147"/>
        <v>0</v>
      </c>
      <c r="BA69" s="4">
        <f t="shared" si="147"/>
        <v>0</v>
      </c>
      <c r="BB69" s="4">
        <f t="shared" si="40"/>
        <v>0</v>
      </c>
      <c r="BC69" s="429">
        <f t="shared" si="60"/>
        <v>0</v>
      </c>
      <c r="BD69" s="4">
        <f t="shared" ref="BD69:BN69" si="148">BE33</f>
        <v>0</v>
      </c>
      <c r="BE69" s="4">
        <f t="shared" si="148"/>
        <v>0</v>
      </c>
      <c r="BF69" s="4">
        <f t="shared" si="148"/>
        <v>0</v>
      </c>
      <c r="BG69" s="4">
        <f t="shared" si="148"/>
        <v>0</v>
      </c>
      <c r="BH69" s="4">
        <f t="shared" si="148"/>
        <v>0</v>
      </c>
      <c r="BI69" s="4">
        <f t="shared" si="148"/>
        <v>0</v>
      </c>
      <c r="BJ69" s="4">
        <f t="shared" si="148"/>
        <v>0</v>
      </c>
      <c r="BK69" s="4">
        <f t="shared" si="148"/>
        <v>0</v>
      </c>
      <c r="BL69" s="4">
        <f t="shared" si="148"/>
        <v>0</v>
      </c>
      <c r="BM69" s="4">
        <f t="shared" si="148"/>
        <v>0</v>
      </c>
      <c r="BN69" s="4">
        <f t="shared" si="148"/>
        <v>0</v>
      </c>
      <c r="BO69" s="4">
        <f t="shared" si="42"/>
        <v>0</v>
      </c>
      <c r="BP69" s="429">
        <f t="shared" si="62"/>
        <v>0</v>
      </c>
      <c r="BQ69" s="4">
        <f t="shared" ref="BQ69:CA69" si="149">BR33</f>
        <v>0</v>
      </c>
      <c r="BR69" s="4">
        <f t="shared" si="149"/>
        <v>0</v>
      </c>
      <c r="BS69" s="4">
        <f t="shared" si="149"/>
        <v>0</v>
      </c>
      <c r="BT69" s="4">
        <f t="shared" si="149"/>
        <v>0</v>
      </c>
      <c r="BU69" s="4">
        <f t="shared" si="149"/>
        <v>0</v>
      </c>
      <c r="BV69" s="4">
        <f t="shared" si="149"/>
        <v>0</v>
      </c>
      <c r="BW69" s="4">
        <f t="shared" si="149"/>
        <v>0</v>
      </c>
      <c r="BX69" s="4">
        <f t="shared" si="149"/>
        <v>0</v>
      </c>
      <c r="BY69" s="4">
        <f t="shared" si="149"/>
        <v>0</v>
      </c>
      <c r="BZ69" s="4">
        <f t="shared" si="149"/>
        <v>0</v>
      </c>
      <c r="CA69" s="4">
        <f t="shared" si="149"/>
        <v>0</v>
      </c>
      <c r="CB69" s="4">
        <f t="shared" si="44"/>
        <v>0</v>
      </c>
      <c r="CC69" s="429">
        <f t="shared" si="64"/>
        <v>0</v>
      </c>
      <c r="CD69" s="4">
        <f t="shared" ref="CD69:CN69" si="150">CE33</f>
        <v>0</v>
      </c>
      <c r="CE69" s="4">
        <f t="shared" si="150"/>
        <v>0</v>
      </c>
      <c r="CF69" s="4">
        <f t="shared" si="150"/>
        <v>0</v>
      </c>
      <c r="CG69" s="4">
        <f t="shared" si="150"/>
        <v>0</v>
      </c>
      <c r="CH69" s="4">
        <f t="shared" si="150"/>
        <v>0</v>
      </c>
      <c r="CI69" s="4">
        <f t="shared" si="150"/>
        <v>0</v>
      </c>
      <c r="CJ69" s="4">
        <f t="shared" si="150"/>
        <v>0</v>
      </c>
      <c r="CK69" s="4">
        <f t="shared" si="150"/>
        <v>0</v>
      </c>
      <c r="CL69" s="4">
        <f t="shared" si="150"/>
        <v>0</v>
      </c>
      <c r="CM69" s="4">
        <f t="shared" si="150"/>
        <v>0</v>
      </c>
      <c r="CN69" s="4">
        <f t="shared" si="150"/>
        <v>0</v>
      </c>
      <c r="CO69" s="4">
        <f t="shared" si="46"/>
        <v>0</v>
      </c>
      <c r="CP69" s="429">
        <f t="shared" si="66"/>
        <v>0</v>
      </c>
    </row>
    <row r="70" spans="1:94" hidden="1">
      <c r="A70" s="4">
        <f>'Summary. Assumptions. Inputs'!A61</f>
        <v>0</v>
      </c>
      <c r="B70" s="4">
        <f>'Summary. Assumptions. Inputs'!B61</f>
        <v>0</v>
      </c>
      <c r="C70" s="4">
        <f t="shared" ref="C70:N70" si="151">D34</f>
        <v>0</v>
      </c>
      <c r="D70">
        <f t="shared" si="151"/>
        <v>0</v>
      </c>
      <c r="E70">
        <f t="shared" si="151"/>
        <v>0</v>
      </c>
      <c r="F70">
        <f t="shared" si="151"/>
        <v>0</v>
      </c>
      <c r="G70">
        <f t="shared" si="151"/>
        <v>0</v>
      </c>
      <c r="H70">
        <f t="shared" si="151"/>
        <v>0</v>
      </c>
      <c r="I70">
        <f t="shared" si="151"/>
        <v>0</v>
      </c>
      <c r="J70">
        <f t="shared" si="151"/>
        <v>0</v>
      </c>
      <c r="K70">
        <f t="shared" si="151"/>
        <v>0</v>
      </c>
      <c r="L70">
        <f t="shared" si="151"/>
        <v>0</v>
      </c>
      <c r="M70">
        <f t="shared" si="151"/>
        <v>0</v>
      </c>
      <c r="N70">
        <f t="shared" si="151"/>
        <v>0</v>
      </c>
      <c r="O70">
        <f t="shared" si="33"/>
        <v>0</v>
      </c>
      <c r="P70" s="429">
        <f t="shared" si="34"/>
        <v>0</v>
      </c>
      <c r="Q70" s="4">
        <f t="shared" ref="Q70:AA70" si="152">R34</f>
        <v>0</v>
      </c>
      <c r="R70" s="4">
        <f t="shared" si="152"/>
        <v>0</v>
      </c>
      <c r="S70" s="4">
        <f t="shared" si="152"/>
        <v>0</v>
      </c>
      <c r="T70" s="4">
        <f t="shared" si="152"/>
        <v>0</v>
      </c>
      <c r="U70" s="4">
        <f t="shared" si="152"/>
        <v>0</v>
      </c>
      <c r="V70" s="4">
        <f t="shared" si="152"/>
        <v>0</v>
      </c>
      <c r="W70" s="4">
        <f t="shared" si="152"/>
        <v>0</v>
      </c>
      <c r="X70" s="4">
        <f t="shared" si="152"/>
        <v>0</v>
      </c>
      <c r="Y70" s="4">
        <f t="shared" si="152"/>
        <v>0</v>
      </c>
      <c r="Z70" s="4">
        <f t="shared" si="152"/>
        <v>0</v>
      </c>
      <c r="AA70" s="4">
        <f t="shared" si="152"/>
        <v>0</v>
      </c>
      <c r="AB70" s="4">
        <f t="shared" si="36"/>
        <v>0</v>
      </c>
      <c r="AC70" s="429">
        <f t="shared" si="56"/>
        <v>0</v>
      </c>
      <c r="AD70" s="4">
        <f t="shared" ref="AD70:AN70" si="153">AE34</f>
        <v>0</v>
      </c>
      <c r="AE70" s="4">
        <f t="shared" si="153"/>
        <v>0</v>
      </c>
      <c r="AF70" s="4">
        <f t="shared" si="153"/>
        <v>0</v>
      </c>
      <c r="AG70" s="4">
        <f t="shared" si="153"/>
        <v>0</v>
      </c>
      <c r="AH70" s="4">
        <f t="shared" si="153"/>
        <v>0</v>
      </c>
      <c r="AI70" s="4">
        <f t="shared" si="153"/>
        <v>0</v>
      </c>
      <c r="AJ70" s="4">
        <f t="shared" si="153"/>
        <v>0</v>
      </c>
      <c r="AK70" s="4">
        <f t="shared" si="153"/>
        <v>0</v>
      </c>
      <c r="AL70" s="4">
        <f t="shared" si="153"/>
        <v>0</v>
      </c>
      <c r="AM70" s="4">
        <f t="shared" si="153"/>
        <v>0</v>
      </c>
      <c r="AN70" s="4">
        <f t="shared" si="153"/>
        <v>0</v>
      </c>
      <c r="AO70" s="4">
        <f t="shared" si="38"/>
        <v>0</v>
      </c>
      <c r="AP70" s="429">
        <f t="shared" si="58"/>
        <v>0</v>
      </c>
      <c r="AQ70" s="4">
        <f t="shared" ref="AQ70:BA70" si="154">AR34</f>
        <v>0</v>
      </c>
      <c r="AR70" s="4">
        <f t="shared" si="154"/>
        <v>0</v>
      </c>
      <c r="AS70" s="4">
        <f t="shared" si="154"/>
        <v>0</v>
      </c>
      <c r="AT70" s="4">
        <f t="shared" si="154"/>
        <v>0</v>
      </c>
      <c r="AU70" s="4">
        <f t="shared" si="154"/>
        <v>0</v>
      </c>
      <c r="AV70" s="4">
        <f t="shared" si="154"/>
        <v>0</v>
      </c>
      <c r="AW70" s="4">
        <f t="shared" si="154"/>
        <v>0</v>
      </c>
      <c r="AX70" s="4">
        <f t="shared" si="154"/>
        <v>0</v>
      </c>
      <c r="AY70" s="4">
        <f t="shared" si="154"/>
        <v>0</v>
      </c>
      <c r="AZ70" s="4">
        <f t="shared" si="154"/>
        <v>0</v>
      </c>
      <c r="BA70" s="4">
        <f t="shared" si="154"/>
        <v>0</v>
      </c>
      <c r="BB70" s="4">
        <f t="shared" si="40"/>
        <v>0</v>
      </c>
      <c r="BC70" s="429">
        <f t="shared" si="60"/>
        <v>0</v>
      </c>
      <c r="BD70" s="4">
        <f t="shared" ref="BD70:BN70" si="155">BE34</f>
        <v>0</v>
      </c>
      <c r="BE70" s="4">
        <f t="shared" si="155"/>
        <v>0</v>
      </c>
      <c r="BF70" s="4">
        <f t="shared" si="155"/>
        <v>0</v>
      </c>
      <c r="BG70" s="4">
        <f t="shared" si="155"/>
        <v>0</v>
      </c>
      <c r="BH70" s="4">
        <f t="shared" si="155"/>
        <v>0</v>
      </c>
      <c r="BI70" s="4">
        <f t="shared" si="155"/>
        <v>0</v>
      </c>
      <c r="BJ70" s="4">
        <f t="shared" si="155"/>
        <v>0</v>
      </c>
      <c r="BK70" s="4">
        <f t="shared" si="155"/>
        <v>0</v>
      </c>
      <c r="BL70" s="4">
        <f t="shared" si="155"/>
        <v>0</v>
      </c>
      <c r="BM70" s="4">
        <f t="shared" si="155"/>
        <v>0</v>
      </c>
      <c r="BN70" s="4">
        <f t="shared" si="155"/>
        <v>0</v>
      </c>
      <c r="BO70" s="4">
        <f t="shared" si="42"/>
        <v>0</v>
      </c>
      <c r="BP70" s="429">
        <f t="shared" si="62"/>
        <v>0</v>
      </c>
      <c r="BQ70" s="4">
        <f t="shared" ref="BQ70:CA70" si="156">BR34</f>
        <v>0</v>
      </c>
      <c r="BR70" s="4">
        <f t="shared" si="156"/>
        <v>0</v>
      </c>
      <c r="BS70" s="4">
        <f t="shared" si="156"/>
        <v>0</v>
      </c>
      <c r="BT70" s="4">
        <f t="shared" si="156"/>
        <v>0</v>
      </c>
      <c r="BU70" s="4">
        <f t="shared" si="156"/>
        <v>0</v>
      </c>
      <c r="BV70" s="4">
        <f t="shared" si="156"/>
        <v>0</v>
      </c>
      <c r="BW70" s="4">
        <f t="shared" si="156"/>
        <v>0</v>
      </c>
      <c r="BX70" s="4">
        <f t="shared" si="156"/>
        <v>0</v>
      </c>
      <c r="BY70" s="4">
        <f t="shared" si="156"/>
        <v>0</v>
      </c>
      <c r="BZ70" s="4">
        <f t="shared" si="156"/>
        <v>0</v>
      </c>
      <c r="CA70" s="4">
        <f t="shared" si="156"/>
        <v>0</v>
      </c>
      <c r="CB70" s="4">
        <f t="shared" si="44"/>
        <v>0</v>
      </c>
      <c r="CC70" s="429">
        <f t="shared" si="64"/>
        <v>0</v>
      </c>
      <c r="CD70" s="4">
        <f t="shared" ref="CD70:CN70" si="157">CE34</f>
        <v>0</v>
      </c>
      <c r="CE70" s="4">
        <f t="shared" si="157"/>
        <v>0</v>
      </c>
      <c r="CF70" s="4">
        <f t="shared" si="157"/>
        <v>0</v>
      </c>
      <c r="CG70" s="4">
        <f t="shared" si="157"/>
        <v>0</v>
      </c>
      <c r="CH70" s="4">
        <f t="shared" si="157"/>
        <v>0</v>
      </c>
      <c r="CI70" s="4">
        <f t="shared" si="157"/>
        <v>0</v>
      </c>
      <c r="CJ70" s="4">
        <f t="shared" si="157"/>
        <v>0</v>
      </c>
      <c r="CK70" s="4">
        <f t="shared" si="157"/>
        <v>0</v>
      </c>
      <c r="CL70" s="4">
        <f t="shared" si="157"/>
        <v>0</v>
      </c>
      <c r="CM70" s="4">
        <f t="shared" si="157"/>
        <v>0</v>
      </c>
      <c r="CN70" s="4">
        <f t="shared" si="157"/>
        <v>0</v>
      </c>
      <c r="CO70" s="4">
        <f t="shared" si="46"/>
        <v>0</v>
      </c>
      <c r="CP70" s="429">
        <f t="shared" si="66"/>
        <v>0</v>
      </c>
    </row>
    <row r="71" spans="1:94" hidden="1">
      <c r="A71" s="4">
        <f>'Summary. Assumptions. Inputs'!A62</f>
        <v>0</v>
      </c>
      <c r="B71" s="4">
        <f>'Summary. Assumptions. Inputs'!B62</f>
        <v>0</v>
      </c>
      <c r="C71" s="4">
        <f t="shared" ref="C71:N71" si="158">D35</f>
        <v>0</v>
      </c>
      <c r="D71">
        <f t="shared" si="158"/>
        <v>0</v>
      </c>
      <c r="E71">
        <f t="shared" si="158"/>
        <v>0</v>
      </c>
      <c r="F71">
        <f t="shared" si="158"/>
        <v>0</v>
      </c>
      <c r="G71">
        <f t="shared" si="158"/>
        <v>0</v>
      </c>
      <c r="H71">
        <f t="shared" si="158"/>
        <v>0</v>
      </c>
      <c r="I71">
        <f t="shared" si="158"/>
        <v>0</v>
      </c>
      <c r="J71">
        <f t="shared" si="158"/>
        <v>0</v>
      </c>
      <c r="K71">
        <f t="shared" si="158"/>
        <v>0</v>
      </c>
      <c r="L71">
        <f t="shared" si="158"/>
        <v>0</v>
      </c>
      <c r="M71">
        <f t="shared" si="158"/>
        <v>0</v>
      </c>
      <c r="N71">
        <f t="shared" si="158"/>
        <v>0</v>
      </c>
      <c r="O71">
        <f t="shared" si="33"/>
        <v>0</v>
      </c>
      <c r="P71" s="429">
        <f t="shared" si="34"/>
        <v>0</v>
      </c>
      <c r="Q71" s="4">
        <f t="shared" ref="Q71:AA71" si="159">R35</f>
        <v>0</v>
      </c>
      <c r="R71" s="4">
        <f t="shared" si="159"/>
        <v>0</v>
      </c>
      <c r="S71" s="4">
        <f t="shared" si="159"/>
        <v>0</v>
      </c>
      <c r="T71" s="4">
        <f t="shared" si="159"/>
        <v>0</v>
      </c>
      <c r="U71" s="4">
        <f t="shared" si="159"/>
        <v>0</v>
      </c>
      <c r="V71" s="4">
        <f t="shared" si="159"/>
        <v>0</v>
      </c>
      <c r="W71" s="4">
        <f t="shared" si="159"/>
        <v>0</v>
      </c>
      <c r="X71" s="4">
        <f t="shared" si="159"/>
        <v>0</v>
      </c>
      <c r="Y71" s="4">
        <f t="shared" si="159"/>
        <v>0</v>
      </c>
      <c r="Z71" s="4">
        <f t="shared" si="159"/>
        <v>0</v>
      </c>
      <c r="AA71" s="4">
        <f t="shared" si="159"/>
        <v>0</v>
      </c>
      <c r="AB71" s="4">
        <f t="shared" si="36"/>
        <v>0</v>
      </c>
      <c r="AC71" s="429">
        <f t="shared" si="56"/>
        <v>0</v>
      </c>
      <c r="AD71" s="4">
        <f t="shared" ref="AD71:AN71" si="160">AE35</f>
        <v>0</v>
      </c>
      <c r="AE71" s="4">
        <f t="shared" si="160"/>
        <v>0</v>
      </c>
      <c r="AF71" s="4">
        <f t="shared" si="160"/>
        <v>0</v>
      </c>
      <c r="AG71" s="4">
        <f t="shared" si="160"/>
        <v>0</v>
      </c>
      <c r="AH71" s="4">
        <f t="shared" si="160"/>
        <v>0</v>
      </c>
      <c r="AI71" s="4">
        <f t="shared" si="160"/>
        <v>0</v>
      </c>
      <c r="AJ71" s="4">
        <f t="shared" si="160"/>
        <v>0</v>
      </c>
      <c r="AK71" s="4">
        <f t="shared" si="160"/>
        <v>0</v>
      </c>
      <c r="AL71" s="4">
        <f t="shared" si="160"/>
        <v>0</v>
      </c>
      <c r="AM71" s="4">
        <f t="shared" si="160"/>
        <v>0</v>
      </c>
      <c r="AN71" s="4">
        <f t="shared" si="160"/>
        <v>0</v>
      </c>
      <c r="AO71" s="4">
        <f t="shared" si="38"/>
        <v>0</v>
      </c>
      <c r="AP71" s="429">
        <f t="shared" si="58"/>
        <v>0</v>
      </c>
      <c r="AQ71" s="4">
        <f t="shared" ref="AQ71:BA71" si="161">AR35</f>
        <v>0</v>
      </c>
      <c r="AR71" s="4">
        <f t="shared" si="161"/>
        <v>0</v>
      </c>
      <c r="AS71" s="4">
        <f t="shared" si="161"/>
        <v>0</v>
      </c>
      <c r="AT71" s="4">
        <f t="shared" si="161"/>
        <v>0</v>
      </c>
      <c r="AU71" s="4">
        <f t="shared" si="161"/>
        <v>0</v>
      </c>
      <c r="AV71" s="4">
        <f t="shared" si="161"/>
        <v>0</v>
      </c>
      <c r="AW71" s="4">
        <f t="shared" si="161"/>
        <v>0</v>
      </c>
      <c r="AX71" s="4">
        <f t="shared" si="161"/>
        <v>0</v>
      </c>
      <c r="AY71" s="4">
        <f t="shared" si="161"/>
        <v>0</v>
      </c>
      <c r="AZ71" s="4">
        <f t="shared" si="161"/>
        <v>0</v>
      </c>
      <c r="BA71" s="4">
        <f t="shared" si="161"/>
        <v>0</v>
      </c>
      <c r="BB71" s="4">
        <f t="shared" si="40"/>
        <v>0</v>
      </c>
      <c r="BC71" s="429">
        <f t="shared" si="60"/>
        <v>0</v>
      </c>
      <c r="BD71" s="4">
        <f t="shared" ref="BD71:BN71" si="162">BE35</f>
        <v>0</v>
      </c>
      <c r="BE71" s="4">
        <f t="shared" si="162"/>
        <v>0</v>
      </c>
      <c r="BF71" s="4">
        <f t="shared" si="162"/>
        <v>0</v>
      </c>
      <c r="BG71" s="4">
        <f t="shared" si="162"/>
        <v>0</v>
      </c>
      <c r="BH71" s="4">
        <f t="shared" si="162"/>
        <v>0</v>
      </c>
      <c r="BI71" s="4">
        <f t="shared" si="162"/>
        <v>0</v>
      </c>
      <c r="BJ71" s="4">
        <f t="shared" si="162"/>
        <v>0</v>
      </c>
      <c r="BK71" s="4">
        <f t="shared" si="162"/>
        <v>0</v>
      </c>
      <c r="BL71" s="4">
        <f t="shared" si="162"/>
        <v>0</v>
      </c>
      <c r="BM71" s="4">
        <f t="shared" si="162"/>
        <v>0</v>
      </c>
      <c r="BN71" s="4">
        <f t="shared" si="162"/>
        <v>0</v>
      </c>
      <c r="BO71" s="4">
        <f t="shared" si="42"/>
        <v>0</v>
      </c>
      <c r="BP71" s="429">
        <f t="shared" si="62"/>
        <v>0</v>
      </c>
      <c r="BQ71" s="4">
        <f t="shared" ref="BQ71:CA71" si="163">BR35</f>
        <v>0</v>
      </c>
      <c r="BR71" s="4">
        <f t="shared" si="163"/>
        <v>0</v>
      </c>
      <c r="BS71" s="4">
        <f t="shared" si="163"/>
        <v>0</v>
      </c>
      <c r="BT71" s="4">
        <f t="shared" si="163"/>
        <v>0</v>
      </c>
      <c r="BU71" s="4">
        <f t="shared" si="163"/>
        <v>0</v>
      </c>
      <c r="BV71" s="4">
        <f t="shared" si="163"/>
        <v>0</v>
      </c>
      <c r="BW71" s="4">
        <f t="shared" si="163"/>
        <v>0</v>
      </c>
      <c r="BX71" s="4">
        <f t="shared" si="163"/>
        <v>0</v>
      </c>
      <c r="BY71" s="4">
        <f t="shared" si="163"/>
        <v>0</v>
      </c>
      <c r="BZ71" s="4">
        <f t="shared" si="163"/>
        <v>0</v>
      </c>
      <c r="CA71" s="4">
        <f t="shared" si="163"/>
        <v>0</v>
      </c>
      <c r="CB71" s="4">
        <f t="shared" si="44"/>
        <v>0</v>
      </c>
      <c r="CC71" s="429">
        <f t="shared" si="64"/>
        <v>0</v>
      </c>
      <c r="CD71" s="4">
        <f t="shared" ref="CD71:CN71" si="164">CE35</f>
        <v>0</v>
      </c>
      <c r="CE71" s="4">
        <f t="shared" si="164"/>
        <v>0</v>
      </c>
      <c r="CF71" s="4">
        <f t="shared" si="164"/>
        <v>0</v>
      </c>
      <c r="CG71" s="4">
        <f t="shared" si="164"/>
        <v>0</v>
      </c>
      <c r="CH71" s="4">
        <f t="shared" si="164"/>
        <v>0</v>
      </c>
      <c r="CI71" s="4">
        <f t="shared" si="164"/>
        <v>0</v>
      </c>
      <c r="CJ71" s="4">
        <f t="shared" si="164"/>
        <v>0</v>
      </c>
      <c r="CK71" s="4">
        <f t="shared" si="164"/>
        <v>0</v>
      </c>
      <c r="CL71" s="4">
        <f t="shared" si="164"/>
        <v>0</v>
      </c>
      <c r="CM71" s="4">
        <f t="shared" si="164"/>
        <v>0</v>
      </c>
      <c r="CN71" s="4">
        <f t="shared" si="164"/>
        <v>0</v>
      </c>
      <c r="CO71" s="4">
        <f t="shared" si="46"/>
        <v>0</v>
      </c>
      <c r="CP71" s="429">
        <f t="shared" si="66"/>
        <v>0</v>
      </c>
    </row>
    <row r="72" spans="1:94" hidden="1">
      <c r="A72" s="4">
        <f>'Summary. Assumptions. Inputs'!A63</f>
        <v>0</v>
      </c>
      <c r="B72" s="4">
        <f>'Summary. Assumptions. Inputs'!B63</f>
        <v>0</v>
      </c>
      <c r="C72" s="4">
        <f t="shared" ref="C72:N72" si="165">D36</f>
        <v>0</v>
      </c>
      <c r="D72">
        <f t="shared" si="165"/>
        <v>0</v>
      </c>
      <c r="E72">
        <f t="shared" si="165"/>
        <v>0</v>
      </c>
      <c r="F72">
        <f t="shared" si="165"/>
        <v>0</v>
      </c>
      <c r="G72">
        <f t="shared" si="165"/>
        <v>0</v>
      </c>
      <c r="H72">
        <f t="shared" si="165"/>
        <v>0</v>
      </c>
      <c r="I72">
        <f t="shared" si="165"/>
        <v>0</v>
      </c>
      <c r="J72">
        <f t="shared" si="165"/>
        <v>0</v>
      </c>
      <c r="K72">
        <f t="shared" si="165"/>
        <v>0</v>
      </c>
      <c r="L72">
        <f t="shared" si="165"/>
        <v>0</v>
      </c>
      <c r="M72">
        <f t="shared" si="165"/>
        <v>0</v>
      </c>
      <c r="N72">
        <f t="shared" si="165"/>
        <v>0</v>
      </c>
      <c r="O72">
        <f t="shared" si="33"/>
        <v>0</v>
      </c>
      <c r="P72" s="429">
        <f t="shared" si="34"/>
        <v>0</v>
      </c>
      <c r="Q72" s="4">
        <f t="shared" ref="Q72:AA72" si="166">R36</f>
        <v>0</v>
      </c>
      <c r="R72" s="4">
        <f t="shared" si="166"/>
        <v>0</v>
      </c>
      <c r="S72" s="4">
        <f t="shared" si="166"/>
        <v>0</v>
      </c>
      <c r="T72" s="4">
        <f t="shared" si="166"/>
        <v>0</v>
      </c>
      <c r="U72" s="4">
        <f t="shared" si="166"/>
        <v>0</v>
      </c>
      <c r="V72" s="4">
        <f t="shared" si="166"/>
        <v>0</v>
      </c>
      <c r="W72" s="4">
        <f t="shared" si="166"/>
        <v>0</v>
      </c>
      <c r="X72" s="4">
        <f t="shared" si="166"/>
        <v>0</v>
      </c>
      <c r="Y72" s="4">
        <f t="shared" si="166"/>
        <v>0</v>
      </c>
      <c r="Z72" s="4">
        <f t="shared" si="166"/>
        <v>0</v>
      </c>
      <c r="AA72" s="4">
        <f t="shared" si="166"/>
        <v>0</v>
      </c>
      <c r="AB72" s="4">
        <f t="shared" si="36"/>
        <v>0</v>
      </c>
      <c r="AC72" s="429">
        <f t="shared" si="56"/>
        <v>0</v>
      </c>
      <c r="AD72" s="4">
        <f t="shared" ref="AD72:AN72" si="167">AE36</f>
        <v>0</v>
      </c>
      <c r="AE72" s="4">
        <f t="shared" si="167"/>
        <v>0</v>
      </c>
      <c r="AF72" s="4">
        <f t="shared" si="167"/>
        <v>0</v>
      </c>
      <c r="AG72" s="4">
        <f t="shared" si="167"/>
        <v>0</v>
      </c>
      <c r="AH72" s="4">
        <f t="shared" si="167"/>
        <v>0</v>
      </c>
      <c r="AI72" s="4">
        <f t="shared" si="167"/>
        <v>0</v>
      </c>
      <c r="AJ72" s="4">
        <f t="shared" si="167"/>
        <v>0</v>
      </c>
      <c r="AK72" s="4">
        <f t="shared" si="167"/>
        <v>0</v>
      </c>
      <c r="AL72" s="4">
        <f t="shared" si="167"/>
        <v>0</v>
      </c>
      <c r="AM72" s="4">
        <f t="shared" si="167"/>
        <v>0</v>
      </c>
      <c r="AN72" s="4">
        <f t="shared" si="167"/>
        <v>0</v>
      </c>
      <c r="AO72" s="4">
        <f t="shared" si="38"/>
        <v>0</v>
      </c>
      <c r="AP72" s="429">
        <f t="shared" si="58"/>
        <v>0</v>
      </c>
      <c r="AQ72" s="4">
        <f t="shared" ref="AQ72:BA72" si="168">AR36</f>
        <v>0</v>
      </c>
      <c r="AR72" s="4">
        <f t="shared" si="168"/>
        <v>0</v>
      </c>
      <c r="AS72" s="4">
        <f t="shared" si="168"/>
        <v>0</v>
      </c>
      <c r="AT72" s="4">
        <f t="shared" si="168"/>
        <v>0</v>
      </c>
      <c r="AU72" s="4">
        <f t="shared" si="168"/>
        <v>0</v>
      </c>
      <c r="AV72" s="4">
        <f t="shared" si="168"/>
        <v>0</v>
      </c>
      <c r="AW72" s="4">
        <f t="shared" si="168"/>
        <v>0</v>
      </c>
      <c r="AX72" s="4">
        <f t="shared" si="168"/>
        <v>0</v>
      </c>
      <c r="AY72" s="4">
        <f t="shared" si="168"/>
        <v>0</v>
      </c>
      <c r="AZ72" s="4">
        <f t="shared" si="168"/>
        <v>0</v>
      </c>
      <c r="BA72" s="4">
        <f t="shared" si="168"/>
        <v>0</v>
      </c>
      <c r="BB72" s="4">
        <f t="shared" si="40"/>
        <v>0</v>
      </c>
      <c r="BC72" s="429">
        <f t="shared" si="60"/>
        <v>0</v>
      </c>
      <c r="BD72" s="4">
        <f t="shared" ref="BD72:BN72" si="169">BE36</f>
        <v>0</v>
      </c>
      <c r="BE72" s="4">
        <f t="shared" si="169"/>
        <v>0</v>
      </c>
      <c r="BF72" s="4">
        <f t="shared" si="169"/>
        <v>0</v>
      </c>
      <c r="BG72" s="4">
        <f t="shared" si="169"/>
        <v>0</v>
      </c>
      <c r="BH72" s="4">
        <f t="shared" si="169"/>
        <v>0</v>
      </c>
      <c r="BI72" s="4">
        <f t="shared" si="169"/>
        <v>0</v>
      </c>
      <c r="BJ72" s="4">
        <f t="shared" si="169"/>
        <v>0</v>
      </c>
      <c r="BK72" s="4">
        <f t="shared" si="169"/>
        <v>0</v>
      </c>
      <c r="BL72" s="4">
        <f t="shared" si="169"/>
        <v>0</v>
      </c>
      <c r="BM72" s="4">
        <f t="shared" si="169"/>
        <v>0</v>
      </c>
      <c r="BN72" s="4">
        <f t="shared" si="169"/>
        <v>0</v>
      </c>
      <c r="BO72" s="4">
        <f t="shared" si="42"/>
        <v>0</v>
      </c>
      <c r="BP72" s="429">
        <f t="shared" si="62"/>
        <v>0</v>
      </c>
      <c r="BQ72" s="4">
        <f t="shared" ref="BQ72:CA72" si="170">BR36</f>
        <v>0</v>
      </c>
      <c r="BR72" s="4">
        <f t="shared" si="170"/>
        <v>0</v>
      </c>
      <c r="BS72" s="4">
        <f t="shared" si="170"/>
        <v>0</v>
      </c>
      <c r="BT72" s="4">
        <f t="shared" si="170"/>
        <v>0</v>
      </c>
      <c r="BU72" s="4">
        <f t="shared" si="170"/>
        <v>0</v>
      </c>
      <c r="BV72" s="4">
        <f t="shared" si="170"/>
        <v>0</v>
      </c>
      <c r="BW72" s="4">
        <f t="shared" si="170"/>
        <v>0</v>
      </c>
      <c r="BX72" s="4">
        <f t="shared" si="170"/>
        <v>0</v>
      </c>
      <c r="BY72" s="4">
        <f t="shared" si="170"/>
        <v>0</v>
      </c>
      <c r="BZ72" s="4">
        <f t="shared" si="170"/>
        <v>0</v>
      </c>
      <c r="CA72" s="4">
        <f t="shared" si="170"/>
        <v>0</v>
      </c>
      <c r="CB72" s="4">
        <f t="shared" si="44"/>
        <v>0</v>
      </c>
      <c r="CC72" s="429">
        <f t="shared" si="64"/>
        <v>0</v>
      </c>
      <c r="CD72" s="4">
        <f t="shared" ref="CD72:CN72" si="171">CE36</f>
        <v>0</v>
      </c>
      <c r="CE72" s="4">
        <f t="shared" si="171"/>
        <v>0</v>
      </c>
      <c r="CF72" s="4">
        <f t="shared" si="171"/>
        <v>0</v>
      </c>
      <c r="CG72" s="4">
        <f t="shared" si="171"/>
        <v>0</v>
      </c>
      <c r="CH72" s="4">
        <f t="shared" si="171"/>
        <v>0</v>
      </c>
      <c r="CI72" s="4">
        <f t="shared" si="171"/>
        <v>0</v>
      </c>
      <c r="CJ72" s="4">
        <f t="shared" si="171"/>
        <v>0</v>
      </c>
      <c r="CK72" s="4">
        <f t="shared" si="171"/>
        <v>0</v>
      </c>
      <c r="CL72" s="4">
        <f t="shared" si="171"/>
        <v>0</v>
      </c>
      <c r="CM72" s="4">
        <f t="shared" si="171"/>
        <v>0</v>
      </c>
      <c r="CN72" s="4">
        <f t="shared" si="171"/>
        <v>0</v>
      </c>
      <c r="CO72" s="4">
        <f t="shared" si="46"/>
        <v>0</v>
      </c>
      <c r="CP72" s="429">
        <f t="shared" si="66"/>
        <v>0</v>
      </c>
    </row>
    <row r="73" spans="1:94" hidden="1">
      <c r="A73" s="4">
        <f>'Summary. Assumptions. Inputs'!A64</f>
        <v>0</v>
      </c>
      <c r="B73" s="4">
        <f>'Summary. Assumptions. Inputs'!B64</f>
        <v>0</v>
      </c>
      <c r="C73" s="4">
        <f t="shared" ref="C73:N73" si="172">D37</f>
        <v>0</v>
      </c>
      <c r="D73">
        <f t="shared" si="172"/>
        <v>0</v>
      </c>
      <c r="E73">
        <f t="shared" si="172"/>
        <v>0</v>
      </c>
      <c r="F73">
        <f t="shared" si="172"/>
        <v>0</v>
      </c>
      <c r="G73">
        <f t="shared" si="172"/>
        <v>0</v>
      </c>
      <c r="H73">
        <f t="shared" si="172"/>
        <v>0</v>
      </c>
      <c r="I73">
        <f t="shared" si="172"/>
        <v>0</v>
      </c>
      <c r="J73">
        <f t="shared" si="172"/>
        <v>0</v>
      </c>
      <c r="K73">
        <f t="shared" si="172"/>
        <v>0</v>
      </c>
      <c r="L73">
        <f t="shared" si="172"/>
        <v>0</v>
      </c>
      <c r="M73">
        <f t="shared" si="172"/>
        <v>0</v>
      </c>
      <c r="N73">
        <f t="shared" si="172"/>
        <v>0</v>
      </c>
      <c r="O73">
        <f t="shared" si="33"/>
        <v>0</v>
      </c>
      <c r="P73" s="429">
        <f t="shared" si="34"/>
        <v>0</v>
      </c>
      <c r="Q73" s="4">
        <f t="shared" ref="Q73:AA73" si="173">R37</f>
        <v>0</v>
      </c>
      <c r="R73" s="4">
        <f t="shared" si="173"/>
        <v>0</v>
      </c>
      <c r="S73" s="4">
        <f t="shared" si="173"/>
        <v>0</v>
      </c>
      <c r="T73" s="4">
        <f t="shared" si="173"/>
        <v>0</v>
      </c>
      <c r="U73" s="4">
        <f t="shared" si="173"/>
        <v>0</v>
      </c>
      <c r="V73" s="4">
        <f t="shared" si="173"/>
        <v>0</v>
      </c>
      <c r="W73" s="4">
        <f t="shared" si="173"/>
        <v>0</v>
      </c>
      <c r="X73" s="4">
        <f t="shared" si="173"/>
        <v>0</v>
      </c>
      <c r="Y73" s="4">
        <f t="shared" si="173"/>
        <v>0</v>
      </c>
      <c r="Z73" s="4">
        <f t="shared" si="173"/>
        <v>0</v>
      </c>
      <c r="AA73" s="4">
        <f t="shared" si="173"/>
        <v>0</v>
      </c>
      <c r="AB73" s="4">
        <f t="shared" si="36"/>
        <v>0</v>
      </c>
      <c r="AC73" s="429">
        <f t="shared" si="56"/>
        <v>0</v>
      </c>
      <c r="AD73" s="4">
        <f t="shared" ref="AD73:AN73" si="174">AE37</f>
        <v>0</v>
      </c>
      <c r="AE73" s="4">
        <f t="shared" si="174"/>
        <v>0</v>
      </c>
      <c r="AF73" s="4">
        <f t="shared" si="174"/>
        <v>0</v>
      </c>
      <c r="AG73" s="4">
        <f t="shared" si="174"/>
        <v>0</v>
      </c>
      <c r="AH73" s="4">
        <f t="shared" si="174"/>
        <v>0</v>
      </c>
      <c r="AI73" s="4">
        <f t="shared" si="174"/>
        <v>0</v>
      </c>
      <c r="AJ73" s="4">
        <f t="shared" si="174"/>
        <v>0</v>
      </c>
      <c r="AK73" s="4">
        <f t="shared" si="174"/>
        <v>0</v>
      </c>
      <c r="AL73" s="4">
        <f t="shared" si="174"/>
        <v>0</v>
      </c>
      <c r="AM73" s="4">
        <f t="shared" si="174"/>
        <v>0</v>
      </c>
      <c r="AN73" s="4">
        <f t="shared" si="174"/>
        <v>0</v>
      </c>
      <c r="AO73" s="4">
        <f t="shared" si="38"/>
        <v>0</v>
      </c>
      <c r="AP73" s="429">
        <f t="shared" si="58"/>
        <v>0</v>
      </c>
      <c r="AQ73" s="4">
        <f t="shared" ref="AQ73:BA73" si="175">AR37</f>
        <v>0</v>
      </c>
      <c r="AR73" s="4">
        <f t="shared" si="175"/>
        <v>0</v>
      </c>
      <c r="AS73" s="4">
        <f t="shared" si="175"/>
        <v>0</v>
      </c>
      <c r="AT73" s="4">
        <f t="shared" si="175"/>
        <v>0</v>
      </c>
      <c r="AU73" s="4">
        <f t="shared" si="175"/>
        <v>0</v>
      </c>
      <c r="AV73" s="4">
        <f t="shared" si="175"/>
        <v>0</v>
      </c>
      <c r="AW73" s="4">
        <f t="shared" si="175"/>
        <v>0</v>
      </c>
      <c r="AX73" s="4">
        <f t="shared" si="175"/>
        <v>0</v>
      </c>
      <c r="AY73" s="4">
        <f t="shared" si="175"/>
        <v>0</v>
      </c>
      <c r="AZ73" s="4">
        <f t="shared" si="175"/>
        <v>0</v>
      </c>
      <c r="BA73" s="4">
        <f t="shared" si="175"/>
        <v>0</v>
      </c>
      <c r="BB73" s="4">
        <f t="shared" si="40"/>
        <v>0</v>
      </c>
      <c r="BC73" s="429">
        <f t="shared" si="60"/>
        <v>0</v>
      </c>
      <c r="BD73" s="4">
        <f t="shared" ref="BD73:BN73" si="176">BE37</f>
        <v>0</v>
      </c>
      <c r="BE73" s="4">
        <f t="shared" si="176"/>
        <v>0</v>
      </c>
      <c r="BF73" s="4">
        <f t="shared" si="176"/>
        <v>0</v>
      </c>
      <c r="BG73" s="4">
        <f t="shared" si="176"/>
        <v>0</v>
      </c>
      <c r="BH73" s="4">
        <f t="shared" si="176"/>
        <v>0</v>
      </c>
      <c r="BI73" s="4">
        <f t="shared" si="176"/>
        <v>0</v>
      </c>
      <c r="BJ73" s="4">
        <f t="shared" si="176"/>
        <v>0</v>
      </c>
      <c r="BK73" s="4">
        <f t="shared" si="176"/>
        <v>0</v>
      </c>
      <c r="BL73" s="4">
        <f t="shared" si="176"/>
        <v>0</v>
      </c>
      <c r="BM73" s="4">
        <f t="shared" si="176"/>
        <v>0</v>
      </c>
      <c r="BN73" s="4">
        <f t="shared" si="176"/>
        <v>0</v>
      </c>
      <c r="BO73" s="4">
        <f t="shared" si="42"/>
        <v>0</v>
      </c>
      <c r="BP73" s="429">
        <f t="shared" si="62"/>
        <v>0</v>
      </c>
      <c r="BQ73" s="4">
        <f t="shared" ref="BQ73:CA73" si="177">BR37</f>
        <v>0</v>
      </c>
      <c r="BR73" s="4">
        <f t="shared" si="177"/>
        <v>0</v>
      </c>
      <c r="BS73" s="4">
        <f t="shared" si="177"/>
        <v>0</v>
      </c>
      <c r="BT73" s="4">
        <f t="shared" si="177"/>
        <v>0</v>
      </c>
      <c r="BU73" s="4">
        <f t="shared" si="177"/>
        <v>0</v>
      </c>
      <c r="BV73" s="4">
        <f t="shared" si="177"/>
        <v>0</v>
      </c>
      <c r="BW73" s="4">
        <f t="shared" si="177"/>
        <v>0</v>
      </c>
      <c r="BX73" s="4">
        <f t="shared" si="177"/>
        <v>0</v>
      </c>
      <c r="BY73" s="4">
        <f t="shared" si="177"/>
        <v>0</v>
      </c>
      <c r="BZ73" s="4">
        <f t="shared" si="177"/>
        <v>0</v>
      </c>
      <c r="CA73" s="4">
        <f t="shared" si="177"/>
        <v>0</v>
      </c>
      <c r="CB73" s="4">
        <f t="shared" si="44"/>
        <v>0</v>
      </c>
      <c r="CC73" s="429">
        <f t="shared" si="64"/>
        <v>0</v>
      </c>
      <c r="CD73" s="4">
        <f t="shared" ref="CD73:CN73" si="178">CE37</f>
        <v>0</v>
      </c>
      <c r="CE73" s="4">
        <f t="shared" si="178"/>
        <v>0</v>
      </c>
      <c r="CF73" s="4">
        <f t="shared" si="178"/>
        <v>0</v>
      </c>
      <c r="CG73" s="4">
        <f t="shared" si="178"/>
        <v>0</v>
      </c>
      <c r="CH73" s="4">
        <f t="shared" si="178"/>
        <v>0</v>
      </c>
      <c r="CI73" s="4">
        <f t="shared" si="178"/>
        <v>0</v>
      </c>
      <c r="CJ73" s="4">
        <f t="shared" si="178"/>
        <v>0</v>
      </c>
      <c r="CK73" s="4">
        <f t="shared" si="178"/>
        <v>0</v>
      </c>
      <c r="CL73" s="4">
        <f t="shared" si="178"/>
        <v>0</v>
      </c>
      <c r="CM73" s="4">
        <f t="shared" si="178"/>
        <v>0</v>
      </c>
      <c r="CN73" s="4">
        <f t="shared" si="178"/>
        <v>0</v>
      </c>
      <c r="CO73" s="4">
        <f t="shared" si="46"/>
        <v>0</v>
      </c>
      <c r="CP73" s="429">
        <f t="shared" si="66"/>
        <v>0</v>
      </c>
    </row>
    <row r="74" spans="1:94" hidden="1">
      <c r="A74" s="4">
        <f>'Summary. Assumptions. Inputs'!A65</f>
        <v>0</v>
      </c>
      <c r="B74" s="4">
        <f>'Summary. Assumptions. Inputs'!B65</f>
        <v>0</v>
      </c>
      <c r="C74" s="4">
        <f t="shared" ref="C74:N74" si="179">D38</f>
        <v>0</v>
      </c>
      <c r="D74">
        <f t="shared" si="179"/>
        <v>0</v>
      </c>
      <c r="E74">
        <f t="shared" si="179"/>
        <v>0</v>
      </c>
      <c r="F74">
        <f t="shared" si="179"/>
        <v>0</v>
      </c>
      <c r="G74">
        <f t="shared" si="179"/>
        <v>0</v>
      </c>
      <c r="H74">
        <f t="shared" si="179"/>
        <v>0</v>
      </c>
      <c r="I74">
        <f t="shared" si="179"/>
        <v>0</v>
      </c>
      <c r="J74">
        <f t="shared" si="179"/>
        <v>0</v>
      </c>
      <c r="K74">
        <f t="shared" si="179"/>
        <v>0</v>
      </c>
      <c r="L74">
        <f t="shared" si="179"/>
        <v>0</v>
      </c>
      <c r="M74">
        <f t="shared" si="179"/>
        <v>0</v>
      </c>
      <c r="N74">
        <f t="shared" si="179"/>
        <v>0</v>
      </c>
      <c r="O74">
        <f t="shared" si="33"/>
        <v>0</v>
      </c>
      <c r="P74" s="429">
        <f t="shared" si="34"/>
        <v>0</v>
      </c>
      <c r="Q74" s="4">
        <f t="shared" ref="Q74:AA74" si="180">R38</f>
        <v>0</v>
      </c>
      <c r="R74" s="4">
        <f t="shared" si="180"/>
        <v>0</v>
      </c>
      <c r="S74" s="4">
        <f t="shared" si="180"/>
        <v>0</v>
      </c>
      <c r="T74" s="4">
        <f t="shared" si="180"/>
        <v>0</v>
      </c>
      <c r="U74" s="4">
        <f t="shared" si="180"/>
        <v>0</v>
      </c>
      <c r="V74" s="4">
        <f t="shared" si="180"/>
        <v>0</v>
      </c>
      <c r="W74" s="4">
        <f t="shared" si="180"/>
        <v>0</v>
      </c>
      <c r="X74" s="4">
        <f t="shared" si="180"/>
        <v>0</v>
      </c>
      <c r="Y74" s="4">
        <f t="shared" si="180"/>
        <v>0</v>
      </c>
      <c r="Z74" s="4">
        <f t="shared" si="180"/>
        <v>0</v>
      </c>
      <c r="AA74" s="4">
        <f t="shared" si="180"/>
        <v>0</v>
      </c>
      <c r="AB74" s="4">
        <f t="shared" si="36"/>
        <v>0</v>
      </c>
      <c r="AC74" s="429">
        <f t="shared" si="56"/>
        <v>0</v>
      </c>
      <c r="AD74" s="4">
        <f t="shared" ref="AD74:AN74" si="181">AE38</f>
        <v>0</v>
      </c>
      <c r="AE74" s="4">
        <f t="shared" si="181"/>
        <v>0</v>
      </c>
      <c r="AF74" s="4">
        <f t="shared" si="181"/>
        <v>0</v>
      </c>
      <c r="AG74" s="4">
        <f t="shared" si="181"/>
        <v>0</v>
      </c>
      <c r="AH74" s="4">
        <f t="shared" si="181"/>
        <v>0</v>
      </c>
      <c r="AI74" s="4">
        <f t="shared" si="181"/>
        <v>0</v>
      </c>
      <c r="AJ74" s="4">
        <f t="shared" si="181"/>
        <v>0</v>
      </c>
      <c r="AK74" s="4">
        <f t="shared" si="181"/>
        <v>0</v>
      </c>
      <c r="AL74" s="4">
        <f t="shared" si="181"/>
        <v>0</v>
      </c>
      <c r="AM74" s="4">
        <f t="shared" si="181"/>
        <v>0</v>
      </c>
      <c r="AN74" s="4">
        <f t="shared" si="181"/>
        <v>0</v>
      </c>
      <c r="AO74" s="4">
        <f t="shared" si="38"/>
        <v>0</v>
      </c>
      <c r="AP74" s="429">
        <f t="shared" si="58"/>
        <v>0</v>
      </c>
      <c r="AQ74" s="4">
        <f t="shared" ref="AQ74:BA74" si="182">AR38</f>
        <v>0</v>
      </c>
      <c r="AR74" s="4">
        <f t="shared" si="182"/>
        <v>0</v>
      </c>
      <c r="AS74" s="4">
        <f t="shared" si="182"/>
        <v>0</v>
      </c>
      <c r="AT74" s="4">
        <f t="shared" si="182"/>
        <v>0</v>
      </c>
      <c r="AU74" s="4">
        <f t="shared" si="182"/>
        <v>0</v>
      </c>
      <c r="AV74" s="4">
        <f t="shared" si="182"/>
        <v>0</v>
      </c>
      <c r="AW74" s="4">
        <f t="shared" si="182"/>
        <v>0</v>
      </c>
      <c r="AX74" s="4">
        <f t="shared" si="182"/>
        <v>0</v>
      </c>
      <c r="AY74" s="4">
        <f t="shared" si="182"/>
        <v>0</v>
      </c>
      <c r="AZ74" s="4">
        <f t="shared" si="182"/>
        <v>0</v>
      </c>
      <c r="BA74" s="4">
        <f t="shared" si="182"/>
        <v>0</v>
      </c>
      <c r="BB74" s="4">
        <f t="shared" si="40"/>
        <v>0</v>
      </c>
      <c r="BC74" s="429">
        <f t="shared" si="60"/>
        <v>0</v>
      </c>
      <c r="BD74" s="4">
        <f t="shared" ref="BD74:BN74" si="183">BE38</f>
        <v>0</v>
      </c>
      <c r="BE74" s="4">
        <f t="shared" si="183"/>
        <v>0</v>
      </c>
      <c r="BF74" s="4">
        <f t="shared" si="183"/>
        <v>0</v>
      </c>
      <c r="BG74" s="4">
        <f t="shared" si="183"/>
        <v>0</v>
      </c>
      <c r="BH74" s="4">
        <f t="shared" si="183"/>
        <v>0</v>
      </c>
      <c r="BI74" s="4">
        <f t="shared" si="183"/>
        <v>0</v>
      </c>
      <c r="BJ74" s="4">
        <f t="shared" si="183"/>
        <v>0</v>
      </c>
      <c r="BK74" s="4">
        <f t="shared" si="183"/>
        <v>0</v>
      </c>
      <c r="BL74" s="4">
        <f t="shared" si="183"/>
        <v>0</v>
      </c>
      <c r="BM74" s="4">
        <f t="shared" si="183"/>
        <v>0</v>
      </c>
      <c r="BN74" s="4">
        <f t="shared" si="183"/>
        <v>0</v>
      </c>
      <c r="BO74" s="4">
        <f t="shared" si="42"/>
        <v>0</v>
      </c>
      <c r="BP74" s="429">
        <f t="shared" si="62"/>
        <v>0</v>
      </c>
      <c r="BQ74" s="4">
        <f t="shared" ref="BQ74:CA74" si="184">BR38</f>
        <v>0</v>
      </c>
      <c r="BR74" s="4">
        <f t="shared" si="184"/>
        <v>0</v>
      </c>
      <c r="BS74" s="4">
        <f t="shared" si="184"/>
        <v>0</v>
      </c>
      <c r="BT74" s="4">
        <f t="shared" si="184"/>
        <v>0</v>
      </c>
      <c r="BU74" s="4">
        <f t="shared" si="184"/>
        <v>0</v>
      </c>
      <c r="BV74" s="4">
        <f t="shared" si="184"/>
        <v>0</v>
      </c>
      <c r="BW74" s="4">
        <f t="shared" si="184"/>
        <v>0</v>
      </c>
      <c r="BX74" s="4">
        <f t="shared" si="184"/>
        <v>0</v>
      </c>
      <c r="BY74" s="4">
        <f t="shared" si="184"/>
        <v>0</v>
      </c>
      <c r="BZ74" s="4">
        <f t="shared" si="184"/>
        <v>0</v>
      </c>
      <c r="CA74" s="4">
        <f t="shared" si="184"/>
        <v>0</v>
      </c>
      <c r="CB74" s="4">
        <f t="shared" si="44"/>
        <v>0</v>
      </c>
      <c r="CC74" s="429">
        <f t="shared" si="64"/>
        <v>0</v>
      </c>
      <c r="CD74" s="4">
        <f t="shared" ref="CD74:CN74" si="185">CE38</f>
        <v>0</v>
      </c>
      <c r="CE74" s="4">
        <f t="shared" si="185"/>
        <v>0</v>
      </c>
      <c r="CF74" s="4">
        <f t="shared" si="185"/>
        <v>0</v>
      </c>
      <c r="CG74" s="4">
        <f t="shared" si="185"/>
        <v>0</v>
      </c>
      <c r="CH74" s="4">
        <f t="shared" si="185"/>
        <v>0</v>
      </c>
      <c r="CI74" s="4">
        <f t="shared" si="185"/>
        <v>0</v>
      </c>
      <c r="CJ74" s="4">
        <f t="shared" si="185"/>
        <v>0</v>
      </c>
      <c r="CK74" s="4">
        <f t="shared" si="185"/>
        <v>0</v>
      </c>
      <c r="CL74" s="4">
        <f t="shared" si="185"/>
        <v>0</v>
      </c>
      <c r="CM74" s="4">
        <f t="shared" si="185"/>
        <v>0</v>
      </c>
      <c r="CN74" s="4">
        <f t="shared" si="185"/>
        <v>0</v>
      </c>
      <c r="CO74" s="4">
        <f t="shared" si="46"/>
        <v>0</v>
      </c>
      <c r="CP74" s="429">
        <f t="shared" si="66"/>
        <v>0</v>
      </c>
    </row>
    <row r="75" spans="1:94" hidden="1">
      <c r="A75" s="4">
        <f>'Summary. Assumptions. Inputs'!A66</f>
        <v>0</v>
      </c>
      <c r="B75" s="4">
        <f>'Summary. Assumptions. Inputs'!B66</f>
        <v>0</v>
      </c>
      <c r="C75" s="4">
        <f t="shared" ref="C75:N75" si="186">D39</f>
        <v>0</v>
      </c>
      <c r="D75">
        <f t="shared" si="186"/>
        <v>0</v>
      </c>
      <c r="E75">
        <f t="shared" si="186"/>
        <v>0</v>
      </c>
      <c r="F75">
        <f t="shared" si="186"/>
        <v>0</v>
      </c>
      <c r="G75">
        <f t="shared" si="186"/>
        <v>0</v>
      </c>
      <c r="H75">
        <f t="shared" si="186"/>
        <v>0</v>
      </c>
      <c r="I75">
        <f t="shared" si="186"/>
        <v>0</v>
      </c>
      <c r="J75">
        <f t="shared" si="186"/>
        <v>0</v>
      </c>
      <c r="K75">
        <f t="shared" si="186"/>
        <v>0</v>
      </c>
      <c r="L75">
        <f t="shared" si="186"/>
        <v>0</v>
      </c>
      <c r="M75">
        <f t="shared" si="186"/>
        <v>0</v>
      </c>
      <c r="N75">
        <f t="shared" si="186"/>
        <v>0</v>
      </c>
      <c r="O75">
        <f t="shared" si="33"/>
        <v>0</v>
      </c>
      <c r="P75" s="429">
        <f t="shared" si="34"/>
        <v>0</v>
      </c>
      <c r="Q75" s="4">
        <f t="shared" ref="Q75:AA75" si="187">R39</f>
        <v>0</v>
      </c>
      <c r="R75" s="4">
        <f t="shared" si="187"/>
        <v>0</v>
      </c>
      <c r="S75" s="4">
        <f t="shared" si="187"/>
        <v>0</v>
      </c>
      <c r="T75" s="4">
        <f t="shared" si="187"/>
        <v>0</v>
      </c>
      <c r="U75" s="4">
        <f t="shared" si="187"/>
        <v>0</v>
      </c>
      <c r="V75" s="4">
        <f t="shared" si="187"/>
        <v>0</v>
      </c>
      <c r="W75" s="4">
        <f t="shared" si="187"/>
        <v>0</v>
      </c>
      <c r="X75" s="4">
        <f t="shared" si="187"/>
        <v>0</v>
      </c>
      <c r="Y75" s="4">
        <f t="shared" si="187"/>
        <v>0</v>
      </c>
      <c r="Z75" s="4">
        <f t="shared" si="187"/>
        <v>0</v>
      </c>
      <c r="AA75" s="4">
        <f t="shared" si="187"/>
        <v>0</v>
      </c>
      <c r="AB75" s="4">
        <f t="shared" si="36"/>
        <v>0</v>
      </c>
      <c r="AC75" s="429">
        <f t="shared" si="56"/>
        <v>0</v>
      </c>
      <c r="AD75" s="4">
        <f t="shared" ref="AD75:AN75" si="188">AE39</f>
        <v>0</v>
      </c>
      <c r="AE75" s="4">
        <f t="shared" si="188"/>
        <v>0</v>
      </c>
      <c r="AF75" s="4">
        <f t="shared" si="188"/>
        <v>0</v>
      </c>
      <c r="AG75" s="4">
        <f t="shared" si="188"/>
        <v>0</v>
      </c>
      <c r="AH75" s="4">
        <f t="shared" si="188"/>
        <v>0</v>
      </c>
      <c r="AI75" s="4">
        <f t="shared" si="188"/>
        <v>0</v>
      </c>
      <c r="AJ75" s="4">
        <f t="shared" si="188"/>
        <v>0</v>
      </c>
      <c r="AK75" s="4">
        <f t="shared" si="188"/>
        <v>0</v>
      </c>
      <c r="AL75" s="4">
        <f t="shared" si="188"/>
        <v>0</v>
      </c>
      <c r="AM75" s="4">
        <f t="shared" si="188"/>
        <v>0</v>
      </c>
      <c r="AN75" s="4">
        <f t="shared" si="188"/>
        <v>0</v>
      </c>
      <c r="AO75" s="4">
        <f t="shared" si="38"/>
        <v>0</v>
      </c>
      <c r="AP75" s="429">
        <f t="shared" si="58"/>
        <v>0</v>
      </c>
      <c r="AQ75" s="4">
        <f t="shared" ref="AQ75:BA75" si="189">AR39</f>
        <v>0</v>
      </c>
      <c r="AR75" s="4">
        <f t="shared" si="189"/>
        <v>0</v>
      </c>
      <c r="AS75" s="4">
        <f t="shared" si="189"/>
        <v>0</v>
      </c>
      <c r="AT75" s="4">
        <f t="shared" si="189"/>
        <v>0</v>
      </c>
      <c r="AU75" s="4">
        <f t="shared" si="189"/>
        <v>0</v>
      </c>
      <c r="AV75" s="4">
        <f t="shared" si="189"/>
        <v>0</v>
      </c>
      <c r="AW75" s="4">
        <f t="shared" si="189"/>
        <v>0</v>
      </c>
      <c r="AX75" s="4">
        <f t="shared" si="189"/>
        <v>0</v>
      </c>
      <c r="AY75" s="4">
        <f t="shared" si="189"/>
        <v>0</v>
      </c>
      <c r="AZ75" s="4">
        <f t="shared" si="189"/>
        <v>0</v>
      </c>
      <c r="BA75" s="4">
        <f t="shared" si="189"/>
        <v>0</v>
      </c>
      <c r="BB75" s="4">
        <f t="shared" si="40"/>
        <v>0</v>
      </c>
      <c r="BC75" s="429">
        <f t="shared" si="60"/>
        <v>0</v>
      </c>
      <c r="BD75" s="4">
        <f t="shared" ref="BD75:BN75" si="190">BE39</f>
        <v>0</v>
      </c>
      <c r="BE75" s="4">
        <f t="shared" si="190"/>
        <v>0</v>
      </c>
      <c r="BF75" s="4">
        <f t="shared" si="190"/>
        <v>0</v>
      </c>
      <c r="BG75" s="4">
        <f t="shared" si="190"/>
        <v>0</v>
      </c>
      <c r="BH75" s="4">
        <f t="shared" si="190"/>
        <v>0</v>
      </c>
      <c r="BI75" s="4">
        <f t="shared" si="190"/>
        <v>0</v>
      </c>
      <c r="BJ75" s="4">
        <f t="shared" si="190"/>
        <v>0</v>
      </c>
      <c r="BK75" s="4">
        <f t="shared" si="190"/>
        <v>0</v>
      </c>
      <c r="BL75" s="4">
        <f t="shared" si="190"/>
        <v>0</v>
      </c>
      <c r="BM75" s="4">
        <f t="shared" si="190"/>
        <v>0</v>
      </c>
      <c r="BN75" s="4">
        <f t="shared" si="190"/>
        <v>0</v>
      </c>
      <c r="BO75" s="4">
        <f t="shared" si="42"/>
        <v>0</v>
      </c>
      <c r="BP75" s="429">
        <f t="shared" si="62"/>
        <v>0</v>
      </c>
      <c r="BQ75" s="4">
        <f t="shared" ref="BQ75:CA75" si="191">BR39</f>
        <v>0</v>
      </c>
      <c r="BR75" s="4">
        <f t="shared" si="191"/>
        <v>0</v>
      </c>
      <c r="BS75" s="4">
        <f t="shared" si="191"/>
        <v>0</v>
      </c>
      <c r="BT75" s="4">
        <f t="shared" si="191"/>
        <v>0</v>
      </c>
      <c r="BU75" s="4">
        <f t="shared" si="191"/>
        <v>0</v>
      </c>
      <c r="BV75" s="4">
        <f t="shared" si="191"/>
        <v>0</v>
      </c>
      <c r="BW75" s="4">
        <f t="shared" si="191"/>
        <v>0</v>
      </c>
      <c r="BX75" s="4">
        <f t="shared" si="191"/>
        <v>0</v>
      </c>
      <c r="BY75" s="4">
        <f t="shared" si="191"/>
        <v>0</v>
      </c>
      <c r="BZ75" s="4">
        <f t="shared" si="191"/>
        <v>0</v>
      </c>
      <c r="CA75" s="4">
        <f t="shared" si="191"/>
        <v>0</v>
      </c>
      <c r="CB75" s="4">
        <f t="shared" si="44"/>
        <v>0</v>
      </c>
      <c r="CC75" s="429">
        <f t="shared" si="64"/>
        <v>0</v>
      </c>
      <c r="CD75" s="4">
        <f t="shared" ref="CD75:CN75" si="192">CE39</f>
        <v>0</v>
      </c>
      <c r="CE75" s="4">
        <f t="shared" si="192"/>
        <v>0</v>
      </c>
      <c r="CF75" s="4">
        <f t="shared" si="192"/>
        <v>0</v>
      </c>
      <c r="CG75" s="4">
        <f t="shared" si="192"/>
        <v>0</v>
      </c>
      <c r="CH75" s="4">
        <f t="shared" si="192"/>
        <v>0</v>
      </c>
      <c r="CI75" s="4">
        <f t="shared" si="192"/>
        <v>0</v>
      </c>
      <c r="CJ75" s="4">
        <f t="shared" si="192"/>
        <v>0</v>
      </c>
      <c r="CK75" s="4">
        <f t="shared" si="192"/>
        <v>0</v>
      </c>
      <c r="CL75" s="4">
        <f t="shared" si="192"/>
        <v>0</v>
      </c>
      <c r="CM75" s="4">
        <f t="shared" si="192"/>
        <v>0</v>
      </c>
      <c r="CN75" s="4">
        <f t="shared" si="192"/>
        <v>0</v>
      </c>
      <c r="CO75" s="4">
        <f t="shared" si="46"/>
        <v>0</v>
      </c>
      <c r="CP75" s="429">
        <f t="shared" si="66"/>
        <v>0</v>
      </c>
    </row>
    <row r="76" spans="1:94" hidden="1">
      <c r="A76" s="4">
        <f>'Summary. Assumptions. Inputs'!A67</f>
        <v>0</v>
      </c>
      <c r="B76" s="4">
        <f>'Summary. Assumptions. Inputs'!B67</f>
        <v>0</v>
      </c>
      <c r="C76" s="4">
        <f t="shared" ref="C76:N76" si="193">D40</f>
        <v>0</v>
      </c>
      <c r="D76">
        <f t="shared" si="193"/>
        <v>0</v>
      </c>
      <c r="E76">
        <f t="shared" si="193"/>
        <v>0</v>
      </c>
      <c r="F76">
        <f t="shared" si="193"/>
        <v>0</v>
      </c>
      <c r="G76">
        <f t="shared" si="193"/>
        <v>0</v>
      </c>
      <c r="H76">
        <f t="shared" si="193"/>
        <v>0</v>
      </c>
      <c r="I76">
        <f t="shared" si="193"/>
        <v>0</v>
      </c>
      <c r="J76">
        <f t="shared" si="193"/>
        <v>0</v>
      </c>
      <c r="K76">
        <f t="shared" si="193"/>
        <v>0</v>
      </c>
      <c r="L76">
        <f t="shared" si="193"/>
        <v>0</v>
      </c>
      <c r="M76">
        <f t="shared" si="193"/>
        <v>0</v>
      </c>
      <c r="N76">
        <f t="shared" si="193"/>
        <v>0</v>
      </c>
      <c r="O76">
        <f t="shared" si="33"/>
        <v>0</v>
      </c>
      <c r="P76" s="429">
        <f t="shared" si="34"/>
        <v>0</v>
      </c>
      <c r="Q76" s="4">
        <f t="shared" ref="Q76:AA76" si="194">R40</f>
        <v>0</v>
      </c>
      <c r="R76" s="4">
        <f t="shared" si="194"/>
        <v>0</v>
      </c>
      <c r="S76" s="4">
        <f t="shared" si="194"/>
        <v>0</v>
      </c>
      <c r="T76" s="4">
        <f t="shared" si="194"/>
        <v>0</v>
      </c>
      <c r="U76" s="4">
        <f t="shared" si="194"/>
        <v>0</v>
      </c>
      <c r="V76" s="4">
        <f t="shared" si="194"/>
        <v>0</v>
      </c>
      <c r="W76" s="4">
        <f t="shared" si="194"/>
        <v>0</v>
      </c>
      <c r="X76" s="4">
        <f t="shared" si="194"/>
        <v>0</v>
      </c>
      <c r="Y76" s="4">
        <f t="shared" si="194"/>
        <v>0</v>
      </c>
      <c r="Z76" s="4">
        <f t="shared" si="194"/>
        <v>0</v>
      </c>
      <c r="AA76" s="4">
        <f t="shared" si="194"/>
        <v>0</v>
      </c>
      <c r="AB76" s="4">
        <f t="shared" si="36"/>
        <v>0</v>
      </c>
      <c r="AC76" s="429">
        <f t="shared" si="56"/>
        <v>0</v>
      </c>
      <c r="AD76" s="4">
        <f t="shared" ref="AD76:AN76" si="195">AE40</f>
        <v>0</v>
      </c>
      <c r="AE76" s="4">
        <f t="shared" si="195"/>
        <v>0</v>
      </c>
      <c r="AF76" s="4">
        <f t="shared" si="195"/>
        <v>0</v>
      </c>
      <c r="AG76" s="4">
        <f t="shared" si="195"/>
        <v>0</v>
      </c>
      <c r="AH76" s="4">
        <f t="shared" si="195"/>
        <v>0</v>
      </c>
      <c r="AI76" s="4">
        <f t="shared" si="195"/>
        <v>0</v>
      </c>
      <c r="AJ76" s="4">
        <f t="shared" si="195"/>
        <v>0</v>
      </c>
      <c r="AK76" s="4">
        <f t="shared" si="195"/>
        <v>0</v>
      </c>
      <c r="AL76" s="4">
        <f t="shared" si="195"/>
        <v>0</v>
      </c>
      <c r="AM76" s="4">
        <f t="shared" si="195"/>
        <v>0</v>
      </c>
      <c r="AN76" s="4">
        <f t="shared" si="195"/>
        <v>0</v>
      </c>
      <c r="AO76" s="4">
        <f t="shared" si="38"/>
        <v>0</v>
      </c>
      <c r="AP76" s="429">
        <f t="shared" si="58"/>
        <v>0</v>
      </c>
      <c r="AQ76" s="4">
        <f t="shared" ref="AQ76:BA76" si="196">AR40</f>
        <v>0</v>
      </c>
      <c r="AR76" s="4">
        <f t="shared" si="196"/>
        <v>0</v>
      </c>
      <c r="AS76" s="4">
        <f t="shared" si="196"/>
        <v>0</v>
      </c>
      <c r="AT76" s="4">
        <f t="shared" si="196"/>
        <v>0</v>
      </c>
      <c r="AU76" s="4">
        <f t="shared" si="196"/>
        <v>0</v>
      </c>
      <c r="AV76" s="4">
        <f t="shared" si="196"/>
        <v>0</v>
      </c>
      <c r="AW76" s="4">
        <f t="shared" si="196"/>
        <v>0</v>
      </c>
      <c r="AX76" s="4">
        <f t="shared" si="196"/>
        <v>0</v>
      </c>
      <c r="AY76" s="4">
        <f t="shared" si="196"/>
        <v>0</v>
      </c>
      <c r="AZ76" s="4">
        <f t="shared" si="196"/>
        <v>0</v>
      </c>
      <c r="BA76" s="4">
        <f t="shared" si="196"/>
        <v>0</v>
      </c>
      <c r="BB76" s="4">
        <f t="shared" si="40"/>
        <v>0</v>
      </c>
      <c r="BC76" s="429">
        <f t="shared" si="60"/>
        <v>0</v>
      </c>
      <c r="BD76" s="4">
        <f t="shared" ref="BD76:BN76" si="197">BE40</f>
        <v>0</v>
      </c>
      <c r="BE76" s="4">
        <f t="shared" si="197"/>
        <v>0</v>
      </c>
      <c r="BF76" s="4">
        <f t="shared" si="197"/>
        <v>0</v>
      </c>
      <c r="BG76" s="4">
        <f t="shared" si="197"/>
        <v>0</v>
      </c>
      <c r="BH76" s="4">
        <f t="shared" si="197"/>
        <v>0</v>
      </c>
      <c r="BI76" s="4">
        <f t="shared" si="197"/>
        <v>0</v>
      </c>
      <c r="BJ76" s="4">
        <f t="shared" si="197"/>
        <v>0</v>
      </c>
      <c r="BK76" s="4">
        <f t="shared" si="197"/>
        <v>0</v>
      </c>
      <c r="BL76" s="4">
        <f t="shared" si="197"/>
        <v>0</v>
      </c>
      <c r="BM76" s="4">
        <f t="shared" si="197"/>
        <v>0</v>
      </c>
      <c r="BN76" s="4">
        <f t="shared" si="197"/>
        <v>0</v>
      </c>
      <c r="BO76" s="4">
        <f t="shared" si="42"/>
        <v>0</v>
      </c>
      <c r="BP76" s="429">
        <f t="shared" si="62"/>
        <v>0</v>
      </c>
      <c r="BQ76" s="4">
        <f t="shared" ref="BQ76:CA76" si="198">BR40</f>
        <v>0</v>
      </c>
      <c r="BR76" s="4">
        <f t="shared" si="198"/>
        <v>0</v>
      </c>
      <c r="BS76" s="4">
        <f t="shared" si="198"/>
        <v>0</v>
      </c>
      <c r="BT76" s="4">
        <f t="shared" si="198"/>
        <v>0</v>
      </c>
      <c r="BU76" s="4">
        <f t="shared" si="198"/>
        <v>0</v>
      </c>
      <c r="BV76" s="4">
        <f t="shared" si="198"/>
        <v>0</v>
      </c>
      <c r="BW76" s="4">
        <f t="shared" si="198"/>
        <v>0</v>
      </c>
      <c r="BX76" s="4">
        <f t="shared" si="198"/>
        <v>0</v>
      </c>
      <c r="BY76" s="4">
        <f t="shared" si="198"/>
        <v>0</v>
      </c>
      <c r="BZ76" s="4">
        <f t="shared" si="198"/>
        <v>0</v>
      </c>
      <c r="CA76" s="4">
        <f t="shared" si="198"/>
        <v>0</v>
      </c>
      <c r="CB76" s="4">
        <f t="shared" si="44"/>
        <v>0</v>
      </c>
      <c r="CC76" s="429">
        <f t="shared" si="64"/>
        <v>0</v>
      </c>
      <c r="CD76" s="4">
        <f t="shared" ref="CD76:CN76" si="199">CE40</f>
        <v>0</v>
      </c>
      <c r="CE76" s="4">
        <f t="shared" si="199"/>
        <v>0</v>
      </c>
      <c r="CF76" s="4">
        <f t="shared" si="199"/>
        <v>0</v>
      </c>
      <c r="CG76" s="4">
        <f t="shared" si="199"/>
        <v>0</v>
      </c>
      <c r="CH76" s="4">
        <f t="shared" si="199"/>
        <v>0</v>
      </c>
      <c r="CI76" s="4">
        <f t="shared" si="199"/>
        <v>0</v>
      </c>
      <c r="CJ76" s="4">
        <f t="shared" si="199"/>
        <v>0</v>
      </c>
      <c r="CK76" s="4">
        <f t="shared" si="199"/>
        <v>0</v>
      </c>
      <c r="CL76" s="4">
        <f t="shared" si="199"/>
        <v>0</v>
      </c>
      <c r="CM76" s="4">
        <f t="shared" si="199"/>
        <v>0</v>
      </c>
      <c r="CN76" s="4">
        <f t="shared" si="199"/>
        <v>0</v>
      </c>
      <c r="CO76" s="4">
        <f t="shared" si="46"/>
        <v>0</v>
      </c>
      <c r="CP76" s="429">
        <f t="shared" si="66"/>
        <v>0</v>
      </c>
    </row>
    <row r="77" spans="1:94" hidden="1">
      <c r="A77" s="4">
        <f>'Summary. Assumptions. Inputs'!A68</f>
        <v>0</v>
      </c>
      <c r="B77" s="4">
        <f>'Summary. Assumptions. Inputs'!B68</f>
        <v>0</v>
      </c>
      <c r="C77" s="4">
        <f t="shared" ref="C77:N77" si="200">D41</f>
        <v>0</v>
      </c>
      <c r="D77">
        <f t="shared" si="200"/>
        <v>0</v>
      </c>
      <c r="E77">
        <f t="shared" si="200"/>
        <v>0</v>
      </c>
      <c r="F77">
        <f t="shared" si="200"/>
        <v>0</v>
      </c>
      <c r="G77">
        <f t="shared" si="200"/>
        <v>0</v>
      </c>
      <c r="H77">
        <f t="shared" si="200"/>
        <v>0</v>
      </c>
      <c r="I77">
        <f t="shared" si="200"/>
        <v>0</v>
      </c>
      <c r="J77">
        <f t="shared" si="200"/>
        <v>0</v>
      </c>
      <c r="K77">
        <f t="shared" si="200"/>
        <v>0</v>
      </c>
      <c r="L77">
        <f t="shared" si="200"/>
        <v>0</v>
      </c>
      <c r="M77">
        <f t="shared" si="200"/>
        <v>0</v>
      </c>
      <c r="N77">
        <f t="shared" si="200"/>
        <v>0</v>
      </c>
      <c r="O77">
        <f t="shared" si="33"/>
        <v>0</v>
      </c>
      <c r="P77" s="429">
        <f t="shared" si="34"/>
        <v>0</v>
      </c>
      <c r="Q77" s="4">
        <f t="shared" ref="Q77:AA77" si="201">R41</f>
        <v>0</v>
      </c>
      <c r="R77" s="4">
        <f t="shared" si="201"/>
        <v>0</v>
      </c>
      <c r="S77" s="4">
        <f t="shared" si="201"/>
        <v>0</v>
      </c>
      <c r="T77" s="4">
        <f t="shared" si="201"/>
        <v>0</v>
      </c>
      <c r="U77" s="4">
        <f t="shared" si="201"/>
        <v>0</v>
      </c>
      <c r="V77" s="4">
        <f t="shared" si="201"/>
        <v>0</v>
      </c>
      <c r="W77" s="4">
        <f t="shared" si="201"/>
        <v>0</v>
      </c>
      <c r="X77" s="4">
        <f t="shared" si="201"/>
        <v>0</v>
      </c>
      <c r="Y77" s="4">
        <f t="shared" si="201"/>
        <v>0</v>
      </c>
      <c r="Z77" s="4">
        <f t="shared" si="201"/>
        <v>0</v>
      </c>
      <c r="AA77" s="4">
        <f t="shared" si="201"/>
        <v>0</v>
      </c>
      <c r="AB77" s="4">
        <f t="shared" si="36"/>
        <v>0</v>
      </c>
      <c r="AC77" s="429">
        <f t="shared" si="56"/>
        <v>0</v>
      </c>
      <c r="AD77" s="4">
        <f t="shared" ref="AD77:AN77" si="202">AE41</f>
        <v>0</v>
      </c>
      <c r="AE77" s="4">
        <f t="shared" si="202"/>
        <v>0</v>
      </c>
      <c r="AF77" s="4">
        <f t="shared" si="202"/>
        <v>0</v>
      </c>
      <c r="AG77" s="4">
        <f t="shared" si="202"/>
        <v>0</v>
      </c>
      <c r="AH77" s="4">
        <f t="shared" si="202"/>
        <v>0</v>
      </c>
      <c r="AI77" s="4">
        <f t="shared" si="202"/>
        <v>0</v>
      </c>
      <c r="AJ77" s="4">
        <f t="shared" si="202"/>
        <v>0</v>
      </c>
      <c r="AK77" s="4">
        <f t="shared" si="202"/>
        <v>0</v>
      </c>
      <c r="AL77" s="4">
        <f t="shared" si="202"/>
        <v>0</v>
      </c>
      <c r="AM77" s="4">
        <f t="shared" si="202"/>
        <v>0</v>
      </c>
      <c r="AN77" s="4">
        <f t="shared" si="202"/>
        <v>0</v>
      </c>
      <c r="AO77" s="4">
        <f t="shared" si="38"/>
        <v>0</v>
      </c>
      <c r="AP77" s="429">
        <f t="shared" si="58"/>
        <v>0</v>
      </c>
      <c r="AQ77" s="4">
        <f t="shared" ref="AQ77:BA77" si="203">AR41</f>
        <v>0</v>
      </c>
      <c r="AR77" s="4">
        <f t="shared" si="203"/>
        <v>0</v>
      </c>
      <c r="AS77" s="4">
        <f t="shared" si="203"/>
        <v>0</v>
      </c>
      <c r="AT77" s="4">
        <f t="shared" si="203"/>
        <v>0</v>
      </c>
      <c r="AU77" s="4">
        <f t="shared" si="203"/>
        <v>0</v>
      </c>
      <c r="AV77" s="4">
        <f t="shared" si="203"/>
        <v>0</v>
      </c>
      <c r="AW77" s="4">
        <f t="shared" si="203"/>
        <v>0</v>
      </c>
      <c r="AX77" s="4">
        <f t="shared" si="203"/>
        <v>0</v>
      </c>
      <c r="AY77" s="4">
        <f t="shared" si="203"/>
        <v>0</v>
      </c>
      <c r="AZ77" s="4">
        <f t="shared" si="203"/>
        <v>0</v>
      </c>
      <c r="BA77" s="4">
        <f t="shared" si="203"/>
        <v>0</v>
      </c>
      <c r="BB77" s="4">
        <f t="shared" si="40"/>
        <v>0</v>
      </c>
      <c r="BC77" s="429">
        <f t="shared" si="60"/>
        <v>0</v>
      </c>
      <c r="BD77" s="4">
        <f t="shared" ref="BD77:BN77" si="204">BE41</f>
        <v>0</v>
      </c>
      <c r="BE77" s="4">
        <f t="shared" si="204"/>
        <v>0</v>
      </c>
      <c r="BF77" s="4">
        <f t="shared" si="204"/>
        <v>0</v>
      </c>
      <c r="BG77" s="4">
        <f t="shared" si="204"/>
        <v>0</v>
      </c>
      <c r="BH77" s="4">
        <f t="shared" si="204"/>
        <v>0</v>
      </c>
      <c r="BI77" s="4">
        <f t="shared" si="204"/>
        <v>0</v>
      </c>
      <c r="BJ77" s="4">
        <f t="shared" si="204"/>
        <v>0</v>
      </c>
      <c r="BK77" s="4">
        <f t="shared" si="204"/>
        <v>0</v>
      </c>
      <c r="BL77" s="4">
        <f t="shared" si="204"/>
        <v>0</v>
      </c>
      <c r="BM77" s="4">
        <f t="shared" si="204"/>
        <v>0</v>
      </c>
      <c r="BN77" s="4">
        <f t="shared" si="204"/>
        <v>0</v>
      </c>
      <c r="BO77" s="4">
        <f t="shared" si="42"/>
        <v>0</v>
      </c>
      <c r="BP77" s="429">
        <f t="shared" si="62"/>
        <v>0</v>
      </c>
      <c r="BQ77" s="4">
        <f t="shared" ref="BQ77:CA77" si="205">BR41</f>
        <v>0</v>
      </c>
      <c r="BR77" s="4">
        <f t="shared" si="205"/>
        <v>0</v>
      </c>
      <c r="BS77" s="4">
        <f t="shared" si="205"/>
        <v>0</v>
      </c>
      <c r="BT77" s="4">
        <f t="shared" si="205"/>
        <v>0</v>
      </c>
      <c r="BU77" s="4">
        <f t="shared" si="205"/>
        <v>0</v>
      </c>
      <c r="BV77" s="4">
        <f t="shared" si="205"/>
        <v>0</v>
      </c>
      <c r="BW77" s="4">
        <f t="shared" si="205"/>
        <v>0</v>
      </c>
      <c r="BX77" s="4">
        <f t="shared" si="205"/>
        <v>0</v>
      </c>
      <c r="BY77" s="4">
        <f t="shared" si="205"/>
        <v>0</v>
      </c>
      <c r="BZ77" s="4">
        <f t="shared" si="205"/>
        <v>0</v>
      </c>
      <c r="CA77" s="4">
        <f t="shared" si="205"/>
        <v>0</v>
      </c>
      <c r="CB77" s="4">
        <f t="shared" si="44"/>
        <v>0</v>
      </c>
      <c r="CC77" s="429">
        <f t="shared" si="64"/>
        <v>0</v>
      </c>
      <c r="CD77" s="4">
        <f t="shared" ref="CD77:CN77" si="206">CE41</f>
        <v>0</v>
      </c>
      <c r="CE77" s="4">
        <f t="shared" si="206"/>
        <v>0</v>
      </c>
      <c r="CF77" s="4">
        <f t="shared" si="206"/>
        <v>0</v>
      </c>
      <c r="CG77" s="4">
        <f t="shared" si="206"/>
        <v>0</v>
      </c>
      <c r="CH77" s="4">
        <f t="shared" si="206"/>
        <v>0</v>
      </c>
      <c r="CI77" s="4">
        <f t="shared" si="206"/>
        <v>0</v>
      </c>
      <c r="CJ77" s="4">
        <f t="shared" si="206"/>
        <v>0</v>
      </c>
      <c r="CK77" s="4">
        <f t="shared" si="206"/>
        <v>0</v>
      </c>
      <c r="CL77" s="4">
        <f t="shared" si="206"/>
        <v>0</v>
      </c>
      <c r="CM77" s="4">
        <f t="shared" si="206"/>
        <v>0</v>
      </c>
      <c r="CN77" s="4">
        <f t="shared" si="206"/>
        <v>0</v>
      </c>
      <c r="CO77" s="4">
        <f t="shared" si="46"/>
        <v>0</v>
      </c>
      <c r="CP77" s="429">
        <f t="shared" si="66"/>
        <v>0</v>
      </c>
    </row>
    <row r="78" spans="1:94" hidden="1">
      <c r="A78" s="4">
        <f>'Summary. Assumptions. Inputs'!A69</f>
        <v>0</v>
      </c>
      <c r="B78" s="4">
        <f>'Summary. Assumptions. Inputs'!B69</f>
        <v>0</v>
      </c>
      <c r="C78" s="4">
        <f t="shared" ref="C78:N78" si="207">D42</f>
        <v>0</v>
      </c>
      <c r="D78">
        <f t="shared" si="207"/>
        <v>0</v>
      </c>
      <c r="E78">
        <f t="shared" si="207"/>
        <v>0</v>
      </c>
      <c r="F78">
        <f t="shared" si="207"/>
        <v>0</v>
      </c>
      <c r="G78">
        <f t="shared" si="207"/>
        <v>0</v>
      </c>
      <c r="H78">
        <f t="shared" si="207"/>
        <v>0</v>
      </c>
      <c r="I78">
        <f t="shared" si="207"/>
        <v>0</v>
      </c>
      <c r="J78">
        <f t="shared" si="207"/>
        <v>0</v>
      </c>
      <c r="K78">
        <f t="shared" si="207"/>
        <v>0</v>
      </c>
      <c r="L78">
        <f t="shared" si="207"/>
        <v>0</v>
      </c>
      <c r="M78">
        <f t="shared" si="207"/>
        <v>0</v>
      </c>
      <c r="N78">
        <f t="shared" si="207"/>
        <v>0</v>
      </c>
      <c r="O78">
        <f t="shared" si="33"/>
        <v>0</v>
      </c>
      <c r="P78" s="429">
        <f t="shared" si="34"/>
        <v>0</v>
      </c>
      <c r="Q78" s="4">
        <f t="shared" ref="Q78:AA78" si="208">R42</f>
        <v>0</v>
      </c>
      <c r="R78" s="4">
        <f t="shared" si="208"/>
        <v>0</v>
      </c>
      <c r="S78" s="4">
        <f t="shared" si="208"/>
        <v>0</v>
      </c>
      <c r="T78" s="4">
        <f t="shared" si="208"/>
        <v>0</v>
      </c>
      <c r="U78" s="4">
        <f t="shared" si="208"/>
        <v>0</v>
      </c>
      <c r="V78" s="4">
        <f t="shared" si="208"/>
        <v>0</v>
      </c>
      <c r="W78" s="4">
        <f t="shared" si="208"/>
        <v>0</v>
      </c>
      <c r="X78" s="4">
        <f t="shared" si="208"/>
        <v>0</v>
      </c>
      <c r="Y78" s="4">
        <f t="shared" si="208"/>
        <v>0</v>
      </c>
      <c r="Z78" s="4">
        <f t="shared" si="208"/>
        <v>0</v>
      </c>
      <c r="AA78" s="4">
        <f t="shared" si="208"/>
        <v>0</v>
      </c>
      <c r="AB78" s="4">
        <f t="shared" si="36"/>
        <v>0</v>
      </c>
      <c r="AC78" s="429">
        <f t="shared" si="56"/>
        <v>0</v>
      </c>
      <c r="AD78" s="4">
        <f t="shared" ref="AD78:AN78" si="209">AE42</f>
        <v>0</v>
      </c>
      <c r="AE78" s="4">
        <f t="shared" si="209"/>
        <v>0</v>
      </c>
      <c r="AF78" s="4">
        <f t="shared" si="209"/>
        <v>0</v>
      </c>
      <c r="AG78" s="4">
        <f t="shared" si="209"/>
        <v>0</v>
      </c>
      <c r="AH78" s="4">
        <f t="shared" si="209"/>
        <v>0</v>
      </c>
      <c r="AI78" s="4">
        <f t="shared" si="209"/>
        <v>0</v>
      </c>
      <c r="AJ78" s="4">
        <f t="shared" si="209"/>
        <v>0</v>
      </c>
      <c r="AK78" s="4">
        <f t="shared" si="209"/>
        <v>0</v>
      </c>
      <c r="AL78" s="4">
        <f t="shared" si="209"/>
        <v>0</v>
      </c>
      <c r="AM78" s="4">
        <f t="shared" si="209"/>
        <v>0</v>
      </c>
      <c r="AN78" s="4">
        <f t="shared" si="209"/>
        <v>0</v>
      </c>
      <c r="AO78" s="4">
        <f t="shared" si="38"/>
        <v>0</v>
      </c>
      <c r="AP78" s="429">
        <f t="shared" si="58"/>
        <v>0</v>
      </c>
      <c r="AQ78" s="4">
        <f t="shared" ref="AQ78:BA78" si="210">AR42</f>
        <v>0</v>
      </c>
      <c r="AR78" s="4">
        <f t="shared" si="210"/>
        <v>0</v>
      </c>
      <c r="AS78" s="4">
        <f t="shared" si="210"/>
        <v>0</v>
      </c>
      <c r="AT78" s="4">
        <f t="shared" si="210"/>
        <v>0</v>
      </c>
      <c r="AU78" s="4">
        <f t="shared" si="210"/>
        <v>0</v>
      </c>
      <c r="AV78" s="4">
        <f t="shared" si="210"/>
        <v>0</v>
      </c>
      <c r="AW78" s="4">
        <f t="shared" si="210"/>
        <v>0</v>
      </c>
      <c r="AX78" s="4">
        <f t="shared" si="210"/>
        <v>0</v>
      </c>
      <c r="AY78" s="4">
        <f t="shared" si="210"/>
        <v>0</v>
      </c>
      <c r="AZ78" s="4">
        <f t="shared" si="210"/>
        <v>0</v>
      </c>
      <c r="BA78" s="4">
        <f t="shared" si="210"/>
        <v>0</v>
      </c>
      <c r="BB78" s="4">
        <f t="shared" si="40"/>
        <v>0</v>
      </c>
      <c r="BC78" s="429">
        <f t="shared" si="60"/>
        <v>0</v>
      </c>
      <c r="BD78" s="4">
        <f t="shared" ref="BD78:BN78" si="211">BE42</f>
        <v>0</v>
      </c>
      <c r="BE78" s="4">
        <f t="shared" si="211"/>
        <v>0</v>
      </c>
      <c r="BF78" s="4">
        <f t="shared" si="211"/>
        <v>0</v>
      </c>
      <c r="BG78" s="4">
        <f t="shared" si="211"/>
        <v>0</v>
      </c>
      <c r="BH78" s="4">
        <f t="shared" si="211"/>
        <v>0</v>
      </c>
      <c r="BI78" s="4">
        <f t="shared" si="211"/>
        <v>0</v>
      </c>
      <c r="BJ78" s="4">
        <f t="shared" si="211"/>
        <v>0</v>
      </c>
      <c r="BK78" s="4">
        <f t="shared" si="211"/>
        <v>0</v>
      </c>
      <c r="BL78" s="4">
        <f t="shared" si="211"/>
        <v>0</v>
      </c>
      <c r="BM78" s="4">
        <f t="shared" si="211"/>
        <v>0</v>
      </c>
      <c r="BN78" s="4">
        <f t="shared" si="211"/>
        <v>0</v>
      </c>
      <c r="BO78" s="4">
        <f t="shared" si="42"/>
        <v>0</v>
      </c>
      <c r="BP78" s="429">
        <f t="shared" si="62"/>
        <v>0</v>
      </c>
      <c r="BQ78" s="4">
        <f t="shared" ref="BQ78:CA78" si="212">BR42</f>
        <v>0</v>
      </c>
      <c r="BR78" s="4">
        <f t="shared" si="212"/>
        <v>0</v>
      </c>
      <c r="BS78" s="4">
        <f t="shared" si="212"/>
        <v>0</v>
      </c>
      <c r="BT78" s="4">
        <f t="shared" si="212"/>
        <v>0</v>
      </c>
      <c r="BU78" s="4">
        <f t="shared" si="212"/>
        <v>0</v>
      </c>
      <c r="BV78" s="4">
        <f t="shared" si="212"/>
        <v>0</v>
      </c>
      <c r="BW78" s="4">
        <f t="shared" si="212"/>
        <v>0</v>
      </c>
      <c r="BX78" s="4">
        <f t="shared" si="212"/>
        <v>0</v>
      </c>
      <c r="BY78" s="4">
        <f t="shared" si="212"/>
        <v>0</v>
      </c>
      <c r="BZ78" s="4">
        <f t="shared" si="212"/>
        <v>0</v>
      </c>
      <c r="CA78" s="4">
        <f t="shared" si="212"/>
        <v>0</v>
      </c>
      <c r="CB78" s="4">
        <f t="shared" si="44"/>
        <v>0</v>
      </c>
      <c r="CC78" s="429">
        <f t="shared" si="64"/>
        <v>0</v>
      </c>
      <c r="CD78" s="4">
        <f t="shared" ref="CD78:CN78" si="213">CE42</f>
        <v>0</v>
      </c>
      <c r="CE78" s="4">
        <f t="shared" si="213"/>
        <v>0</v>
      </c>
      <c r="CF78" s="4">
        <f t="shared" si="213"/>
        <v>0</v>
      </c>
      <c r="CG78" s="4">
        <f t="shared" si="213"/>
        <v>0</v>
      </c>
      <c r="CH78" s="4">
        <f t="shared" si="213"/>
        <v>0</v>
      </c>
      <c r="CI78" s="4">
        <f t="shared" si="213"/>
        <v>0</v>
      </c>
      <c r="CJ78" s="4">
        <f t="shared" si="213"/>
        <v>0</v>
      </c>
      <c r="CK78" s="4">
        <f t="shared" si="213"/>
        <v>0</v>
      </c>
      <c r="CL78" s="4">
        <f t="shared" si="213"/>
        <v>0</v>
      </c>
      <c r="CM78" s="4">
        <f t="shared" si="213"/>
        <v>0</v>
      </c>
      <c r="CN78" s="4">
        <f t="shared" si="213"/>
        <v>0</v>
      </c>
      <c r="CO78" s="4">
        <f t="shared" si="46"/>
        <v>0</v>
      </c>
      <c r="CP78" s="429">
        <f t="shared" si="66"/>
        <v>0</v>
      </c>
    </row>
    <row r="79" spans="1:94" hidden="1">
      <c r="A79" s="4">
        <f>'Summary. Assumptions. Inputs'!A70</f>
        <v>0</v>
      </c>
      <c r="B79" s="4">
        <f>'Summary. Assumptions. Inputs'!B70</f>
        <v>0</v>
      </c>
      <c r="C79" s="4">
        <f t="shared" ref="C79:N79" si="214">D43</f>
        <v>0</v>
      </c>
      <c r="D79">
        <f t="shared" si="214"/>
        <v>0</v>
      </c>
      <c r="E79">
        <f t="shared" si="214"/>
        <v>0</v>
      </c>
      <c r="F79">
        <f t="shared" si="214"/>
        <v>0</v>
      </c>
      <c r="G79">
        <f t="shared" si="214"/>
        <v>0</v>
      </c>
      <c r="H79">
        <f t="shared" si="214"/>
        <v>0</v>
      </c>
      <c r="I79">
        <f t="shared" si="214"/>
        <v>0</v>
      </c>
      <c r="J79">
        <f t="shared" si="214"/>
        <v>0</v>
      </c>
      <c r="K79">
        <f t="shared" si="214"/>
        <v>0</v>
      </c>
      <c r="L79">
        <f t="shared" si="214"/>
        <v>0</v>
      </c>
      <c r="M79">
        <f t="shared" si="214"/>
        <v>0</v>
      </c>
      <c r="N79">
        <f t="shared" si="214"/>
        <v>0</v>
      </c>
      <c r="O79">
        <f t="shared" si="33"/>
        <v>0</v>
      </c>
      <c r="P79" s="429">
        <f t="shared" si="34"/>
        <v>0</v>
      </c>
      <c r="Q79" s="4">
        <f t="shared" ref="Q79:AA79" si="215">R43</f>
        <v>0</v>
      </c>
      <c r="R79" s="4">
        <f t="shared" si="215"/>
        <v>0</v>
      </c>
      <c r="S79" s="4">
        <f t="shared" si="215"/>
        <v>0</v>
      </c>
      <c r="T79" s="4">
        <f t="shared" si="215"/>
        <v>0</v>
      </c>
      <c r="U79" s="4">
        <f t="shared" si="215"/>
        <v>0</v>
      </c>
      <c r="V79" s="4">
        <f t="shared" si="215"/>
        <v>0</v>
      </c>
      <c r="W79" s="4">
        <f t="shared" si="215"/>
        <v>0</v>
      </c>
      <c r="X79" s="4">
        <f t="shared" si="215"/>
        <v>0</v>
      </c>
      <c r="Y79" s="4">
        <f t="shared" si="215"/>
        <v>0</v>
      </c>
      <c r="Z79" s="4">
        <f t="shared" si="215"/>
        <v>0</v>
      </c>
      <c r="AA79" s="4">
        <f t="shared" si="215"/>
        <v>0</v>
      </c>
      <c r="AB79" s="4">
        <f t="shared" si="36"/>
        <v>0</v>
      </c>
      <c r="AC79" s="429">
        <f t="shared" si="56"/>
        <v>0</v>
      </c>
      <c r="AD79" s="4">
        <f t="shared" ref="AD79:AN79" si="216">AE43</f>
        <v>0</v>
      </c>
      <c r="AE79" s="4">
        <f t="shared" si="216"/>
        <v>0</v>
      </c>
      <c r="AF79" s="4">
        <f t="shared" si="216"/>
        <v>0</v>
      </c>
      <c r="AG79" s="4">
        <f t="shared" si="216"/>
        <v>0</v>
      </c>
      <c r="AH79" s="4">
        <f t="shared" si="216"/>
        <v>0</v>
      </c>
      <c r="AI79" s="4">
        <f t="shared" si="216"/>
        <v>0</v>
      </c>
      <c r="AJ79" s="4">
        <f t="shared" si="216"/>
        <v>0</v>
      </c>
      <c r="AK79" s="4">
        <f t="shared" si="216"/>
        <v>0</v>
      </c>
      <c r="AL79" s="4">
        <f t="shared" si="216"/>
        <v>0</v>
      </c>
      <c r="AM79" s="4">
        <f t="shared" si="216"/>
        <v>0</v>
      </c>
      <c r="AN79" s="4">
        <f t="shared" si="216"/>
        <v>0</v>
      </c>
      <c r="AO79" s="4">
        <f t="shared" si="38"/>
        <v>0</v>
      </c>
      <c r="AP79" s="429">
        <f t="shared" si="58"/>
        <v>0</v>
      </c>
      <c r="AQ79" s="4">
        <f t="shared" ref="AQ79:BA79" si="217">AR43</f>
        <v>0</v>
      </c>
      <c r="AR79" s="4">
        <f t="shared" si="217"/>
        <v>0</v>
      </c>
      <c r="AS79" s="4">
        <f t="shared" si="217"/>
        <v>0</v>
      </c>
      <c r="AT79" s="4">
        <f t="shared" si="217"/>
        <v>0</v>
      </c>
      <c r="AU79" s="4">
        <f t="shared" si="217"/>
        <v>0</v>
      </c>
      <c r="AV79" s="4">
        <f t="shared" si="217"/>
        <v>0</v>
      </c>
      <c r="AW79" s="4">
        <f t="shared" si="217"/>
        <v>0</v>
      </c>
      <c r="AX79" s="4">
        <f t="shared" si="217"/>
        <v>0</v>
      </c>
      <c r="AY79" s="4">
        <f t="shared" si="217"/>
        <v>0</v>
      </c>
      <c r="AZ79" s="4">
        <f t="shared" si="217"/>
        <v>0</v>
      </c>
      <c r="BA79" s="4">
        <f t="shared" si="217"/>
        <v>0</v>
      </c>
      <c r="BB79" s="4">
        <f t="shared" si="40"/>
        <v>0</v>
      </c>
      <c r="BC79" s="429">
        <f t="shared" si="60"/>
        <v>0</v>
      </c>
      <c r="BD79" s="4">
        <f t="shared" ref="BD79:BN79" si="218">BE43</f>
        <v>0</v>
      </c>
      <c r="BE79" s="4">
        <f t="shared" si="218"/>
        <v>0</v>
      </c>
      <c r="BF79" s="4">
        <f t="shared" si="218"/>
        <v>0</v>
      </c>
      <c r="BG79" s="4">
        <f t="shared" si="218"/>
        <v>0</v>
      </c>
      <c r="BH79" s="4">
        <f t="shared" si="218"/>
        <v>0</v>
      </c>
      <c r="BI79" s="4">
        <f t="shared" si="218"/>
        <v>0</v>
      </c>
      <c r="BJ79" s="4">
        <f t="shared" si="218"/>
        <v>0</v>
      </c>
      <c r="BK79" s="4">
        <f t="shared" si="218"/>
        <v>0</v>
      </c>
      <c r="BL79" s="4">
        <f t="shared" si="218"/>
        <v>0</v>
      </c>
      <c r="BM79" s="4">
        <f t="shared" si="218"/>
        <v>0</v>
      </c>
      <c r="BN79" s="4">
        <f t="shared" si="218"/>
        <v>0</v>
      </c>
      <c r="BO79" s="4">
        <f t="shared" si="42"/>
        <v>0</v>
      </c>
      <c r="BP79" s="429">
        <f t="shared" si="62"/>
        <v>0</v>
      </c>
      <c r="BQ79" s="4">
        <f t="shared" ref="BQ79:CA79" si="219">BR43</f>
        <v>0</v>
      </c>
      <c r="BR79" s="4">
        <f t="shared" si="219"/>
        <v>0</v>
      </c>
      <c r="BS79" s="4">
        <f t="shared" si="219"/>
        <v>0</v>
      </c>
      <c r="BT79" s="4">
        <f t="shared" si="219"/>
        <v>0</v>
      </c>
      <c r="BU79" s="4">
        <f t="shared" si="219"/>
        <v>0</v>
      </c>
      <c r="BV79" s="4">
        <f t="shared" si="219"/>
        <v>0</v>
      </c>
      <c r="BW79" s="4">
        <f t="shared" si="219"/>
        <v>0</v>
      </c>
      <c r="BX79" s="4">
        <f t="shared" si="219"/>
        <v>0</v>
      </c>
      <c r="BY79" s="4">
        <f t="shared" si="219"/>
        <v>0</v>
      </c>
      <c r="BZ79" s="4">
        <f t="shared" si="219"/>
        <v>0</v>
      </c>
      <c r="CA79" s="4">
        <f t="shared" si="219"/>
        <v>0</v>
      </c>
      <c r="CB79" s="4">
        <f t="shared" si="44"/>
        <v>0</v>
      </c>
      <c r="CC79" s="429">
        <f t="shared" si="64"/>
        <v>0</v>
      </c>
      <c r="CD79" s="4">
        <f t="shared" ref="CD79:CN79" si="220">CE43</f>
        <v>0</v>
      </c>
      <c r="CE79" s="4">
        <f t="shared" si="220"/>
        <v>0</v>
      </c>
      <c r="CF79" s="4">
        <f t="shared" si="220"/>
        <v>0</v>
      </c>
      <c r="CG79" s="4">
        <f t="shared" si="220"/>
        <v>0</v>
      </c>
      <c r="CH79" s="4">
        <f t="shared" si="220"/>
        <v>0</v>
      </c>
      <c r="CI79" s="4">
        <f t="shared" si="220"/>
        <v>0</v>
      </c>
      <c r="CJ79" s="4">
        <f t="shared" si="220"/>
        <v>0</v>
      </c>
      <c r="CK79" s="4">
        <f t="shared" si="220"/>
        <v>0</v>
      </c>
      <c r="CL79" s="4">
        <f t="shared" si="220"/>
        <v>0</v>
      </c>
      <c r="CM79" s="4">
        <f t="shared" si="220"/>
        <v>0</v>
      </c>
      <c r="CN79" s="4">
        <f t="shared" si="220"/>
        <v>0</v>
      </c>
      <c r="CO79" s="4">
        <f t="shared" si="46"/>
        <v>0</v>
      </c>
      <c r="CP79" s="429">
        <f t="shared" si="66"/>
        <v>0</v>
      </c>
    </row>
    <row r="80" spans="1:94" hidden="1">
      <c r="A80" s="4">
        <f>'Summary. Assumptions. Inputs'!A71</f>
        <v>0</v>
      </c>
      <c r="B80" s="4">
        <f>'Summary. Assumptions. Inputs'!B71</f>
        <v>0</v>
      </c>
      <c r="C80" s="4">
        <f t="shared" ref="C80:N80" si="221">D44</f>
        <v>0</v>
      </c>
      <c r="D80">
        <f t="shared" si="221"/>
        <v>0</v>
      </c>
      <c r="E80">
        <f t="shared" si="221"/>
        <v>0</v>
      </c>
      <c r="F80">
        <f t="shared" si="221"/>
        <v>0</v>
      </c>
      <c r="G80">
        <f t="shared" si="221"/>
        <v>0</v>
      </c>
      <c r="H80">
        <f t="shared" si="221"/>
        <v>0</v>
      </c>
      <c r="I80">
        <f t="shared" si="221"/>
        <v>0</v>
      </c>
      <c r="J80">
        <f t="shared" si="221"/>
        <v>0</v>
      </c>
      <c r="K80">
        <f t="shared" si="221"/>
        <v>0</v>
      </c>
      <c r="L80">
        <f t="shared" si="221"/>
        <v>0</v>
      </c>
      <c r="M80">
        <f t="shared" si="221"/>
        <v>0</v>
      </c>
      <c r="N80">
        <f t="shared" si="221"/>
        <v>0</v>
      </c>
      <c r="O80">
        <f t="shared" si="33"/>
        <v>0</v>
      </c>
      <c r="P80" s="429">
        <f t="shared" si="34"/>
        <v>0</v>
      </c>
      <c r="Q80" s="4">
        <f t="shared" ref="Q80:AA80" si="222">R44</f>
        <v>0</v>
      </c>
      <c r="R80" s="4">
        <f t="shared" si="222"/>
        <v>0</v>
      </c>
      <c r="S80" s="4">
        <f t="shared" si="222"/>
        <v>0</v>
      </c>
      <c r="T80" s="4">
        <f t="shared" si="222"/>
        <v>0</v>
      </c>
      <c r="U80" s="4">
        <f t="shared" si="222"/>
        <v>0</v>
      </c>
      <c r="V80" s="4">
        <f t="shared" si="222"/>
        <v>0</v>
      </c>
      <c r="W80" s="4">
        <f t="shared" si="222"/>
        <v>0</v>
      </c>
      <c r="X80" s="4">
        <f t="shared" si="222"/>
        <v>0</v>
      </c>
      <c r="Y80" s="4">
        <f t="shared" si="222"/>
        <v>0</v>
      </c>
      <c r="Z80" s="4">
        <f t="shared" si="222"/>
        <v>0</v>
      </c>
      <c r="AA80" s="4">
        <f t="shared" si="222"/>
        <v>0</v>
      </c>
      <c r="AB80" s="4">
        <f t="shared" si="36"/>
        <v>0</v>
      </c>
      <c r="AC80" s="429">
        <f t="shared" si="56"/>
        <v>0</v>
      </c>
      <c r="AD80" s="4">
        <f t="shared" ref="AD80:AN80" si="223">AE44</f>
        <v>0</v>
      </c>
      <c r="AE80" s="4">
        <f t="shared" si="223"/>
        <v>0</v>
      </c>
      <c r="AF80" s="4">
        <f t="shared" si="223"/>
        <v>0</v>
      </c>
      <c r="AG80" s="4">
        <f t="shared" si="223"/>
        <v>0</v>
      </c>
      <c r="AH80" s="4">
        <f t="shared" si="223"/>
        <v>0</v>
      </c>
      <c r="AI80" s="4">
        <f t="shared" si="223"/>
        <v>0</v>
      </c>
      <c r="AJ80" s="4">
        <f t="shared" si="223"/>
        <v>0</v>
      </c>
      <c r="AK80" s="4">
        <f t="shared" si="223"/>
        <v>0</v>
      </c>
      <c r="AL80" s="4">
        <f t="shared" si="223"/>
        <v>0</v>
      </c>
      <c r="AM80" s="4">
        <f t="shared" si="223"/>
        <v>0</v>
      </c>
      <c r="AN80" s="4">
        <f t="shared" si="223"/>
        <v>0</v>
      </c>
      <c r="AO80" s="4">
        <f t="shared" si="38"/>
        <v>0</v>
      </c>
      <c r="AP80" s="429">
        <f t="shared" si="58"/>
        <v>0</v>
      </c>
      <c r="AQ80" s="4">
        <f t="shared" ref="AQ80:BA80" si="224">AR44</f>
        <v>0</v>
      </c>
      <c r="AR80" s="4">
        <f t="shared" si="224"/>
        <v>0</v>
      </c>
      <c r="AS80" s="4">
        <f t="shared" si="224"/>
        <v>0</v>
      </c>
      <c r="AT80" s="4">
        <f t="shared" si="224"/>
        <v>0</v>
      </c>
      <c r="AU80" s="4">
        <f t="shared" si="224"/>
        <v>0</v>
      </c>
      <c r="AV80" s="4">
        <f t="shared" si="224"/>
        <v>0</v>
      </c>
      <c r="AW80" s="4">
        <f t="shared" si="224"/>
        <v>0</v>
      </c>
      <c r="AX80" s="4">
        <f t="shared" si="224"/>
        <v>0</v>
      </c>
      <c r="AY80" s="4">
        <f t="shared" si="224"/>
        <v>0</v>
      </c>
      <c r="AZ80" s="4">
        <f t="shared" si="224"/>
        <v>0</v>
      </c>
      <c r="BA80" s="4">
        <f t="shared" si="224"/>
        <v>0</v>
      </c>
      <c r="BB80" s="4">
        <f t="shared" si="40"/>
        <v>0</v>
      </c>
      <c r="BC80" s="429">
        <f t="shared" si="60"/>
        <v>0</v>
      </c>
      <c r="BD80" s="4">
        <f t="shared" ref="BD80:BN80" si="225">BE44</f>
        <v>0</v>
      </c>
      <c r="BE80" s="4">
        <f t="shared" si="225"/>
        <v>0</v>
      </c>
      <c r="BF80" s="4">
        <f t="shared" si="225"/>
        <v>0</v>
      </c>
      <c r="BG80" s="4">
        <f t="shared" si="225"/>
        <v>0</v>
      </c>
      <c r="BH80" s="4">
        <f t="shared" si="225"/>
        <v>0</v>
      </c>
      <c r="BI80" s="4">
        <f t="shared" si="225"/>
        <v>0</v>
      </c>
      <c r="BJ80" s="4">
        <f t="shared" si="225"/>
        <v>0</v>
      </c>
      <c r="BK80" s="4">
        <f t="shared" si="225"/>
        <v>0</v>
      </c>
      <c r="BL80" s="4">
        <f t="shared" si="225"/>
        <v>0</v>
      </c>
      <c r="BM80" s="4">
        <f t="shared" si="225"/>
        <v>0</v>
      </c>
      <c r="BN80" s="4">
        <f t="shared" si="225"/>
        <v>0</v>
      </c>
      <c r="BO80" s="4">
        <f t="shared" si="42"/>
        <v>0</v>
      </c>
      <c r="BP80" s="429">
        <f t="shared" si="62"/>
        <v>0</v>
      </c>
      <c r="BQ80" s="4">
        <f t="shared" ref="BQ80:CA80" si="226">BR44</f>
        <v>0</v>
      </c>
      <c r="BR80" s="4">
        <f t="shared" si="226"/>
        <v>0</v>
      </c>
      <c r="BS80" s="4">
        <f t="shared" si="226"/>
        <v>0</v>
      </c>
      <c r="BT80" s="4">
        <f t="shared" si="226"/>
        <v>0</v>
      </c>
      <c r="BU80" s="4">
        <f t="shared" si="226"/>
        <v>0</v>
      </c>
      <c r="BV80" s="4">
        <f t="shared" si="226"/>
        <v>0</v>
      </c>
      <c r="BW80" s="4">
        <f t="shared" si="226"/>
        <v>0</v>
      </c>
      <c r="BX80" s="4">
        <f t="shared" si="226"/>
        <v>0</v>
      </c>
      <c r="BY80" s="4">
        <f t="shared" si="226"/>
        <v>0</v>
      </c>
      <c r="BZ80" s="4">
        <f t="shared" si="226"/>
        <v>0</v>
      </c>
      <c r="CA80" s="4">
        <f t="shared" si="226"/>
        <v>0</v>
      </c>
      <c r="CB80" s="4">
        <f t="shared" si="44"/>
        <v>0</v>
      </c>
      <c r="CC80" s="429">
        <f t="shared" si="64"/>
        <v>0</v>
      </c>
      <c r="CD80" s="4">
        <f t="shared" ref="CD80:CN80" si="227">CE44</f>
        <v>0</v>
      </c>
      <c r="CE80" s="4">
        <f t="shared" si="227"/>
        <v>0</v>
      </c>
      <c r="CF80" s="4">
        <f t="shared" si="227"/>
        <v>0</v>
      </c>
      <c r="CG80" s="4">
        <f t="shared" si="227"/>
        <v>0</v>
      </c>
      <c r="CH80" s="4">
        <f t="shared" si="227"/>
        <v>0</v>
      </c>
      <c r="CI80" s="4">
        <f t="shared" si="227"/>
        <v>0</v>
      </c>
      <c r="CJ80" s="4">
        <f t="shared" si="227"/>
        <v>0</v>
      </c>
      <c r="CK80" s="4">
        <f t="shared" si="227"/>
        <v>0</v>
      </c>
      <c r="CL80" s="4">
        <f t="shared" si="227"/>
        <v>0</v>
      </c>
      <c r="CM80" s="4">
        <f t="shared" si="227"/>
        <v>0</v>
      </c>
      <c r="CN80" s="4">
        <f t="shared" si="227"/>
        <v>0</v>
      </c>
      <c r="CO80" s="4">
        <f t="shared" si="46"/>
        <v>0</v>
      </c>
      <c r="CP80" s="429">
        <f t="shared" si="66"/>
        <v>0</v>
      </c>
    </row>
    <row r="81" spans="1:94" ht="25.9" hidden="1" customHeight="1">
      <c r="A81" s="4">
        <f>'Summary. Assumptions. Inputs'!A72</f>
        <v>0</v>
      </c>
      <c r="B81" s="4">
        <f>'Summary. Assumptions. Inputs'!B72</f>
        <v>0</v>
      </c>
      <c r="C81" s="4">
        <f t="shared" ref="C81:N81" si="228">D45</f>
        <v>0</v>
      </c>
      <c r="D81">
        <f t="shared" si="228"/>
        <v>0</v>
      </c>
      <c r="E81">
        <f t="shared" si="228"/>
        <v>0</v>
      </c>
      <c r="F81">
        <f t="shared" si="228"/>
        <v>0</v>
      </c>
      <c r="G81">
        <f t="shared" si="228"/>
        <v>0</v>
      </c>
      <c r="H81">
        <f t="shared" si="228"/>
        <v>0</v>
      </c>
      <c r="I81">
        <f t="shared" si="228"/>
        <v>0</v>
      </c>
      <c r="J81">
        <f t="shared" si="228"/>
        <v>0</v>
      </c>
      <c r="K81">
        <f t="shared" si="228"/>
        <v>0</v>
      </c>
      <c r="L81">
        <f t="shared" si="228"/>
        <v>0</v>
      </c>
      <c r="M81">
        <f t="shared" si="228"/>
        <v>0</v>
      </c>
      <c r="N81">
        <f t="shared" si="228"/>
        <v>0</v>
      </c>
      <c r="O81">
        <f t="shared" si="33"/>
        <v>0</v>
      </c>
      <c r="P81" s="429">
        <f t="shared" si="34"/>
        <v>0</v>
      </c>
      <c r="Q81" s="4">
        <f t="shared" ref="Q81:AA81" si="229">R45</f>
        <v>0</v>
      </c>
      <c r="R81" s="4">
        <f t="shared" si="229"/>
        <v>0</v>
      </c>
      <c r="S81" s="4">
        <f t="shared" si="229"/>
        <v>0</v>
      </c>
      <c r="T81" s="4">
        <f t="shared" si="229"/>
        <v>0</v>
      </c>
      <c r="U81" s="4">
        <f t="shared" si="229"/>
        <v>0</v>
      </c>
      <c r="V81" s="4">
        <f t="shared" si="229"/>
        <v>0</v>
      </c>
      <c r="W81" s="4">
        <f t="shared" si="229"/>
        <v>0</v>
      </c>
      <c r="X81" s="4">
        <f t="shared" si="229"/>
        <v>0</v>
      </c>
      <c r="Y81" s="4">
        <f t="shared" si="229"/>
        <v>0</v>
      </c>
      <c r="Z81" s="4">
        <f t="shared" si="229"/>
        <v>0</v>
      </c>
      <c r="AA81" s="4">
        <f t="shared" si="229"/>
        <v>0</v>
      </c>
      <c r="AB81" s="4">
        <f t="shared" si="36"/>
        <v>0</v>
      </c>
      <c r="AC81" s="429">
        <f t="shared" si="56"/>
        <v>0</v>
      </c>
      <c r="AD81" s="4">
        <f t="shared" ref="AD81:AN81" si="230">AE45</f>
        <v>0</v>
      </c>
      <c r="AE81" s="4">
        <f t="shared" si="230"/>
        <v>0</v>
      </c>
      <c r="AF81" s="4">
        <f t="shared" si="230"/>
        <v>0</v>
      </c>
      <c r="AG81" s="4">
        <f t="shared" si="230"/>
        <v>0</v>
      </c>
      <c r="AH81" s="4">
        <f t="shared" si="230"/>
        <v>0</v>
      </c>
      <c r="AI81" s="4">
        <f t="shared" si="230"/>
        <v>0</v>
      </c>
      <c r="AJ81" s="4">
        <f t="shared" si="230"/>
        <v>0</v>
      </c>
      <c r="AK81" s="4">
        <f t="shared" si="230"/>
        <v>0</v>
      </c>
      <c r="AL81" s="4">
        <f t="shared" si="230"/>
        <v>0</v>
      </c>
      <c r="AM81" s="4">
        <f t="shared" si="230"/>
        <v>0</v>
      </c>
      <c r="AN81" s="4">
        <f t="shared" si="230"/>
        <v>0</v>
      </c>
      <c r="AO81" s="4">
        <f t="shared" si="38"/>
        <v>0</v>
      </c>
      <c r="AP81" s="429">
        <f t="shared" si="58"/>
        <v>0</v>
      </c>
      <c r="AQ81" s="4">
        <f t="shared" ref="AQ81:BA81" si="231">AR45</f>
        <v>0</v>
      </c>
      <c r="AR81" s="4">
        <f t="shared" si="231"/>
        <v>0</v>
      </c>
      <c r="AS81" s="4">
        <f t="shared" si="231"/>
        <v>0</v>
      </c>
      <c r="AT81" s="4">
        <f t="shared" si="231"/>
        <v>0</v>
      </c>
      <c r="AU81" s="4">
        <f t="shared" si="231"/>
        <v>0</v>
      </c>
      <c r="AV81" s="4">
        <f t="shared" si="231"/>
        <v>0</v>
      </c>
      <c r="AW81" s="4">
        <f t="shared" si="231"/>
        <v>0</v>
      </c>
      <c r="AX81" s="4">
        <f t="shared" si="231"/>
        <v>0</v>
      </c>
      <c r="AY81" s="4">
        <f t="shared" si="231"/>
        <v>0</v>
      </c>
      <c r="AZ81" s="4">
        <f t="shared" si="231"/>
        <v>0</v>
      </c>
      <c r="BA81" s="4">
        <f t="shared" si="231"/>
        <v>0</v>
      </c>
      <c r="BB81" s="4">
        <f t="shared" si="40"/>
        <v>0</v>
      </c>
      <c r="BC81" s="429">
        <f t="shared" si="60"/>
        <v>0</v>
      </c>
      <c r="BD81" s="4">
        <f t="shared" ref="BD81:BN81" si="232">BE45</f>
        <v>0</v>
      </c>
      <c r="BE81" s="4">
        <f t="shared" si="232"/>
        <v>0</v>
      </c>
      <c r="BF81" s="4">
        <f t="shared" si="232"/>
        <v>0</v>
      </c>
      <c r="BG81" s="4">
        <f t="shared" si="232"/>
        <v>0</v>
      </c>
      <c r="BH81" s="4">
        <f t="shared" si="232"/>
        <v>0</v>
      </c>
      <c r="BI81" s="4">
        <f t="shared" si="232"/>
        <v>0</v>
      </c>
      <c r="BJ81" s="4">
        <f t="shared" si="232"/>
        <v>0</v>
      </c>
      <c r="BK81" s="4">
        <f t="shared" si="232"/>
        <v>0</v>
      </c>
      <c r="BL81" s="4">
        <f t="shared" si="232"/>
        <v>0</v>
      </c>
      <c r="BM81" s="4">
        <f t="shared" si="232"/>
        <v>0</v>
      </c>
      <c r="BN81" s="4">
        <f t="shared" si="232"/>
        <v>0</v>
      </c>
      <c r="BO81" s="4">
        <f t="shared" si="42"/>
        <v>0</v>
      </c>
      <c r="BP81" s="429">
        <f t="shared" si="62"/>
        <v>0</v>
      </c>
      <c r="BQ81" s="4">
        <f t="shared" ref="BQ81:CA81" si="233">BR45</f>
        <v>0</v>
      </c>
      <c r="BR81" s="4">
        <f t="shared" si="233"/>
        <v>0</v>
      </c>
      <c r="BS81" s="4">
        <f t="shared" si="233"/>
        <v>0</v>
      </c>
      <c r="BT81" s="4">
        <f t="shared" si="233"/>
        <v>0</v>
      </c>
      <c r="BU81" s="4">
        <f t="shared" si="233"/>
        <v>0</v>
      </c>
      <c r="BV81" s="4">
        <f t="shared" si="233"/>
        <v>0</v>
      </c>
      <c r="BW81" s="4">
        <f t="shared" si="233"/>
        <v>0</v>
      </c>
      <c r="BX81" s="4">
        <f t="shared" si="233"/>
        <v>0</v>
      </c>
      <c r="BY81" s="4">
        <f t="shared" si="233"/>
        <v>0</v>
      </c>
      <c r="BZ81" s="4">
        <f t="shared" si="233"/>
        <v>0</v>
      </c>
      <c r="CA81" s="4">
        <f t="shared" si="233"/>
        <v>0</v>
      </c>
      <c r="CB81" s="4">
        <f t="shared" si="44"/>
        <v>0</v>
      </c>
      <c r="CC81" s="429">
        <f t="shared" si="64"/>
        <v>0</v>
      </c>
      <c r="CD81" s="4">
        <f t="shared" ref="CD81:CN81" si="234">CE45</f>
        <v>0</v>
      </c>
      <c r="CE81" s="4">
        <f t="shared" si="234"/>
        <v>0</v>
      </c>
      <c r="CF81" s="4">
        <f t="shared" si="234"/>
        <v>0</v>
      </c>
      <c r="CG81" s="4">
        <f t="shared" si="234"/>
        <v>0</v>
      </c>
      <c r="CH81" s="4">
        <f t="shared" si="234"/>
        <v>0</v>
      </c>
      <c r="CI81" s="4">
        <f t="shared" si="234"/>
        <v>0</v>
      </c>
      <c r="CJ81" s="4">
        <f t="shared" si="234"/>
        <v>0</v>
      </c>
      <c r="CK81" s="4">
        <f t="shared" si="234"/>
        <v>0</v>
      </c>
      <c r="CL81" s="4">
        <f t="shared" si="234"/>
        <v>0</v>
      </c>
      <c r="CM81" s="4">
        <f t="shared" si="234"/>
        <v>0</v>
      </c>
      <c r="CN81" s="4">
        <f t="shared" si="234"/>
        <v>0</v>
      </c>
      <c r="CO81" s="4">
        <f t="shared" si="46"/>
        <v>0</v>
      </c>
      <c r="CP81" s="429">
        <f t="shared" si="66"/>
        <v>0</v>
      </c>
    </row>
    <row r="82" spans="1:94" hidden="1">
      <c r="A82" s="4">
        <f>'Summary. Assumptions. Inputs'!A73</f>
        <v>0</v>
      </c>
      <c r="B82" s="4">
        <f>'Summary. Assumptions. Inputs'!B73</f>
        <v>0</v>
      </c>
      <c r="C82" s="4">
        <f t="shared" ref="C82:N82" si="235">D46</f>
        <v>0</v>
      </c>
      <c r="D82">
        <f t="shared" si="235"/>
        <v>0</v>
      </c>
      <c r="E82">
        <f t="shared" si="235"/>
        <v>0</v>
      </c>
      <c r="F82">
        <f t="shared" si="235"/>
        <v>0</v>
      </c>
      <c r="G82">
        <f t="shared" si="235"/>
        <v>0</v>
      </c>
      <c r="H82">
        <f t="shared" si="235"/>
        <v>0</v>
      </c>
      <c r="I82">
        <f t="shared" si="235"/>
        <v>0</v>
      </c>
      <c r="J82">
        <f t="shared" si="235"/>
        <v>0</v>
      </c>
      <c r="K82">
        <f t="shared" si="235"/>
        <v>0</v>
      </c>
      <c r="L82">
        <f t="shared" si="235"/>
        <v>0</v>
      </c>
      <c r="M82">
        <f t="shared" si="235"/>
        <v>0</v>
      </c>
      <c r="N82">
        <f t="shared" si="235"/>
        <v>0</v>
      </c>
      <c r="O82">
        <f t="shared" si="33"/>
        <v>0</v>
      </c>
      <c r="P82" s="429">
        <f t="shared" si="34"/>
        <v>0</v>
      </c>
      <c r="Q82" s="4">
        <f t="shared" ref="Q82:AA82" si="236">R46</f>
        <v>0</v>
      </c>
      <c r="R82" s="4">
        <f t="shared" si="236"/>
        <v>0</v>
      </c>
      <c r="S82" s="4">
        <f t="shared" si="236"/>
        <v>0</v>
      </c>
      <c r="T82" s="4">
        <f t="shared" si="236"/>
        <v>0</v>
      </c>
      <c r="U82" s="4">
        <f t="shared" si="236"/>
        <v>0</v>
      </c>
      <c r="V82" s="4">
        <f t="shared" si="236"/>
        <v>0</v>
      </c>
      <c r="W82" s="4">
        <f t="shared" si="236"/>
        <v>0</v>
      </c>
      <c r="X82" s="4">
        <f t="shared" si="236"/>
        <v>0</v>
      </c>
      <c r="Y82" s="4">
        <f t="shared" si="236"/>
        <v>0</v>
      </c>
      <c r="Z82" s="4">
        <f t="shared" si="236"/>
        <v>0</v>
      </c>
      <c r="AA82" s="4">
        <f t="shared" si="236"/>
        <v>0</v>
      </c>
      <c r="AB82" s="4">
        <f t="shared" si="36"/>
        <v>0</v>
      </c>
      <c r="AC82" s="429">
        <f t="shared" si="56"/>
        <v>0</v>
      </c>
      <c r="AD82" s="4">
        <f t="shared" ref="AD82:AN82" si="237">AE46</f>
        <v>0</v>
      </c>
      <c r="AE82" s="4">
        <f t="shared" si="237"/>
        <v>0</v>
      </c>
      <c r="AF82" s="4">
        <f t="shared" si="237"/>
        <v>0</v>
      </c>
      <c r="AG82" s="4">
        <f t="shared" si="237"/>
        <v>0</v>
      </c>
      <c r="AH82" s="4">
        <f t="shared" si="237"/>
        <v>0</v>
      </c>
      <c r="AI82" s="4">
        <f t="shared" si="237"/>
        <v>0</v>
      </c>
      <c r="AJ82" s="4">
        <f t="shared" si="237"/>
        <v>0</v>
      </c>
      <c r="AK82" s="4">
        <f t="shared" si="237"/>
        <v>0</v>
      </c>
      <c r="AL82" s="4">
        <f t="shared" si="237"/>
        <v>0</v>
      </c>
      <c r="AM82" s="4">
        <f t="shared" si="237"/>
        <v>0</v>
      </c>
      <c r="AN82" s="4">
        <f t="shared" si="237"/>
        <v>0</v>
      </c>
      <c r="AO82" s="4">
        <f t="shared" si="38"/>
        <v>0</v>
      </c>
      <c r="AP82" s="429">
        <f t="shared" si="58"/>
        <v>0</v>
      </c>
      <c r="AQ82" s="4">
        <f t="shared" ref="AQ82:BA82" si="238">AR46</f>
        <v>0</v>
      </c>
      <c r="AR82" s="4">
        <f t="shared" si="238"/>
        <v>0</v>
      </c>
      <c r="AS82" s="4">
        <f t="shared" si="238"/>
        <v>0</v>
      </c>
      <c r="AT82" s="4">
        <f t="shared" si="238"/>
        <v>0</v>
      </c>
      <c r="AU82" s="4">
        <f t="shared" si="238"/>
        <v>0</v>
      </c>
      <c r="AV82" s="4">
        <f t="shared" si="238"/>
        <v>0</v>
      </c>
      <c r="AW82" s="4">
        <f t="shared" si="238"/>
        <v>0</v>
      </c>
      <c r="AX82" s="4">
        <f t="shared" si="238"/>
        <v>0</v>
      </c>
      <c r="AY82" s="4">
        <f t="shared" si="238"/>
        <v>0</v>
      </c>
      <c r="AZ82" s="4">
        <f t="shared" si="238"/>
        <v>0</v>
      </c>
      <c r="BA82" s="4">
        <f t="shared" si="238"/>
        <v>0</v>
      </c>
      <c r="BB82" s="4">
        <f t="shared" si="40"/>
        <v>0</v>
      </c>
      <c r="BC82" s="429">
        <f t="shared" si="60"/>
        <v>0</v>
      </c>
      <c r="BD82" s="4">
        <f t="shared" ref="BD82:BN82" si="239">BE46</f>
        <v>0</v>
      </c>
      <c r="BE82" s="4">
        <f t="shared" si="239"/>
        <v>0</v>
      </c>
      <c r="BF82" s="4">
        <f t="shared" si="239"/>
        <v>0</v>
      </c>
      <c r="BG82" s="4">
        <f t="shared" si="239"/>
        <v>0</v>
      </c>
      <c r="BH82" s="4">
        <f t="shared" si="239"/>
        <v>0</v>
      </c>
      <c r="BI82" s="4">
        <f t="shared" si="239"/>
        <v>0</v>
      </c>
      <c r="BJ82" s="4">
        <f t="shared" si="239"/>
        <v>0</v>
      </c>
      <c r="BK82" s="4">
        <f t="shared" si="239"/>
        <v>0</v>
      </c>
      <c r="BL82" s="4">
        <f t="shared" si="239"/>
        <v>0</v>
      </c>
      <c r="BM82" s="4">
        <f t="shared" si="239"/>
        <v>0</v>
      </c>
      <c r="BN82" s="4">
        <f t="shared" si="239"/>
        <v>0</v>
      </c>
      <c r="BO82" s="4">
        <f t="shared" si="42"/>
        <v>0</v>
      </c>
      <c r="BP82" s="429">
        <f t="shared" si="62"/>
        <v>0</v>
      </c>
      <c r="BQ82" s="4">
        <f t="shared" ref="BQ82:CA82" si="240">BR46</f>
        <v>0</v>
      </c>
      <c r="BR82" s="4">
        <f t="shared" si="240"/>
        <v>0</v>
      </c>
      <c r="BS82" s="4">
        <f t="shared" si="240"/>
        <v>0</v>
      </c>
      <c r="BT82" s="4">
        <f t="shared" si="240"/>
        <v>0</v>
      </c>
      <c r="BU82" s="4">
        <f t="shared" si="240"/>
        <v>0</v>
      </c>
      <c r="BV82" s="4">
        <f t="shared" si="240"/>
        <v>0</v>
      </c>
      <c r="BW82" s="4">
        <f t="shared" si="240"/>
        <v>0</v>
      </c>
      <c r="BX82" s="4">
        <f t="shared" si="240"/>
        <v>0</v>
      </c>
      <c r="BY82" s="4">
        <f t="shared" si="240"/>
        <v>0</v>
      </c>
      <c r="BZ82" s="4">
        <f t="shared" si="240"/>
        <v>0</v>
      </c>
      <c r="CA82" s="4">
        <f t="shared" si="240"/>
        <v>0</v>
      </c>
      <c r="CB82" s="4">
        <f t="shared" si="44"/>
        <v>0</v>
      </c>
      <c r="CC82" s="429">
        <f t="shared" si="64"/>
        <v>0</v>
      </c>
      <c r="CD82" s="4">
        <f t="shared" ref="CD82:CN82" si="241">CE46</f>
        <v>0</v>
      </c>
      <c r="CE82" s="4">
        <f t="shared" si="241"/>
        <v>0</v>
      </c>
      <c r="CF82" s="4">
        <f t="shared" si="241"/>
        <v>0</v>
      </c>
      <c r="CG82" s="4">
        <f t="shared" si="241"/>
        <v>0</v>
      </c>
      <c r="CH82" s="4">
        <f t="shared" si="241"/>
        <v>0</v>
      </c>
      <c r="CI82" s="4">
        <f t="shared" si="241"/>
        <v>0</v>
      </c>
      <c r="CJ82" s="4">
        <f t="shared" si="241"/>
        <v>0</v>
      </c>
      <c r="CK82" s="4">
        <f t="shared" si="241"/>
        <v>0</v>
      </c>
      <c r="CL82" s="4">
        <f t="shared" si="241"/>
        <v>0</v>
      </c>
      <c r="CM82" s="4">
        <f t="shared" si="241"/>
        <v>0</v>
      </c>
      <c r="CN82" s="4">
        <f t="shared" si="241"/>
        <v>0</v>
      </c>
      <c r="CO82" s="4">
        <f t="shared" si="46"/>
        <v>0</v>
      </c>
      <c r="CP82" s="429">
        <f t="shared" si="66"/>
        <v>0</v>
      </c>
    </row>
    <row r="83" spans="1:94" hidden="1">
      <c r="A83" s="4">
        <f>'Summary. Assumptions. Inputs'!A74</f>
        <v>0</v>
      </c>
      <c r="B83" s="4">
        <f>'Summary. Assumptions. Inputs'!B74</f>
        <v>0</v>
      </c>
      <c r="C83" s="4">
        <f t="shared" ref="C83:N83" si="242">D47</f>
        <v>0</v>
      </c>
      <c r="D83">
        <f t="shared" si="242"/>
        <v>0</v>
      </c>
      <c r="E83">
        <f t="shared" si="242"/>
        <v>0</v>
      </c>
      <c r="F83">
        <f t="shared" si="242"/>
        <v>0</v>
      </c>
      <c r="G83">
        <f t="shared" si="242"/>
        <v>0</v>
      </c>
      <c r="H83">
        <f t="shared" si="242"/>
        <v>0</v>
      </c>
      <c r="I83">
        <f t="shared" si="242"/>
        <v>0</v>
      </c>
      <c r="J83">
        <f t="shared" si="242"/>
        <v>0</v>
      </c>
      <c r="K83">
        <f t="shared" si="242"/>
        <v>0</v>
      </c>
      <c r="L83">
        <f t="shared" si="242"/>
        <v>0</v>
      </c>
      <c r="M83">
        <f t="shared" si="242"/>
        <v>0</v>
      </c>
      <c r="N83">
        <f t="shared" si="242"/>
        <v>0</v>
      </c>
      <c r="O83">
        <f t="shared" si="33"/>
        <v>0</v>
      </c>
      <c r="P83" s="429">
        <f t="shared" si="34"/>
        <v>0</v>
      </c>
      <c r="Q83" s="4">
        <f t="shared" ref="Q83:AA83" si="243">R47</f>
        <v>0</v>
      </c>
      <c r="R83" s="4">
        <f t="shared" si="243"/>
        <v>0</v>
      </c>
      <c r="S83" s="4">
        <f t="shared" si="243"/>
        <v>0</v>
      </c>
      <c r="T83" s="4">
        <f t="shared" si="243"/>
        <v>0</v>
      </c>
      <c r="U83" s="4">
        <f t="shared" si="243"/>
        <v>0</v>
      </c>
      <c r="V83" s="4">
        <f t="shared" si="243"/>
        <v>0</v>
      </c>
      <c r="W83" s="4">
        <f t="shared" si="243"/>
        <v>0</v>
      </c>
      <c r="X83" s="4">
        <f t="shared" si="243"/>
        <v>0</v>
      </c>
      <c r="Y83" s="4">
        <f t="shared" si="243"/>
        <v>0</v>
      </c>
      <c r="Z83" s="4">
        <f t="shared" si="243"/>
        <v>0</v>
      </c>
      <c r="AA83" s="4">
        <f t="shared" si="243"/>
        <v>0</v>
      </c>
      <c r="AB83" s="4">
        <f t="shared" si="36"/>
        <v>0</v>
      </c>
      <c r="AC83" s="429">
        <f t="shared" si="56"/>
        <v>0</v>
      </c>
      <c r="AD83" s="4">
        <f t="shared" ref="AD83:AN83" si="244">AE47</f>
        <v>0</v>
      </c>
      <c r="AE83" s="4">
        <f t="shared" si="244"/>
        <v>0</v>
      </c>
      <c r="AF83" s="4">
        <f t="shared" si="244"/>
        <v>0</v>
      </c>
      <c r="AG83" s="4">
        <f t="shared" si="244"/>
        <v>0</v>
      </c>
      <c r="AH83" s="4">
        <f t="shared" si="244"/>
        <v>0</v>
      </c>
      <c r="AI83" s="4">
        <f t="shared" si="244"/>
        <v>0</v>
      </c>
      <c r="AJ83" s="4">
        <f t="shared" si="244"/>
        <v>0</v>
      </c>
      <c r="AK83" s="4">
        <f t="shared" si="244"/>
        <v>0</v>
      </c>
      <c r="AL83" s="4">
        <f t="shared" si="244"/>
        <v>0</v>
      </c>
      <c r="AM83" s="4">
        <f t="shared" si="244"/>
        <v>0</v>
      </c>
      <c r="AN83" s="4">
        <f t="shared" si="244"/>
        <v>0</v>
      </c>
      <c r="AO83" s="4">
        <f t="shared" si="38"/>
        <v>0</v>
      </c>
      <c r="AP83" s="429">
        <f t="shared" si="58"/>
        <v>0</v>
      </c>
      <c r="AQ83" s="4">
        <f t="shared" ref="AQ83:BA83" si="245">AR47</f>
        <v>0</v>
      </c>
      <c r="AR83" s="4">
        <f t="shared" si="245"/>
        <v>0</v>
      </c>
      <c r="AS83" s="4">
        <f t="shared" si="245"/>
        <v>0</v>
      </c>
      <c r="AT83" s="4">
        <f t="shared" si="245"/>
        <v>0</v>
      </c>
      <c r="AU83" s="4">
        <f t="shared" si="245"/>
        <v>0</v>
      </c>
      <c r="AV83" s="4">
        <f t="shared" si="245"/>
        <v>0</v>
      </c>
      <c r="AW83" s="4">
        <f t="shared" si="245"/>
        <v>0</v>
      </c>
      <c r="AX83" s="4">
        <f t="shared" si="245"/>
        <v>0</v>
      </c>
      <c r="AY83" s="4">
        <f t="shared" si="245"/>
        <v>0</v>
      </c>
      <c r="AZ83" s="4">
        <f t="shared" si="245"/>
        <v>0</v>
      </c>
      <c r="BA83" s="4">
        <f t="shared" si="245"/>
        <v>0</v>
      </c>
      <c r="BB83" s="4">
        <f t="shared" si="40"/>
        <v>0</v>
      </c>
      <c r="BC83" s="429">
        <f t="shared" si="60"/>
        <v>0</v>
      </c>
      <c r="BD83" s="4">
        <f t="shared" ref="BD83:BN83" si="246">BE47</f>
        <v>0</v>
      </c>
      <c r="BE83" s="4">
        <f t="shared" si="246"/>
        <v>0</v>
      </c>
      <c r="BF83" s="4">
        <f t="shared" si="246"/>
        <v>0</v>
      </c>
      <c r="BG83" s="4">
        <f t="shared" si="246"/>
        <v>0</v>
      </c>
      <c r="BH83" s="4">
        <f t="shared" si="246"/>
        <v>0</v>
      </c>
      <c r="BI83" s="4">
        <f t="shared" si="246"/>
        <v>0</v>
      </c>
      <c r="BJ83" s="4">
        <f t="shared" si="246"/>
        <v>0</v>
      </c>
      <c r="BK83" s="4">
        <f t="shared" si="246"/>
        <v>0</v>
      </c>
      <c r="BL83" s="4">
        <f t="shared" si="246"/>
        <v>0</v>
      </c>
      <c r="BM83" s="4">
        <f t="shared" si="246"/>
        <v>0</v>
      </c>
      <c r="BN83" s="4">
        <f t="shared" si="246"/>
        <v>0</v>
      </c>
      <c r="BO83" s="4">
        <f t="shared" si="42"/>
        <v>0</v>
      </c>
      <c r="BP83" s="429">
        <f t="shared" si="62"/>
        <v>0</v>
      </c>
      <c r="BQ83" s="4">
        <f t="shared" ref="BQ83:CA83" si="247">BR47</f>
        <v>0</v>
      </c>
      <c r="BR83" s="4">
        <f t="shared" si="247"/>
        <v>0</v>
      </c>
      <c r="BS83" s="4">
        <f t="shared" si="247"/>
        <v>0</v>
      </c>
      <c r="BT83" s="4">
        <f t="shared" si="247"/>
        <v>0</v>
      </c>
      <c r="BU83" s="4">
        <f t="shared" si="247"/>
        <v>0</v>
      </c>
      <c r="BV83" s="4">
        <f t="shared" si="247"/>
        <v>0</v>
      </c>
      <c r="BW83" s="4">
        <f t="shared" si="247"/>
        <v>0</v>
      </c>
      <c r="BX83" s="4">
        <f t="shared" si="247"/>
        <v>0</v>
      </c>
      <c r="BY83" s="4">
        <f t="shared" si="247"/>
        <v>0</v>
      </c>
      <c r="BZ83" s="4">
        <f t="shared" si="247"/>
        <v>0</v>
      </c>
      <c r="CA83" s="4">
        <f t="shared" si="247"/>
        <v>0</v>
      </c>
      <c r="CB83" s="4">
        <f t="shared" si="44"/>
        <v>0</v>
      </c>
      <c r="CC83" s="429">
        <f t="shared" si="64"/>
        <v>0</v>
      </c>
      <c r="CD83" s="4">
        <f t="shared" ref="CD83:CN83" si="248">CE47</f>
        <v>0</v>
      </c>
      <c r="CE83" s="4">
        <f t="shared" si="248"/>
        <v>0</v>
      </c>
      <c r="CF83" s="4">
        <f t="shared" si="248"/>
        <v>0</v>
      </c>
      <c r="CG83" s="4">
        <f t="shared" si="248"/>
        <v>0</v>
      </c>
      <c r="CH83" s="4">
        <f t="shared" si="248"/>
        <v>0</v>
      </c>
      <c r="CI83" s="4">
        <f t="shared" si="248"/>
        <v>0</v>
      </c>
      <c r="CJ83" s="4">
        <f t="shared" si="248"/>
        <v>0</v>
      </c>
      <c r="CK83" s="4">
        <f t="shared" si="248"/>
        <v>0</v>
      </c>
      <c r="CL83" s="4">
        <f t="shared" si="248"/>
        <v>0</v>
      </c>
      <c r="CM83" s="4">
        <f t="shared" si="248"/>
        <v>0</v>
      </c>
      <c r="CN83" s="4">
        <f t="shared" si="248"/>
        <v>0</v>
      </c>
      <c r="CO83" s="4">
        <f t="shared" si="46"/>
        <v>0</v>
      </c>
      <c r="CP83" s="429">
        <f t="shared" si="66"/>
        <v>0</v>
      </c>
    </row>
    <row r="84" spans="1:94" hidden="1">
      <c r="A84" s="4">
        <f>'Summary. Assumptions. Inputs'!A75</f>
        <v>0</v>
      </c>
      <c r="B84" s="4">
        <f>'Summary. Assumptions. Inputs'!B75</f>
        <v>0</v>
      </c>
      <c r="C84" s="4">
        <f t="shared" ref="C84:N84" si="249">D48</f>
        <v>0</v>
      </c>
      <c r="D84">
        <f t="shared" si="249"/>
        <v>0</v>
      </c>
      <c r="E84">
        <f t="shared" si="249"/>
        <v>0</v>
      </c>
      <c r="F84">
        <f t="shared" si="249"/>
        <v>0</v>
      </c>
      <c r="G84">
        <f t="shared" si="249"/>
        <v>0</v>
      </c>
      <c r="H84">
        <f t="shared" si="249"/>
        <v>0</v>
      </c>
      <c r="I84">
        <f t="shared" si="249"/>
        <v>0</v>
      </c>
      <c r="J84">
        <f t="shared" si="249"/>
        <v>0</v>
      </c>
      <c r="K84">
        <f t="shared" si="249"/>
        <v>0</v>
      </c>
      <c r="L84">
        <f t="shared" si="249"/>
        <v>0</v>
      </c>
      <c r="M84">
        <f t="shared" si="249"/>
        <v>0</v>
      </c>
      <c r="N84">
        <f t="shared" si="249"/>
        <v>0</v>
      </c>
      <c r="O84">
        <f>Table7[[#This Row],[Year 1
Month 11]]</f>
        <v>0</v>
      </c>
      <c r="P84" s="4">
        <f t="shared" si="34"/>
        <v>0</v>
      </c>
      <c r="Q84" s="4">
        <f t="shared" ref="Q84:AA84" si="250">R48</f>
        <v>0</v>
      </c>
      <c r="R84" s="4">
        <f t="shared" si="250"/>
        <v>0</v>
      </c>
      <c r="S84" s="4">
        <f t="shared" si="250"/>
        <v>0</v>
      </c>
      <c r="T84" s="4">
        <f t="shared" si="250"/>
        <v>0</v>
      </c>
      <c r="U84" s="4">
        <f t="shared" si="250"/>
        <v>0</v>
      </c>
      <c r="V84" s="4">
        <f t="shared" si="250"/>
        <v>0</v>
      </c>
      <c r="W84" s="4">
        <f t="shared" si="250"/>
        <v>0</v>
      </c>
      <c r="X84" s="4">
        <f t="shared" si="250"/>
        <v>0</v>
      </c>
      <c r="Y84" s="4">
        <f t="shared" si="250"/>
        <v>0</v>
      </c>
      <c r="Z84" s="4">
        <f t="shared" si="250"/>
        <v>0</v>
      </c>
      <c r="AA84" s="4">
        <f t="shared" si="250"/>
        <v>0</v>
      </c>
      <c r="AB84" s="4">
        <f>Table7[[#This Row],[Year 2
Month 11]]</f>
        <v>0</v>
      </c>
      <c r="AC84" s="4">
        <f t="shared" si="56"/>
        <v>0</v>
      </c>
      <c r="AD84" s="4">
        <f t="shared" ref="AD84:AN84" si="251">AE48</f>
        <v>0</v>
      </c>
      <c r="AE84" s="4">
        <f t="shared" si="251"/>
        <v>0</v>
      </c>
      <c r="AF84" s="4">
        <f t="shared" si="251"/>
        <v>0</v>
      </c>
      <c r="AG84" s="4">
        <f t="shared" si="251"/>
        <v>0</v>
      </c>
      <c r="AH84" s="4">
        <f t="shared" si="251"/>
        <v>0</v>
      </c>
      <c r="AI84" s="4">
        <f t="shared" si="251"/>
        <v>0</v>
      </c>
      <c r="AJ84" s="4">
        <f t="shared" si="251"/>
        <v>0</v>
      </c>
      <c r="AK84" s="4">
        <f t="shared" si="251"/>
        <v>0</v>
      </c>
      <c r="AL84" s="4">
        <f t="shared" si="251"/>
        <v>0</v>
      </c>
      <c r="AM84" s="4">
        <f t="shared" si="251"/>
        <v>0</v>
      </c>
      <c r="AN84" s="4">
        <f t="shared" si="251"/>
        <v>0</v>
      </c>
      <c r="AO84" s="4">
        <f>Table7[[#This Row],[Year 3
Month 11]]</f>
        <v>0</v>
      </c>
      <c r="AP84" s="4">
        <f t="shared" si="58"/>
        <v>0</v>
      </c>
      <c r="AQ84" s="4">
        <f t="shared" ref="AQ84:BA84" si="252">AR48</f>
        <v>0</v>
      </c>
      <c r="AR84" s="4">
        <f t="shared" si="252"/>
        <v>0</v>
      </c>
      <c r="AS84" s="4">
        <f t="shared" si="252"/>
        <v>0</v>
      </c>
      <c r="AT84" s="4">
        <f t="shared" si="252"/>
        <v>0</v>
      </c>
      <c r="AU84" s="4">
        <f t="shared" si="252"/>
        <v>0</v>
      </c>
      <c r="AV84" s="4">
        <f t="shared" si="252"/>
        <v>0</v>
      </c>
      <c r="AW84" s="4">
        <f t="shared" si="252"/>
        <v>0</v>
      </c>
      <c r="AX84" s="4">
        <f t="shared" si="252"/>
        <v>0</v>
      </c>
      <c r="AY84" s="4">
        <f t="shared" si="252"/>
        <v>0</v>
      </c>
      <c r="AZ84" s="4">
        <f t="shared" si="252"/>
        <v>0</v>
      </c>
      <c r="BA84" s="4">
        <f t="shared" si="252"/>
        <v>0</v>
      </c>
      <c r="BB84" s="4">
        <f>Table7[[#This Row],[Year 3
Month 11]]</f>
        <v>0</v>
      </c>
      <c r="BC84" s="4">
        <f t="shared" si="60"/>
        <v>0</v>
      </c>
      <c r="BD84" s="4">
        <f t="shared" ref="BD84:BN84" si="253">BE48</f>
        <v>0</v>
      </c>
      <c r="BE84" s="4">
        <f t="shared" si="253"/>
        <v>0</v>
      </c>
      <c r="BF84" s="4">
        <f t="shared" si="253"/>
        <v>0</v>
      </c>
      <c r="BG84" s="4">
        <f t="shared" si="253"/>
        <v>0</v>
      </c>
      <c r="BH84" s="4">
        <f t="shared" si="253"/>
        <v>0</v>
      </c>
      <c r="BI84" s="4">
        <f t="shared" si="253"/>
        <v>0</v>
      </c>
      <c r="BJ84" s="4">
        <f t="shared" si="253"/>
        <v>0</v>
      </c>
      <c r="BK84" s="4">
        <f t="shared" si="253"/>
        <v>0</v>
      </c>
      <c r="BL84" s="4">
        <f t="shared" si="253"/>
        <v>0</v>
      </c>
      <c r="BM84" s="4">
        <f t="shared" si="253"/>
        <v>0</v>
      </c>
      <c r="BN84" s="4">
        <f t="shared" si="253"/>
        <v>0</v>
      </c>
      <c r="BO84" s="4">
        <f>Table7[[#This Row],[Year 3
Month 11]]</f>
        <v>0</v>
      </c>
      <c r="BP84" s="4">
        <f t="shared" si="62"/>
        <v>0</v>
      </c>
      <c r="BQ84" s="4">
        <f t="shared" ref="BQ84:CA84" si="254">BR48</f>
        <v>0</v>
      </c>
      <c r="BR84" s="4">
        <f t="shared" si="254"/>
        <v>0</v>
      </c>
      <c r="BS84" s="4">
        <f t="shared" si="254"/>
        <v>0</v>
      </c>
      <c r="BT84" s="4">
        <f t="shared" si="254"/>
        <v>0</v>
      </c>
      <c r="BU84" s="4">
        <f t="shared" si="254"/>
        <v>0</v>
      </c>
      <c r="BV84" s="4">
        <f t="shared" si="254"/>
        <v>0</v>
      </c>
      <c r="BW84" s="4">
        <f t="shared" si="254"/>
        <v>0</v>
      </c>
      <c r="BX84" s="4">
        <f t="shared" si="254"/>
        <v>0</v>
      </c>
      <c r="BY84" s="4">
        <f t="shared" si="254"/>
        <v>0</v>
      </c>
      <c r="BZ84" s="4">
        <f t="shared" si="254"/>
        <v>0</v>
      </c>
      <c r="CA84" s="4">
        <f t="shared" si="254"/>
        <v>0</v>
      </c>
      <c r="CB84" s="4">
        <f>Table7[[#This Row],[Year 3
Month 11]]</f>
        <v>0</v>
      </c>
      <c r="CC84" s="4">
        <f t="shared" si="64"/>
        <v>0</v>
      </c>
      <c r="CD84" s="4">
        <f t="shared" ref="CD84:CN84" si="255">CE48</f>
        <v>0</v>
      </c>
      <c r="CE84" s="4">
        <f t="shared" si="255"/>
        <v>0</v>
      </c>
      <c r="CF84" s="4">
        <f t="shared" si="255"/>
        <v>0</v>
      </c>
      <c r="CG84" s="4">
        <f t="shared" si="255"/>
        <v>0</v>
      </c>
      <c r="CH84" s="4">
        <f t="shared" si="255"/>
        <v>0</v>
      </c>
      <c r="CI84" s="4">
        <f t="shared" si="255"/>
        <v>0</v>
      </c>
      <c r="CJ84" s="4">
        <f t="shared" si="255"/>
        <v>0</v>
      </c>
      <c r="CK84" s="4">
        <f t="shared" si="255"/>
        <v>0</v>
      </c>
      <c r="CL84" s="4">
        <f t="shared" si="255"/>
        <v>0</v>
      </c>
      <c r="CM84" s="4">
        <f t="shared" si="255"/>
        <v>0</v>
      </c>
      <c r="CN84" s="4">
        <f t="shared" si="255"/>
        <v>0</v>
      </c>
      <c r="CO84" s="4">
        <f>Table7[[#This Row],[Year 3
Month 11]]</f>
        <v>0</v>
      </c>
      <c r="CP84" s="4">
        <f t="shared" si="66"/>
        <v>0</v>
      </c>
    </row>
    <row r="85" spans="1:94" hidden="1">
      <c r="A85" s="348" t="s">
        <v>110</v>
      </c>
      <c r="B85" s="348">
        <f>SUBTOTAL(103,Table7[Unit])</f>
        <v>3</v>
      </c>
      <c r="C85" s="348"/>
      <c r="D85" s="348"/>
      <c r="E85" s="348"/>
      <c r="F85" s="348"/>
      <c r="G85" s="348"/>
      <c r="H85" s="348"/>
      <c r="I85" s="348"/>
      <c r="J85" s="348"/>
      <c r="K85" s="348"/>
      <c r="L85" s="348"/>
      <c r="M85" s="348"/>
      <c r="N85" s="348"/>
      <c r="O85" s="348"/>
      <c r="P85" s="348"/>
    </row>
  </sheetData>
  <sheetProtection formatColumns="0" autoFilter="0"/>
  <protectedRanges>
    <protectedRange sqref="C19:O48 Q19:AB47 AD19:AO47 AQ19:BB47 BD19:BO47 BQ19:CB47 CD19:CO47" name="Range1"/>
    <protectedRange sqref="I13:M13 N14:R14 T14:AC14 A14:E14" name="Range2"/>
    <protectedRange sqref="I13:M13 N14:R14 T14:AC14 A14:E14" name="Range7"/>
    <protectedRange sqref="AP14:XFD14" name="Range2_1"/>
    <protectedRange sqref="AP14:XFD14" name="Range7_1"/>
  </protectedRanges>
  <autoFilter ref="A18:CP48" xr:uid="{1564400C-51F3-4863-BD3F-6D8A27EB28A0}">
    <filterColumn colId="0">
      <customFilters>
        <customFilter operator="notEqual" val=" "/>
      </customFilters>
    </filterColumn>
  </autoFilter>
  <mergeCells count="16">
    <mergeCell ref="I2:M2"/>
    <mergeCell ref="O2:S2"/>
    <mergeCell ref="BQ16:CC16"/>
    <mergeCell ref="BQ52:CC52"/>
    <mergeCell ref="CD16:CP16"/>
    <mergeCell ref="CD52:CP52"/>
    <mergeCell ref="AQ16:BC16"/>
    <mergeCell ref="AQ52:BC52"/>
    <mergeCell ref="BD16:BP16"/>
    <mergeCell ref="BD52:BP52"/>
    <mergeCell ref="A16:P16"/>
    <mergeCell ref="A52:P52"/>
    <mergeCell ref="Q16:AC16"/>
    <mergeCell ref="AD16:AP16"/>
    <mergeCell ref="Q52:AC52"/>
    <mergeCell ref="AD52:AP52"/>
  </mergeCells>
  <phoneticPr fontId="49" type="noConversion"/>
  <dataValidations disablePrompts="1" count="1">
    <dataValidation type="list" allowBlank="1" showInputMessage="1" showErrorMessage="1" sqref="AP14:XFD14 T14:AC14 N14" xr:uid="{5FC1B674-BBAC-4320-8609-7B9456EE6DAF}">
      <formula1>"Equity,Debt,Grant"</formula1>
    </dataValidation>
  </dataValidations>
  <printOptions horizontalCentered="1"/>
  <pageMargins left="0.9055118110236221" right="0.70866141732283472" top="0.74803149606299213" bottom="0.74803149606299213" header="0.31496062992125984" footer="0.31496062992125984"/>
  <pageSetup paperSize="9" scale="30" fitToHeight="0" orientation="portrait" errors="blank" r:id="rId1"/>
  <headerFooter>
    <oddFooter>&amp;L&amp;"-,Bold Italic"&amp;8&amp;K01+027Developed By: MAIUMAS Consulting
Hani Omar Skaik&amp;C&amp;A&amp;R&amp;D / &amp;T</oddFooter>
  </headerFooter>
  <drawing r:id="rId2"/>
  <legacyDrawingHF r:id="rId3"/>
  <tableParts count="4">
    <tablePart r:id="rId4"/>
    <tablePart r:id="rId5"/>
    <tablePart r:id="rId6"/>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5B4E-2BD3-45DE-95B8-A735FA2A2558}">
  <sheetPr codeName="Sheet7">
    <tabColor rgb="FFC00000"/>
    <pageSetUpPr fitToPage="1"/>
  </sheetPr>
  <dimension ref="A1:N1222"/>
  <sheetViews>
    <sheetView showZeros="0" zoomScale="85" zoomScaleNormal="85" workbookViewId="0">
      <selection activeCell="F5" sqref="F5"/>
    </sheetView>
  </sheetViews>
  <sheetFormatPr defaultRowHeight="15"/>
  <cols>
    <col min="1" max="1" width="37" style="203" customWidth="1"/>
    <col min="2" max="7" width="15.77734375" style="203" customWidth="1"/>
    <col min="8" max="8" width="17.77734375" style="203" customWidth="1"/>
    <col min="9" max="10" width="15.77734375" style="203" customWidth="1"/>
    <col min="11" max="12" width="9.88671875" style="203" customWidth="1"/>
    <col min="13" max="13" width="14" style="203" customWidth="1"/>
    <col min="14" max="14" width="9.88671875" style="203" customWidth="1"/>
    <col min="15" max="16" width="8.6640625" style="203" customWidth="1"/>
    <col min="17" max="17" width="12.33203125" style="203" bestFit="1" customWidth="1"/>
    <col min="18" max="61" width="8" style="203"/>
    <col min="62" max="125" width="8.109375" style="203" customWidth="1"/>
    <col min="126" max="130" width="8" style="203"/>
    <col min="131" max="131" width="34.5546875" style="203" customWidth="1"/>
    <col min="132" max="132" width="5.6640625" style="203" customWidth="1"/>
    <col min="133" max="133" width="8.21875" style="203" customWidth="1"/>
    <col min="134" max="134" width="8.33203125" style="203" customWidth="1"/>
    <col min="135" max="135" width="5.6640625" style="203" customWidth="1"/>
    <col min="136" max="136" width="9.6640625" style="203" customWidth="1"/>
    <col min="137" max="137" width="8.88671875" style="203" bestFit="1" customWidth="1"/>
    <col min="138" max="138" width="11.77734375" style="203" customWidth="1"/>
    <col min="139" max="139" width="7.109375" style="203" customWidth="1"/>
    <col min="140" max="140" width="9.5546875" style="203" bestFit="1" customWidth="1"/>
    <col min="141" max="141" width="8.33203125" style="203" customWidth="1"/>
    <col min="142" max="142" width="9" style="203" bestFit="1" customWidth="1"/>
    <col min="143" max="143" width="8.88671875" style="203" bestFit="1" customWidth="1"/>
    <col min="144" max="144" width="9.5546875" style="203" bestFit="1" customWidth="1"/>
    <col min="145" max="162" width="8.33203125" style="203" customWidth="1"/>
    <col min="163" max="163" width="10" style="203" bestFit="1" customWidth="1"/>
    <col min="164" max="214" width="8.33203125" style="203" customWidth="1"/>
    <col min="215" max="215" width="8.88671875" style="203" bestFit="1" customWidth="1"/>
    <col min="216" max="218" width="8.33203125" style="203" customWidth="1"/>
    <col min="219" max="219" width="8.88671875" style="203" bestFit="1" customWidth="1"/>
    <col min="220" max="231" width="8.33203125" style="203" customWidth="1"/>
    <col min="232" max="386" width="8" style="203"/>
    <col min="387" max="387" width="34.5546875" style="203" customWidth="1"/>
    <col min="388" max="388" width="5.6640625" style="203" customWidth="1"/>
    <col min="389" max="389" width="8.21875" style="203" customWidth="1"/>
    <col min="390" max="390" width="8.33203125" style="203" customWidth="1"/>
    <col min="391" max="391" width="5.6640625" style="203" customWidth="1"/>
    <col min="392" max="392" width="9.6640625" style="203" customWidth="1"/>
    <col min="393" max="393" width="8.88671875" style="203" bestFit="1" customWidth="1"/>
    <col min="394" max="394" width="11.77734375" style="203" customWidth="1"/>
    <col min="395" max="395" width="7.109375" style="203" customWidth="1"/>
    <col min="396" max="396" width="9.5546875" style="203" bestFit="1" customWidth="1"/>
    <col min="397" max="397" width="8.33203125" style="203" customWidth="1"/>
    <col min="398" max="398" width="9" style="203" bestFit="1" customWidth="1"/>
    <col min="399" max="399" width="8.88671875" style="203" bestFit="1" customWidth="1"/>
    <col min="400" max="400" width="9.5546875" style="203" bestFit="1" customWidth="1"/>
    <col min="401" max="418" width="8.33203125" style="203" customWidth="1"/>
    <col min="419" max="419" width="10" style="203" bestFit="1" customWidth="1"/>
    <col min="420" max="470" width="8.33203125" style="203" customWidth="1"/>
    <col min="471" max="471" width="8.88671875" style="203" bestFit="1" customWidth="1"/>
    <col min="472" max="474" width="8.33203125" style="203" customWidth="1"/>
    <col min="475" max="475" width="8.88671875" style="203" bestFit="1" customWidth="1"/>
    <col min="476" max="487" width="8.33203125" style="203" customWidth="1"/>
    <col min="488" max="642" width="8" style="203"/>
    <col min="643" max="643" width="34.5546875" style="203" customWidth="1"/>
    <col min="644" max="644" width="5.6640625" style="203" customWidth="1"/>
    <col min="645" max="645" width="8.21875" style="203" customWidth="1"/>
    <col min="646" max="646" width="8.33203125" style="203" customWidth="1"/>
    <col min="647" max="647" width="5.6640625" style="203" customWidth="1"/>
    <col min="648" max="648" width="9.6640625" style="203" customWidth="1"/>
    <col min="649" max="649" width="8.88671875" style="203" bestFit="1" customWidth="1"/>
    <col min="650" max="650" width="11.77734375" style="203" customWidth="1"/>
    <col min="651" max="651" width="7.109375" style="203" customWidth="1"/>
    <col min="652" max="652" width="9.5546875" style="203" bestFit="1" customWidth="1"/>
    <col min="653" max="653" width="8.33203125" style="203" customWidth="1"/>
    <col min="654" max="654" width="9" style="203" bestFit="1" customWidth="1"/>
    <col min="655" max="655" width="8.88671875" style="203" bestFit="1" customWidth="1"/>
    <col min="656" max="656" width="9.5546875" style="203" bestFit="1" customWidth="1"/>
    <col min="657" max="674" width="8.33203125" style="203" customWidth="1"/>
    <col min="675" max="675" width="10" style="203" bestFit="1" customWidth="1"/>
    <col min="676" max="726" width="8.33203125" style="203" customWidth="1"/>
    <col min="727" max="727" width="8.88671875" style="203" bestFit="1" customWidth="1"/>
    <col min="728" max="730" width="8.33203125" style="203" customWidth="1"/>
    <col min="731" max="731" width="8.88671875" style="203" bestFit="1" customWidth="1"/>
    <col min="732" max="743" width="8.33203125" style="203" customWidth="1"/>
    <col min="744" max="898" width="8" style="203"/>
    <col min="899" max="899" width="34.5546875" style="203" customWidth="1"/>
    <col min="900" max="900" width="5.6640625" style="203" customWidth="1"/>
    <col min="901" max="901" width="8.21875" style="203" customWidth="1"/>
    <col min="902" max="902" width="8.33203125" style="203" customWidth="1"/>
    <col min="903" max="903" width="5.6640625" style="203" customWidth="1"/>
    <col min="904" max="904" width="9.6640625" style="203" customWidth="1"/>
    <col min="905" max="905" width="8.88671875" style="203" bestFit="1" customWidth="1"/>
    <col min="906" max="906" width="11.77734375" style="203" customWidth="1"/>
    <col min="907" max="907" width="7.109375" style="203" customWidth="1"/>
    <col min="908" max="908" width="9.5546875" style="203" bestFit="1" customWidth="1"/>
    <col min="909" max="909" width="8.33203125" style="203" customWidth="1"/>
    <col min="910" max="910" width="9" style="203" bestFit="1" customWidth="1"/>
    <col min="911" max="911" width="8.88671875" style="203" bestFit="1" customWidth="1"/>
    <col min="912" max="912" width="9.5546875" style="203" bestFit="1" customWidth="1"/>
    <col min="913" max="930" width="8.33203125" style="203" customWidth="1"/>
    <col min="931" max="931" width="10" style="203" bestFit="1" customWidth="1"/>
    <col min="932" max="982" width="8.33203125" style="203" customWidth="1"/>
    <col min="983" max="983" width="8.88671875" style="203" bestFit="1" customWidth="1"/>
    <col min="984" max="986" width="8.33203125" style="203" customWidth="1"/>
    <col min="987" max="987" width="8.88671875" style="203" bestFit="1" customWidth="1"/>
    <col min="988" max="999" width="8.33203125" style="203" customWidth="1"/>
    <col min="1000" max="1154" width="8.88671875" style="203"/>
    <col min="1155" max="1155" width="34.5546875" style="203" customWidth="1"/>
    <col min="1156" max="1156" width="5.6640625" style="203" customWidth="1"/>
    <col min="1157" max="1157" width="8.21875" style="203" customWidth="1"/>
    <col min="1158" max="1158" width="8.33203125" style="203" customWidth="1"/>
    <col min="1159" max="1159" width="5.6640625" style="203" customWidth="1"/>
    <col min="1160" max="1160" width="9.6640625" style="203" customWidth="1"/>
    <col min="1161" max="1161" width="8.88671875" style="203" bestFit="1" customWidth="1"/>
    <col min="1162" max="1162" width="11.77734375" style="203" customWidth="1"/>
    <col min="1163" max="1163" width="7.109375" style="203" customWidth="1"/>
    <col min="1164" max="1164" width="9.5546875" style="203" bestFit="1" customWidth="1"/>
    <col min="1165" max="1165" width="8.33203125" style="203" customWidth="1"/>
    <col min="1166" max="1166" width="9" style="203" bestFit="1" customWidth="1"/>
    <col min="1167" max="1167" width="8.88671875" style="203" bestFit="1" customWidth="1"/>
    <col min="1168" max="1168" width="9.5546875" style="203" bestFit="1" customWidth="1"/>
    <col min="1169" max="1186" width="8.33203125" style="203" customWidth="1"/>
    <col min="1187" max="1187" width="10" style="203" bestFit="1" customWidth="1"/>
    <col min="1188" max="1238" width="8.33203125" style="203" customWidth="1"/>
    <col min="1239" max="1239" width="8.88671875" style="203" bestFit="1" customWidth="1"/>
    <col min="1240" max="1242" width="8.33203125" style="203" customWidth="1"/>
    <col min="1243" max="1243" width="8.88671875" style="203" bestFit="1" customWidth="1"/>
    <col min="1244" max="1255" width="8.33203125" style="203" customWidth="1"/>
    <col min="1256" max="1410" width="8" style="203"/>
    <col min="1411" max="1411" width="34.5546875" style="203" customWidth="1"/>
    <col min="1412" max="1412" width="5.6640625" style="203" customWidth="1"/>
    <col min="1413" max="1413" width="8.21875" style="203" customWidth="1"/>
    <col min="1414" max="1414" width="8.33203125" style="203" customWidth="1"/>
    <col min="1415" max="1415" width="5.6640625" style="203" customWidth="1"/>
    <col min="1416" max="1416" width="9.6640625" style="203" customWidth="1"/>
    <col min="1417" max="1417" width="8.88671875" style="203" bestFit="1" customWidth="1"/>
    <col min="1418" max="1418" width="11.77734375" style="203" customWidth="1"/>
    <col min="1419" max="1419" width="7.109375" style="203" customWidth="1"/>
    <col min="1420" max="1420" width="9.5546875" style="203" bestFit="1" customWidth="1"/>
    <col min="1421" max="1421" width="8.33203125" style="203" customWidth="1"/>
    <col min="1422" max="1422" width="9" style="203" bestFit="1" customWidth="1"/>
    <col min="1423" max="1423" width="8.88671875" style="203" bestFit="1" customWidth="1"/>
    <col min="1424" max="1424" width="9.5546875" style="203" bestFit="1" customWidth="1"/>
    <col min="1425" max="1442" width="8.33203125" style="203" customWidth="1"/>
    <col min="1443" max="1443" width="10" style="203" bestFit="1" customWidth="1"/>
    <col min="1444" max="1494" width="8.33203125" style="203" customWidth="1"/>
    <col min="1495" max="1495" width="8.88671875" style="203" bestFit="1" customWidth="1"/>
    <col min="1496" max="1498" width="8.33203125" style="203" customWidth="1"/>
    <col min="1499" max="1499" width="8.88671875" style="203" bestFit="1" customWidth="1"/>
    <col min="1500" max="1511" width="8.33203125" style="203" customWidth="1"/>
    <col min="1512" max="1666" width="8" style="203"/>
    <col min="1667" max="1667" width="34.5546875" style="203" customWidth="1"/>
    <col min="1668" max="1668" width="5.6640625" style="203" customWidth="1"/>
    <col min="1669" max="1669" width="8.21875" style="203" customWidth="1"/>
    <col min="1670" max="1670" width="8.33203125" style="203" customWidth="1"/>
    <col min="1671" max="1671" width="5.6640625" style="203" customWidth="1"/>
    <col min="1672" max="1672" width="9.6640625" style="203" customWidth="1"/>
    <col min="1673" max="1673" width="8.88671875" style="203" bestFit="1" customWidth="1"/>
    <col min="1674" max="1674" width="11.77734375" style="203" customWidth="1"/>
    <col min="1675" max="1675" width="7.109375" style="203" customWidth="1"/>
    <col min="1676" max="1676" width="9.5546875" style="203" bestFit="1" customWidth="1"/>
    <col min="1677" max="1677" width="8.33203125" style="203" customWidth="1"/>
    <col min="1678" max="1678" width="9" style="203" bestFit="1" customWidth="1"/>
    <col min="1679" max="1679" width="8.88671875" style="203" bestFit="1" customWidth="1"/>
    <col min="1680" max="1680" width="9.5546875" style="203" bestFit="1" customWidth="1"/>
    <col min="1681" max="1698" width="8.33203125" style="203" customWidth="1"/>
    <col min="1699" max="1699" width="10" style="203" bestFit="1" customWidth="1"/>
    <col min="1700" max="1750" width="8.33203125" style="203" customWidth="1"/>
    <col min="1751" max="1751" width="8.88671875" style="203" bestFit="1" customWidth="1"/>
    <col min="1752" max="1754" width="8.33203125" style="203" customWidth="1"/>
    <col min="1755" max="1755" width="8.88671875" style="203" bestFit="1" customWidth="1"/>
    <col min="1756" max="1767" width="8.33203125" style="203" customWidth="1"/>
    <col min="1768" max="1922" width="8" style="203"/>
    <col min="1923" max="1923" width="34.5546875" style="203" customWidth="1"/>
    <col min="1924" max="1924" width="5.6640625" style="203" customWidth="1"/>
    <col min="1925" max="1925" width="8.21875" style="203" customWidth="1"/>
    <col min="1926" max="1926" width="8.33203125" style="203" customWidth="1"/>
    <col min="1927" max="1927" width="5.6640625" style="203" customWidth="1"/>
    <col min="1928" max="1928" width="9.6640625" style="203" customWidth="1"/>
    <col min="1929" max="1929" width="8.88671875" style="203" bestFit="1" customWidth="1"/>
    <col min="1930" max="1930" width="11.77734375" style="203" customWidth="1"/>
    <col min="1931" max="1931" width="7.109375" style="203" customWidth="1"/>
    <col min="1932" max="1932" width="9.5546875" style="203" bestFit="1" customWidth="1"/>
    <col min="1933" max="1933" width="8.33203125" style="203" customWidth="1"/>
    <col min="1934" max="1934" width="9" style="203" bestFit="1" customWidth="1"/>
    <col min="1935" max="1935" width="8.88671875" style="203" bestFit="1" customWidth="1"/>
    <col min="1936" max="1936" width="9.5546875" style="203" bestFit="1" customWidth="1"/>
    <col min="1937" max="1954" width="8.33203125" style="203" customWidth="1"/>
    <col min="1955" max="1955" width="10" style="203" bestFit="1" customWidth="1"/>
    <col min="1956" max="2006" width="8.33203125" style="203" customWidth="1"/>
    <col min="2007" max="2007" width="8.88671875" style="203" bestFit="1" customWidth="1"/>
    <col min="2008" max="2010" width="8.33203125" style="203" customWidth="1"/>
    <col min="2011" max="2011" width="8.88671875" style="203" bestFit="1" customWidth="1"/>
    <col min="2012" max="2023" width="8.33203125" style="203" customWidth="1"/>
    <col min="2024" max="2178" width="8.88671875" style="203"/>
    <col min="2179" max="2179" width="34.5546875" style="203" customWidth="1"/>
    <col min="2180" max="2180" width="5.6640625" style="203" customWidth="1"/>
    <col min="2181" max="2181" width="8.21875" style="203" customWidth="1"/>
    <col min="2182" max="2182" width="8.33203125" style="203" customWidth="1"/>
    <col min="2183" max="2183" width="5.6640625" style="203" customWidth="1"/>
    <col min="2184" max="2184" width="9.6640625" style="203" customWidth="1"/>
    <col min="2185" max="2185" width="8.88671875" style="203" bestFit="1" customWidth="1"/>
    <col min="2186" max="2186" width="11.77734375" style="203" customWidth="1"/>
    <col min="2187" max="2187" width="7.109375" style="203" customWidth="1"/>
    <col min="2188" max="2188" width="9.5546875" style="203" bestFit="1" customWidth="1"/>
    <col min="2189" max="2189" width="8.33203125" style="203" customWidth="1"/>
    <col min="2190" max="2190" width="9" style="203" bestFit="1" customWidth="1"/>
    <col min="2191" max="2191" width="8.88671875" style="203" bestFit="1" customWidth="1"/>
    <col min="2192" max="2192" width="9.5546875" style="203" bestFit="1" customWidth="1"/>
    <col min="2193" max="2210" width="8.33203125" style="203" customWidth="1"/>
    <col min="2211" max="2211" width="10" style="203" bestFit="1" customWidth="1"/>
    <col min="2212" max="2262" width="8.33203125" style="203" customWidth="1"/>
    <col min="2263" max="2263" width="8.88671875" style="203" bestFit="1" customWidth="1"/>
    <col min="2264" max="2266" width="8.33203125" style="203" customWidth="1"/>
    <col min="2267" max="2267" width="8.88671875" style="203" bestFit="1" customWidth="1"/>
    <col min="2268" max="2279" width="8.33203125" style="203" customWidth="1"/>
    <col min="2280" max="2434" width="8" style="203"/>
    <col min="2435" max="2435" width="34.5546875" style="203" customWidth="1"/>
    <col min="2436" max="2436" width="5.6640625" style="203" customWidth="1"/>
    <col min="2437" max="2437" width="8.21875" style="203" customWidth="1"/>
    <col min="2438" max="2438" width="8.33203125" style="203" customWidth="1"/>
    <col min="2439" max="2439" width="5.6640625" style="203" customWidth="1"/>
    <col min="2440" max="2440" width="9.6640625" style="203" customWidth="1"/>
    <col min="2441" max="2441" width="8.88671875" style="203" bestFit="1" customWidth="1"/>
    <col min="2442" max="2442" width="11.77734375" style="203" customWidth="1"/>
    <col min="2443" max="2443" width="7.109375" style="203" customWidth="1"/>
    <col min="2444" max="2444" width="9.5546875" style="203" bestFit="1" customWidth="1"/>
    <col min="2445" max="2445" width="8.33203125" style="203" customWidth="1"/>
    <col min="2446" max="2446" width="9" style="203" bestFit="1" customWidth="1"/>
    <col min="2447" max="2447" width="8.88671875" style="203" bestFit="1" customWidth="1"/>
    <col min="2448" max="2448" width="9.5546875" style="203" bestFit="1" customWidth="1"/>
    <col min="2449" max="2466" width="8.33203125" style="203" customWidth="1"/>
    <col min="2467" max="2467" width="10" style="203" bestFit="1" customWidth="1"/>
    <col min="2468" max="2518" width="8.33203125" style="203" customWidth="1"/>
    <col min="2519" max="2519" width="8.88671875" style="203" bestFit="1" customWidth="1"/>
    <col min="2520" max="2522" width="8.33203125" style="203" customWidth="1"/>
    <col min="2523" max="2523" width="8.88671875" style="203" bestFit="1" customWidth="1"/>
    <col min="2524" max="2535" width="8.33203125" style="203" customWidth="1"/>
    <col min="2536" max="2690" width="8" style="203"/>
    <col min="2691" max="2691" width="34.5546875" style="203" customWidth="1"/>
    <col min="2692" max="2692" width="5.6640625" style="203" customWidth="1"/>
    <col min="2693" max="2693" width="8.21875" style="203" customWidth="1"/>
    <col min="2694" max="2694" width="8.33203125" style="203" customWidth="1"/>
    <col min="2695" max="2695" width="5.6640625" style="203" customWidth="1"/>
    <col min="2696" max="2696" width="9.6640625" style="203" customWidth="1"/>
    <col min="2697" max="2697" width="8.88671875" style="203" bestFit="1" customWidth="1"/>
    <col min="2698" max="2698" width="11.77734375" style="203" customWidth="1"/>
    <col min="2699" max="2699" width="7.109375" style="203" customWidth="1"/>
    <col min="2700" max="2700" width="9.5546875" style="203" bestFit="1" customWidth="1"/>
    <col min="2701" max="2701" width="8.33203125" style="203" customWidth="1"/>
    <col min="2702" max="2702" width="9" style="203" bestFit="1" customWidth="1"/>
    <col min="2703" max="2703" width="8.88671875" style="203" bestFit="1" customWidth="1"/>
    <col min="2704" max="2704" width="9.5546875" style="203" bestFit="1" customWidth="1"/>
    <col min="2705" max="2722" width="8.33203125" style="203" customWidth="1"/>
    <col min="2723" max="2723" width="10" style="203" bestFit="1" customWidth="1"/>
    <col min="2724" max="2774" width="8.33203125" style="203" customWidth="1"/>
    <col min="2775" max="2775" width="8.88671875" style="203" bestFit="1" customWidth="1"/>
    <col min="2776" max="2778" width="8.33203125" style="203" customWidth="1"/>
    <col min="2779" max="2779" width="8.88671875" style="203" bestFit="1" customWidth="1"/>
    <col min="2780" max="2791" width="8.33203125" style="203" customWidth="1"/>
    <col min="2792" max="2946" width="8" style="203"/>
    <col min="2947" max="2947" width="34.5546875" style="203" customWidth="1"/>
    <col min="2948" max="2948" width="5.6640625" style="203" customWidth="1"/>
    <col min="2949" max="2949" width="8.21875" style="203" customWidth="1"/>
    <col min="2950" max="2950" width="8.33203125" style="203" customWidth="1"/>
    <col min="2951" max="2951" width="5.6640625" style="203" customWidth="1"/>
    <col min="2952" max="2952" width="9.6640625" style="203" customWidth="1"/>
    <col min="2953" max="2953" width="8.88671875" style="203" bestFit="1" customWidth="1"/>
    <col min="2954" max="2954" width="11.77734375" style="203" customWidth="1"/>
    <col min="2955" max="2955" width="7.109375" style="203" customWidth="1"/>
    <col min="2956" max="2956" width="9.5546875" style="203" bestFit="1" customWidth="1"/>
    <col min="2957" max="2957" width="8.33203125" style="203" customWidth="1"/>
    <col min="2958" max="2958" width="9" style="203" bestFit="1" customWidth="1"/>
    <col min="2959" max="2959" width="8.88671875" style="203" bestFit="1" customWidth="1"/>
    <col min="2960" max="2960" width="9.5546875" style="203" bestFit="1" customWidth="1"/>
    <col min="2961" max="2978" width="8.33203125" style="203" customWidth="1"/>
    <col min="2979" max="2979" width="10" style="203" bestFit="1" customWidth="1"/>
    <col min="2980" max="3030" width="8.33203125" style="203" customWidth="1"/>
    <col min="3031" max="3031" width="8.88671875" style="203" bestFit="1" customWidth="1"/>
    <col min="3032" max="3034" width="8.33203125" style="203" customWidth="1"/>
    <col min="3035" max="3035" width="8.88671875" style="203" bestFit="1" customWidth="1"/>
    <col min="3036" max="3047" width="8.33203125" style="203" customWidth="1"/>
    <col min="3048" max="3202" width="8.88671875" style="203"/>
    <col min="3203" max="3203" width="34.5546875" style="203" customWidth="1"/>
    <col min="3204" max="3204" width="5.6640625" style="203" customWidth="1"/>
    <col min="3205" max="3205" width="8.21875" style="203" customWidth="1"/>
    <col min="3206" max="3206" width="8.33203125" style="203" customWidth="1"/>
    <col min="3207" max="3207" width="5.6640625" style="203" customWidth="1"/>
    <col min="3208" max="3208" width="9.6640625" style="203" customWidth="1"/>
    <col min="3209" max="3209" width="8.88671875" style="203" bestFit="1" customWidth="1"/>
    <col min="3210" max="3210" width="11.77734375" style="203" customWidth="1"/>
    <col min="3211" max="3211" width="7.109375" style="203" customWidth="1"/>
    <col min="3212" max="3212" width="9.5546875" style="203" bestFit="1" customWidth="1"/>
    <col min="3213" max="3213" width="8.33203125" style="203" customWidth="1"/>
    <col min="3214" max="3214" width="9" style="203" bestFit="1" customWidth="1"/>
    <col min="3215" max="3215" width="8.88671875" style="203" bestFit="1" customWidth="1"/>
    <col min="3216" max="3216" width="9.5546875" style="203" bestFit="1" customWidth="1"/>
    <col min="3217" max="3234" width="8.33203125" style="203" customWidth="1"/>
    <col min="3235" max="3235" width="10" style="203" bestFit="1" customWidth="1"/>
    <col min="3236" max="3286" width="8.33203125" style="203" customWidth="1"/>
    <col min="3287" max="3287" width="8.88671875" style="203" bestFit="1" customWidth="1"/>
    <col min="3288" max="3290" width="8.33203125" style="203" customWidth="1"/>
    <col min="3291" max="3291" width="8.88671875" style="203" bestFit="1" customWidth="1"/>
    <col min="3292" max="3303" width="8.33203125" style="203" customWidth="1"/>
    <col min="3304" max="3458" width="8" style="203"/>
    <col min="3459" max="3459" width="34.5546875" style="203" customWidth="1"/>
    <col min="3460" max="3460" width="5.6640625" style="203" customWidth="1"/>
    <col min="3461" max="3461" width="8.21875" style="203" customWidth="1"/>
    <col min="3462" max="3462" width="8.33203125" style="203" customWidth="1"/>
    <col min="3463" max="3463" width="5.6640625" style="203" customWidth="1"/>
    <col min="3464" max="3464" width="9.6640625" style="203" customWidth="1"/>
    <col min="3465" max="3465" width="8.88671875" style="203" bestFit="1" customWidth="1"/>
    <col min="3466" max="3466" width="11.77734375" style="203" customWidth="1"/>
    <col min="3467" max="3467" width="7.109375" style="203" customWidth="1"/>
    <col min="3468" max="3468" width="9.5546875" style="203" bestFit="1" customWidth="1"/>
    <col min="3469" max="3469" width="8.33203125" style="203" customWidth="1"/>
    <col min="3470" max="3470" width="9" style="203" bestFit="1" customWidth="1"/>
    <col min="3471" max="3471" width="8.88671875" style="203" bestFit="1" customWidth="1"/>
    <col min="3472" max="3472" width="9.5546875" style="203" bestFit="1" customWidth="1"/>
    <col min="3473" max="3490" width="8.33203125" style="203" customWidth="1"/>
    <col min="3491" max="3491" width="10" style="203" bestFit="1" customWidth="1"/>
    <col min="3492" max="3542" width="8.33203125" style="203" customWidth="1"/>
    <col min="3543" max="3543" width="8.88671875" style="203" bestFit="1" customWidth="1"/>
    <col min="3544" max="3546" width="8.33203125" style="203" customWidth="1"/>
    <col min="3547" max="3547" width="8.88671875" style="203" bestFit="1" customWidth="1"/>
    <col min="3548" max="3559" width="8.33203125" style="203" customWidth="1"/>
    <col min="3560" max="3714" width="8" style="203"/>
    <col min="3715" max="3715" width="34.5546875" style="203" customWidth="1"/>
    <col min="3716" max="3716" width="5.6640625" style="203" customWidth="1"/>
    <col min="3717" max="3717" width="8.21875" style="203" customWidth="1"/>
    <col min="3718" max="3718" width="8.33203125" style="203" customWidth="1"/>
    <col min="3719" max="3719" width="5.6640625" style="203" customWidth="1"/>
    <col min="3720" max="3720" width="9.6640625" style="203" customWidth="1"/>
    <col min="3721" max="3721" width="8.88671875" style="203" bestFit="1" customWidth="1"/>
    <col min="3722" max="3722" width="11.77734375" style="203" customWidth="1"/>
    <col min="3723" max="3723" width="7.109375" style="203" customWidth="1"/>
    <col min="3724" max="3724" width="9.5546875" style="203" bestFit="1" customWidth="1"/>
    <col min="3725" max="3725" width="8.33203125" style="203" customWidth="1"/>
    <col min="3726" max="3726" width="9" style="203" bestFit="1" customWidth="1"/>
    <col min="3727" max="3727" width="8.88671875" style="203" bestFit="1" customWidth="1"/>
    <col min="3728" max="3728" width="9.5546875" style="203" bestFit="1" customWidth="1"/>
    <col min="3729" max="3746" width="8.33203125" style="203" customWidth="1"/>
    <col min="3747" max="3747" width="10" style="203" bestFit="1" customWidth="1"/>
    <col min="3748" max="3798" width="8.33203125" style="203" customWidth="1"/>
    <col min="3799" max="3799" width="8.88671875" style="203" bestFit="1" customWidth="1"/>
    <col min="3800" max="3802" width="8.33203125" style="203" customWidth="1"/>
    <col min="3803" max="3803" width="8.88671875" style="203" bestFit="1" customWidth="1"/>
    <col min="3804" max="3815" width="8.33203125" style="203" customWidth="1"/>
    <col min="3816" max="3970" width="8" style="203"/>
    <col min="3971" max="3971" width="34.5546875" style="203" customWidth="1"/>
    <col min="3972" max="3972" width="5.6640625" style="203" customWidth="1"/>
    <col min="3973" max="3973" width="8.21875" style="203" customWidth="1"/>
    <col min="3974" max="3974" width="8.33203125" style="203" customWidth="1"/>
    <col min="3975" max="3975" width="5.6640625" style="203" customWidth="1"/>
    <col min="3976" max="3976" width="9.6640625" style="203" customWidth="1"/>
    <col min="3977" max="3977" width="8.88671875" style="203" bestFit="1" customWidth="1"/>
    <col min="3978" max="3978" width="11.77734375" style="203" customWidth="1"/>
    <col min="3979" max="3979" width="7.109375" style="203" customWidth="1"/>
    <col min="3980" max="3980" width="9.5546875" style="203" bestFit="1" customWidth="1"/>
    <col min="3981" max="3981" width="8.33203125" style="203" customWidth="1"/>
    <col min="3982" max="3982" width="9" style="203" bestFit="1" customWidth="1"/>
    <col min="3983" max="3983" width="8.88671875" style="203" bestFit="1" customWidth="1"/>
    <col min="3984" max="3984" width="9.5546875" style="203" bestFit="1" customWidth="1"/>
    <col min="3985" max="4002" width="8.33203125" style="203" customWidth="1"/>
    <col min="4003" max="4003" width="10" style="203" bestFit="1" customWidth="1"/>
    <col min="4004" max="4054" width="8.33203125" style="203" customWidth="1"/>
    <col min="4055" max="4055" width="8.88671875" style="203" bestFit="1" customWidth="1"/>
    <col min="4056" max="4058" width="8.33203125" style="203" customWidth="1"/>
    <col min="4059" max="4059" width="8.88671875" style="203" bestFit="1" customWidth="1"/>
    <col min="4060" max="4071" width="8.33203125" style="203" customWidth="1"/>
    <col min="4072" max="4226" width="8.88671875" style="203"/>
    <col min="4227" max="4227" width="34.5546875" style="203" customWidth="1"/>
    <col min="4228" max="4228" width="5.6640625" style="203" customWidth="1"/>
    <col min="4229" max="4229" width="8.21875" style="203" customWidth="1"/>
    <col min="4230" max="4230" width="8.33203125" style="203" customWidth="1"/>
    <col min="4231" max="4231" width="5.6640625" style="203" customWidth="1"/>
    <col min="4232" max="4232" width="9.6640625" style="203" customWidth="1"/>
    <col min="4233" max="4233" width="8.88671875" style="203" bestFit="1" customWidth="1"/>
    <col min="4234" max="4234" width="11.77734375" style="203" customWidth="1"/>
    <col min="4235" max="4235" width="7.109375" style="203" customWidth="1"/>
    <col min="4236" max="4236" width="9.5546875" style="203" bestFit="1" customWidth="1"/>
    <col min="4237" max="4237" width="8.33203125" style="203" customWidth="1"/>
    <col min="4238" max="4238" width="9" style="203" bestFit="1" customWidth="1"/>
    <col min="4239" max="4239" width="8.88671875" style="203" bestFit="1" customWidth="1"/>
    <col min="4240" max="4240" width="9.5546875" style="203" bestFit="1" customWidth="1"/>
    <col min="4241" max="4258" width="8.33203125" style="203" customWidth="1"/>
    <col min="4259" max="4259" width="10" style="203" bestFit="1" customWidth="1"/>
    <col min="4260" max="4310" width="8.33203125" style="203" customWidth="1"/>
    <col min="4311" max="4311" width="8.88671875" style="203" bestFit="1" customWidth="1"/>
    <col min="4312" max="4314" width="8.33203125" style="203" customWidth="1"/>
    <col min="4315" max="4315" width="8.88671875" style="203" bestFit="1" customWidth="1"/>
    <col min="4316" max="4327" width="8.33203125" style="203" customWidth="1"/>
    <col min="4328" max="4482" width="8" style="203"/>
    <col min="4483" max="4483" width="34.5546875" style="203" customWidth="1"/>
    <col min="4484" max="4484" width="5.6640625" style="203" customWidth="1"/>
    <col min="4485" max="4485" width="8.21875" style="203" customWidth="1"/>
    <col min="4486" max="4486" width="8.33203125" style="203" customWidth="1"/>
    <col min="4487" max="4487" width="5.6640625" style="203" customWidth="1"/>
    <col min="4488" max="4488" width="9.6640625" style="203" customWidth="1"/>
    <col min="4489" max="4489" width="8.88671875" style="203" bestFit="1" customWidth="1"/>
    <col min="4490" max="4490" width="11.77734375" style="203" customWidth="1"/>
    <col min="4491" max="4491" width="7.109375" style="203" customWidth="1"/>
    <col min="4492" max="4492" width="9.5546875" style="203" bestFit="1" customWidth="1"/>
    <col min="4493" max="4493" width="8.33203125" style="203" customWidth="1"/>
    <col min="4494" max="4494" width="9" style="203" bestFit="1" customWidth="1"/>
    <col min="4495" max="4495" width="8.88671875" style="203" bestFit="1" customWidth="1"/>
    <col min="4496" max="4496" width="9.5546875" style="203" bestFit="1" customWidth="1"/>
    <col min="4497" max="4514" width="8.33203125" style="203" customWidth="1"/>
    <col min="4515" max="4515" width="10" style="203" bestFit="1" customWidth="1"/>
    <col min="4516" max="4566" width="8.33203125" style="203" customWidth="1"/>
    <col min="4567" max="4567" width="8.88671875" style="203" bestFit="1" customWidth="1"/>
    <col min="4568" max="4570" width="8.33203125" style="203" customWidth="1"/>
    <col min="4571" max="4571" width="8.88671875" style="203" bestFit="1" customWidth="1"/>
    <col min="4572" max="4583" width="8.33203125" style="203" customWidth="1"/>
    <col min="4584" max="4738" width="8" style="203"/>
    <col min="4739" max="4739" width="34.5546875" style="203" customWidth="1"/>
    <col min="4740" max="4740" width="5.6640625" style="203" customWidth="1"/>
    <col min="4741" max="4741" width="8.21875" style="203" customWidth="1"/>
    <col min="4742" max="4742" width="8.33203125" style="203" customWidth="1"/>
    <col min="4743" max="4743" width="5.6640625" style="203" customWidth="1"/>
    <col min="4744" max="4744" width="9.6640625" style="203" customWidth="1"/>
    <col min="4745" max="4745" width="8.88671875" style="203" bestFit="1" customWidth="1"/>
    <col min="4746" max="4746" width="11.77734375" style="203" customWidth="1"/>
    <col min="4747" max="4747" width="7.109375" style="203" customWidth="1"/>
    <col min="4748" max="4748" width="9.5546875" style="203" bestFit="1" customWidth="1"/>
    <col min="4749" max="4749" width="8.33203125" style="203" customWidth="1"/>
    <col min="4750" max="4750" width="9" style="203" bestFit="1" customWidth="1"/>
    <col min="4751" max="4751" width="8.88671875" style="203" bestFit="1" customWidth="1"/>
    <col min="4752" max="4752" width="9.5546875" style="203" bestFit="1" customWidth="1"/>
    <col min="4753" max="4770" width="8.33203125" style="203" customWidth="1"/>
    <col min="4771" max="4771" width="10" style="203" bestFit="1" customWidth="1"/>
    <col min="4772" max="4822" width="8.33203125" style="203" customWidth="1"/>
    <col min="4823" max="4823" width="8.88671875" style="203" bestFit="1" customWidth="1"/>
    <col min="4824" max="4826" width="8.33203125" style="203" customWidth="1"/>
    <col min="4827" max="4827" width="8.88671875" style="203" bestFit="1" customWidth="1"/>
    <col min="4828" max="4839" width="8.33203125" style="203" customWidth="1"/>
    <col min="4840" max="4994" width="8" style="203"/>
    <col min="4995" max="4995" width="34.5546875" style="203" customWidth="1"/>
    <col min="4996" max="4996" width="5.6640625" style="203" customWidth="1"/>
    <col min="4997" max="4997" width="8.21875" style="203" customWidth="1"/>
    <col min="4998" max="4998" width="8.33203125" style="203" customWidth="1"/>
    <col min="4999" max="4999" width="5.6640625" style="203" customWidth="1"/>
    <col min="5000" max="5000" width="9.6640625" style="203" customWidth="1"/>
    <col min="5001" max="5001" width="8.88671875" style="203" bestFit="1" customWidth="1"/>
    <col min="5002" max="5002" width="11.77734375" style="203" customWidth="1"/>
    <col min="5003" max="5003" width="7.109375" style="203" customWidth="1"/>
    <col min="5004" max="5004" width="9.5546875" style="203" bestFit="1" customWidth="1"/>
    <col min="5005" max="5005" width="8.33203125" style="203" customWidth="1"/>
    <col min="5006" max="5006" width="9" style="203" bestFit="1" customWidth="1"/>
    <col min="5007" max="5007" width="8.88671875" style="203" bestFit="1" customWidth="1"/>
    <col min="5008" max="5008" width="9.5546875" style="203" bestFit="1" customWidth="1"/>
    <col min="5009" max="5026" width="8.33203125" style="203" customWidth="1"/>
    <col min="5027" max="5027" width="10" style="203" bestFit="1" customWidth="1"/>
    <col min="5028" max="5078" width="8.33203125" style="203" customWidth="1"/>
    <col min="5079" max="5079" width="8.88671875" style="203" bestFit="1" customWidth="1"/>
    <col min="5080" max="5082" width="8.33203125" style="203" customWidth="1"/>
    <col min="5083" max="5083" width="8.88671875" style="203" bestFit="1" customWidth="1"/>
    <col min="5084" max="5095" width="8.33203125" style="203" customWidth="1"/>
    <col min="5096" max="5250" width="8.88671875" style="203"/>
    <col min="5251" max="5251" width="34.5546875" style="203" customWidth="1"/>
    <col min="5252" max="5252" width="5.6640625" style="203" customWidth="1"/>
    <col min="5253" max="5253" width="8.21875" style="203" customWidth="1"/>
    <col min="5254" max="5254" width="8.33203125" style="203" customWidth="1"/>
    <col min="5255" max="5255" width="5.6640625" style="203" customWidth="1"/>
    <col min="5256" max="5256" width="9.6640625" style="203" customWidth="1"/>
    <col min="5257" max="5257" width="8.88671875" style="203" bestFit="1" customWidth="1"/>
    <col min="5258" max="5258" width="11.77734375" style="203" customWidth="1"/>
    <col min="5259" max="5259" width="7.109375" style="203" customWidth="1"/>
    <col min="5260" max="5260" width="9.5546875" style="203" bestFit="1" customWidth="1"/>
    <col min="5261" max="5261" width="8.33203125" style="203" customWidth="1"/>
    <col min="5262" max="5262" width="9" style="203" bestFit="1" customWidth="1"/>
    <col min="5263" max="5263" width="8.88671875" style="203" bestFit="1" customWidth="1"/>
    <col min="5264" max="5264" width="9.5546875" style="203" bestFit="1" customWidth="1"/>
    <col min="5265" max="5282" width="8.33203125" style="203" customWidth="1"/>
    <col min="5283" max="5283" width="10" style="203" bestFit="1" customWidth="1"/>
    <col min="5284" max="5334" width="8.33203125" style="203" customWidth="1"/>
    <col min="5335" max="5335" width="8.88671875" style="203" bestFit="1" customWidth="1"/>
    <col min="5336" max="5338" width="8.33203125" style="203" customWidth="1"/>
    <col min="5339" max="5339" width="8.88671875" style="203" bestFit="1" customWidth="1"/>
    <col min="5340" max="5351" width="8.33203125" style="203" customWidth="1"/>
    <col min="5352" max="5506" width="8" style="203"/>
    <col min="5507" max="5507" width="34.5546875" style="203" customWidth="1"/>
    <col min="5508" max="5508" width="5.6640625" style="203" customWidth="1"/>
    <col min="5509" max="5509" width="8.21875" style="203" customWidth="1"/>
    <col min="5510" max="5510" width="8.33203125" style="203" customWidth="1"/>
    <col min="5511" max="5511" width="5.6640625" style="203" customWidth="1"/>
    <col min="5512" max="5512" width="9.6640625" style="203" customWidth="1"/>
    <col min="5513" max="5513" width="8.88671875" style="203" bestFit="1" customWidth="1"/>
    <col min="5514" max="5514" width="11.77734375" style="203" customWidth="1"/>
    <col min="5515" max="5515" width="7.109375" style="203" customWidth="1"/>
    <col min="5516" max="5516" width="9.5546875" style="203" bestFit="1" customWidth="1"/>
    <col min="5517" max="5517" width="8.33203125" style="203" customWidth="1"/>
    <col min="5518" max="5518" width="9" style="203" bestFit="1" customWidth="1"/>
    <col min="5519" max="5519" width="8.88671875" style="203" bestFit="1" customWidth="1"/>
    <col min="5520" max="5520" width="9.5546875" style="203" bestFit="1" customWidth="1"/>
    <col min="5521" max="5538" width="8.33203125" style="203" customWidth="1"/>
    <col min="5539" max="5539" width="10" style="203" bestFit="1" customWidth="1"/>
    <col min="5540" max="5590" width="8.33203125" style="203" customWidth="1"/>
    <col min="5591" max="5591" width="8.88671875" style="203" bestFit="1" customWidth="1"/>
    <col min="5592" max="5594" width="8.33203125" style="203" customWidth="1"/>
    <col min="5595" max="5595" width="8.88671875" style="203" bestFit="1" customWidth="1"/>
    <col min="5596" max="5607" width="8.33203125" style="203" customWidth="1"/>
    <col min="5608" max="5762" width="8" style="203"/>
    <col min="5763" max="5763" width="34.5546875" style="203" customWidth="1"/>
    <col min="5764" max="5764" width="5.6640625" style="203" customWidth="1"/>
    <col min="5765" max="5765" width="8.21875" style="203" customWidth="1"/>
    <col min="5766" max="5766" width="8.33203125" style="203" customWidth="1"/>
    <col min="5767" max="5767" width="5.6640625" style="203" customWidth="1"/>
    <col min="5768" max="5768" width="9.6640625" style="203" customWidth="1"/>
    <col min="5769" max="5769" width="8.88671875" style="203" bestFit="1" customWidth="1"/>
    <col min="5770" max="5770" width="11.77734375" style="203" customWidth="1"/>
    <col min="5771" max="5771" width="7.109375" style="203" customWidth="1"/>
    <col min="5772" max="5772" width="9.5546875" style="203" bestFit="1" customWidth="1"/>
    <col min="5773" max="5773" width="8.33203125" style="203" customWidth="1"/>
    <col min="5774" max="5774" width="9" style="203" bestFit="1" customWidth="1"/>
    <col min="5775" max="5775" width="8.88671875" style="203" bestFit="1" customWidth="1"/>
    <col min="5776" max="5776" width="9.5546875" style="203" bestFit="1" customWidth="1"/>
    <col min="5777" max="5794" width="8.33203125" style="203" customWidth="1"/>
    <col min="5795" max="5795" width="10" style="203" bestFit="1" customWidth="1"/>
    <col min="5796" max="5846" width="8.33203125" style="203" customWidth="1"/>
    <col min="5847" max="5847" width="8.88671875" style="203" bestFit="1" customWidth="1"/>
    <col min="5848" max="5850" width="8.33203125" style="203" customWidth="1"/>
    <col min="5851" max="5851" width="8.88671875" style="203" bestFit="1" customWidth="1"/>
    <col min="5852" max="5863" width="8.33203125" style="203" customWidth="1"/>
    <col min="5864" max="6018" width="8" style="203"/>
    <col min="6019" max="6019" width="34.5546875" style="203" customWidth="1"/>
    <col min="6020" max="6020" width="5.6640625" style="203" customWidth="1"/>
    <col min="6021" max="6021" width="8.21875" style="203" customWidth="1"/>
    <col min="6022" max="6022" width="8.33203125" style="203" customWidth="1"/>
    <col min="6023" max="6023" width="5.6640625" style="203" customWidth="1"/>
    <col min="6024" max="6024" width="9.6640625" style="203" customWidth="1"/>
    <col min="6025" max="6025" width="8.88671875" style="203" bestFit="1" customWidth="1"/>
    <col min="6026" max="6026" width="11.77734375" style="203" customWidth="1"/>
    <col min="6027" max="6027" width="7.109375" style="203" customWidth="1"/>
    <col min="6028" max="6028" width="9.5546875" style="203" bestFit="1" customWidth="1"/>
    <col min="6029" max="6029" width="8.33203125" style="203" customWidth="1"/>
    <col min="6030" max="6030" width="9" style="203" bestFit="1" customWidth="1"/>
    <col min="6031" max="6031" width="8.88671875" style="203" bestFit="1" customWidth="1"/>
    <col min="6032" max="6032" width="9.5546875" style="203" bestFit="1" customWidth="1"/>
    <col min="6033" max="6050" width="8.33203125" style="203" customWidth="1"/>
    <col min="6051" max="6051" width="10" style="203" bestFit="1" customWidth="1"/>
    <col min="6052" max="6102" width="8.33203125" style="203" customWidth="1"/>
    <col min="6103" max="6103" width="8.88671875" style="203" bestFit="1" customWidth="1"/>
    <col min="6104" max="6106" width="8.33203125" style="203" customWidth="1"/>
    <col min="6107" max="6107" width="8.88671875" style="203" bestFit="1" customWidth="1"/>
    <col min="6108" max="6119" width="8.33203125" style="203" customWidth="1"/>
    <col min="6120" max="6274" width="8.88671875" style="203"/>
    <col min="6275" max="6275" width="34.5546875" style="203" customWidth="1"/>
    <col min="6276" max="6276" width="5.6640625" style="203" customWidth="1"/>
    <col min="6277" max="6277" width="8.21875" style="203" customWidth="1"/>
    <col min="6278" max="6278" width="8.33203125" style="203" customWidth="1"/>
    <col min="6279" max="6279" width="5.6640625" style="203" customWidth="1"/>
    <col min="6280" max="6280" width="9.6640625" style="203" customWidth="1"/>
    <col min="6281" max="6281" width="8.88671875" style="203" bestFit="1" customWidth="1"/>
    <col min="6282" max="6282" width="11.77734375" style="203" customWidth="1"/>
    <col min="6283" max="6283" width="7.109375" style="203" customWidth="1"/>
    <col min="6284" max="6284" width="9.5546875" style="203" bestFit="1" customWidth="1"/>
    <col min="6285" max="6285" width="8.33203125" style="203" customWidth="1"/>
    <col min="6286" max="6286" width="9" style="203" bestFit="1" customWidth="1"/>
    <col min="6287" max="6287" width="8.88671875" style="203" bestFit="1" customWidth="1"/>
    <col min="6288" max="6288" width="9.5546875" style="203" bestFit="1" customWidth="1"/>
    <col min="6289" max="6306" width="8.33203125" style="203" customWidth="1"/>
    <col min="6307" max="6307" width="10" style="203" bestFit="1" customWidth="1"/>
    <col min="6308" max="6358" width="8.33203125" style="203" customWidth="1"/>
    <col min="6359" max="6359" width="8.88671875" style="203" bestFit="1" customWidth="1"/>
    <col min="6360" max="6362" width="8.33203125" style="203" customWidth="1"/>
    <col min="6363" max="6363" width="8.88671875" style="203" bestFit="1" customWidth="1"/>
    <col min="6364" max="6375" width="8.33203125" style="203" customWidth="1"/>
    <col min="6376" max="6530" width="8" style="203"/>
    <col min="6531" max="6531" width="34.5546875" style="203" customWidth="1"/>
    <col min="6532" max="6532" width="5.6640625" style="203" customWidth="1"/>
    <col min="6533" max="6533" width="8.21875" style="203" customWidth="1"/>
    <col min="6534" max="6534" width="8.33203125" style="203" customWidth="1"/>
    <col min="6535" max="6535" width="5.6640625" style="203" customWidth="1"/>
    <col min="6536" max="6536" width="9.6640625" style="203" customWidth="1"/>
    <col min="6537" max="6537" width="8.88671875" style="203" bestFit="1" customWidth="1"/>
    <col min="6538" max="6538" width="11.77734375" style="203" customWidth="1"/>
    <col min="6539" max="6539" width="7.109375" style="203" customWidth="1"/>
    <col min="6540" max="6540" width="9.5546875" style="203" bestFit="1" customWidth="1"/>
    <col min="6541" max="6541" width="8.33203125" style="203" customWidth="1"/>
    <col min="6542" max="6542" width="9" style="203" bestFit="1" customWidth="1"/>
    <col min="6543" max="6543" width="8.88671875" style="203" bestFit="1" customWidth="1"/>
    <col min="6544" max="6544" width="9.5546875" style="203" bestFit="1" customWidth="1"/>
    <col min="6545" max="6562" width="8.33203125" style="203" customWidth="1"/>
    <col min="6563" max="6563" width="10" style="203" bestFit="1" customWidth="1"/>
    <col min="6564" max="6614" width="8.33203125" style="203" customWidth="1"/>
    <col min="6615" max="6615" width="8.88671875" style="203" bestFit="1" customWidth="1"/>
    <col min="6616" max="6618" width="8.33203125" style="203" customWidth="1"/>
    <col min="6619" max="6619" width="8.88671875" style="203" bestFit="1" customWidth="1"/>
    <col min="6620" max="6631" width="8.33203125" style="203" customWidth="1"/>
    <col min="6632" max="6786" width="8" style="203"/>
    <col min="6787" max="6787" width="34.5546875" style="203" customWidth="1"/>
    <col min="6788" max="6788" width="5.6640625" style="203" customWidth="1"/>
    <col min="6789" max="6789" width="8.21875" style="203" customWidth="1"/>
    <col min="6790" max="6790" width="8.33203125" style="203" customWidth="1"/>
    <col min="6791" max="6791" width="5.6640625" style="203" customWidth="1"/>
    <col min="6792" max="6792" width="9.6640625" style="203" customWidth="1"/>
    <col min="6793" max="6793" width="8.88671875" style="203" bestFit="1" customWidth="1"/>
    <col min="6794" max="6794" width="11.77734375" style="203" customWidth="1"/>
    <col min="6795" max="6795" width="7.109375" style="203" customWidth="1"/>
    <col min="6796" max="6796" width="9.5546875" style="203" bestFit="1" customWidth="1"/>
    <col min="6797" max="6797" width="8.33203125" style="203" customWidth="1"/>
    <col min="6798" max="6798" width="9" style="203" bestFit="1" customWidth="1"/>
    <col min="6799" max="6799" width="8.88671875" style="203" bestFit="1" customWidth="1"/>
    <col min="6800" max="6800" width="9.5546875" style="203" bestFit="1" customWidth="1"/>
    <col min="6801" max="6818" width="8.33203125" style="203" customWidth="1"/>
    <col min="6819" max="6819" width="10" style="203" bestFit="1" customWidth="1"/>
    <col min="6820" max="6870" width="8.33203125" style="203" customWidth="1"/>
    <col min="6871" max="6871" width="8.88671875" style="203" bestFit="1" customWidth="1"/>
    <col min="6872" max="6874" width="8.33203125" style="203" customWidth="1"/>
    <col min="6875" max="6875" width="8.88671875" style="203" bestFit="1" customWidth="1"/>
    <col min="6876" max="6887" width="8.33203125" style="203" customWidth="1"/>
    <col min="6888" max="7042" width="8" style="203"/>
    <col min="7043" max="7043" width="34.5546875" style="203" customWidth="1"/>
    <col min="7044" max="7044" width="5.6640625" style="203" customWidth="1"/>
    <col min="7045" max="7045" width="8.21875" style="203" customWidth="1"/>
    <col min="7046" max="7046" width="8.33203125" style="203" customWidth="1"/>
    <col min="7047" max="7047" width="5.6640625" style="203" customWidth="1"/>
    <col min="7048" max="7048" width="9.6640625" style="203" customWidth="1"/>
    <col min="7049" max="7049" width="8.88671875" style="203" bestFit="1" customWidth="1"/>
    <col min="7050" max="7050" width="11.77734375" style="203" customWidth="1"/>
    <col min="7051" max="7051" width="7.109375" style="203" customWidth="1"/>
    <col min="7052" max="7052" width="9.5546875" style="203" bestFit="1" customWidth="1"/>
    <col min="7053" max="7053" width="8.33203125" style="203" customWidth="1"/>
    <col min="7054" max="7054" width="9" style="203" bestFit="1" customWidth="1"/>
    <col min="7055" max="7055" width="8.88671875" style="203" bestFit="1" customWidth="1"/>
    <col min="7056" max="7056" width="9.5546875" style="203" bestFit="1" customWidth="1"/>
    <col min="7057" max="7074" width="8.33203125" style="203" customWidth="1"/>
    <col min="7075" max="7075" width="10" style="203" bestFit="1" customWidth="1"/>
    <col min="7076" max="7126" width="8.33203125" style="203" customWidth="1"/>
    <col min="7127" max="7127" width="8.88671875" style="203" bestFit="1" customWidth="1"/>
    <col min="7128" max="7130" width="8.33203125" style="203" customWidth="1"/>
    <col min="7131" max="7131" width="8.88671875" style="203" bestFit="1" customWidth="1"/>
    <col min="7132" max="7143" width="8.33203125" style="203" customWidth="1"/>
    <col min="7144" max="7298" width="8.88671875" style="203"/>
    <col min="7299" max="7299" width="34.5546875" style="203" customWidth="1"/>
    <col min="7300" max="7300" width="5.6640625" style="203" customWidth="1"/>
    <col min="7301" max="7301" width="8.21875" style="203" customWidth="1"/>
    <col min="7302" max="7302" width="8.33203125" style="203" customWidth="1"/>
    <col min="7303" max="7303" width="5.6640625" style="203" customWidth="1"/>
    <col min="7304" max="7304" width="9.6640625" style="203" customWidth="1"/>
    <col min="7305" max="7305" width="8.88671875" style="203" bestFit="1" customWidth="1"/>
    <col min="7306" max="7306" width="11.77734375" style="203" customWidth="1"/>
    <col min="7307" max="7307" width="7.109375" style="203" customWidth="1"/>
    <col min="7308" max="7308" width="9.5546875" style="203" bestFit="1" customWidth="1"/>
    <col min="7309" max="7309" width="8.33203125" style="203" customWidth="1"/>
    <col min="7310" max="7310" width="9" style="203" bestFit="1" customWidth="1"/>
    <col min="7311" max="7311" width="8.88671875" style="203" bestFit="1" customWidth="1"/>
    <col min="7312" max="7312" width="9.5546875" style="203" bestFit="1" customWidth="1"/>
    <col min="7313" max="7330" width="8.33203125" style="203" customWidth="1"/>
    <col min="7331" max="7331" width="10" style="203" bestFit="1" customWidth="1"/>
    <col min="7332" max="7382" width="8.33203125" style="203" customWidth="1"/>
    <col min="7383" max="7383" width="8.88671875" style="203" bestFit="1" customWidth="1"/>
    <col min="7384" max="7386" width="8.33203125" style="203" customWidth="1"/>
    <col min="7387" max="7387" width="8.88671875" style="203" bestFit="1" customWidth="1"/>
    <col min="7388" max="7399" width="8.33203125" style="203" customWidth="1"/>
    <col min="7400" max="7554" width="8" style="203"/>
    <col min="7555" max="7555" width="34.5546875" style="203" customWidth="1"/>
    <col min="7556" max="7556" width="5.6640625" style="203" customWidth="1"/>
    <col min="7557" max="7557" width="8.21875" style="203" customWidth="1"/>
    <col min="7558" max="7558" width="8.33203125" style="203" customWidth="1"/>
    <col min="7559" max="7559" width="5.6640625" style="203" customWidth="1"/>
    <col min="7560" max="7560" width="9.6640625" style="203" customWidth="1"/>
    <col min="7561" max="7561" width="8.88671875" style="203" bestFit="1" customWidth="1"/>
    <col min="7562" max="7562" width="11.77734375" style="203" customWidth="1"/>
    <col min="7563" max="7563" width="7.109375" style="203" customWidth="1"/>
    <col min="7564" max="7564" width="9.5546875" style="203" bestFit="1" customWidth="1"/>
    <col min="7565" max="7565" width="8.33203125" style="203" customWidth="1"/>
    <col min="7566" max="7566" width="9" style="203" bestFit="1" customWidth="1"/>
    <col min="7567" max="7567" width="8.88671875" style="203" bestFit="1" customWidth="1"/>
    <col min="7568" max="7568" width="9.5546875" style="203" bestFit="1" customWidth="1"/>
    <col min="7569" max="7586" width="8.33203125" style="203" customWidth="1"/>
    <col min="7587" max="7587" width="10" style="203" bestFit="1" customWidth="1"/>
    <col min="7588" max="7638" width="8.33203125" style="203" customWidth="1"/>
    <col min="7639" max="7639" width="8.88671875" style="203" bestFit="1" customWidth="1"/>
    <col min="7640" max="7642" width="8.33203125" style="203" customWidth="1"/>
    <col min="7643" max="7643" width="8.88671875" style="203" bestFit="1" customWidth="1"/>
    <col min="7644" max="7655" width="8.33203125" style="203" customWidth="1"/>
    <col min="7656" max="7810" width="8" style="203"/>
    <col min="7811" max="7811" width="34.5546875" style="203" customWidth="1"/>
    <col min="7812" max="7812" width="5.6640625" style="203" customWidth="1"/>
    <col min="7813" max="7813" width="8.21875" style="203" customWidth="1"/>
    <col min="7814" max="7814" width="8.33203125" style="203" customWidth="1"/>
    <col min="7815" max="7815" width="5.6640625" style="203" customWidth="1"/>
    <col min="7816" max="7816" width="9.6640625" style="203" customWidth="1"/>
    <col min="7817" max="7817" width="8.88671875" style="203" bestFit="1" customWidth="1"/>
    <col min="7818" max="7818" width="11.77734375" style="203" customWidth="1"/>
    <col min="7819" max="7819" width="7.109375" style="203" customWidth="1"/>
    <col min="7820" max="7820" width="9.5546875" style="203" bestFit="1" customWidth="1"/>
    <col min="7821" max="7821" width="8.33203125" style="203" customWidth="1"/>
    <col min="7822" max="7822" width="9" style="203" bestFit="1" customWidth="1"/>
    <col min="7823" max="7823" width="8.88671875" style="203" bestFit="1" customWidth="1"/>
    <col min="7824" max="7824" width="9.5546875" style="203" bestFit="1" customWidth="1"/>
    <col min="7825" max="7842" width="8.33203125" style="203" customWidth="1"/>
    <col min="7843" max="7843" width="10" style="203" bestFit="1" customWidth="1"/>
    <col min="7844" max="7894" width="8.33203125" style="203" customWidth="1"/>
    <col min="7895" max="7895" width="8.88671875" style="203" bestFit="1" customWidth="1"/>
    <col min="7896" max="7898" width="8.33203125" style="203" customWidth="1"/>
    <col min="7899" max="7899" width="8.88671875" style="203" bestFit="1" customWidth="1"/>
    <col min="7900" max="7911" width="8.33203125" style="203" customWidth="1"/>
    <col min="7912" max="8066" width="8" style="203"/>
    <col min="8067" max="8067" width="34.5546875" style="203" customWidth="1"/>
    <col min="8068" max="8068" width="5.6640625" style="203" customWidth="1"/>
    <col min="8069" max="8069" width="8.21875" style="203" customWidth="1"/>
    <col min="8070" max="8070" width="8.33203125" style="203" customWidth="1"/>
    <col min="8071" max="8071" width="5.6640625" style="203" customWidth="1"/>
    <col min="8072" max="8072" width="9.6640625" style="203" customWidth="1"/>
    <col min="8073" max="8073" width="8.88671875" style="203" bestFit="1" customWidth="1"/>
    <col min="8074" max="8074" width="11.77734375" style="203" customWidth="1"/>
    <col min="8075" max="8075" width="7.109375" style="203" customWidth="1"/>
    <col min="8076" max="8076" width="9.5546875" style="203" bestFit="1" customWidth="1"/>
    <col min="8077" max="8077" width="8.33203125" style="203" customWidth="1"/>
    <col min="8078" max="8078" width="9" style="203" bestFit="1" customWidth="1"/>
    <col min="8079" max="8079" width="8.88671875" style="203" bestFit="1" customWidth="1"/>
    <col min="8080" max="8080" width="9.5546875" style="203" bestFit="1" customWidth="1"/>
    <col min="8081" max="8098" width="8.33203125" style="203" customWidth="1"/>
    <col min="8099" max="8099" width="10" style="203" bestFit="1" customWidth="1"/>
    <col min="8100" max="8150" width="8.33203125" style="203" customWidth="1"/>
    <col min="8151" max="8151" width="8.88671875" style="203" bestFit="1" customWidth="1"/>
    <col min="8152" max="8154" width="8.33203125" style="203" customWidth="1"/>
    <col min="8155" max="8155" width="8.88671875" style="203" bestFit="1" customWidth="1"/>
    <col min="8156" max="8167" width="8.33203125" style="203" customWidth="1"/>
    <col min="8168" max="8322" width="8.88671875" style="203"/>
    <col min="8323" max="8323" width="34.5546875" style="203" customWidth="1"/>
    <col min="8324" max="8324" width="5.6640625" style="203" customWidth="1"/>
    <col min="8325" max="8325" width="8.21875" style="203" customWidth="1"/>
    <col min="8326" max="8326" width="8.33203125" style="203" customWidth="1"/>
    <col min="8327" max="8327" width="5.6640625" style="203" customWidth="1"/>
    <col min="8328" max="8328" width="9.6640625" style="203" customWidth="1"/>
    <col min="8329" max="8329" width="8.88671875" style="203" bestFit="1" customWidth="1"/>
    <col min="8330" max="8330" width="11.77734375" style="203" customWidth="1"/>
    <col min="8331" max="8331" width="7.109375" style="203" customWidth="1"/>
    <col min="8332" max="8332" width="9.5546875" style="203" bestFit="1" customWidth="1"/>
    <col min="8333" max="8333" width="8.33203125" style="203" customWidth="1"/>
    <col min="8334" max="8334" width="9" style="203" bestFit="1" customWidth="1"/>
    <col min="8335" max="8335" width="8.88671875" style="203" bestFit="1" customWidth="1"/>
    <col min="8336" max="8336" width="9.5546875" style="203" bestFit="1" customWidth="1"/>
    <col min="8337" max="8354" width="8.33203125" style="203" customWidth="1"/>
    <col min="8355" max="8355" width="10" style="203" bestFit="1" customWidth="1"/>
    <col min="8356" max="8406" width="8.33203125" style="203" customWidth="1"/>
    <col min="8407" max="8407" width="8.88671875" style="203" bestFit="1" customWidth="1"/>
    <col min="8408" max="8410" width="8.33203125" style="203" customWidth="1"/>
    <col min="8411" max="8411" width="8.88671875" style="203" bestFit="1" customWidth="1"/>
    <col min="8412" max="8423" width="8.33203125" style="203" customWidth="1"/>
    <col min="8424" max="8578" width="8" style="203"/>
    <col min="8579" max="8579" width="34.5546875" style="203" customWidth="1"/>
    <col min="8580" max="8580" width="5.6640625" style="203" customWidth="1"/>
    <col min="8581" max="8581" width="8.21875" style="203" customWidth="1"/>
    <col min="8582" max="8582" width="8.33203125" style="203" customWidth="1"/>
    <col min="8583" max="8583" width="5.6640625" style="203" customWidth="1"/>
    <col min="8584" max="8584" width="9.6640625" style="203" customWidth="1"/>
    <col min="8585" max="8585" width="8.88671875" style="203" bestFit="1" customWidth="1"/>
    <col min="8586" max="8586" width="11.77734375" style="203" customWidth="1"/>
    <col min="8587" max="8587" width="7.109375" style="203" customWidth="1"/>
    <col min="8588" max="8588" width="9.5546875" style="203" bestFit="1" customWidth="1"/>
    <col min="8589" max="8589" width="8.33203125" style="203" customWidth="1"/>
    <col min="8590" max="8590" width="9" style="203" bestFit="1" customWidth="1"/>
    <col min="8591" max="8591" width="8.88671875" style="203" bestFit="1" customWidth="1"/>
    <col min="8592" max="8592" width="9.5546875" style="203" bestFit="1" customWidth="1"/>
    <col min="8593" max="8610" width="8.33203125" style="203" customWidth="1"/>
    <col min="8611" max="8611" width="10" style="203" bestFit="1" customWidth="1"/>
    <col min="8612" max="8662" width="8.33203125" style="203" customWidth="1"/>
    <col min="8663" max="8663" width="8.88671875" style="203" bestFit="1" customWidth="1"/>
    <col min="8664" max="8666" width="8.33203125" style="203" customWidth="1"/>
    <col min="8667" max="8667" width="8.88671875" style="203" bestFit="1" customWidth="1"/>
    <col min="8668" max="8679" width="8.33203125" style="203" customWidth="1"/>
    <col min="8680" max="8834" width="8" style="203"/>
    <col min="8835" max="8835" width="34.5546875" style="203" customWidth="1"/>
    <col min="8836" max="8836" width="5.6640625" style="203" customWidth="1"/>
    <col min="8837" max="8837" width="8.21875" style="203" customWidth="1"/>
    <col min="8838" max="8838" width="8.33203125" style="203" customWidth="1"/>
    <col min="8839" max="8839" width="5.6640625" style="203" customWidth="1"/>
    <col min="8840" max="8840" width="9.6640625" style="203" customWidth="1"/>
    <col min="8841" max="8841" width="8.88671875" style="203" bestFit="1" customWidth="1"/>
    <col min="8842" max="8842" width="11.77734375" style="203" customWidth="1"/>
    <col min="8843" max="8843" width="7.109375" style="203" customWidth="1"/>
    <col min="8844" max="8844" width="9.5546875" style="203" bestFit="1" customWidth="1"/>
    <col min="8845" max="8845" width="8.33203125" style="203" customWidth="1"/>
    <col min="8846" max="8846" width="9" style="203" bestFit="1" customWidth="1"/>
    <col min="8847" max="8847" width="8.88671875" style="203" bestFit="1" customWidth="1"/>
    <col min="8848" max="8848" width="9.5546875" style="203" bestFit="1" customWidth="1"/>
    <col min="8849" max="8866" width="8.33203125" style="203" customWidth="1"/>
    <col min="8867" max="8867" width="10" style="203" bestFit="1" customWidth="1"/>
    <col min="8868" max="8918" width="8.33203125" style="203" customWidth="1"/>
    <col min="8919" max="8919" width="8.88671875" style="203" bestFit="1" customWidth="1"/>
    <col min="8920" max="8922" width="8.33203125" style="203" customWidth="1"/>
    <col min="8923" max="8923" width="8.88671875" style="203" bestFit="1" customWidth="1"/>
    <col min="8924" max="8935" width="8.33203125" style="203" customWidth="1"/>
    <col min="8936" max="9090" width="8" style="203"/>
    <col min="9091" max="9091" width="34.5546875" style="203" customWidth="1"/>
    <col min="9092" max="9092" width="5.6640625" style="203" customWidth="1"/>
    <col min="9093" max="9093" width="8.21875" style="203" customWidth="1"/>
    <col min="9094" max="9094" width="8.33203125" style="203" customWidth="1"/>
    <col min="9095" max="9095" width="5.6640625" style="203" customWidth="1"/>
    <col min="9096" max="9096" width="9.6640625" style="203" customWidth="1"/>
    <col min="9097" max="9097" width="8.88671875" style="203" bestFit="1" customWidth="1"/>
    <col min="9098" max="9098" width="11.77734375" style="203" customWidth="1"/>
    <col min="9099" max="9099" width="7.109375" style="203" customWidth="1"/>
    <col min="9100" max="9100" width="9.5546875" style="203" bestFit="1" customWidth="1"/>
    <col min="9101" max="9101" width="8.33203125" style="203" customWidth="1"/>
    <col min="9102" max="9102" width="9" style="203" bestFit="1" customWidth="1"/>
    <col min="9103" max="9103" width="8.88671875" style="203" bestFit="1" customWidth="1"/>
    <col min="9104" max="9104" width="9.5546875" style="203" bestFit="1" customWidth="1"/>
    <col min="9105" max="9122" width="8.33203125" style="203" customWidth="1"/>
    <col min="9123" max="9123" width="10" style="203" bestFit="1" customWidth="1"/>
    <col min="9124" max="9174" width="8.33203125" style="203" customWidth="1"/>
    <col min="9175" max="9175" width="8.88671875" style="203" bestFit="1" customWidth="1"/>
    <col min="9176" max="9178" width="8.33203125" style="203" customWidth="1"/>
    <col min="9179" max="9179" width="8.88671875" style="203" bestFit="1" customWidth="1"/>
    <col min="9180" max="9191" width="8.33203125" style="203" customWidth="1"/>
    <col min="9192" max="9346" width="8.88671875" style="203"/>
    <col min="9347" max="9347" width="34.5546875" style="203" customWidth="1"/>
    <col min="9348" max="9348" width="5.6640625" style="203" customWidth="1"/>
    <col min="9349" max="9349" width="8.21875" style="203" customWidth="1"/>
    <col min="9350" max="9350" width="8.33203125" style="203" customWidth="1"/>
    <col min="9351" max="9351" width="5.6640625" style="203" customWidth="1"/>
    <col min="9352" max="9352" width="9.6640625" style="203" customWidth="1"/>
    <col min="9353" max="9353" width="8.88671875" style="203" bestFit="1" customWidth="1"/>
    <col min="9354" max="9354" width="11.77734375" style="203" customWidth="1"/>
    <col min="9355" max="9355" width="7.109375" style="203" customWidth="1"/>
    <col min="9356" max="9356" width="9.5546875" style="203" bestFit="1" customWidth="1"/>
    <col min="9357" max="9357" width="8.33203125" style="203" customWidth="1"/>
    <col min="9358" max="9358" width="9" style="203" bestFit="1" customWidth="1"/>
    <col min="9359" max="9359" width="8.88671875" style="203" bestFit="1" customWidth="1"/>
    <col min="9360" max="9360" width="9.5546875" style="203" bestFit="1" customWidth="1"/>
    <col min="9361" max="9378" width="8.33203125" style="203" customWidth="1"/>
    <col min="9379" max="9379" width="10" style="203" bestFit="1" customWidth="1"/>
    <col min="9380" max="9430" width="8.33203125" style="203" customWidth="1"/>
    <col min="9431" max="9431" width="8.88671875" style="203" bestFit="1" customWidth="1"/>
    <col min="9432" max="9434" width="8.33203125" style="203" customWidth="1"/>
    <col min="9435" max="9435" width="8.88671875" style="203" bestFit="1" customWidth="1"/>
    <col min="9436" max="9447" width="8.33203125" style="203" customWidth="1"/>
    <col min="9448" max="9602" width="8" style="203"/>
    <col min="9603" max="9603" width="34.5546875" style="203" customWidth="1"/>
    <col min="9604" max="9604" width="5.6640625" style="203" customWidth="1"/>
    <col min="9605" max="9605" width="8.21875" style="203" customWidth="1"/>
    <col min="9606" max="9606" width="8.33203125" style="203" customWidth="1"/>
    <col min="9607" max="9607" width="5.6640625" style="203" customWidth="1"/>
    <col min="9608" max="9608" width="9.6640625" style="203" customWidth="1"/>
    <col min="9609" max="9609" width="8.88671875" style="203" bestFit="1" customWidth="1"/>
    <col min="9610" max="9610" width="11.77734375" style="203" customWidth="1"/>
    <col min="9611" max="9611" width="7.109375" style="203" customWidth="1"/>
    <col min="9612" max="9612" width="9.5546875" style="203" bestFit="1" customWidth="1"/>
    <col min="9613" max="9613" width="8.33203125" style="203" customWidth="1"/>
    <col min="9614" max="9614" width="9" style="203" bestFit="1" customWidth="1"/>
    <col min="9615" max="9615" width="8.88671875" style="203" bestFit="1" customWidth="1"/>
    <col min="9616" max="9616" width="9.5546875" style="203" bestFit="1" customWidth="1"/>
    <col min="9617" max="9634" width="8.33203125" style="203" customWidth="1"/>
    <col min="9635" max="9635" width="10" style="203" bestFit="1" customWidth="1"/>
    <col min="9636" max="9686" width="8.33203125" style="203" customWidth="1"/>
    <col min="9687" max="9687" width="8.88671875" style="203" bestFit="1" customWidth="1"/>
    <col min="9688" max="9690" width="8.33203125" style="203" customWidth="1"/>
    <col min="9691" max="9691" width="8.88671875" style="203" bestFit="1" customWidth="1"/>
    <col min="9692" max="9703" width="8.33203125" style="203" customWidth="1"/>
    <col min="9704" max="9858" width="8" style="203"/>
    <col min="9859" max="9859" width="34.5546875" style="203" customWidth="1"/>
    <col min="9860" max="9860" width="5.6640625" style="203" customWidth="1"/>
    <col min="9861" max="9861" width="8.21875" style="203" customWidth="1"/>
    <col min="9862" max="9862" width="8.33203125" style="203" customWidth="1"/>
    <col min="9863" max="9863" width="5.6640625" style="203" customWidth="1"/>
    <col min="9864" max="9864" width="9.6640625" style="203" customWidth="1"/>
    <col min="9865" max="9865" width="8.88671875" style="203" bestFit="1" customWidth="1"/>
    <col min="9866" max="9866" width="11.77734375" style="203" customWidth="1"/>
    <col min="9867" max="9867" width="7.109375" style="203" customWidth="1"/>
    <col min="9868" max="9868" width="9.5546875" style="203" bestFit="1" customWidth="1"/>
    <col min="9869" max="9869" width="8.33203125" style="203" customWidth="1"/>
    <col min="9870" max="9870" width="9" style="203" bestFit="1" customWidth="1"/>
    <col min="9871" max="9871" width="8.88671875" style="203" bestFit="1" customWidth="1"/>
    <col min="9872" max="9872" width="9.5546875" style="203" bestFit="1" customWidth="1"/>
    <col min="9873" max="9890" width="8.33203125" style="203" customWidth="1"/>
    <col min="9891" max="9891" width="10" style="203" bestFit="1" customWidth="1"/>
    <col min="9892" max="9942" width="8.33203125" style="203" customWidth="1"/>
    <col min="9943" max="9943" width="8.88671875" style="203" bestFit="1" customWidth="1"/>
    <col min="9944" max="9946" width="8.33203125" style="203" customWidth="1"/>
    <col min="9947" max="9947" width="8.88671875" style="203" bestFit="1" customWidth="1"/>
    <col min="9948" max="9959" width="8.33203125" style="203" customWidth="1"/>
    <col min="9960" max="10114" width="8" style="203"/>
    <col min="10115" max="10115" width="34.5546875" style="203" customWidth="1"/>
    <col min="10116" max="10116" width="5.6640625" style="203" customWidth="1"/>
    <col min="10117" max="10117" width="8.21875" style="203" customWidth="1"/>
    <col min="10118" max="10118" width="8.33203125" style="203" customWidth="1"/>
    <col min="10119" max="10119" width="5.6640625" style="203" customWidth="1"/>
    <col min="10120" max="10120" width="9.6640625" style="203" customWidth="1"/>
    <col min="10121" max="10121" width="8.88671875" style="203" bestFit="1" customWidth="1"/>
    <col min="10122" max="10122" width="11.77734375" style="203" customWidth="1"/>
    <col min="10123" max="10123" width="7.109375" style="203" customWidth="1"/>
    <col min="10124" max="10124" width="9.5546875" style="203" bestFit="1" customWidth="1"/>
    <col min="10125" max="10125" width="8.33203125" style="203" customWidth="1"/>
    <col min="10126" max="10126" width="9" style="203" bestFit="1" customWidth="1"/>
    <col min="10127" max="10127" width="8.88671875" style="203" bestFit="1" customWidth="1"/>
    <col min="10128" max="10128" width="9.5546875" style="203" bestFit="1" customWidth="1"/>
    <col min="10129" max="10146" width="8.33203125" style="203" customWidth="1"/>
    <col min="10147" max="10147" width="10" style="203" bestFit="1" customWidth="1"/>
    <col min="10148" max="10198" width="8.33203125" style="203" customWidth="1"/>
    <col min="10199" max="10199" width="8.88671875" style="203" bestFit="1" customWidth="1"/>
    <col min="10200" max="10202" width="8.33203125" style="203" customWidth="1"/>
    <col min="10203" max="10203" width="8.88671875" style="203" bestFit="1" customWidth="1"/>
    <col min="10204" max="10215" width="8.33203125" style="203" customWidth="1"/>
    <col min="10216" max="10370" width="8.88671875" style="203"/>
    <col min="10371" max="10371" width="34.5546875" style="203" customWidth="1"/>
    <col min="10372" max="10372" width="5.6640625" style="203" customWidth="1"/>
    <col min="10373" max="10373" width="8.21875" style="203" customWidth="1"/>
    <col min="10374" max="10374" width="8.33203125" style="203" customWidth="1"/>
    <col min="10375" max="10375" width="5.6640625" style="203" customWidth="1"/>
    <col min="10376" max="10376" width="9.6640625" style="203" customWidth="1"/>
    <col min="10377" max="10377" width="8.88671875" style="203" bestFit="1" customWidth="1"/>
    <col min="10378" max="10378" width="11.77734375" style="203" customWidth="1"/>
    <col min="10379" max="10379" width="7.109375" style="203" customWidth="1"/>
    <col min="10380" max="10380" width="9.5546875" style="203" bestFit="1" customWidth="1"/>
    <col min="10381" max="10381" width="8.33203125" style="203" customWidth="1"/>
    <col min="10382" max="10382" width="9" style="203" bestFit="1" customWidth="1"/>
    <col min="10383" max="10383" width="8.88671875" style="203" bestFit="1" customWidth="1"/>
    <col min="10384" max="10384" width="9.5546875" style="203" bestFit="1" customWidth="1"/>
    <col min="10385" max="10402" width="8.33203125" style="203" customWidth="1"/>
    <col min="10403" max="10403" width="10" style="203" bestFit="1" customWidth="1"/>
    <col min="10404" max="10454" width="8.33203125" style="203" customWidth="1"/>
    <col min="10455" max="10455" width="8.88671875" style="203" bestFit="1" customWidth="1"/>
    <col min="10456" max="10458" width="8.33203125" style="203" customWidth="1"/>
    <col min="10459" max="10459" width="8.88671875" style="203" bestFit="1" customWidth="1"/>
    <col min="10460" max="10471" width="8.33203125" style="203" customWidth="1"/>
    <col min="10472" max="10626" width="8" style="203"/>
    <col min="10627" max="10627" width="34.5546875" style="203" customWidth="1"/>
    <col min="10628" max="10628" width="5.6640625" style="203" customWidth="1"/>
    <col min="10629" max="10629" width="8.21875" style="203" customWidth="1"/>
    <col min="10630" max="10630" width="8.33203125" style="203" customWidth="1"/>
    <col min="10631" max="10631" width="5.6640625" style="203" customWidth="1"/>
    <col min="10632" max="10632" width="9.6640625" style="203" customWidth="1"/>
    <col min="10633" max="10633" width="8.88671875" style="203" bestFit="1" customWidth="1"/>
    <col min="10634" max="10634" width="11.77734375" style="203" customWidth="1"/>
    <col min="10635" max="10635" width="7.109375" style="203" customWidth="1"/>
    <col min="10636" max="10636" width="9.5546875" style="203" bestFit="1" customWidth="1"/>
    <col min="10637" max="10637" width="8.33203125" style="203" customWidth="1"/>
    <col min="10638" max="10638" width="9" style="203" bestFit="1" customWidth="1"/>
    <col min="10639" max="10639" width="8.88671875" style="203" bestFit="1" customWidth="1"/>
    <col min="10640" max="10640" width="9.5546875" style="203" bestFit="1" customWidth="1"/>
    <col min="10641" max="10658" width="8.33203125" style="203" customWidth="1"/>
    <col min="10659" max="10659" width="10" style="203" bestFit="1" customWidth="1"/>
    <col min="10660" max="10710" width="8.33203125" style="203" customWidth="1"/>
    <col min="10711" max="10711" width="8.88671875" style="203" bestFit="1" customWidth="1"/>
    <col min="10712" max="10714" width="8.33203125" style="203" customWidth="1"/>
    <col min="10715" max="10715" width="8.88671875" style="203" bestFit="1" customWidth="1"/>
    <col min="10716" max="10727" width="8.33203125" style="203" customWidth="1"/>
    <col min="10728" max="10882" width="8" style="203"/>
    <col min="10883" max="10883" width="34.5546875" style="203" customWidth="1"/>
    <col min="10884" max="10884" width="5.6640625" style="203" customWidth="1"/>
    <col min="10885" max="10885" width="8.21875" style="203" customWidth="1"/>
    <col min="10886" max="10886" width="8.33203125" style="203" customWidth="1"/>
    <col min="10887" max="10887" width="5.6640625" style="203" customWidth="1"/>
    <col min="10888" max="10888" width="9.6640625" style="203" customWidth="1"/>
    <col min="10889" max="10889" width="8.88671875" style="203" bestFit="1" customWidth="1"/>
    <col min="10890" max="10890" width="11.77734375" style="203" customWidth="1"/>
    <col min="10891" max="10891" width="7.109375" style="203" customWidth="1"/>
    <col min="10892" max="10892" width="9.5546875" style="203" bestFit="1" customWidth="1"/>
    <col min="10893" max="10893" width="8.33203125" style="203" customWidth="1"/>
    <col min="10894" max="10894" width="9" style="203" bestFit="1" customWidth="1"/>
    <col min="10895" max="10895" width="8.88671875" style="203" bestFit="1" customWidth="1"/>
    <col min="10896" max="10896" width="9.5546875" style="203" bestFit="1" customWidth="1"/>
    <col min="10897" max="10914" width="8.33203125" style="203" customWidth="1"/>
    <col min="10915" max="10915" width="10" style="203" bestFit="1" customWidth="1"/>
    <col min="10916" max="10966" width="8.33203125" style="203" customWidth="1"/>
    <col min="10967" max="10967" width="8.88671875" style="203" bestFit="1" customWidth="1"/>
    <col min="10968" max="10970" width="8.33203125" style="203" customWidth="1"/>
    <col min="10971" max="10971" width="8.88671875" style="203" bestFit="1" customWidth="1"/>
    <col min="10972" max="10983" width="8.33203125" style="203" customWidth="1"/>
    <col min="10984" max="11138" width="8" style="203"/>
    <col min="11139" max="11139" width="34.5546875" style="203" customWidth="1"/>
    <col min="11140" max="11140" width="5.6640625" style="203" customWidth="1"/>
    <col min="11141" max="11141" width="8.21875" style="203" customWidth="1"/>
    <col min="11142" max="11142" width="8.33203125" style="203" customWidth="1"/>
    <col min="11143" max="11143" width="5.6640625" style="203" customWidth="1"/>
    <col min="11144" max="11144" width="9.6640625" style="203" customWidth="1"/>
    <col min="11145" max="11145" width="8.88671875" style="203" bestFit="1" customWidth="1"/>
    <col min="11146" max="11146" width="11.77734375" style="203" customWidth="1"/>
    <col min="11147" max="11147" width="7.109375" style="203" customWidth="1"/>
    <col min="11148" max="11148" width="9.5546875" style="203" bestFit="1" customWidth="1"/>
    <col min="11149" max="11149" width="8.33203125" style="203" customWidth="1"/>
    <col min="11150" max="11150" width="9" style="203" bestFit="1" customWidth="1"/>
    <col min="11151" max="11151" width="8.88671875" style="203" bestFit="1" customWidth="1"/>
    <col min="11152" max="11152" width="9.5546875" style="203" bestFit="1" customWidth="1"/>
    <col min="11153" max="11170" width="8.33203125" style="203" customWidth="1"/>
    <col min="11171" max="11171" width="10" style="203" bestFit="1" customWidth="1"/>
    <col min="11172" max="11222" width="8.33203125" style="203" customWidth="1"/>
    <col min="11223" max="11223" width="8.88671875" style="203" bestFit="1" customWidth="1"/>
    <col min="11224" max="11226" width="8.33203125" style="203" customWidth="1"/>
    <col min="11227" max="11227" width="8.88671875" style="203" bestFit="1" customWidth="1"/>
    <col min="11228" max="11239" width="8.33203125" style="203" customWidth="1"/>
    <col min="11240" max="11394" width="8.88671875" style="203"/>
    <col min="11395" max="11395" width="34.5546875" style="203" customWidth="1"/>
    <col min="11396" max="11396" width="5.6640625" style="203" customWidth="1"/>
    <col min="11397" max="11397" width="8.21875" style="203" customWidth="1"/>
    <col min="11398" max="11398" width="8.33203125" style="203" customWidth="1"/>
    <col min="11399" max="11399" width="5.6640625" style="203" customWidth="1"/>
    <col min="11400" max="11400" width="9.6640625" style="203" customWidth="1"/>
    <col min="11401" max="11401" width="8.88671875" style="203" bestFit="1" customWidth="1"/>
    <col min="11402" max="11402" width="11.77734375" style="203" customWidth="1"/>
    <col min="11403" max="11403" width="7.109375" style="203" customWidth="1"/>
    <col min="11404" max="11404" width="9.5546875" style="203" bestFit="1" customWidth="1"/>
    <col min="11405" max="11405" width="8.33203125" style="203" customWidth="1"/>
    <col min="11406" max="11406" width="9" style="203" bestFit="1" customWidth="1"/>
    <col min="11407" max="11407" width="8.88671875" style="203" bestFit="1" customWidth="1"/>
    <col min="11408" max="11408" width="9.5546875" style="203" bestFit="1" customWidth="1"/>
    <col min="11409" max="11426" width="8.33203125" style="203" customWidth="1"/>
    <col min="11427" max="11427" width="10" style="203" bestFit="1" customWidth="1"/>
    <col min="11428" max="11478" width="8.33203125" style="203" customWidth="1"/>
    <col min="11479" max="11479" width="8.88671875" style="203" bestFit="1" customWidth="1"/>
    <col min="11480" max="11482" width="8.33203125" style="203" customWidth="1"/>
    <col min="11483" max="11483" width="8.88671875" style="203" bestFit="1" customWidth="1"/>
    <col min="11484" max="11495" width="8.33203125" style="203" customWidth="1"/>
    <col min="11496" max="11650" width="8" style="203"/>
    <col min="11651" max="11651" width="34.5546875" style="203" customWidth="1"/>
    <col min="11652" max="11652" width="5.6640625" style="203" customWidth="1"/>
    <col min="11653" max="11653" width="8.21875" style="203" customWidth="1"/>
    <col min="11654" max="11654" width="8.33203125" style="203" customWidth="1"/>
    <col min="11655" max="11655" width="5.6640625" style="203" customWidth="1"/>
    <col min="11656" max="11656" width="9.6640625" style="203" customWidth="1"/>
    <col min="11657" max="11657" width="8.88671875" style="203" bestFit="1" customWidth="1"/>
    <col min="11658" max="11658" width="11.77734375" style="203" customWidth="1"/>
    <col min="11659" max="11659" width="7.109375" style="203" customWidth="1"/>
    <col min="11660" max="11660" width="9.5546875" style="203" bestFit="1" customWidth="1"/>
    <col min="11661" max="11661" width="8.33203125" style="203" customWidth="1"/>
    <col min="11662" max="11662" width="9" style="203" bestFit="1" customWidth="1"/>
    <col min="11663" max="11663" width="8.88671875" style="203" bestFit="1" customWidth="1"/>
    <col min="11664" max="11664" width="9.5546875" style="203" bestFit="1" customWidth="1"/>
    <col min="11665" max="11682" width="8.33203125" style="203" customWidth="1"/>
    <col min="11683" max="11683" width="10" style="203" bestFit="1" customWidth="1"/>
    <col min="11684" max="11734" width="8.33203125" style="203" customWidth="1"/>
    <col min="11735" max="11735" width="8.88671875" style="203" bestFit="1" customWidth="1"/>
    <col min="11736" max="11738" width="8.33203125" style="203" customWidth="1"/>
    <col min="11739" max="11739" width="8.88671875" style="203" bestFit="1" customWidth="1"/>
    <col min="11740" max="11751" width="8.33203125" style="203" customWidth="1"/>
    <col min="11752" max="11906" width="8" style="203"/>
    <col min="11907" max="11907" width="34.5546875" style="203" customWidth="1"/>
    <col min="11908" max="11908" width="5.6640625" style="203" customWidth="1"/>
    <col min="11909" max="11909" width="8.21875" style="203" customWidth="1"/>
    <col min="11910" max="11910" width="8.33203125" style="203" customWidth="1"/>
    <col min="11911" max="11911" width="5.6640625" style="203" customWidth="1"/>
    <col min="11912" max="11912" width="9.6640625" style="203" customWidth="1"/>
    <col min="11913" max="11913" width="8.88671875" style="203" bestFit="1" customWidth="1"/>
    <col min="11914" max="11914" width="11.77734375" style="203" customWidth="1"/>
    <col min="11915" max="11915" width="7.109375" style="203" customWidth="1"/>
    <col min="11916" max="11916" width="9.5546875" style="203" bestFit="1" customWidth="1"/>
    <col min="11917" max="11917" width="8.33203125" style="203" customWidth="1"/>
    <col min="11918" max="11918" width="9" style="203" bestFit="1" customWidth="1"/>
    <col min="11919" max="11919" width="8.88671875" style="203" bestFit="1" customWidth="1"/>
    <col min="11920" max="11920" width="9.5546875" style="203" bestFit="1" customWidth="1"/>
    <col min="11921" max="11938" width="8.33203125" style="203" customWidth="1"/>
    <col min="11939" max="11939" width="10" style="203" bestFit="1" customWidth="1"/>
    <col min="11940" max="11990" width="8.33203125" style="203" customWidth="1"/>
    <col min="11991" max="11991" width="8.88671875" style="203" bestFit="1" customWidth="1"/>
    <col min="11992" max="11994" width="8.33203125" style="203" customWidth="1"/>
    <col min="11995" max="11995" width="8.88671875" style="203" bestFit="1" customWidth="1"/>
    <col min="11996" max="12007" width="8.33203125" style="203" customWidth="1"/>
    <col min="12008" max="12162" width="8" style="203"/>
    <col min="12163" max="12163" width="34.5546875" style="203" customWidth="1"/>
    <col min="12164" max="12164" width="5.6640625" style="203" customWidth="1"/>
    <col min="12165" max="12165" width="8.21875" style="203" customWidth="1"/>
    <col min="12166" max="12166" width="8.33203125" style="203" customWidth="1"/>
    <col min="12167" max="12167" width="5.6640625" style="203" customWidth="1"/>
    <col min="12168" max="12168" width="9.6640625" style="203" customWidth="1"/>
    <col min="12169" max="12169" width="8.88671875" style="203" bestFit="1" customWidth="1"/>
    <col min="12170" max="12170" width="11.77734375" style="203" customWidth="1"/>
    <col min="12171" max="12171" width="7.109375" style="203" customWidth="1"/>
    <col min="12172" max="12172" width="9.5546875" style="203" bestFit="1" customWidth="1"/>
    <col min="12173" max="12173" width="8.33203125" style="203" customWidth="1"/>
    <col min="12174" max="12174" width="9" style="203" bestFit="1" customWidth="1"/>
    <col min="12175" max="12175" width="8.88671875" style="203" bestFit="1" customWidth="1"/>
    <col min="12176" max="12176" width="9.5546875" style="203" bestFit="1" customWidth="1"/>
    <col min="12177" max="12194" width="8.33203125" style="203" customWidth="1"/>
    <col min="12195" max="12195" width="10" style="203" bestFit="1" customWidth="1"/>
    <col min="12196" max="12246" width="8.33203125" style="203" customWidth="1"/>
    <col min="12247" max="12247" width="8.88671875" style="203" bestFit="1" customWidth="1"/>
    <col min="12248" max="12250" width="8.33203125" style="203" customWidth="1"/>
    <col min="12251" max="12251" width="8.88671875" style="203" bestFit="1" customWidth="1"/>
    <col min="12252" max="12263" width="8.33203125" style="203" customWidth="1"/>
    <col min="12264" max="12418" width="8.88671875" style="203"/>
    <col min="12419" max="12419" width="34.5546875" style="203" customWidth="1"/>
    <col min="12420" max="12420" width="5.6640625" style="203" customWidth="1"/>
    <col min="12421" max="12421" width="8.21875" style="203" customWidth="1"/>
    <col min="12422" max="12422" width="8.33203125" style="203" customWidth="1"/>
    <col min="12423" max="12423" width="5.6640625" style="203" customWidth="1"/>
    <col min="12424" max="12424" width="9.6640625" style="203" customWidth="1"/>
    <col min="12425" max="12425" width="8.88671875" style="203" bestFit="1" customWidth="1"/>
    <col min="12426" max="12426" width="11.77734375" style="203" customWidth="1"/>
    <col min="12427" max="12427" width="7.109375" style="203" customWidth="1"/>
    <col min="12428" max="12428" width="9.5546875" style="203" bestFit="1" customWidth="1"/>
    <col min="12429" max="12429" width="8.33203125" style="203" customWidth="1"/>
    <col min="12430" max="12430" width="9" style="203" bestFit="1" customWidth="1"/>
    <col min="12431" max="12431" width="8.88671875" style="203" bestFit="1" customWidth="1"/>
    <col min="12432" max="12432" width="9.5546875" style="203" bestFit="1" customWidth="1"/>
    <col min="12433" max="12450" width="8.33203125" style="203" customWidth="1"/>
    <col min="12451" max="12451" width="10" style="203" bestFit="1" customWidth="1"/>
    <col min="12452" max="12502" width="8.33203125" style="203" customWidth="1"/>
    <col min="12503" max="12503" width="8.88671875" style="203" bestFit="1" customWidth="1"/>
    <col min="12504" max="12506" width="8.33203125" style="203" customWidth="1"/>
    <col min="12507" max="12507" width="8.88671875" style="203" bestFit="1" customWidth="1"/>
    <col min="12508" max="12519" width="8.33203125" style="203" customWidth="1"/>
    <col min="12520" max="12674" width="8" style="203"/>
    <col min="12675" max="12675" width="34.5546875" style="203" customWidth="1"/>
    <col min="12676" max="12676" width="5.6640625" style="203" customWidth="1"/>
    <col min="12677" max="12677" width="8.21875" style="203" customWidth="1"/>
    <col min="12678" max="12678" width="8.33203125" style="203" customWidth="1"/>
    <col min="12679" max="12679" width="5.6640625" style="203" customWidth="1"/>
    <col min="12680" max="12680" width="9.6640625" style="203" customWidth="1"/>
    <col min="12681" max="12681" width="8.88671875" style="203" bestFit="1" customWidth="1"/>
    <col min="12682" max="12682" width="11.77734375" style="203" customWidth="1"/>
    <col min="12683" max="12683" width="7.109375" style="203" customWidth="1"/>
    <col min="12684" max="12684" width="9.5546875" style="203" bestFit="1" customWidth="1"/>
    <col min="12685" max="12685" width="8.33203125" style="203" customWidth="1"/>
    <col min="12686" max="12686" width="9" style="203" bestFit="1" customWidth="1"/>
    <col min="12687" max="12687" width="8.88671875" style="203" bestFit="1" customWidth="1"/>
    <col min="12688" max="12688" width="9.5546875" style="203" bestFit="1" customWidth="1"/>
    <col min="12689" max="12706" width="8.33203125" style="203" customWidth="1"/>
    <col min="12707" max="12707" width="10" style="203" bestFit="1" customWidth="1"/>
    <col min="12708" max="12758" width="8.33203125" style="203" customWidth="1"/>
    <col min="12759" max="12759" width="8.88671875" style="203" bestFit="1" customWidth="1"/>
    <col min="12760" max="12762" width="8.33203125" style="203" customWidth="1"/>
    <col min="12763" max="12763" width="8.88671875" style="203" bestFit="1" customWidth="1"/>
    <col min="12764" max="12775" width="8.33203125" style="203" customWidth="1"/>
    <col min="12776" max="12930" width="8" style="203"/>
    <col min="12931" max="12931" width="34.5546875" style="203" customWidth="1"/>
    <col min="12932" max="12932" width="5.6640625" style="203" customWidth="1"/>
    <col min="12933" max="12933" width="8.21875" style="203" customWidth="1"/>
    <col min="12934" max="12934" width="8.33203125" style="203" customWidth="1"/>
    <col min="12935" max="12935" width="5.6640625" style="203" customWidth="1"/>
    <col min="12936" max="12936" width="9.6640625" style="203" customWidth="1"/>
    <col min="12937" max="12937" width="8.88671875" style="203" bestFit="1" customWidth="1"/>
    <col min="12938" max="12938" width="11.77734375" style="203" customWidth="1"/>
    <col min="12939" max="12939" width="7.109375" style="203" customWidth="1"/>
    <col min="12940" max="12940" width="9.5546875" style="203" bestFit="1" customWidth="1"/>
    <col min="12941" max="12941" width="8.33203125" style="203" customWidth="1"/>
    <col min="12942" max="12942" width="9" style="203" bestFit="1" customWidth="1"/>
    <col min="12943" max="12943" width="8.88671875" style="203" bestFit="1" customWidth="1"/>
    <col min="12944" max="12944" width="9.5546875" style="203" bestFit="1" customWidth="1"/>
    <col min="12945" max="12962" width="8.33203125" style="203" customWidth="1"/>
    <col min="12963" max="12963" width="10" style="203" bestFit="1" customWidth="1"/>
    <col min="12964" max="13014" width="8.33203125" style="203" customWidth="1"/>
    <col min="13015" max="13015" width="8.88671875" style="203" bestFit="1" customWidth="1"/>
    <col min="13016" max="13018" width="8.33203125" style="203" customWidth="1"/>
    <col min="13019" max="13019" width="8.88671875" style="203" bestFit="1" customWidth="1"/>
    <col min="13020" max="13031" width="8.33203125" style="203" customWidth="1"/>
    <col min="13032" max="13186" width="8" style="203"/>
    <col min="13187" max="13187" width="34.5546875" style="203" customWidth="1"/>
    <col min="13188" max="13188" width="5.6640625" style="203" customWidth="1"/>
    <col min="13189" max="13189" width="8.21875" style="203" customWidth="1"/>
    <col min="13190" max="13190" width="8.33203125" style="203" customWidth="1"/>
    <col min="13191" max="13191" width="5.6640625" style="203" customWidth="1"/>
    <col min="13192" max="13192" width="9.6640625" style="203" customWidth="1"/>
    <col min="13193" max="13193" width="8.88671875" style="203" bestFit="1" customWidth="1"/>
    <col min="13194" max="13194" width="11.77734375" style="203" customWidth="1"/>
    <col min="13195" max="13195" width="7.109375" style="203" customWidth="1"/>
    <col min="13196" max="13196" width="9.5546875" style="203" bestFit="1" customWidth="1"/>
    <col min="13197" max="13197" width="8.33203125" style="203" customWidth="1"/>
    <col min="13198" max="13198" width="9" style="203" bestFit="1" customWidth="1"/>
    <col min="13199" max="13199" width="8.88671875" style="203" bestFit="1" customWidth="1"/>
    <col min="13200" max="13200" width="9.5546875" style="203" bestFit="1" customWidth="1"/>
    <col min="13201" max="13218" width="8.33203125" style="203" customWidth="1"/>
    <col min="13219" max="13219" width="10" style="203" bestFit="1" customWidth="1"/>
    <col min="13220" max="13270" width="8.33203125" style="203" customWidth="1"/>
    <col min="13271" max="13271" width="8.88671875" style="203" bestFit="1" customWidth="1"/>
    <col min="13272" max="13274" width="8.33203125" style="203" customWidth="1"/>
    <col min="13275" max="13275" width="8.88671875" style="203" bestFit="1" customWidth="1"/>
    <col min="13276" max="13287" width="8.33203125" style="203" customWidth="1"/>
    <col min="13288" max="13442" width="8.88671875" style="203"/>
    <col min="13443" max="13443" width="34.5546875" style="203" customWidth="1"/>
    <col min="13444" max="13444" width="5.6640625" style="203" customWidth="1"/>
    <col min="13445" max="13445" width="8.21875" style="203" customWidth="1"/>
    <col min="13446" max="13446" width="8.33203125" style="203" customWidth="1"/>
    <col min="13447" max="13447" width="5.6640625" style="203" customWidth="1"/>
    <col min="13448" max="13448" width="9.6640625" style="203" customWidth="1"/>
    <col min="13449" max="13449" width="8.88671875" style="203" bestFit="1" customWidth="1"/>
    <col min="13450" max="13450" width="11.77734375" style="203" customWidth="1"/>
    <col min="13451" max="13451" width="7.109375" style="203" customWidth="1"/>
    <col min="13452" max="13452" width="9.5546875" style="203" bestFit="1" customWidth="1"/>
    <col min="13453" max="13453" width="8.33203125" style="203" customWidth="1"/>
    <col min="13454" max="13454" width="9" style="203" bestFit="1" customWidth="1"/>
    <col min="13455" max="13455" width="8.88671875" style="203" bestFit="1" customWidth="1"/>
    <col min="13456" max="13456" width="9.5546875" style="203" bestFit="1" customWidth="1"/>
    <col min="13457" max="13474" width="8.33203125" style="203" customWidth="1"/>
    <col min="13475" max="13475" width="10" style="203" bestFit="1" customWidth="1"/>
    <col min="13476" max="13526" width="8.33203125" style="203" customWidth="1"/>
    <col min="13527" max="13527" width="8.88671875" style="203" bestFit="1" customWidth="1"/>
    <col min="13528" max="13530" width="8.33203125" style="203" customWidth="1"/>
    <col min="13531" max="13531" width="8.88671875" style="203" bestFit="1" customWidth="1"/>
    <col min="13532" max="13543" width="8.33203125" style="203" customWidth="1"/>
    <col min="13544" max="13698" width="8" style="203"/>
    <col min="13699" max="13699" width="34.5546875" style="203" customWidth="1"/>
    <col min="13700" max="13700" width="5.6640625" style="203" customWidth="1"/>
    <col min="13701" max="13701" width="8.21875" style="203" customWidth="1"/>
    <col min="13702" max="13702" width="8.33203125" style="203" customWidth="1"/>
    <col min="13703" max="13703" width="5.6640625" style="203" customWidth="1"/>
    <col min="13704" max="13704" width="9.6640625" style="203" customWidth="1"/>
    <col min="13705" max="13705" width="8.88671875" style="203" bestFit="1" customWidth="1"/>
    <col min="13706" max="13706" width="11.77734375" style="203" customWidth="1"/>
    <col min="13707" max="13707" width="7.109375" style="203" customWidth="1"/>
    <col min="13708" max="13708" width="9.5546875" style="203" bestFit="1" customWidth="1"/>
    <col min="13709" max="13709" width="8.33203125" style="203" customWidth="1"/>
    <col min="13710" max="13710" width="9" style="203" bestFit="1" customWidth="1"/>
    <col min="13711" max="13711" width="8.88671875" style="203" bestFit="1" customWidth="1"/>
    <col min="13712" max="13712" width="9.5546875" style="203" bestFit="1" customWidth="1"/>
    <col min="13713" max="13730" width="8.33203125" style="203" customWidth="1"/>
    <col min="13731" max="13731" width="10" style="203" bestFit="1" customWidth="1"/>
    <col min="13732" max="13782" width="8.33203125" style="203" customWidth="1"/>
    <col min="13783" max="13783" width="8.88671875" style="203" bestFit="1" customWidth="1"/>
    <col min="13784" max="13786" width="8.33203125" style="203" customWidth="1"/>
    <col min="13787" max="13787" width="8.88671875" style="203" bestFit="1" customWidth="1"/>
    <col min="13788" max="13799" width="8.33203125" style="203" customWidth="1"/>
    <col min="13800" max="13954" width="8" style="203"/>
    <col min="13955" max="13955" width="34.5546875" style="203" customWidth="1"/>
    <col min="13956" max="13956" width="5.6640625" style="203" customWidth="1"/>
    <col min="13957" max="13957" width="8.21875" style="203" customWidth="1"/>
    <col min="13958" max="13958" width="8.33203125" style="203" customWidth="1"/>
    <col min="13959" max="13959" width="5.6640625" style="203" customWidth="1"/>
    <col min="13960" max="13960" width="9.6640625" style="203" customWidth="1"/>
    <col min="13961" max="13961" width="8.88671875" style="203" bestFit="1" customWidth="1"/>
    <col min="13962" max="13962" width="11.77734375" style="203" customWidth="1"/>
    <col min="13963" max="13963" width="7.109375" style="203" customWidth="1"/>
    <col min="13964" max="13964" width="9.5546875" style="203" bestFit="1" customWidth="1"/>
    <col min="13965" max="13965" width="8.33203125" style="203" customWidth="1"/>
    <col min="13966" max="13966" width="9" style="203" bestFit="1" customWidth="1"/>
    <col min="13967" max="13967" width="8.88671875" style="203" bestFit="1" customWidth="1"/>
    <col min="13968" max="13968" width="9.5546875" style="203" bestFit="1" customWidth="1"/>
    <col min="13969" max="13986" width="8.33203125" style="203" customWidth="1"/>
    <col min="13987" max="13987" width="10" style="203" bestFit="1" customWidth="1"/>
    <col min="13988" max="14038" width="8.33203125" style="203" customWidth="1"/>
    <col min="14039" max="14039" width="8.88671875" style="203" bestFit="1" customWidth="1"/>
    <col min="14040" max="14042" width="8.33203125" style="203" customWidth="1"/>
    <col min="14043" max="14043" width="8.88671875" style="203" bestFit="1" customWidth="1"/>
    <col min="14044" max="14055" width="8.33203125" style="203" customWidth="1"/>
    <col min="14056" max="14210" width="8" style="203"/>
    <col min="14211" max="14211" width="34.5546875" style="203" customWidth="1"/>
    <col min="14212" max="14212" width="5.6640625" style="203" customWidth="1"/>
    <col min="14213" max="14213" width="8.21875" style="203" customWidth="1"/>
    <col min="14214" max="14214" width="8.33203125" style="203" customWidth="1"/>
    <col min="14215" max="14215" width="5.6640625" style="203" customWidth="1"/>
    <col min="14216" max="14216" width="9.6640625" style="203" customWidth="1"/>
    <col min="14217" max="14217" width="8.88671875" style="203" bestFit="1" customWidth="1"/>
    <col min="14218" max="14218" width="11.77734375" style="203" customWidth="1"/>
    <col min="14219" max="14219" width="7.109375" style="203" customWidth="1"/>
    <col min="14220" max="14220" width="9.5546875" style="203" bestFit="1" customWidth="1"/>
    <col min="14221" max="14221" width="8.33203125" style="203" customWidth="1"/>
    <col min="14222" max="14222" width="9" style="203" bestFit="1" customWidth="1"/>
    <col min="14223" max="14223" width="8.88671875" style="203" bestFit="1" customWidth="1"/>
    <col min="14224" max="14224" width="9.5546875" style="203" bestFit="1" customWidth="1"/>
    <col min="14225" max="14242" width="8.33203125" style="203" customWidth="1"/>
    <col min="14243" max="14243" width="10" style="203" bestFit="1" customWidth="1"/>
    <col min="14244" max="14294" width="8.33203125" style="203" customWidth="1"/>
    <col min="14295" max="14295" width="8.88671875" style="203" bestFit="1" customWidth="1"/>
    <col min="14296" max="14298" width="8.33203125" style="203" customWidth="1"/>
    <col min="14299" max="14299" width="8.88671875" style="203" bestFit="1" customWidth="1"/>
    <col min="14300" max="14311" width="8.33203125" style="203" customWidth="1"/>
    <col min="14312" max="14466" width="8.88671875" style="203"/>
    <col min="14467" max="14467" width="34.5546875" style="203" customWidth="1"/>
    <col min="14468" max="14468" width="5.6640625" style="203" customWidth="1"/>
    <col min="14469" max="14469" width="8.21875" style="203" customWidth="1"/>
    <col min="14470" max="14470" width="8.33203125" style="203" customWidth="1"/>
    <col min="14471" max="14471" width="5.6640625" style="203" customWidth="1"/>
    <col min="14472" max="14472" width="9.6640625" style="203" customWidth="1"/>
    <col min="14473" max="14473" width="8.88671875" style="203" bestFit="1" customWidth="1"/>
    <col min="14474" max="14474" width="11.77734375" style="203" customWidth="1"/>
    <col min="14475" max="14475" width="7.109375" style="203" customWidth="1"/>
    <col min="14476" max="14476" width="9.5546875" style="203" bestFit="1" customWidth="1"/>
    <col min="14477" max="14477" width="8.33203125" style="203" customWidth="1"/>
    <col min="14478" max="14478" width="9" style="203" bestFit="1" customWidth="1"/>
    <col min="14479" max="14479" width="8.88671875" style="203" bestFit="1" customWidth="1"/>
    <col min="14480" max="14480" width="9.5546875" style="203" bestFit="1" customWidth="1"/>
    <col min="14481" max="14498" width="8.33203125" style="203" customWidth="1"/>
    <col min="14499" max="14499" width="10" style="203" bestFit="1" customWidth="1"/>
    <col min="14500" max="14550" width="8.33203125" style="203" customWidth="1"/>
    <col min="14551" max="14551" width="8.88671875" style="203" bestFit="1" customWidth="1"/>
    <col min="14552" max="14554" width="8.33203125" style="203" customWidth="1"/>
    <col min="14555" max="14555" width="8.88671875" style="203" bestFit="1" customWidth="1"/>
    <col min="14556" max="14567" width="8.33203125" style="203" customWidth="1"/>
    <col min="14568" max="14722" width="8" style="203"/>
    <col min="14723" max="14723" width="34.5546875" style="203" customWidth="1"/>
    <col min="14724" max="14724" width="5.6640625" style="203" customWidth="1"/>
    <col min="14725" max="14725" width="8.21875" style="203" customWidth="1"/>
    <col min="14726" max="14726" width="8.33203125" style="203" customWidth="1"/>
    <col min="14727" max="14727" width="5.6640625" style="203" customWidth="1"/>
    <col min="14728" max="14728" width="9.6640625" style="203" customWidth="1"/>
    <col min="14729" max="14729" width="8.88671875" style="203" bestFit="1" customWidth="1"/>
    <col min="14730" max="14730" width="11.77734375" style="203" customWidth="1"/>
    <col min="14731" max="14731" width="7.109375" style="203" customWidth="1"/>
    <col min="14732" max="14732" width="9.5546875" style="203" bestFit="1" customWidth="1"/>
    <col min="14733" max="14733" width="8.33203125" style="203" customWidth="1"/>
    <col min="14734" max="14734" width="9" style="203" bestFit="1" customWidth="1"/>
    <col min="14735" max="14735" width="8.88671875" style="203" bestFit="1" customWidth="1"/>
    <col min="14736" max="14736" width="9.5546875" style="203" bestFit="1" customWidth="1"/>
    <col min="14737" max="14754" width="8.33203125" style="203" customWidth="1"/>
    <col min="14755" max="14755" width="10" style="203" bestFit="1" customWidth="1"/>
    <col min="14756" max="14806" width="8.33203125" style="203" customWidth="1"/>
    <col min="14807" max="14807" width="8.88671875" style="203" bestFit="1" customWidth="1"/>
    <col min="14808" max="14810" width="8.33203125" style="203" customWidth="1"/>
    <col min="14811" max="14811" width="8.88671875" style="203" bestFit="1" customWidth="1"/>
    <col min="14812" max="14823" width="8.33203125" style="203" customWidth="1"/>
    <col min="14824" max="14978" width="8" style="203"/>
    <col min="14979" max="14979" width="34.5546875" style="203" customWidth="1"/>
    <col min="14980" max="14980" width="5.6640625" style="203" customWidth="1"/>
    <col min="14981" max="14981" width="8.21875" style="203" customWidth="1"/>
    <col min="14982" max="14982" width="8.33203125" style="203" customWidth="1"/>
    <col min="14983" max="14983" width="5.6640625" style="203" customWidth="1"/>
    <col min="14984" max="14984" width="9.6640625" style="203" customWidth="1"/>
    <col min="14985" max="14985" width="8.88671875" style="203" bestFit="1" customWidth="1"/>
    <col min="14986" max="14986" width="11.77734375" style="203" customWidth="1"/>
    <col min="14987" max="14987" width="7.109375" style="203" customWidth="1"/>
    <col min="14988" max="14988" width="9.5546875" style="203" bestFit="1" customWidth="1"/>
    <col min="14989" max="14989" width="8.33203125" style="203" customWidth="1"/>
    <col min="14990" max="14990" width="9" style="203" bestFit="1" customWidth="1"/>
    <col min="14991" max="14991" width="8.88671875" style="203" bestFit="1" customWidth="1"/>
    <col min="14992" max="14992" width="9.5546875" style="203" bestFit="1" customWidth="1"/>
    <col min="14993" max="15010" width="8.33203125" style="203" customWidth="1"/>
    <col min="15011" max="15011" width="10" style="203" bestFit="1" customWidth="1"/>
    <col min="15012" max="15062" width="8.33203125" style="203" customWidth="1"/>
    <col min="15063" max="15063" width="8.88671875" style="203" bestFit="1" customWidth="1"/>
    <col min="15064" max="15066" width="8.33203125" style="203" customWidth="1"/>
    <col min="15067" max="15067" width="8.88671875" style="203" bestFit="1" customWidth="1"/>
    <col min="15068" max="15079" width="8.33203125" style="203" customWidth="1"/>
    <col min="15080" max="15234" width="8" style="203"/>
    <col min="15235" max="15235" width="34.5546875" style="203" customWidth="1"/>
    <col min="15236" max="15236" width="5.6640625" style="203" customWidth="1"/>
    <col min="15237" max="15237" width="8.21875" style="203" customWidth="1"/>
    <col min="15238" max="15238" width="8.33203125" style="203" customWidth="1"/>
    <col min="15239" max="15239" width="5.6640625" style="203" customWidth="1"/>
    <col min="15240" max="15240" width="9.6640625" style="203" customWidth="1"/>
    <col min="15241" max="15241" width="8.88671875" style="203" bestFit="1" customWidth="1"/>
    <col min="15242" max="15242" width="11.77734375" style="203" customWidth="1"/>
    <col min="15243" max="15243" width="7.109375" style="203" customWidth="1"/>
    <col min="15244" max="15244" width="9.5546875" style="203" bestFit="1" customWidth="1"/>
    <col min="15245" max="15245" width="8.33203125" style="203" customWidth="1"/>
    <col min="15246" max="15246" width="9" style="203" bestFit="1" customWidth="1"/>
    <col min="15247" max="15247" width="8.88671875" style="203" bestFit="1" customWidth="1"/>
    <col min="15248" max="15248" width="9.5546875" style="203" bestFit="1" customWidth="1"/>
    <col min="15249" max="15266" width="8.33203125" style="203" customWidth="1"/>
    <col min="15267" max="15267" width="10" style="203" bestFit="1" customWidth="1"/>
    <col min="15268" max="15318" width="8.33203125" style="203" customWidth="1"/>
    <col min="15319" max="15319" width="8.88671875" style="203" bestFit="1" customWidth="1"/>
    <col min="15320" max="15322" width="8.33203125" style="203" customWidth="1"/>
    <col min="15323" max="15323" width="8.88671875" style="203" bestFit="1" customWidth="1"/>
    <col min="15324" max="15335" width="8.33203125" style="203" customWidth="1"/>
    <col min="15336" max="15490" width="8.88671875" style="203"/>
    <col min="15491" max="15491" width="34.5546875" style="203" customWidth="1"/>
    <col min="15492" max="15492" width="5.6640625" style="203" customWidth="1"/>
    <col min="15493" max="15493" width="8.21875" style="203" customWidth="1"/>
    <col min="15494" max="15494" width="8.33203125" style="203" customWidth="1"/>
    <col min="15495" max="15495" width="5.6640625" style="203" customWidth="1"/>
    <col min="15496" max="15496" width="9.6640625" style="203" customWidth="1"/>
    <col min="15497" max="15497" width="8.88671875" style="203" bestFit="1" customWidth="1"/>
    <col min="15498" max="15498" width="11.77734375" style="203" customWidth="1"/>
    <col min="15499" max="15499" width="7.109375" style="203" customWidth="1"/>
    <col min="15500" max="15500" width="9.5546875" style="203" bestFit="1" customWidth="1"/>
    <col min="15501" max="15501" width="8.33203125" style="203" customWidth="1"/>
    <col min="15502" max="15502" width="9" style="203" bestFit="1" customWidth="1"/>
    <col min="15503" max="15503" width="8.88671875" style="203" bestFit="1" customWidth="1"/>
    <col min="15504" max="15504" width="9.5546875" style="203" bestFit="1" customWidth="1"/>
    <col min="15505" max="15522" width="8.33203125" style="203" customWidth="1"/>
    <col min="15523" max="15523" width="10" style="203" bestFit="1" customWidth="1"/>
    <col min="15524" max="15574" width="8.33203125" style="203" customWidth="1"/>
    <col min="15575" max="15575" width="8.88671875" style="203" bestFit="1" customWidth="1"/>
    <col min="15576" max="15578" width="8.33203125" style="203" customWidth="1"/>
    <col min="15579" max="15579" width="8.88671875" style="203" bestFit="1" customWidth="1"/>
    <col min="15580" max="15591" width="8.33203125" style="203" customWidth="1"/>
    <col min="15592" max="15746" width="8" style="203"/>
    <col min="15747" max="15747" width="34.5546875" style="203" customWidth="1"/>
    <col min="15748" max="15748" width="5.6640625" style="203" customWidth="1"/>
    <col min="15749" max="15749" width="8.21875" style="203" customWidth="1"/>
    <col min="15750" max="15750" width="8.33203125" style="203" customWidth="1"/>
    <col min="15751" max="15751" width="5.6640625" style="203" customWidth="1"/>
    <col min="15752" max="15752" width="9.6640625" style="203" customWidth="1"/>
    <col min="15753" max="15753" width="8.88671875" style="203" bestFit="1" customWidth="1"/>
    <col min="15754" max="15754" width="11.77734375" style="203" customWidth="1"/>
    <col min="15755" max="15755" width="7.109375" style="203" customWidth="1"/>
    <col min="15756" max="15756" width="9.5546875" style="203" bestFit="1" customWidth="1"/>
    <col min="15757" max="15757" width="8.33203125" style="203" customWidth="1"/>
    <col min="15758" max="15758" width="9" style="203" bestFit="1" customWidth="1"/>
    <col min="15759" max="15759" width="8.88671875" style="203" bestFit="1" customWidth="1"/>
    <col min="15760" max="15760" width="9.5546875" style="203" bestFit="1" customWidth="1"/>
    <col min="15761" max="15778" width="8.33203125" style="203" customWidth="1"/>
    <col min="15779" max="15779" width="10" style="203" bestFit="1" customWidth="1"/>
    <col min="15780" max="15830" width="8.33203125" style="203" customWidth="1"/>
    <col min="15831" max="15831" width="8.88671875" style="203" bestFit="1" customWidth="1"/>
    <col min="15832" max="15834" width="8.33203125" style="203" customWidth="1"/>
    <col min="15835" max="15835" width="8.88671875" style="203" bestFit="1" customWidth="1"/>
    <col min="15836" max="15847" width="8.33203125" style="203" customWidth="1"/>
    <col min="15848" max="16002" width="8" style="203"/>
    <col min="16003" max="16003" width="34.5546875" style="203" customWidth="1"/>
    <col min="16004" max="16004" width="5.6640625" style="203" customWidth="1"/>
    <col min="16005" max="16005" width="8.21875" style="203" customWidth="1"/>
    <col min="16006" max="16006" width="8.33203125" style="203" customWidth="1"/>
    <col min="16007" max="16007" width="5.6640625" style="203" customWidth="1"/>
    <col min="16008" max="16008" width="9.6640625" style="203" customWidth="1"/>
    <col min="16009" max="16009" width="8.88671875" style="203" bestFit="1" customWidth="1"/>
    <col min="16010" max="16010" width="11.77734375" style="203" customWidth="1"/>
    <col min="16011" max="16011" width="7.109375" style="203" customWidth="1"/>
    <col min="16012" max="16012" width="9.5546875" style="203" bestFit="1" customWidth="1"/>
    <col min="16013" max="16013" width="8.33203125" style="203" customWidth="1"/>
    <col min="16014" max="16014" width="9" style="203" bestFit="1" customWidth="1"/>
    <col min="16015" max="16015" width="8.88671875" style="203" bestFit="1" customWidth="1"/>
    <col min="16016" max="16016" width="9.5546875" style="203" bestFit="1" customWidth="1"/>
    <col min="16017" max="16034" width="8.33203125" style="203" customWidth="1"/>
    <col min="16035" max="16035" width="10" style="203" bestFit="1" customWidth="1"/>
    <col min="16036" max="16086" width="8.33203125" style="203" customWidth="1"/>
    <col min="16087" max="16087" width="8.88671875" style="203" bestFit="1" customWidth="1"/>
    <col min="16088" max="16090" width="8.33203125" style="203" customWidth="1"/>
    <col min="16091" max="16091" width="8.88671875" style="203" bestFit="1" customWidth="1"/>
    <col min="16092" max="16103" width="8.33203125" style="203" customWidth="1"/>
    <col min="16104" max="16345" width="8" style="203"/>
    <col min="16346" max="16359" width="8.109375" style="203" customWidth="1"/>
    <col min="16360" max="16379" width="8" style="203"/>
    <col min="16380" max="16384" width="8.109375" style="203" customWidth="1"/>
  </cols>
  <sheetData>
    <row r="1" spans="1:14" ht="34.5" customHeight="1">
      <c r="A1" s="302" t="str">
        <f>'Summary. Assumptions. Inputs'!A2:G2</f>
        <v>Al Bawader for Greenhouse Plastics</v>
      </c>
      <c r="B1" s="302"/>
      <c r="C1" s="302"/>
      <c r="D1" s="302"/>
      <c r="E1" s="302"/>
      <c r="F1" s="302"/>
      <c r="G1" s="302"/>
      <c r="H1" s="302"/>
      <c r="I1" s="302"/>
      <c r="J1" s="302"/>
    </row>
    <row r="2" spans="1:14" ht="34.5" customHeight="1">
      <c r="A2" s="302" t="s">
        <v>10</v>
      </c>
      <c r="B2" s="302"/>
      <c r="C2" s="302"/>
      <c r="D2" s="302"/>
      <c r="E2" s="302"/>
      <c r="F2" s="302"/>
      <c r="G2" s="302"/>
      <c r="H2" s="302"/>
      <c r="I2" s="302"/>
      <c r="J2" s="302"/>
    </row>
    <row r="3" spans="1:14" ht="39" customHeight="1">
      <c r="A3" s="258" t="s">
        <v>617</v>
      </c>
      <c r="B3" s="258"/>
      <c r="C3" s="258"/>
      <c r="D3" s="258"/>
      <c r="E3" s="258"/>
      <c r="F3" s="258"/>
      <c r="G3" s="258"/>
      <c r="H3" s="258"/>
      <c r="I3" s="258"/>
      <c r="J3" s="259"/>
    </row>
    <row r="4" spans="1:14" ht="30" customHeight="1">
      <c r="A4" s="260" t="s">
        <v>618</v>
      </c>
      <c r="B4" s="261" t="s">
        <v>97</v>
      </c>
      <c r="C4" s="261" t="s">
        <v>98</v>
      </c>
      <c r="D4" s="261" t="s">
        <v>99</v>
      </c>
      <c r="E4" s="261" t="s">
        <v>619</v>
      </c>
      <c r="F4" s="261" t="s">
        <v>620</v>
      </c>
      <c r="G4" s="261" t="s">
        <v>621</v>
      </c>
      <c r="H4" s="261" t="s">
        <v>622</v>
      </c>
      <c r="I4" s="261" t="s">
        <v>623</v>
      </c>
      <c r="J4" s="261" t="s">
        <v>624</v>
      </c>
      <c r="K4" s="261" t="s">
        <v>625</v>
      </c>
      <c r="L4" s="261" t="s">
        <v>626</v>
      </c>
    </row>
    <row r="5" spans="1:14" s="263" customFormat="1" ht="24" customHeight="1">
      <c r="A5" s="262" t="s">
        <v>106</v>
      </c>
      <c r="B5" s="306" t="str">
        <f>IFERROR(VLOOKUP(A5,Table17[#All],2,0),"")</f>
        <v>KG</v>
      </c>
      <c r="C5" s="307" t="str">
        <f>IFERROR(VLOOKUP(Table21[[#This Row],[Product Name]],Table17[#All],3,0),"")</f>
        <v>KG</v>
      </c>
      <c r="D5" s="307">
        <f>IFERROR(VLOOKUP(Table21[[#This Row],[Product Name]],Table17[#All],4,0),"")</f>
        <v>1</v>
      </c>
      <c r="E5" s="339">
        <f>SUM(Table71[Cost of Raw Material Per Batch])</f>
        <v>2.2403999999999997</v>
      </c>
      <c r="F5" s="304">
        <f>IFERROR(VLOOKUP(A5,Table17[#All],6,0),0)</f>
        <v>3.28125</v>
      </c>
      <c r="G5" s="307" t="str">
        <f>'Summary. Assumptions. Inputs'!$J$7</f>
        <v>USD</v>
      </c>
      <c r="H5" s="307">
        <f>SUBTOTAL(109,Table71[[#All],[Cost of Raw Material Per Unit]])</f>
        <v>2.2403999999999997</v>
      </c>
      <c r="I5" s="307">
        <f>Table21[[#This Row],[Unit Sale Price]]-Table21[[#This Row],[Product Direct Cost / Unit]]</f>
        <v>1.0408500000000003</v>
      </c>
      <c r="J5" s="304">
        <f>IFERROR(($I8/$A8),"")</f>
        <v>0.89392509420298416</v>
      </c>
      <c r="K5" s="307">
        <f>IFERROR((I5-J5),"")</f>
        <v>0.14692490579701611</v>
      </c>
      <c r="L5" s="304">
        <f>IFERROR((F5-H5)/F5,"")</f>
        <v>0.31721142857142864</v>
      </c>
    </row>
    <row r="6" spans="1:14" ht="15" customHeight="1"/>
    <row r="7" spans="1:14" ht="45">
      <c r="A7" s="264" t="s">
        <v>627</v>
      </c>
      <c r="B7" s="264" t="s">
        <v>628</v>
      </c>
      <c r="C7" s="265" t="s">
        <v>629</v>
      </c>
      <c r="D7" s="266" t="s">
        <v>630</v>
      </c>
      <c r="E7" s="267" t="s">
        <v>631</v>
      </c>
      <c r="F7" s="268" t="s">
        <v>632</v>
      </c>
      <c r="G7" s="268" t="s">
        <v>633</v>
      </c>
      <c r="H7" s="268" t="s">
        <v>634</v>
      </c>
      <c r="I7" s="268" t="s">
        <v>635</v>
      </c>
      <c r="J7" s="269" t="s">
        <v>636</v>
      </c>
      <c r="K7" s="268" t="s">
        <v>637</v>
      </c>
    </row>
    <row r="8" spans="1:14" s="263" customFormat="1" ht="15" customHeight="1">
      <c r="A8" s="270">
        <f>IFERROR(VLOOKUP(A5,Table7[#All],16,0),0)*Capacity</f>
        <v>1867320</v>
      </c>
      <c r="B8" s="271">
        <f>IFERROR(VLOOKUP(A5,'Sales, Production, &amp; Other Assu'!$A$18:$P$49,16,0),0)*Capacity</f>
        <v>1723680</v>
      </c>
      <c r="C8" s="271">
        <f>IFERROR((A8-B8),0)</f>
        <v>143640</v>
      </c>
      <c r="D8" s="308">
        <f>B8*F5</f>
        <v>5655825</v>
      </c>
      <c r="E8" s="308">
        <f>A8*H5</f>
        <v>4183543.7279999997</v>
      </c>
      <c r="F8" s="308">
        <f>C8*H5</f>
        <v>321811.05599999998</v>
      </c>
      <c r="G8" s="308">
        <f>D8-E8+F8</f>
        <v>1794092.3280000002</v>
      </c>
      <c r="H8" s="272">
        <f>IFERROR(VLOOKUP(A5,'BEP. &amp; Summary Results'!$A$5:$Q$108,10,0),0)</f>
        <v>0.67847252587086426</v>
      </c>
      <c r="I8" s="308">
        <f>'BEP. &amp; Summary Results'!$L$37*'Production Matrix'!$H8</f>
        <v>1669244.2069071163</v>
      </c>
      <c r="J8" s="309">
        <f>G8-I8</f>
        <v>124848.12109288387</v>
      </c>
      <c r="K8" s="323">
        <f>IFERROR((K5)/F5,"")</f>
        <v>4.4777114147662056E-2</v>
      </c>
    </row>
    <row r="9" spans="1:14" ht="15" customHeight="1"/>
    <row r="10" spans="1:14" ht="30" customHeight="1">
      <c r="A10" s="305" t="s">
        <v>638</v>
      </c>
      <c r="B10" s="305" t="s">
        <v>639</v>
      </c>
      <c r="J10" s="259"/>
    </row>
    <row r="11" spans="1:14" s="263" customFormat="1" ht="15" customHeight="1">
      <c r="A11" s="273" cm="1">
        <f t="array" ref="A11">IFERROR(Table24[[#This Row],[BEP In Value]]/Table21[Batch Unit],0)</f>
        <v>0</v>
      </c>
      <c r="B11" s="274">
        <f>IFERROR(($I8/$L5),"")</f>
        <v>5262244.8517211648</v>
      </c>
      <c r="J11" s="275"/>
    </row>
    <row r="12" spans="1:14" s="263" customFormat="1" ht="15" customHeight="1">
      <c r="A12" s="276"/>
      <c r="B12" s="277"/>
      <c r="J12" s="275"/>
    </row>
    <row r="13" spans="1:14" ht="21.75" customHeight="1">
      <c r="A13" s="278" t="s">
        <v>640</v>
      </c>
      <c r="B13" s="278"/>
      <c r="C13" s="278"/>
      <c r="D13" s="278"/>
      <c r="E13" s="278"/>
      <c r="F13" s="278"/>
      <c r="G13" s="278"/>
      <c r="H13" s="278"/>
      <c r="I13" s="278"/>
    </row>
    <row r="14" spans="1:14" ht="66.75" customHeight="1">
      <c r="A14" s="279" t="s">
        <v>641</v>
      </c>
      <c r="B14" s="279" t="s">
        <v>642</v>
      </c>
      <c r="C14" s="279" t="s">
        <v>643</v>
      </c>
      <c r="D14" s="279" t="s">
        <v>644</v>
      </c>
      <c r="E14" s="279" t="s">
        <v>645</v>
      </c>
      <c r="F14" s="279" t="s">
        <v>646</v>
      </c>
      <c r="G14" s="279" t="s">
        <v>647</v>
      </c>
      <c r="H14" s="279" t="s">
        <v>648</v>
      </c>
      <c r="I14" s="279" t="s">
        <v>649</v>
      </c>
      <c r="J14" s="279" t="s">
        <v>650</v>
      </c>
      <c r="K14" s="279" t="s">
        <v>651</v>
      </c>
      <c r="L14" s="279" t="s">
        <v>471</v>
      </c>
    </row>
    <row r="15" spans="1:14" ht="15" customHeight="1">
      <c r="A15" s="208" t="s">
        <v>119</v>
      </c>
      <c r="B15" s="310" t="str">
        <f>IFERROR(VLOOKUP($A15,Table16[#All],2,0),0)</f>
        <v>Kilo</v>
      </c>
      <c r="C15" s="311">
        <f>IFERROR(VLOOKUP($A15,Table16[#All],5,0),0)</f>
        <v>0.64</v>
      </c>
      <c r="D15" s="312">
        <v>1</v>
      </c>
      <c r="E15" s="312" t="s">
        <v>120</v>
      </c>
      <c r="F15" s="685">
        <f>IFERROR(C15/D15,"")</f>
        <v>0.64</v>
      </c>
      <c r="G15" s="418">
        <v>0.01</v>
      </c>
      <c r="H15" s="303">
        <f>IFERROR(Table71[[#This Row],[Batch Required Quantity using manufacturing unit (per unit)]]/Table21[No. of Units in One Batch],0)</f>
        <v>0.01</v>
      </c>
      <c r="I15" s="310">
        <f>IFERROR(H15*Table23[No of Products Produced]/$D15,"")</f>
        <v>18673.2</v>
      </c>
      <c r="J15" s="314">
        <f>IFERROR($H15*$F15,"")</f>
        <v>6.4000000000000003E-3</v>
      </c>
      <c r="K15" s="316">
        <f>IFERROR(Table71[[#This Row],[Cost of Raw Material Per Unit]]*Table21[No. of Units in One Batch],0)</f>
        <v>6.4000000000000003E-3</v>
      </c>
      <c r="L15" s="316"/>
      <c r="N15" s="203">
        <f>Table71[[#This Row],[Procurement Unit Price]]/3.2</f>
        <v>0.19999999999999998</v>
      </c>
    </row>
    <row r="16" spans="1:14" ht="15" customHeight="1">
      <c r="A16" s="208" t="s">
        <v>122</v>
      </c>
      <c r="B16" s="310" t="str">
        <f>IFERROR(VLOOKUP($A16,Table16[#All],2,0),0)</f>
        <v>Kilo</v>
      </c>
      <c r="C16" s="311">
        <f>IFERROR(VLOOKUP($A16,Table16[#All],5,0),0)</f>
        <v>1.9130434782608696</v>
      </c>
      <c r="D16" s="312">
        <v>1</v>
      </c>
      <c r="E16" s="312" t="s">
        <v>120</v>
      </c>
      <c r="F16" s="685">
        <f t="shared" ref="F16:F22" si="0">IFERROR(C16/D16,"")</f>
        <v>1.9130434782608696</v>
      </c>
      <c r="G16" s="418">
        <v>0.23</v>
      </c>
      <c r="H16" s="303">
        <f>IFERROR(Table71[[#This Row],[Batch Required Quantity using manufacturing unit (per unit)]]/Table21[No. of Units in One Batch],0)</f>
        <v>0.23</v>
      </c>
      <c r="I16" s="310">
        <f>IFERROR(H16*Table23[No of Products Produced]/$D16,"")</f>
        <v>429483.60000000003</v>
      </c>
      <c r="J16" s="314">
        <f t="shared" ref="J16:J46" si="1">IFERROR($H16*$F16,"")</f>
        <v>0.44000000000000006</v>
      </c>
      <c r="K16" s="316">
        <f>IFERROR(Table71[[#This Row],[Cost of Raw Material Per Unit]]*Table21[No. of Units in One Batch],0)</f>
        <v>0.44000000000000006</v>
      </c>
      <c r="L16" s="316"/>
      <c r="N16" s="203">
        <f>Table71[[#This Row],[Procurement Unit Price]]/3.2</f>
        <v>0.59782608695652173</v>
      </c>
    </row>
    <row r="17" spans="1:14" ht="15" customHeight="1">
      <c r="A17" s="208" t="s">
        <v>123</v>
      </c>
      <c r="B17" s="310" t="str">
        <f>IFERROR(VLOOKUP($A17,Table16[#All],2,0),0)</f>
        <v>Kilo</v>
      </c>
      <c r="C17" s="311">
        <f>IFERROR(VLOOKUP($A17,Table16[#All],5,0),0)</f>
        <v>1.5999999999999999</v>
      </c>
      <c r="D17" s="312">
        <v>1</v>
      </c>
      <c r="E17" s="312" t="s">
        <v>120</v>
      </c>
      <c r="F17" s="685">
        <f t="shared" ref="F17" si="2">IFERROR(C17/D17,"")</f>
        <v>1.5999999999999999</v>
      </c>
      <c r="G17" s="418">
        <v>0.2</v>
      </c>
      <c r="H17" s="303">
        <f>IFERROR(Table71[[#This Row],[Batch Required Quantity using manufacturing unit (per unit)]]/Table21[No. of Units in One Batch],0)</f>
        <v>0.2</v>
      </c>
      <c r="I17" s="310">
        <f>IFERROR(H17*Table23[No of Products Produced]/$D17,"")</f>
        <v>373464</v>
      </c>
      <c r="J17" s="314">
        <f t="shared" si="1"/>
        <v>0.32</v>
      </c>
      <c r="K17" s="316">
        <f>IFERROR(Table71[[#This Row],[Cost of Raw Material Per Unit]]*Table21[No. of Units in One Batch],0)</f>
        <v>0.32</v>
      </c>
      <c r="L17" s="316"/>
      <c r="N17" s="203">
        <f>Table71[[#This Row],[Procurement Unit Price]]/3.2</f>
        <v>0.49999999999999994</v>
      </c>
    </row>
    <row r="18" spans="1:14" ht="15" customHeight="1">
      <c r="A18" s="208" t="s">
        <v>124</v>
      </c>
      <c r="B18" s="316" t="str">
        <f>IFERROR(VLOOKUP($A18,Table16[#All],2,0),0)</f>
        <v>Kilo</v>
      </c>
      <c r="C18" s="317">
        <f>IFERROR(VLOOKUP($A18,Table16[#All],5,0),0)</f>
        <v>1.9230769230769229</v>
      </c>
      <c r="D18" s="312">
        <v>1</v>
      </c>
      <c r="E18" s="312" t="s">
        <v>120</v>
      </c>
      <c r="F18" s="685">
        <f>IFERROR(C18/D18,"")</f>
        <v>1.9230769230769229</v>
      </c>
      <c r="G18" s="418">
        <v>0.312</v>
      </c>
      <c r="H18" s="303">
        <f>IFERROR(Table71[[#This Row],[Batch Required Quantity using manufacturing unit (per unit)]]/Table21[No. of Units in One Batch],0)</f>
        <v>0.312</v>
      </c>
      <c r="I18" s="316">
        <f>IFERROR(H18*Table23[No of Products Produced]/$D18,"")</f>
        <v>582603.84</v>
      </c>
      <c r="J18" s="321">
        <f>IFERROR($H18*$F18,"")</f>
        <v>0.6</v>
      </c>
      <c r="K18" s="316">
        <f>IFERROR(Table71[[#This Row],[Cost of Raw Material Per Unit]]*Table21[No. of Units in One Batch],0)</f>
        <v>0.6</v>
      </c>
      <c r="L18" s="316"/>
      <c r="N18" s="203">
        <f>Table71[[#This Row],[Procurement Unit Price]]/3.2</f>
        <v>0.60096153846153832</v>
      </c>
    </row>
    <row r="19" spans="1:14" ht="15" customHeight="1">
      <c r="A19" s="208" t="s">
        <v>125</v>
      </c>
      <c r="B19" s="316" t="str">
        <f>IFERROR(VLOOKUP($A19,Table16[#All],2,0),0)</f>
        <v>Kilo</v>
      </c>
      <c r="C19" s="317">
        <f>IFERROR(VLOOKUP($A19,Table16[#All],5,0),0)</f>
        <v>2.6999999999999993</v>
      </c>
      <c r="D19" s="312">
        <v>1</v>
      </c>
      <c r="E19" s="312" t="s">
        <v>120</v>
      </c>
      <c r="F19" s="685">
        <f>IFERROR(C19/D19,"")</f>
        <v>2.6999999999999993</v>
      </c>
      <c r="G19" s="418">
        <v>0.08</v>
      </c>
      <c r="H19" s="303">
        <f>IFERROR(Table71[[#This Row],[Batch Required Quantity using manufacturing unit (per unit)]]/Table21[No. of Units in One Batch],0)</f>
        <v>0.08</v>
      </c>
      <c r="I19" s="316">
        <f>IFERROR(H19*Table23[No of Products Produced]/$D19,"")</f>
        <v>149385.60000000001</v>
      </c>
      <c r="J19" s="321">
        <f>IFERROR($H19*$F19,"")</f>
        <v>0.21599999999999994</v>
      </c>
      <c r="K19" s="316">
        <f>IFERROR(Table71[[#This Row],[Cost of Raw Material Per Unit]]*Table21[No. of Units in One Batch],0)</f>
        <v>0.21599999999999994</v>
      </c>
      <c r="L19" s="316"/>
      <c r="N19" s="203">
        <f>Table71[[#This Row],[Procurement Unit Price]]/3.2</f>
        <v>0.84374999999999978</v>
      </c>
    </row>
    <row r="20" spans="1:14" ht="15" customHeight="1">
      <c r="A20" s="208" t="s">
        <v>126</v>
      </c>
      <c r="B20" s="310" t="str">
        <f>IFERROR(VLOOKUP($A20,Table16[#All],2,0),0)</f>
        <v>Kilo</v>
      </c>
      <c r="C20" s="311">
        <f>IFERROR(VLOOKUP($A20,Table16[#All],5,0),0)</f>
        <v>4.4047619047619042</v>
      </c>
      <c r="D20" s="312">
        <v>1</v>
      </c>
      <c r="E20" s="312" t="s">
        <v>120</v>
      </c>
      <c r="F20" s="685">
        <f t="shared" si="0"/>
        <v>4.4047619047619042</v>
      </c>
      <c r="G20" s="418">
        <v>4.2000000000000003E-2</v>
      </c>
      <c r="H20" s="303">
        <f>IFERROR(Table71[[#This Row],[Batch Required Quantity using manufacturing unit (per unit)]]/Table21[No. of Units in One Batch],0)</f>
        <v>4.2000000000000003E-2</v>
      </c>
      <c r="I20" s="310">
        <f>IFERROR(H20*Table23[No of Products Produced]/$D20,"")</f>
        <v>78427.44</v>
      </c>
      <c r="J20" s="314">
        <f t="shared" si="1"/>
        <v>0.185</v>
      </c>
      <c r="K20" s="316">
        <f>IFERROR(Table71[[#This Row],[Cost of Raw Material Per Unit]]*Table21[No. of Units in One Batch],0)</f>
        <v>0.185</v>
      </c>
      <c r="L20" s="316"/>
      <c r="N20" s="203">
        <f>Table71[[#This Row],[Procurement Unit Price]]/3.2</f>
        <v>1.3764880952380949</v>
      </c>
    </row>
    <row r="21" spans="1:14" ht="15" customHeight="1">
      <c r="A21" s="420" t="s">
        <v>127</v>
      </c>
      <c r="B21" s="310" t="str">
        <f>IFERROR(VLOOKUP($A21,Table16[#All],2,0),0)</f>
        <v>Kilo</v>
      </c>
      <c r="C21" s="311">
        <f>IFERROR(VLOOKUP($A21,Table16[#All],5,0),0)</f>
        <v>1.9540229885057474</v>
      </c>
      <c r="D21" s="312">
        <v>1</v>
      </c>
      <c r="E21" s="312" t="s">
        <v>120</v>
      </c>
      <c r="F21" s="685">
        <f t="shared" si="0"/>
        <v>1.9540229885057474</v>
      </c>
      <c r="G21" s="418">
        <v>8.6999999999999994E-2</v>
      </c>
      <c r="H21" s="303">
        <f>IFERROR(Table71[[#This Row],[Batch Required Quantity using manufacturing unit (per unit)]]/Table21[No. of Units in One Batch],0)</f>
        <v>8.6999999999999994E-2</v>
      </c>
      <c r="I21" s="310">
        <f>IFERROR(H21*Table23[No of Products Produced]/$D21,"")</f>
        <v>162456.84</v>
      </c>
      <c r="J21" s="314">
        <f t="shared" si="1"/>
        <v>0.17</v>
      </c>
      <c r="K21" s="316">
        <f>IFERROR(Table71[[#This Row],[Cost of Raw Material Per Unit]]*Table21[No. of Units in One Batch],0)</f>
        <v>0.17</v>
      </c>
      <c r="L21" s="316"/>
      <c r="N21" s="203">
        <f>Table71[[#This Row],[Procurement Unit Price]]/3.2</f>
        <v>0.61063218390804608</v>
      </c>
    </row>
    <row r="22" spans="1:14" ht="15" customHeight="1">
      <c r="A22" s="420" t="s">
        <v>128</v>
      </c>
      <c r="B22" s="310" t="str">
        <f>IFERROR(VLOOKUP($A22,Table16[#All],2,0),0)</f>
        <v>Kilo</v>
      </c>
      <c r="C22" s="311">
        <f>IFERROR(VLOOKUP($A22,Table16[#All],5,0),0)</f>
        <v>7.1481481481481488</v>
      </c>
      <c r="D22" s="312">
        <v>1</v>
      </c>
      <c r="E22" s="312" t="s">
        <v>120</v>
      </c>
      <c r="F22" s="685">
        <f t="shared" si="0"/>
        <v>7.1481481481481488</v>
      </c>
      <c r="G22" s="418">
        <v>2.7E-2</v>
      </c>
      <c r="H22" s="303">
        <f>IFERROR(Table71[[#This Row],[Batch Required Quantity using manufacturing unit (per unit)]]/Table21[No. of Units in One Batch],0)</f>
        <v>2.7E-2</v>
      </c>
      <c r="I22" s="310">
        <f>IFERROR(H22*Table23[No of Products Produced]/$D22,"")</f>
        <v>50417.64</v>
      </c>
      <c r="J22" s="314">
        <f t="shared" si="1"/>
        <v>0.193</v>
      </c>
      <c r="K22" s="316">
        <f>IFERROR(Table71[[#This Row],[Cost of Raw Material Per Unit]]*Table21[No. of Units in One Batch],0)</f>
        <v>0.193</v>
      </c>
      <c r="L22" s="316"/>
      <c r="N22" s="203">
        <f>Table71[[#This Row],[Procurement Unit Price]]/3.2</f>
        <v>2.2337962962962963</v>
      </c>
    </row>
    <row r="23" spans="1:14" ht="15" customHeight="1">
      <c r="A23" s="420" t="s">
        <v>129</v>
      </c>
      <c r="B23" s="310" t="str">
        <f>IFERROR(VLOOKUP($A23,Table16[#All],2,0),0)</f>
        <v>Kilo</v>
      </c>
      <c r="C23" s="311">
        <f>IFERROR(VLOOKUP($A23,Table16[#All],5,0),0)</f>
        <v>9.1666666666666661</v>
      </c>
      <c r="D23" s="312">
        <v>1</v>
      </c>
      <c r="E23" s="312" t="s">
        <v>120</v>
      </c>
      <c r="F23" s="685">
        <f>IFERROR(C23/D23,"")</f>
        <v>9.1666666666666661</v>
      </c>
      <c r="G23" s="418">
        <v>1.2E-2</v>
      </c>
      <c r="H23" s="303">
        <f>IFERROR(Table71[[#This Row],[Batch Required Quantity using manufacturing unit (per unit)]]/Table21[No. of Units in One Batch],0)</f>
        <v>1.2E-2</v>
      </c>
      <c r="I23" s="310">
        <f>IFERROR(H23*Table23[No of Products Produced]/$D23,"")</f>
        <v>22407.84</v>
      </c>
      <c r="J23" s="314">
        <f t="shared" si="1"/>
        <v>0.11</v>
      </c>
      <c r="K23" s="316">
        <f>IFERROR(Table71[[#This Row],[Cost of Raw Material Per Unit]]*Table21[No. of Units in One Batch],0)</f>
        <v>0.11</v>
      </c>
      <c r="L23" s="316"/>
      <c r="N23" s="203">
        <f>Table71[[#This Row],[Procurement Unit Price]]/3.2</f>
        <v>2.864583333333333</v>
      </c>
    </row>
    <row r="24" spans="1:14" ht="15" hidden="1" customHeight="1">
      <c r="A24" s="310"/>
      <c r="B24" s="310">
        <f>IFERROR(VLOOKUP($A24,Table16[#All],2,0),0)</f>
        <v>0</v>
      </c>
      <c r="C24" s="311">
        <f>IFERROR(VLOOKUP($A24,Table16[#All],5,0),0)</f>
        <v>0</v>
      </c>
      <c r="D24" s="312"/>
      <c r="E24" s="312"/>
      <c r="F24" s="313" t="str">
        <f t="shared" ref="F24:F25" si="3">IFERROR(C24/D24,"")</f>
        <v/>
      </c>
      <c r="G24" s="312"/>
      <c r="H24" s="303">
        <f>IFERROR(Table71[[#This Row],[Batch Required Quantity using manufacturing unit (per unit)]]/Table21[No. of Units in One Batch],0)</f>
        <v>0</v>
      </c>
      <c r="I24" s="310" t="str">
        <f>IFERROR(H24*Table23[No of Products Produced]/$D24,"")</f>
        <v/>
      </c>
      <c r="J24" s="314" t="str">
        <f t="shared" si="1"/>
        <v/>
      </c>
      <c r="K24" s="316">
        <f>IFERROR(Table71[[#This Row],[Cost of Raw Material Per Unit]]*Table21[No. of Units in One Batch],0)</f>
        <v>0</v>
      </c>
      <c r="L24" s="316"/>
    </row>
    <row r="25" spans="1:14" ht="15" hidden="1" customHeight="1">
      <c r="A25" s="310"/>
      <c r="B25" s="310">
        <f>IFERROR(VLOOKUP($A25,Table16[#All],2,0),0)</f>
        <v>0</v>
      </c>
      <c r="C25" s="311">
        <f>IFERROR(VLOOKUP($A25,Table16[#All],5,0),0)</f>
        <v>0</v>
      </c>
      <c r="D25" s="312"/>
      <c r="E25" s="312"/>
      <c r="F25" s="313" t="str">
        <f t="shared" si="3"/>
        <v/>
      </c>
      <c r="G25" s="312"/>
      <c r="H25" s="303">
        <f>IFERROR(Table71[[#This Row],[Batch Required Quantity using manufacturing unit (per unit)]]/Table21[No. of Units in One Batch],0)</f>
        <v>0</v>
      </c>
      <c r="I25" s="310" t="str">
        <f>IFERROR(H25*Table23[No of Products Produced]/$D25,"")</f>
        <v/>
      </c>
      <c r="J25" s="314" t="str">
        <f t="shared" si="1"/>
        <v/>
      </c>
      <c r="K25" s="316">
        <f>IFERROR(Table71[[#This Row],[Cost of Raw Material Per Unit]]*Table21[No. of Units in One Batch],0)</f>
        <v>0</v>
      </c>
      <c r="L25" s="316"/>
    </row>
    <row r="26" spans="1:14" ht="15" hidden="1" customHeight="1">
      <c r="A26" s="310"/>
      <c r="B26" s="310">
        <f>IFERROR(VLOOKUP($A26,Table16[#All],2,0),0)</f>
        <v>0</v>
      </c>
      <c r="C26" s="311">
        <f>IFERROR(VLOOKUP($A26,Table16[#All],5,0),0)</f>
        <v>0</v>
      </c>
      <c r="D26" s="312"/>
      <c r="E26" s="312"/>
      <c r="F26" s="313" t="str">
        <f t="shared" ref="F26:F34" si="4">IFERROR(C26/D26,"")</f>
        <v/>
      </c>
      <c r="G26" s="312"/>
      <c r="H26" s="303">
        <f>IFERROR(Table71[[#This Row],[Batch Required Quantity using manufacturing unit (per unit)]]/Table21[No. of Units in One Batch],0)</f>
        <v>0</v>
      </c>
      <c r="I26" s="310" t="str">
        <f>IFERROR(H26*Table23[No of Products Produced]/$D26,"")</f>
        <v/>
      </c>
      <c r="J26" s="314" t="str">
        <f t="shared" si="1"/>
        <v/>
      </c>
      <c r="K26" s="316">
        <f>IFERROR(Table71[[#This Row],[Cost of Raw Material Per Unit]]*Table21[No. of Units in One Batch],0)</f>
        <v>0</v>
      </c>
      <c r="L26" s="316"/>
    </row>
    <row r="27" spans="1:14" ht="15" hidden="1" customHeight="1">
      <c r="A27" s="316"/>
      <c r="B27" s="316">
        <f>IFERROR(VLOOKUP($A27,Table16[#All],2,0),0)</f>
        <v>0</v>
      </c>
      <c r="C27" s="317">
        <f>IFERROR(VLOOKUP($A27,Table16[#All],5,0),0)</f>
        <v>0</v>
      </c>
      <c r="D27" s="312"/>
      <c r="E27" s="318"/>
      <c r="F27" s="319" t="str">
        <f t="shared" si="4"/>
        <v/>
      </c>
      <c r="G27" s="318"/>
      <c r="H27" s="303">
        <f>IFERROR(Table71[[#This Row],[Batch Required Quantity using manufacturing unit (per unit)]]/Table21[No. of Units in One Batch],0)</f>
        <v>0</v>
      </c>
      <c r="I27" s="310" t="str">
        <f>IFERROR(H27*Table23[No of Products Produced]/$D27,"")</f>
        <v/>
      </c>
      <c r="J27" s="321" t="str">
        <f t="shared" si="1"/>
        <v/>
      </c>
      <c r="K27" s="316">
        <f>IFERROR(Table71[[#This Row],[Cost of Raw Material Per Unit]]*Table21[No. of Units in One Batch],0)</f>
        <v>0</v>
      </c>
      <c r="L27" s="316"/>
    </row>
    <row r="28" spans="1:14" ht="15" hidden="1" customHeight="1">
      <c r="A28" s="316"/>
      <c r="B28" s="316">
        <f>IFERROR(VLOOKUP($A28,Table16[#All],2,0),0)</f>
        <v>0</v>
      </c>
      <c r="C28" s="317">
        <f>IFERROR(VLOOKUP($A28,Table16[#All],5,0),0)</f>
        <v>0</v>
      </c>
      <c r="D28" s="312"/>
      <c r="E28" s="318"/>
      <c r="F28" s="319" t="str">
        <f t="shared" si="4"/>
        <v/>
      </c>
      <c r="G28" s="318"/>
      <c r="H28" s="303">
        <f>IFERROR(Table71[[#This Row],[Batch Required Quantity using manufacturing unit (per unit)]]/Table21[No. of Units in One Batch],0)</f>
        <v>0</v>
      </c>
      <c r="I28" s="310" t="str">
        <f>IFERROR(H28*Table23[No of Products Produced]/$D28,"")</f>
        <v/>
      </c>
      <c r="J28" s="321" t="str">
        <f t="shared" si="1"/>
        <v/>
      </c>
      <c r="K28" s="316">
        <f>IFERROR(Table71[[#This Row],[Cost of Raw Material Per Unit]]*Table21[No. of Units in One Batch],0)</f>
        <v>0</v>
      </c>
      <c r="L28" s="316"/>
    </row>
    <row r="29" spans="1:14" ht="15" hidden="1" customHeight="1">
      <c r="A29" s="316"/>
      <c r="B29" s="316">
        <f>IFERROR(VLOOKUP($A29,Table16[#All],2,0),0)</f>
        <v>0</v>
      </c>
      <c r="C29" s="317">
        <f>IFERROR(VLOOKUP($A29,Table16[#All],5,0),0)</f>
        <v>0</v>
      </c>
      <c r="D29" s="312"/>
      <c r="E29" s="318"/>
      <c r="F29" s="319" t="str">
        <f t="shared" si="4"/>
        <v/>
      </c>
      <c r="G29" s="318"/>
      <c r="H29" s="303">
        <f>IFERROR(Table71[[#This Row],[Batch Required Quantity using manufacturing unit (per unit)]]/Table21[No. of Units in One Batch],0)</f>
        <v>0</v>
      </c>
      <c r="I29" s="310" t="str">
        <f>IFERROR(H29*Table23[No of Products Produced]/$D29,"")</f>
        <v/>
      </c>
      <c r="J29" s="321" t="str">
        <f t="shared" si="1"/>
        <v/>
      </c>
      <c r="K29" s="316">
        <f>IFERROR(Table71[[#This Row],[Cost of Raw Material Per Unit]]*Table21[No. of Units in One Batch],0)</f>
        <v>0</v>
      </c>
      <c r="L29" s="316"/>
    </row>
    <row r="30" spans="1:14" ht="15" hidden="1" customHeight="1">
      <c r="A30" s="316"/>
      <c r="B30" s="316">
        <f>IFERROR(VLOOKUP($A30,Table16[#All],2,0),0)</f>
        <v>0</v>
      </c>
      <c r="C30" s="317">
        <f>IFERROR(VLOOKUP($A30,Table16[#All],5,0),0)</f>
        <v>0</v>
      </c>
      <c r="D30" s="312"/>
      <c r="E30" s="318"/>
      <c r="F30" s="319" t="str">
        <f t="shared" si="4"/>
        <v/>
      </c>
      <c r="G30" s="318"/>
      <c r="H30" s="303">
        <f>IFERROR(Table71[[#This Row],[Batch Required Quantity using manufacturing unit (per unit)]]/Table21[No. of Units in One Batch],0)</f>
        <v>0</v>
      </c>
      <c r="I30" s="310" t="str">
        <f>IFERROR(H30*Table23[No of Products Produced]/$D30,"")</f>
        <v/>
      </c>
      <c r="J30" s="321" t="str">
        <f t="shared" si="1"/>
        <v/>
      </c>
      <c r="K30" s="316">
        <f>IFERROR(Table71[[#This Row],[Cost of Raw Material Per Unit]]*Table21[No. of Units in One Batch],0)</f>
        <v>0</v>
      </c>
      <c r="L30" s="316"/>
    </row>
    <row r="31" spans="1:14" ht="15" hidden="1" customHeight="1">
      <c r="A31" s="316"/>
      <c r="B31" s="316">
        <f>IFERROR(VLOOKUP($A31,Table16[#All],2,0),0)</f>
        <v>0</v>
      </c>
      <c r="C31" s="317">
        <f>IFERROR(VLOOKUP($A31,Table16[#All],5,0),0)</f>
        <v>0</v>
      </c>
      <c r="D31" s="312"/>
      <c r="E31" s="318"/>
      <c r="F31" s="319" t="str">
        <f t="shared" si="4"/>
        <v/>
      </c>
      <c r="G31" s="318"/>
      <c r="H31" s="303">
        <f>IFERROR(Table71[[#This Row],[Batch Required Quantity using manufacturing unit (per unit)]]/Table21[No. of Units in One Batch],0)</f>
        <v>0</v>
      </c>
      <c r="I31" s="310" t="str">
        <f>IFERROR(H31*Table23[No of Products Produced]/$D31,"")</f>
        <v/>
      </c>
      <c r="J31" s="321" t="str">
        <f t="shared" si="1"/>
        <v/>
      </c>
      <c r="K31" s="316">
        <f>IFERROR(Table71[[#This Row],[Cost of Raw Material Per Unit]]*Table21[No. of Units in One Batch],0)</f>
        <v>0</v>
      </c>
      <c r="L31" s="316"/>
    </row>
    <row r="32" spans="1:14" ht="15" hidden="1" customHeight="1">
      <c r="A32" s="316"/>
      <c r="B32" s="316">
        <f>IFERROR(VLOOKUP($A32,Table16[#All],2,0),0)</f>
        <v>0</v>
      </c>
      <c r="C32" s="317">
        <f>IFERROR(VLOOKUP($A32,Table16[#All],5,0),0)</f>
        <v>0</v>
      </c>
      <c r="D32" s="312"/>
      <c r="E32" s="318"/>
      <c r="F32" s="319" t="str">
        <f t="shared" si="4"/>
        <v/>
      </c>
      <c r="G32" s="318"/>
      <c r="H32" s="303">
        <f>IFERROR(Table71[[#This Row],[Batch Required Quantity using manufacturing unit (per unit)]]/Table21[No. of Units in One Batch],0)</f>
        <v>0</v>
      </c>
      <c r="I32" s="316" t="str">
        <f>IFERROR(H32*Table23[No of Products Produced]/$D32,"")</f>
        <v/>
      </c>
      <c r="J32" s="321" t="str">
        <f t="shared" si="1"/>
        <v/>
      </c>
      <c r="K32" s="316">
        <f>IFERROR(Table71[[#This Row],[Cost of Raw Material Per Unit]]*Table21[No. of Units in One Batch],0)</f>
        <v>0</v>
      </c>
      <c r="L32" s="316"/>
    </row>
    <row r="33" spans="1:12" ht="15" hidden="1" customHeight="1">
      <c r="A33" s="316"/>
      <c r="B33" s="316">
        <f>IFERROR(VLOOKUP($A33,Table16[#All],2,0),0)</f>
        <v>0</v>
      </c>
      <c r="C33" s="317">
        <f>IFERROR(VLOOKUP($A33,Table16[#All],5,0),0)</f>
        <v>0</v>
      </c>
      <c r="D33" s="312"/>
      <c r="E33" s="318"/>
      <c r="F33" s="319" t="str">
        <f t="shared" si="4"/>
        <v/>
      </c>
      <c r="G33" s="318"/>
      <c r="H33" s="303">
        <f>IFERROR(Table71[[#This Row],[Batch Required Quantity using manufacturing unit (per unit)]]/Table21[No. of Units in One Batch],0)</f>
        <v>0</v>
      </c>
      <c r="I33" s="310" t="str">
        <f>IFERROR(H33*Table23[No of Products Produced]/$D33,"")</f>
        <v/>
      </c>
      <c r="J33" s="321" t="str">
        <f t="shared" si="1"/>
        <v/>
      </c>
      <c r="K33" s="316">
        <f>IFERROR(Table71[[#This Row],[Cost of Raw Material Per Unit]]*Table21[No. of Units in One Batch],0)</f>
        <v>0</v>
      </c>
      <c r="L33" s="316"/>
    </row>
    <row r="34" spans="1:12" ht="15" hidden="1" customHeight="1">
      <c r="A34" s="310"/>
      <c r="B34" s="310">
        <f>IFERROR(VLOOKUP($A34,Table16[#All],2,0),0)</f>
        <v>0</v>
      </c>
      <c r="C34" s="311">
        <f>IFERROR(VLOOKUP($A34,Table16[#All],5,0),0)</f>
        <v>0</v>
      </c>
      <c r="D34" s="312"/>
      <c r="E34" s="312"/>
      <c r="F34" s="313" t="str">
        <f t="shared" si="4"/>
        <v/>
      </c>
      <c r="G34" s="312"/>
      <c r="H34" s="303">
        <f>IFERROR(Table71[[#This Row],[Batch Required Quantity using manufacturing unit (per unit)]]/Table21[No. of Units in One Batch],0)</f>
        <v>0</v>
      </c>
      <c r="I34" s="310" t="str">
        <f>IFERROR(H34*Table23[No of Products Produced]/$D34,"")</f>
        <v/>
      </c>
      <c r="J34" s="314" t="str">
        <f t="shared" si="1"/>
        <v/>
      </c>
      <c r="K34" s="316">
        <f>IFERROR(Table71[[#This Row],[Cost of Raw Material Per Unit]]*Table21[No. of Units in One Batch],0)</f>
        <v>0</v>
      </c>
      <c r="L34" s="316"/>
    </row>
    <row r="35" spans="1:12" ht="15" hidden="1" customHeight="1">
      <c r="A35" s="316"/>
      <c r="B35" s="316">
        <f>IFERROR(VLOOKUP($A35,Table16[#All],2,0),0)</f>
        <v>0</v>
      </c>
      <c r="C35" s="317">
        <f>IFERROR(VLOOKUP($A35,Table16[#All],5,0),0)</f>
        <v>0</v>
      </c>
      <c r="D35" s="312"/>
      <c r="E35" s="318"/>
      <c r="F35" s="319" t="str">
        <f t="shared" ref="F35:F42" si="5">IFERROR(C35/D35,"")</f>
        <v/>
      </c>
      <c r="G35" s="318"/>
      <c r="H35" s="303">
        <f>IFERROR(Table71[[#This Row],[Batch Required Quantity using manufacturing unit (per unit)]]/Table21[No. of Units in One Batch],0)</f>
        <v>0</v>
      </c>
      <c r="I35" s="316" t="str">
        <f>IFERROR(H35*Table23[No of Products Produced]/$D35,"")</f>
        <v/>
      </c>
      <c r="J35" s="321" t="str">
        <f t="shared" si="1"/>
        <v/>
      </c>
      <c r="K35" s="316">
        <f>IFERROR(Table71[[#This Row],[Cost of Raw Material Per Unit]]*Table21[No. of Units in One Batch],0)</f>
        <v>0</v>
      </c>
      <c r="L35" s="316"/>
    </row>
    <row r="36" spans="1:12" ht="15" hidden="1" customHeight="1">
      <c r="A36" s="316"/>
      <c r="B36" s="316">
        <f>IFERROR(VLOOKUP($A36,Table16[#All],2,0),0)</f>
        <v>0</v>
      </c>
      <c r="C36" s="317">
        <f>IFERROR(VLOOKUP($A36,Table16[#All],5,0),0)</f>
        <v>0</v>
      </c>
      <c r="D36" s="312"/>
      <c r="E36" s="318"/>
      <c r="F36" s="319" t="str">
        <f t="shared" si="5"/>
        <v/>
      </c>
      <c r="G36" s="318"/>
      <c r="H36" s="303">
        <f>IFERROR(Table71[[#This Row],[Batch Required Quantity using manufacturing unit (per unit)]]/Table21[No. of Units in One Batch],0)</f>
        <v>0</v>
      </c>
      <c r="I36" s="316" t="str">
        <f>IFERROR(H36*Table23[No of Products Produced]/$D36,"")</f>
        <v/>
      </c>
      <c r="J36" s="321" t="str">
        <f t="shared" si="1"/>
        <v/>
      </c>
      <c r="K36" s="316">
        <f>IFERROR(Table71[[#This Row],[Cost of Raw Material Per Unit]]*Table21[No. of Units in One Batch],0)</f>
        <v>0</v>
      </c>
      <c r="L36" s="316"/>
    </row>
    <row r="37" spans="1:12" ht="15" hidden="1" customHeight="1">
      <c r="A37" s="316"/>
      <c r="B37" s="316">
        <f>IFERROR(VLOOKUP($A37,Table16[#All],2,0),0)</f>
        <v>0</v>
      </c>
      <c r="C37" s="317">
        <f>IFERROR(VLOOKUP($A37,Table16[#All],5,0),0)</f>
        <v>0</v>
      </c>
      <c r="D37" s="312"/>
      <c r="E37" s="318"/>
      <c r="F37" s="319" t="str">
        <f t="shared" si="5"/>
        <v/>
      </c>
      <c r="G37" s="318"/>
      <c r="H37" s="303">
        <f>IFERROR(Table71[[#This Row],[Batch Required Quantity using manufacturing unit (per unit)]]/Table21[No. of Units in One Batch],0)</f>
        <v>0</v>
      </c>
      <c r="I37" s="316" t="str">
        <f>IFERROR(H37*Table23[No of Products Produced]/$D37,"")</f>
        <v/>
      </c>
      <c r="J37" s="321" t="str">
        <f t="shared" si="1"/>
        <v/>
      </c>
      <c r="K37" s="316">
        <f>IFERROR(Table71[[#This Row],[Cost of Raw Material Per Unit]]*Table21[No. of Units in One Batch],0)</f>
        <v>0</v>
      </c>
      <c r="L37" s="316"/>
    </row>
    <row r="38" spans="1:12" ht="15" hidden="1" customHeight="1">
      <c r="A38" s="316"/>
      <c r="B38" s="316">
        <f>IFERROR(VLOOKUP($A38,Table16[#All],2,0),0)</f>
        <v>0</v>
      </c>
      <c r="C38" s="317">
        <f>IFERROR(VLOOKUP($A38,Table16[#All],5,0),0)</f>
        <v>0</v>
      </c>
      <c r="D38" s="312"/>
      <c r="E38" s="318"/>
      <c r="F38" s="319" t="str">
        <f t="shared" si="5"/>
        <v/>
      </c>
      <c r="G38" s="318"/>
      <c r="H38" s="303">
        <f>IFERROR(Table71[[#This Row],[Batch Required Quantity using manufacturing unit (per unit)]]/Table21[No. of Units in One Batch],0)</f>
        <v>0</v>
      </c>
      <c r="I38" s="316" t="str">
        <f>IFERROR(H38*Table23[No of Products Produced]/$D38,"")</f>
        <v/>
      </c>
      <c r="J38" s="321" t="str">
        <f t="shared" si="1"/>
        <v/>
      </c>
      <c r="K38" s="316">
        <f>IFERROR(Table71[[#This Row],[Cost of Raw Material Per Unit]]*Table21[No. of Units in One Batch],0)</f>
        <v>0</v>
      </c>
      <c r="L38" s="316"/>
    </row>
    <row r="39" spans="1:12" ht="15" hidden="1" customHeight="1">
      <c r="A39" s="316"/>
      <c r="B39" s="316">
        <f>IFERROR(VLOOKUP($A39,Table16[#All],2,0),0)</f>
        <v>0</v>
      </c>
      <c r="C39" s="317">
        <f>IFERROR(VLOOKUP($A39,Table16[#All],5,0),0)</f>
        <v>0</v>
      </c>
      <c r="D39" s="312"/>
      <c r="E39" s="318"/>
      <c r="F39" s="319" t="str">
        <f t="shared" si="5"/>
        <v/>
      </c>
      <c r="G39" s="318"/>
      <c r="H39" s="303">
        <f>IFERROR(Table71[[#This Row],[Batch Required Quantity using manufacturing unit (per unit)]]/Table21[No. of Units in One Batch],0)</f>
        <v>0</v>
      </c>
      <c r="I39" s="316" t="str">
        <f>IFERROR(H39*Table23[No of Products Produced]/$D39,"")</f>
        <v/>
      </c>
      <c r="J39" s="321" t="str">
        <f t="shared" si="1"/>
        <v/>
      </c>
      <c r="K39" s="316">
        <f>IFERROR(Table71[[#This Row],[Cost of Raw Material Per Unit]]*Table21[No. of Units in One Batch],0)</f>
        <v>0</v>
      </c>
      <c r="L39" s="316"/>
    </row>
    <row r="40" spans="1:12" ht="15" hidden="1" customHeight="1">
      <c r="A40" s="316"/>
      <c r="B40" s="316">
        <f>IFERROR(VLOOKUP($A40,Table16[#All],2,0),0)</f>
        <v>0</v>
      </c>
      <c r="C40" s="317">
        <f>IFERROR(VLOOKUP($A40,Table16[#All],5,0),0)</f>
        <v>0</v>
      </c>
      <c r="D40" s="312"/>
      <c r="E40" s="318"/>
      <c r="F40" s="319" t="str">
        <f t="shared" si="5"/>
        <v/>
      </c>
      <c r="G40" s="318"/>
      <c r="H40" s="303">
        <f>IFERROR(Table71[[#This Row],[Batch Required Quantity using manufacturing unit (per unit)]]/Table21[No. of Units in One Batch],0)</f>
        <v>0</v>
      </c>
      <c r="I40" s="316" t="str">
        <f>IFERROR(H40*Table23[No of Products Produced]/$D40,"")</f>
        <v/>
      </c>
      <c r="J40" s="321" t="str">
        <f t="shared" si="1"/>
        <v/>
      </c>
      <c r="K40" s="316">
        <f>IFERROR(Table71[[#This Row],[Cost of Raw Material Per Unit]]*Table21[No. of Units in One Batch],0)</f>
        <v>0</v>
      </c>
      <c r="L40" s="316"/>
    </row>
    <row r="41" spans="1:12" ht="15" hidden="1" customHeight="1">
      <c r="A41" s="316"/>
      <c r="B41" s="316">
        <f>IFERROR(VLOOKUP($A41,Table16[#All],2,0),0)</f>
        <v>0</v>
      </c>
      <c r="C41" s="317">
        <f>IFERROR(VLOOKUP($A41,Table16[#All],5,0),0)</f>
        <v>0</v>
      </c>
      <c r="D41" s="312"/>
      <c r="E41" s="318"/>
      <c r="F41" s="319" t="str">
        <f t="shared" si="5"/>
        <v/>
      </c>
      <c r="G41" s="318"/>
      <c r="H41" s="303">
        <f>IFERROR(Table71[[#This Row],[Batch Required Quantity using manufacturing unit (per unit)]]/Table21[No. of Units in One Batch],0)</f>
        <v>0</v>
      </c>
      <c r="I41" s="316" t="str">
        <f>IFERROR(H41*Table23[No of Products Produced]/$D41,"")</f>
        <v/>
      </c>
      <c r="J41" s="321" t="str">
        <f t="shared" si="1"/>
        <v/>
      </c>
      <c r="K41" s="316">
        <f>IFERROR(Table71[[#This Row],[Cost of Raw Material Per Unit]]*Table21[No. of Units in One Batch],0)</f>
        <v>0</v>
      </c>
      <c r="L41" s="316"/>
    </row>
    <row r="42" spans="1:12" ht="15" hidden="1" customHeight="1">
      <c r="A42" s="316"/>
      <c r="B42" s="316">
        <f>IFERROR(VLOOKUP($A42,Table16[#All],2,0),0)</f>
        <v>0</v>
      </c>
      <c r="C42" s="317">
        <f>IFERROR(VLOOKUP($A42,Table16[#All],5,0),0)</f>
        <v>0</v>
      </c>
      <c r="D42" s="312"/>
      <c r="E42" s="318"/>
      <c r="F42" s="319" t="str">
        <f t="shared" si="5"/>
        <v/>
      </c>
      <c r="G42" s="318"/>
      <c r="H42" s="303">
        <f>IFERROR(Table71[[#This Row],[Batch Required Quantity using manufacturing unit (per unit)]]/Table21[No. of Units in One Batch],0)</f>
        <v>0</v>
      </c>
      <c r="I42" s="316" t="str">
        <f>IFERROR(H42*Table23[No of Products Produced]/$D42,"")</f>
        <v/>
      </c>
      <c r="J42" s="321" t="str">
        <f t="shared" si="1"/>
        <v/>
      </c>
      <c r="K42" s="316">
        <f>IFERROR(Table71[[#This Row],[Cost of Raw Material Per Unit]]*Table21[No. of Units in One Batch],0)</f>
        <v>0</v>
      </c>
      <c r="L42" s="316"/>
    </row>
    <row r="43" spans="1:12" ht="15" hidden="1" customHeight="1">
      <c r="A43" s="316"/>
      <c r="B43" s="316">
        <f>IFERROR(VLOOKUP($A43,Table16[#All],2,0),0)</f>
        <v>0</v>
      </c>
      <c r="C43" s="317">
        <f>IFERROR(VLOOKUP($A43,Table16[#All],5,0),0)</f>
        <v>0</v>
      </c>
      <c r="D43" s="312"/>
      <c r="E43" s="318"/>
      <c r="F43" s="319" t="str">
        <f t="shared" ref="F43:F45" si="6">IFERROR(C43/D43,"")</f>
        <v/>
      </c>
      <c r="G43" s="318"/>
      <c r="H43" s="303">
        <f>IFERROR(Table71[[#This Row],[Batch Required Quantity using manufacturing unit (per unit)]]/Table21[No. of Units in One Batch],0)</f>
        <v>0</v>
      </c>
      <c r="I43" s="316" t="str">
        <f>IFERROR(H43*Table23[No of Products Produced]/$D43,"")</f>
        <v/>
      </c>
      <c r="J43" s="321" t="str">
        <f t="shared" si="1"/>
        <v/>
      </c>
      <c r="K43" s="316">
        <f>IFERROR(Table71[[#This Row],[Cost of Raw Material Per Unit]]*Table21[No. of Units in One Batch],0)</f>
        <v>0</v>
      </c>
      <c r="L43" s="316"/>
    </row>
    <row r="44" spans="1:12" ht="15" hidden="1" customHeight="1">
      <c r="A44" s="316"/>
      <c r="B44" s="316">
        <f>IFERROR(VLOOKUP($A44,Table16[#All],2,0),0)</f>
        <v>0</v>
      </c>
      <c r="C44" s="317">
        <f>IFERROR(VLOOKUP($A44,Table16[#All],5,0),0)</f>
        <v>0</v>
      </c>
      <c r="D44" s="312"/>
      <c r="E44" s="318"/>
      <c r="F44" s="319" t="str">
        <f t="shared" si="6"/>
        <v/>
      </c>
      <c r="G44" s="318"/>
      <c r="H44" s="303">
        <f>IFERROR(Table71[[#This Row],[Batch Required Quantity using manufacturing unit (per unit)]]/Table21[No. of Units in One Batch],0)</f>
        <v>0</v>
      </c>
      <c r="I44" s="316" t="str">
        <f>IFERROR(H44*Table23[No of Products Produced]/$D44,"")</f>
        <v/>
      </c>
      <c r="J44" s="321" t="str">
        <f t="shared" si="1"/>
        <v/>
      </c>
      <c r="K44" s="316">
        <f>IFERROR(Table71[[#This Row],[Cost of Raw Material Per Unit]]*Table21[No. of Units in One Batch],0)</f>
        <v>0</v>
      </c>
      <c r="L44" s="316"/>
    </row>
    <row r="45" spans="1:12" customFormat="1" ht="15" hidden="1" customHeight="1">
      <c r="A45" s="316"/>
      <c r="B45" s="316">
        <f>IFERROR(VLOOKUP($A45,Table16[#All],2,0),0)</f>
        <v>0</v>
      </c>
      <c r="C45" s="322">
        <f>IFERROR(VLOOKUP($A45,Table16[#All],5,0),0)</f>
        <v>0</v>
      </c>
      <c r="D45" s="312"/>
      <c r="E45" s="318"/>
      <c r="F45" s="319" t="str">
        <f t="shared" si="6"/>
        <v/>
      </c>
      <c r="G45" s="318"/>
      <c r="H45" s="303">
        <f>IFERROR(Table71[[#This Row],[Batch Required Quantity using manufacturing unit (per unit)]]/Table21[No. of Units in One Batch],0)</f>
        <v>0</v>
      </c>
      <c r="I45" s="316" t="str">
        <f>IFERROR(H45*Table23[No of Products Produced]/$D45,"")</f>
        <v/>
      </c>
      <c r="J45" s="321" t="str">
        <f t="shared" si="1"/>
        <v/>
      </c>
      <c r="K45" s="316">
        <f>IFERROR(Table71[[#This Row],[Cost of Raw Material Per Unit]]*Table21[No. of Units in One Batch],0)</f>
        <v>0</v>
      </c>
      <c r="L45" s="316"/>
    </row>
    <row r="46" spans="1:12" customFormat="1" ht="15" hidden="1" customHeight="1">
      <c r="A46" s="316"/>
      <c r="B46" s="316">
        <f>IFERROR(VLOOKUP($A46,Table16[#All],2,0),0)</f>
        <v>0</v>
      </c>
      <c r="C46" s="322">
        <f>IFERROR(VLOOKUP($A46,Table16[#All],5,0),0)</f>
        <v>0</v>
      </c>
      <c r="D46" s="312"/>
      <c r="E46" s="318"/>
      <c r="F46" s="319" t="str">
        <f>IFERROR(C46/D46,"")</f>
        <v/>
      </c>
      <c r="G46" s="318"/>
      <c r="H46" s="303">
        <f>IFERROR(Table71[[#This Row],[Batch Required Quantity using manufacturing unit (per unit)]]/Table21[No. of Units in One Batch],0)</f>
        <v>0</v>
      </c>
      <c r="I46" s="316" t="str">
        <f>IFERROR(H46*Table23[No of Products Produced]/$D46,"")</f>
        <v/>
      </c>
      <c r="J46" s="321" t="str">
        <f t="shared" si="1"/>
        <v/>
      </c>
      <c r="K46" s="316">
        <f>IFERROR(Table71[[#This Row],[Cost of Raw Material Per Unit]]*Table21[No. of Units in One Batch],0)</f>
        <v>0</v>
      </c>
      <c r="L46" s="316"/>
    </row>
    <row r="47" spans="1:12" ht="39" customHeight="1">
      <c r="A47" s="258" t="s">
        <v>617</v>
      </c>
      <c r="B47" s="258"/>
      <c r="C47" s="258"/>
      <c r="D47" s="258"/>
      <c r="E47" s="258"/>
      <c r="F47" s="258"/>
      <c r="G47" s="258"/>
      <c r="H47" s="258"/>
      <c r="I47" s="258"/>
      <c r="J47" s="259"/>
    </row>
    <row r="48" spans="1:12" ht="30" customHeight="1">
      <c r="A48" s="260" t="s">
        <v>618</v>
      </c>
      <c r="B48" s="261" t="s">
        <v>97</v>
      </c>
      <c r="C48" s="261" t="s">
        <v>98</v>
      </c>
      <c r="D48" s="261" t="s">
        <v>99</v>
      </c>
      <c r="E48" s="261" t="s">
        <v>619</v>
      </c>
      <c r="F48" s="261" t="s">
        <v>620</v>
      </c>
      <c r="G48" s="261" t="s">
        <v>621</v>
      </c>
      <c r="H48" s="261" t="s">
        <v>622</v>
      </c>
      <c r="I48" s="261" t="s">
        <v>623</v>
      </c>
      <c r="J48" s="261" t="s">
        <v>624</v>
      </c>
      <c r="K48" s="261" t="s">
        <v>625</v>
      </c>
      <c r="L48" s="261" t="s">
        <v>626</v>
      </c>
    </row>
    <row r="49" spans="1:12" s="263" customFormat="1" ht="24" customHeight="1">
      <c r="A49" s="262" t="s">
        <v>108</v>
      </c>
      <c r="B49" s="306" t="str">
        <f>IFERROR(VLOOKUP(A49,Table17[#All],2,0),"")</f>
        <v>KG</v>
      </c>
      <c r="C49" s="307" t="str">
        <f>IFERROR(VLOOKUP(Table2163[[#This Row],[Product Name]],Table17[#All],3,0),"")</f>
        <v>KG</v>
      </c>
      <c r="D49" s="307">
        <f>IFERROR(VLOOKUP(Table2163[[#This Row],[Product Name]],Table17[#All],4,0),"")</f>
        <v>1</v>
      </c>
      <c r="E49" s="339">
        <f>SUM(Table7166[Cost of Raw Material Per Batch])</f>
        <v>2.2403999999999997</v>
      </c>
      <c r="F49" s="304">
        <f>IFERROR(VLOOKUP(A49,Table17[#All],6,0),0)</f>
        <v>3.28125</v>
      </c>
      <c r="G49" s="307" t="str">
        <f>'Summary. Assumptions. Inputs'!$J$7</f>
        <v>USD</v>
      </c>
      <c r="H49" s="307">
        <f>SUBTOTAL(109,Table7166[[#All],[Cost of Raw Material Per Unit]])</f>
        <v>2.2403999999999997</v>
      </c>
      <c r="I49" s="307">
        <f>Table2163[[#This Row],[Unit Sale Price]]-Table2163[[#This Row],[Product Direct Cost / Unit]]</f>
        <v>1.0408500000000003</v>
      </c>
      <c r="J49" s="304">
        <f>IFERROR(($I52/$A52),"")</f>
        <v>0.89392509420298416</v>
      </c>
      <c r="K49" s="307">
        <f>IFERROR((I49-J49),"")</f>
        <v>0.14692490579701611</v>
      </c>
      <c r="L49" s="304">
        <f>IFERROR((F49-H49)/F49,"")</f>
        <v>0.31721142857142864</v>
      </c>
    </row>
    <row r="50" spans="1:12" ht="15" customHeight="1"/>
    <row r="51" spans="1:12" ht="45">
      <c r="A51" s="264" t="s">
        <v>627</v>
      </c>
      <c r="B51" s="264" t="s">
        <v>628</v>
      </c>
      <c r="C51" s="265" t="s">
        <v>629</v>
      </c>
      <c r="D51" s="266" t="s">
        <v>630</v>
      </c>
      <c r="E51" s="267" t="s">
        <v>631</v>
      </c>
      <c r="F51" s="268" t="s">
        <v>632</v>
      </c>
      <c r="G51" s="268" t="s">
        <v>633</v>
      </c>
      <c r="H51" s="268" t="s">
        <v>634</v>
      </c>
      <c r="I51" s="268" t="s">
        <v>635</v>
      </c>
      <c r="J51" s="269" t="s">
        <v>636</v>
      </c>
      <c r="K51" s="268" t="s">
        <v>637</v>
      </c>
    </row>
    <row r="52" spans="1:12" s="263" customFormat="1" ht="15" customHeight="1">
      <c r="A52" s="270">
        <f>IFERROR(VLOOKUP(A49,Table7[#All],16,0),0)*Capacity</f>
        <v>702000</v>
      </c>
      <c r="B52" s="271">
        <f>IFERROR(VLOOKUP(A49,'Sales, Production, &amp; Other Assu'!$A$18:$P$49,16,0),0)*Capacity</f>
        <v>648000</v>
      </c>
      <c r="C52" s="271">
        <f>IFERROR((A52-B52),0)</f>
        <v>54000</v>
      </c>
      <c r="D52" s="308">
        <f>B52*F49</f>
        <v>2126250</v>
      </c>
      <c r="E52" s="308">
        <f>A52*H49</f>
        <v>1572760.7999999998</v>
      </c>
      <c r="F52" s="308">
        <f>C52*H49</f>
        <v>120981.59999999999</v>
      </c>
      <c r="G52" s="308">
        <f>D52-E52+F52</f>
        <v>674470.80000000016</v>
      </c>
      <c r="H52" s="272">
        <f>IFERROR(VLOOKUP(A49,'BEP. &amp; Summary Results'!$A$5:$Q$108,10,0),0)</f>
        <v>0.25506485934994899</v>
      </c>
      <c r="I52" s="308">
        <f>'BEP. &amp; Summary Results'!$L$37*'Production Matrix'!$H52</f>
        <v>627535.41613049491</v>
      </c>
      <c r="J52" s="309">
        <f>G52-I52</f>
        <v>46935.383869505255</v>
      </c>
      <c r="K52" s="323">
        <f>IFERROR((K49)/F49,"")</f>
        <v>4.4777114147662056E-2</v>
      </c>
    </row>
    <row r="53" spans="1:12" ht="15" customHeight="1"/>
    <row r="54" spans="1:12" ht="30" customHeight="1">
      <c r="A54" s="305" t="s">
        <v>638</v>
      </c>
      <c r="B54" s="305" t="s">
        <v>639</v>
      </c>
      <c r="J54" s="259"/>
    </row>
    <row r="55" spans="1:12" s="263" customFormat="1" ht="15" customHeight="1">
      <c r="A55" s="273" cm="1">
        <f t="array" ref="A55">IFERROR(Table2465[[#This Row],[BEP In Value]]/Table2163[Batch Unit],0)</f>
        <v>0</v>
      </c>
      <c r="B55" s="274">
        <f>IFERROR(($I52/$L49),"")</f>
        <v>1978287.5382410395</v>
      </c>
      <c r="J55" s="275"/>
    </row>
    <row r="56" spans="1:12" s="263" customFormat="1" ht="15" customHeight="1">
      <c r="A56" s="276"/>
      <c r="B56" s="277"/>
      <c r="J56" s="275"/>
    </row>
    <row r="57" spans="1:12" ht="21.75" customHeight="1">
      <c r="A57" s="278" t="s">
        <v>640</v>
      </c>
      <c r="B57" s="278"/>
      <c r="C57" s="278"/>
      <c r="D57" s="278"/>
      <c r="E57" s="278"/>
      <c r="F57" s="278"/>
      <c r="G57" s="278"/>
      <c r="H57" s="278"/>
      <c r="I57" s="278"/>
    </row>
    <row r="58" spans="1:12" ht="66.75" customHeight="1">
      <c r="A58" s="279" t="s">
        <v>641</v>
      </c>
      <c r="B58" s="279" t="s">
        <v>642</v>
      </c>
      <c r="C58" s="279" t="s">
        <v>643</v>
      </c>
      <c r="D58" s="279" t="s">
        <v>644</v>
      </c>
      <c r="E58" s="279" t="s">
        <v>645</v>
      </c>
      <c r="F58" s="279" t="s">
        <v>646</v>
      </c>
      <c r="G58" s="279" t="s">
        <v>647</v>
      </c>
      <c r="H58" s="279" t="s">
        <v>648</v>
      </c>
      <c r="I58" s="279" t="s">
        <v>649</v>
      </c>
      <c r="J58" s="279" t="s">
        <v>650</v>
      </c>
      <c r="K58" s="279" t="s">
        <v>651</v>
      </c>
      <c r="L58" s="279" t="s">
        <v>471</v>
      </c>
    </row>
    <row r="59" spans="1:12" ht="15" customHeight="1">
      <c r="A59" s="208" t="s">
        <v>119</v>
      </c>
      <c r="B59" s="310" t="str">
        <f>IFERROR(VLOOKUP($A59,Table16[#All],2,0),0)</f>
        <v>Kilo</v>
      </c>
      <c r="C59" s="311">
        <f>IFERROR(VLOOKUP($A59,Table16[#All],5,0),0)</f>
        <v>0.64</v>
      </c>
      <c r="D59" s="312">
        <v>1</v>
      </c>
      <c r="E59" s="312" t="s">
        <v>120</v>
      </c>
      <c r="F59" s="685">
        <f>IFERROR(C59/D59,"")</f>
        <v>0.64</v>
      </c>
      <c r="G59" s="418">
        <v>0.01</v>
      </c>
      <c r="H59" s="303">
        <f>IFERROR(Table7166[[#This Row],[Batch Required Quantity using manufacturing unit (per unit)]]/Table2163[No. of Units in One Batch],0)</f>
        <v>0.01</v>
      </c>
      <c r="I59" s="310">
        <f>IFERROR(H59*Table2364[No of Products Produced]/$D59,"")</f>
        <v>7020</v>
      </c>
      <c r="J59" s="314">
        <f>IFERROR($H59*$F59,"")</f>
        <v>6.4000000000000003E-3</v>
      </c>
      <c r="K59" s="316">
        <f>IFERROR(Table7166[[#This Row],[Cost of Raw Material Per Unit]]*Table2163[No. of Units in One Batch],0)</f>
        <v>6.4000000000000003E-3</v>
      </c>
      <c r="L59" s="316"/>
    </row>
    <row r="60" spans="1:12" ht="15" customHeight="1">
      <c r="A60" s="208" t="s">
        <v>122</v>
      </c>
      <c r="B60" s="310" t="str">
        <f>IFERROR(VLOOKUP($A60,Table16[#All],2,0),0)</f>
        <v>Kilo</v>
      </c>
      <c r="C60" s="311">
        <f>IFERROR(VLOOKUP($A60,Table16[#All],5,0),0)</f>
        <v>1.9130434782608696</v>
      </c>
      <c r="D60" s="312">
        <v>1</v>
      </c>
      <c r="E60" s="312" t="s">
        <v>120</v>
      </c>
      <c r="F60" s="685">
        <f t="shared" ref="F60:F64" si="7">IFERROR(C60/D60,"")</f>
        <v>1.9130434782608696</v>
      </c>
      <c r="G60" s="418">
        <v>0.23</v>
      </c>
      <c r="H60" s="303">
        <f>IFERROR(Table7166[[#This Row],[Batch Required Quantity using manufacturing unit (per unit)]]/Table2163[No. of Units in One Batch],0)</f>
        <v>0.23</v>
      </c>
      <c r="I60" s="310">
        <f>IFERROR(H60*Table2364[No of Products Produced]/$D60,"")</f>
        <v>161460</v>
      </c>
      <c r="J60" s="314">
        <f t="shared" ref="J60:J88" si="8">IFERROR($H60*$F60,"")</f>
        <v>0.44000000000000006</v>
      </c>
      <c r="K60" s="316">
        <f>IFERROR(Table7166[[#This Row],[Cost of Raw Material Per Unit]]*Table2163[No. of Units in One Batch],0)</f>
        <v>0.44000000000000006</v>
      </c>
      <c r="L60" s="316"/>
    </row>
    <row r="61" spans="1:12" ht="15" customHeight="1">
      <c r="A61" s="208" t="s">
        <v>123</v>
      </c>
      <c r="B61" s="310" t="str">
        <f>IFERROR(VLOOKUP($A61,Table16[#All],2,0),0)</f>
        <v>Kilo</v>
      </c>
      <c r="C61" s="311">
        <f>IFERROR(VLOOKUP($A61,Table16[#All],5,0),0)</f>
        <v>1.5999999999999999</v>
      </c>
      <c r="D61" s="312">
        <v>1</v>
      </c>
      <c r="E61" s="312" t="s">
        <v>120</v>
      </c>
      <c r="F61" s="685">
        <f t="shared" si="7"/>
        <v>1.5999999999999999</v>
      </c>
      <c r="G61" s="418">
        <v>0.2</v>
      </c>
      <c r="H61" s="303">
        <f>IFERROR(Table7166[[#This Row],[Batch Required Quantity using manufacturing unit (per unit)]]/Table2163[No. of Units in One Batch],0)</f>
        <v>0.2</v>
      </c>
      <c r="I61" s="310">
        <f>IFERROR(H61*Table2364[No of Products Produced]/$D61,"")</f>
        <v>140400</v>
      </c>
      <c r="J61" s="314">
        <f t="shared" si="8"/>
        <v>0.32</v>
      </c>
      <c r="K61" s="316">
        <f>IFERROR(Table7166[[#This Row],[Cost of Raw Material Per Unit]]*Table2163[No. of Units in One Batch],0)</f>
        <v>0.32</v>
      </c>
      <c r="L61" s="316"/>
    </row>
    <row r="62" spans="1:12" ht="15" customHeight="1">
      <c r="A62" s="208" t="s">
        <v>124</v>
      </c>
      <c r="B62" s="310" t="str">
        <f>IFERROR(VLOOKUP($A62,Table16[#All],2,0),0)</f>
        <v>Kilo</v>
      </c>
      <c r="C62" s="311">
        <f>IFERROR(VLOOKUP($A62,Table16[#All],5,0),0)</f>
        <v>1.9230769230769229</v>
      </c>
      <c r="D62" s="312">
        <v>1</v>
      </c>
      <c r="E62" s="312" t="s">
        <v>120</v>
      </c>
      <c r="F62" s="685">
        <f t="shared" si="7"/>
        <v>1.9230769230769229</v>
      </c>
      <c r="G62" s="418">
        <v>0.312</v>
      </c>
      <c r="H62" s="303">
        <f>IFERROR(Table7166[[#This Row],[Batch Required Quantity using manufacturing unit (per unit)]]/Table2163[No. of Units in One Batch],0)</f>
        <v>0.312</v>
      </c>
      <c r="I62" s="310">
        <f>IFERROR(H62*Table2364[No of Products Produced]/$D62,"")</f>
        <v>219024</v>
      </c>
      <c r="J62" s="314">
        <f t="shared" si="8"/>
        <v>0.6</v>
      </c>
      <c r="K62" s="316">
        <f>IFERROR(Table7166[[#This Row],[Cost of Raw Material Per Unit]]*Table2163[No. of Units in One Batch],0)</f>
        <v>0.6</v>
      </c>
      <c r="L62" s="316"/>
    </row>
    <row r="63" spans="1:12" ht="15" customHeight="1">
      <c r="A63" s="208" t="s">
        <v>125</v>
      </c>
      <c r="B63" s="310" t="str">
        <f>IFERROR(VLOOKUP($A63,Table16[#All],2,0),0)</f>
        <v>Kilo</v>
      </c>
      <c r="C63" s="311">
        <f>IFERROR(VLOOKUP($A63,Table16[#All],5,0),0)</f>
        <v>2.6999999999999993</v>
      </c>
      <c r="D63" s="312">
        <v>1</v>
      </c>
      <c r="E63" s="312" t="s">
        <v>120</v>
      </c>
      <c r="F63" s="685">
        <f t="shared" si="7"/>
        <v>2.6999999999999993</v>
      </c>
      <c r="G63" s="418">
        <v>0.08</v>
      </c>
      <c r="H63" s="303">
        <f>IFERROR(Table7166[[#This Row],[Batch Required Quantity using manufacturing unit (per unit)]]/Table2163[No. of Units in One Batch],0)</f>
        <v>0.08</v>
      </c>
      <c r="I63" s="310">
        <f>IFERROR(H63*Table2364[No of Products Produced]/$D63,"")</f>
        <v>56160</v>
      </c>
      <c r="J63" s="314">
        <f t="shared" si="8"/>
        <v>0.21599999999999994</v>
      </c>
      <c r="K63" s="316">
        <f>IFERROR(Table7166[[#This Row],[Cost of Raw Material Per Unit]]*Table2163[No. of Units in One Batch],0)</f>
        <v>0.21599999999999994</v>
      </c>
      <c r="L63" s="316"/>
    </row>
    <row r="64" spans="1:12" ht="15" customHeight="1">
      <c r="A64" s="208" t="s">
        <v>126</v>
      </c>
      <c r="B64" s="310" t="str">
        <f>IFERROR(VLOOKUP($A64,Table16[#All],2,0),0)</f>
        <v>Kilo</v>
      </c>
      <c r="C64" s="311">
        <f>IFERROR(VLOOKUP($A64,Table16[#All],5,0),0)</f>
        <v>4.4047619047619042</v>
      </c>
      <c r="D64" s="312">
        <v>1</v>
      </c>
      <c r="E64" s="312" t="s">
        <v>120</v>
      </c>
      <c r="F64" s="685">
        <f t="shared" si="7"/>
        <v>4.4047619047619042</v>
      </c>
      <c r="G64" s="418">
        <v>4.2000000000000003E-2</v>
      </c>
      <c r="H64" s="303">
        <f>IFERROR(Table7166[[#This Row],[Batch Required Quantity using manufacturing unit (per unit)]]/Table2163[No. of Units in One Batch],0)</f>
        <v>4.2000000000000003E-2</v>
      </c>
      <c r="I64" s="310">
        <f>IFERROR(H64*Table2364[No of Products Produced]/$D64,"")</f>
        <v>29484.000000000004</v>
      </c>
      <c r="J64" s="314">
        <f t="shared" si="8"/>
        <v>0.185</v>
      </c>
      <c r="K64" s="316">
        <f>IFERROR(Table7166[[#This Row],[Cost of Raw Material Per Unit]]*Table2163[No. of Units in One Batch],0)</f>
        <v>0.185</v>
      </c>
      <c r="L64" s="316"/>
    </row>
    <row r="65" spans="1:12" ht="15" customHeight="1">
      <c r="A65" s="420" t="s">
        <v>127</v>
      </c>
      <c r="B65" s="310" t="str">
        <f>IFERROR(VLOOKUP($A65,Table16[#All],2,0),0)</f>
        <v>Kilo</v>
      </c>
      <c r="C65" s="311">
        <f>IFERROR(VLOOKUP($A65,Table16[#All],5,0),0)</f>
        <v>1.9540229885057474</v>
      </c>
      <c r="D65" s="312">
        <v>1</v>
      </c>
      <c r="E65" s="312" t="s">
        <v>120</v>
      </c>
      <c r="F65" s="685">
        <f>IFERROR(C65/D65,"")</f>
        <v>1.9540229885057474</v>
      </c>
      <c r="G65" s="418">
        <v>8.6999999999999994E-2</v>
      </c>
      <c r="H65" s="303">
        <f>IFERROR(Table7166[[#This Row],[Batch Required Quantity using manufacturing unit (per unit)]]/Table2163[No. of Units in One Batch],0)</f>
        <v>8.6999999999999994E-2</v>
      </c>
      <c r="I65" s="310">
        <f>IFERROR(H65*Table2364[No of Products Produced]/$D65,"")</f>
        <v>61073.999999999993</v>
      </c>
      <c r="J65" s="314">
        <f t="shared" si="8"/>
        <v>0.17</v>
      </c>
      <c r="K65" s="316">
        <f>IFERROR(Table7166[[#This Row],[Cost of Raw Material Per Unit]]*Table2163[No. of Units in One Batch],0)</f>
        <v>0.17</v>
      </c>
      <c r="L65" s="316"/>
    </row>
    <row r="66" spans="1:12" ht="15" customHeight="1">
      <c r="A66" s="420" t="s">
        <v>128</v>
      </c>
      <c r="B66" s="310" t="str">
        <f>IFERROR(VLOOKUP($A66,Table16[#All],2,0),0)</f>
        <v>Kilo</v>
      </c>
      <c r="C66" s="311">
        <f>IFERROR(VLOOKUP($A66,Table16[#All],5,0),0)</f>
        <v>7.1481481481481488</v>
      </c>
      <c r="D66" s="312">
        <v>1</v>
      </c>
      <c r="E66" s="312" t="s">
        <v>120</v>
      </c>
      <c r="F66" s="685">
        <f t="shared" ref="F66:F87" si="9">IFERROR(C66/D66,"")</f>
        <v>7.1481481481481488</v>
      </c>
      <c r="G66" s="418">
        <v>2.7E-2</v>
      </c>
      <c r="H66" s="303">
        <f>IFERROR(Table7166[[#This Row],[Batch Required Quantity using manufacturing unit (per unit)]]/Table2163[No. of Units in One Batch],0)</f>
        <v>2.7E-2</v>
      </c>
      <c r="I66" s="310">
        <f>IFERROR(H66*Table2364[No of Products Produced]/$D66,"")</f>
        <v>18954</v>
      </c>
      <c r="J66" s="314">
        <f t="shared" si="8"/>
        <v>0.193</v>
      </c>
      <c r="K66" s="316">
        <f>IFERROR(Table7166[[#This Row],[Cost of Raw Material Per Unit]]*Table2163[No. of Units in One Batch],0)</f>
        <v>0.193</v>
      </c>
      <c r="L66" s="316"/>
    </row>
    <row r="67" spans="1:12" ht="15" customHeight="1">
      <c r="A67" s="420" t="s">
        <v>129</v>
      </c>
      <c r="B67" s="310" t="str">
        <f>IFERROR(VLOOKUP($A67,Table16[#All],2,0),0)</f>
        <v>Kilo</v>
      </c>
      <c r="C67" s="311">
        <f>IFERROR(VLOOKUP($A67,Table16[#All],5,0),0)</f>
        <v>9.1666666666666661</v>
      </c>
      <c r="D67" s="312">
        <v>1</v>
      </c>
      <c r="E67" s="312" t="s">
        <v>120</v>
      </c>
      <c r="F67" s="685">
        <f t="shared" si="9"/>
        <v>9.1666666666666661</v>
      </c>
      <c r="G67" s="418">
        <v>1.2E-2</v>
      </c>
      <c r="H67" s="303">
        <f>IFERROR(Table7166[[#This Row],[Batch Required Quantity using manufacturing unit (per unit)]]/Table2163[No. of Units in One Batch],0)</f>
        <v>1.2E-2</v>
      </c>
      <c r="I67" s="310">
        <f>IFERROR(H67*Table2364[No of Products Produced]/$D67,"")</f>
        <v>8424</v>
      </c>
      <c r="J67" s="314">
        <f t="shared" si="8"/>
        <v>0.11</v>
      </c>
      <c r="K67" s="316">
        <f>IFERROR(Table7166[[#This Row],[Cost of Raw Material Per Unit]]*Table2163[No. of Units in One Batch],0)</f>
        <v>0.11</v>
      </c>
      <c r="L67" s="316"/>
    </row>
    <row r="68" spans="1:12" ht="15" hidden="1" customHeight="1">
      <c r="A68" s="310"/>
      <c r="B68" s="310">
        <f>IFERROR(VLOOKUP($A68,Table16[#All],2,0),0)</f>
        <v>0</v>
      </c>
      <c r="C68" s="311">
        <f>IFERROR(VLOOKUP($A68,Table16[#All],5,0),0)</f>
        <v>0</v>
      </c>
      <c r="D68" s="312"/>
      <c r="E68" s="312"/>
      <c r="F68" s="313" t="str">
        <f t="shared" si="9"/>
        <v/>
      </c>
      <c r="G68" s="315"/>
      <c r="H68" s="303">
        <f>IFERROR(Table7166[[#This Row],[Batch Required Quantity using manufacturing unit (per unit)]]/Table2163[No. of Units in One Batch],0)</f>
        <v>0</v>
      </c>
      <c r="I68" s="310" t="str">
        <f>IFERROR(H68*Table2364[No of Products Produced]/$D68,"")</f>
        <v/>
      </c>
      <c r="J68" s="314" t="str">
        <f t="shared" si="8"/>
        <v/>
      </c>
      <c r="K68" s="316">
        <f>IFERROR(Table7166[[#This Row],[Cost of Raw Material Per Unit]]*Table2163[No. of Units in One Batch],0)</f>
        <v>0</v>
      </c>
      <c r="L68" s="316"/>
    </row>
    <row r="69" spans="1:12" ht="15" hidden="1" customHeight="1">
      <c r="A69" s="316"/>
      <c r="B69" s="316">
        <f>IFERROR(VLOOKUP($A69,Table16[#All],2,0),0)</f>
        <v>0</v>
      </c>
      <c r="C69" s="317">
        <f>IFERROR(VLOOKUP($A69,Table16[#All],5,0),0)</f>
        <v>0</v>
      </c>
      <c r="D69" s="318"/>
      <c r="E69" s="318"/>
      <c r="F69" s="319" t="str">
        <f t="shared" si="9"/>
        <v/>
      </c>
      <c r="G69" s="320"/>
      <c r="H69" s="303">
        <f>IFERROR(Table7166[[#This Row],[Batch Required Quantity using manufacturing unit (per unit)]]/Table2163[No. of Units in One Batch],0)</f>
        <v>0</v>
      </c>
      <c r="I69" s="310" t="str">
        <f>IFERROR(H69*Table2364[No of Products Produced]/$D69,"")</f>
        <v/>
      </c>
      <c r="J69" s="321" t="str">
        <f t="shared" si="8"/>
        <v/>
      </c>
      <c r="K69" s="316">
        <f>IFERROR(Table7166[[#This Row],[Cost of Raw Material Per Unit]]*Table2163[No. of Units in One Batch],0)</f>
        <v>0</v>
      </c>
      <c r="L69" s="316"/>
    </row>
    <row r="70" spans="1:12" ht="15" hidden="1" customHeight="1">
      <c r="A70" s="316"/>
      <c r="B70" s="316">
        <f>IFERROR(VLOOKUP($A70,Table16[#All],2,0),0)</f>
        <v>0</v>
      </c>
      <c r="C70" s="317">
        <f>IFERROR(VLOOKUP($A70,Table16[#All],5,0),0)</f>
        <v>0</v>
      </c>
      <c r="D70" s="318"/>
      <c r="E70" s="318"/>
      <c r="F70" s="319" t="str">
        <f t="shared" si="9"/>
        <v/>
      </c>
      <c r="G70" s="320"/>
      <c r="H70" s="303">
        <f>IFERROR(Table7166[[#This Row],[Batch Required Quantity using manufacturing unit (per unit)]]/Table2163[No. of Units in One Batch],0)</f>
        <v>0</v>
      </c>
      <c r="I70" s="310" t="str">
        <f>IFERROR(H70*Table2364[No of Products Produced]/$D70,"")</f>
        <v/>
      </c>
      <c r="J70" s="321" t="str">
        <f t="shared" si="8"/>
        <v/>
      </c>
      <c r="K70" s="316">
        <f>IFERROR(Table7166[[#This Row],[Cost of Raw Material Per Unit]]*Table2163[No. of Units in One Batch],0)</f>
        <v>0</v>
      </c>
      <c r="L70" s="316"/>
    </row>
    <row r="71" spans="1:12" ht="15" hidden="1" customHeight="1">
      <c r="A71" s="316"/>
      <c r="B71" s="316">
        <f>IFERROR(VLOOKUP($A71,Table16[#All],2,0),0)</f>
        <v>0</v>
      </c>
      <c r="C71" s="317">
        <f>IFERROR(VLOOKUP($A71,Table16[#All],5,0),0)</f>
        <v>0</v>
      </c>
      <c r="D71" s="318"/>
      <c r="E71" s="318"/>
      <c r="F71" s="319" t="str">
        <f t="shared" si="9"/>
        <v/>
      </c>
      <c r="G71" s="320"/>
      <c r="H71" s="303">
        <f>IFERROR(Table7166[[#This Row],[Batch Required Quantity using manufacturing unit (per unit)]]/Table2163[No. of Units in One Batch],0)</f>
        <v>0</v>
      </c>
      <c r="I71" s="310" t="str">
        <f>IFERROR(H71*Table2364[No of Products Produced]/$D71,"")</f>
        <v/>
      </c>
      <c r="J71" s="321" t="str">
        <f t="shared" si="8"/>
        <v/>
      </c>
      <c r="K71" s="316">
        <f>IFERROR(Table7166[[#This Row],[Cost of Raw Material Per Unit]]*Table2163[No. of Units in One Batch],0)</f>
        <v>0</v>
      </c>
      <c r="L71" s="316"/>
    </row>
    <row r="72" spans="1:12" ht="15" hidden="1" customHeight="1">
      <c r="A72" s="316"/>
      <c r="B72" s="316">
        <f>IFERROR(VLOOKUP($A72,Table16[#All],2,0),0)</f>
        <v>0</v>
      </c>
      <c r="C72" s="317">
        <f>IFERROR(VLOOKUP($A72,Table16[#All],5,0),0)</f>
        <v>0</v>
      </c>
      <c r="D72" s="318"/>
      <c r="E72" s="318"/>
      <c r="F72" s="319" t="str">
        <f t="shared" si="9"/>
        <v/>
      </c>
      <c r="G72" s="320"/>
      <c r="H72" s="303">
        <f>IFERROR(Table7166[[#This Row],[Batch Required Quantity using manufacturing unit (per unit)]]/Table2163[No. of Units in One Batch],0)</f>
        <v>0</v>
      </c>
      <c r="I72" s="310" t="str">
        <f>IFERROR(H72*Table2364[No of Products Produced]/$D72,"")</f>
        <v/>
      </c>
      <c r="J72" s="321" t="str">
        <f t="shared" si="8"/>
        <v/>
      </c>
      <c r="K72" s="316">
        <f>IFERROR(Table7166[[#This Row],[Cost of Raw Material Per Unit]]*Table2163[No. of Units in One Batch],0)</f>
        <v>0</v>
      </c>
      <c r="L72" s="316"/>
    </row>
    <row r="73" spans="1:12" ht="15" hidden="1" customHeight="1">
      <c r="A73" s="316"/>
      <c r="B73" s="316">
        <f>IFERROR(VLOOKUP($A73,Table16[#All],2,0),0)</f>
        <v>0</v>
      </c>
      <c r="C73" s="317">
        <f>IFERROR(VLOOKUP($A73,Table16[#All],5,0),0)</f>
        <v>0</v>
      </c>
      <c r="D73" s="318"/>
      <c r="E73" s="318"/>
      <c r="F73" s="319" t="str">
        <f t="shared" si="9"/>
        <v/>
      </c>
      <c r="G73" s="320"/>
      <c r="H73" s="303">
        <f>IFERROR(Table7166[[#This Row],[Batch Required Quantity using manufacturing unit (per unit)]]/Table2163[No. of Units in One Batch],0)</f>
        <v>0</v>
      </c>
      <c r="I73" s="310" t="str">
        <f>IFERROR(H73*Table2364[No of Products Produced]/$D73,"")</f>
        <v/>
      </c>
      <c r="J73" s="321" t="str">
        <f t="shared" si="8"/>
        <v/>
      </c>
      <c r="K73" s="316">
        <f>IFERROR(Table7166[[#This Row],[Cost of Raw Material Per Unit]]*Table2163[No. of Units in One Batch],0)</f>
        <v>0</v>
      </c>
      <c r="L73" s="316"/>
    </row>
    <row r="74" spans="1:12" ht="15" hidden="1" customHeight="1">
      <c r="A74" s="316"/>
      <c r="B74" s="316">
        <f>IFERROR(VLOOKUP($A74,Table16[#All],2,0),0)</f>
        <v>0</v>
      </c>
      <c r="C74" s="317">
        <f>IFERROR(VLOOKUP($A74,Table16[#All],5,0),0)</f>
        <v>0</v>
      </c>
      <c r="D74" s="318"/>
      <c r="E74" s="318"/>
      <c r="F74" s="319" t="str">
        <f t="shared" si="9"/>
        <v/>
      </c>
      <c r="G74" s="320"/>
      <c r="H74" s="303">
        <f>IFERROR(Table7166[[#This Row],[Batch Required Quantity using manufacturing unit (per unit)]]/Table2163[No. of Units in One Batch],0)</f>
        <v>0</v>
      </c>
      <c r="I74" s="316" t="str">
        <f>IFERROR(H74*Table2364[No of Products Produced]/$D74,"")</f>
        <v/>
      </c>
      <c r="J74" s="321" t="str">
        <f t="shared" si="8"/>
        <v/>
      </c>
      <c r="K74" s="316">
        <f>IFERROR(Table7166[[#This Row],[Cost of Raw Material Per Unit]]*Table2163[No. of Units in One Batch],0)</f>
        <v>0</v>
      </c>
      <c r="L74" s="316"/>
    </row>
    <row r="75" spans="1:12" ht="15" hidden="1" customHeight="1">
      <c r="A75" s="316"/>
      <c r="B75" s="316">
        <f>IFERROR(VLOOKUP($A75,Table16[#All],2,0),0)</f>
        <v>0</v>
      </c>
      <c r="C75" s="317">
        <f>IFERROR(VLOOKUP($A75,Table16[#All],5,0),0)</f>
        <v>0</v>
      </c>
      <c r="D75" s="318"/>
      <c r="E75" s="318"/>
      <c r="F75" s="319" t="str">
        <f t="shared" si="9"/>
        <v/>
      </c>
      <c r="G75" s="320"/>
      <c r="H75" s="303">
        <f>IFERROR(Table7166[[#This Row],[Batch Required Quantity using manufacturing unit (per unit)]]/Table2163[No. of Units in One Batch],0)</f>
        <v>0</v>
      </c>
      <c r="I75" s="310" t="str">
        <f>IFERROR(H75*Table2364[No of Products Produced]/$D75,"")</f>
        <v/>
      </c>
      <c r="J75" s="321" t="str">
        <f t="shared" si="8"/>
        <v/>
      </c>
      <c r="K75" s="316">
        <f>IFERROR(Table7166[[#This Row],[Cost of Raw Material Per Unit]]*Table2163[No. of Units in One Batch],0)</f>
        <v>0</v>
      </c>
      <c r="L75" s="316"/>
    </row>
    <row r="76" spans="1:12" ht="15" hidden="1" customHeight="1">
      <c r="A76" s="310"/>
      <c r="B76" s="310">
        <f>IFERROR(VLOOKUP($A76,Table16[#All],2,0),0)</f>
        <v>0</v>
      </c>
      <c r="C76" s="311">
        <f>IFERROR(VLOOKUP($A76,Table16[#All],5,0),0)</f>
        <v>0</v>
      </c>
      <c r="D76" s="312"/>
      <c r="E76" s="312"/>
      <c r="F76" s="313" t="str">
        <f t="shared" si="9"/>
        <v/>
      </c>
      <c r="G76" s="315"/>
      <c r="H76" s="303">
        <f>IFERROR(Table7166[[#This Row],[Batch Required Quantity using manufacturing unit (per unit)]]/Table2163[No. of Units in One Batch],0)</f>
        <v>0</v>
      </c>
      <c r="I76" s="310" t="str">
        <f>IFERROR(H76*Table2364[No of Products Produced]/$D76,"")</f>
        <v/>
      </c>
      <c r="J76" s="314" t="str">
        <f t="shared" si="8"/>
        <v/>
      </c>
      <c r="K76" s="316">
        <f>IFERROR(Table7166[[#This Row],[Cost of Raw Material Per Unit]]*Table2163[No. of Units in One Batch],0)</f>
        <v>0</v>
      </c>
      <c r="L76" s="316"/>
    </row>
    <row r="77" spans="1:12" ht="15" hidden="1" customHeight="1">
      <c r="A77" s="316"/>
      <c r="B77" s="316">
        <f>IFERROR(VLOOKUP($A77,Table16[#All],2,0),0)</f>
        <v>0</v>
      </c>
      <c r="C77" s="317">
        <f>IFERROR(VLOOKUP($A77,Table16[#All],5,0),0)</f>
        <v>0</v>
      </c>
      <c r="D77" s="318"/>
      <c r="E77" s="318"/>
      <c r="F77" s="319" t="str">
        <f t="shared" si="9"/>
        <v/>
      </c>
      <c r="G77" s="320"/>
      <c r="H77" s="303">
        <f>IFERROR(Table7166[[#This Row],[Batch Required Quantity using manufacturing unit (per unit)]]/Table2163[No. of Units in One Batch],0)</f>
        <v>0</v>
      </c>
      <c r="I77" s="316" t="str">
        <f>IFERROR(H77*Table2364[No of Products Produced]/$D77,"")</f>
        <v/>
      </c>
      <c r="J77" s="321" t="str">
        <f t="shared" si="8"/>
        <v/>
      </c>
      <c r="K77" s="316">
        <f>IFERROR(Table7166[[#This Row],[Cost of Raw Material Per Unit]]*Table2163[No. of Units in One Batch],0)</f>
        <v>0</v>
      </c>
      <c r="L77" s="316"/>
    </row>
    <row r="78" spans="1:12" ht="15" hidden="1" customHeight="1">
      <c r="A78" s="316"/>
      <c r="B78" s="316">
        <f>IFERROR(VLOOKUP($A78,Table16[#All],2,0),0)</f>
        <v>0</v>
      </c>
      <c r="C78" s="317">
        <f>IFERROR(VLOOKUP($A78,Table16[#All],5,0),0)</f>
        <v>0</v>
      </c>
      <c r="D78" s="318"/>
      <c r="E78" s="318"/>
      <c r="F78" s="319" t="str">
        <f t="shared" si="9"/>
        <v/>
      </c>
      <c r="G78" s="320"/>
      <c r="H78" s="303">
        <f>IFERROR(Table7166[[#This Row],[Batch Required Quantity using manufacturing unit (per unit)]]/Table2163[No. of Units in One Batch],0)</f>
        <v>0</v>
      </c>
      <c r="I78" s="316" t="str">
        <f>IFERROR(H78*Table2364[No of Products Produced]/$D78,"")</f>
        <v/>
      </c>
      <c r="J78" s="321" t="str">
        <f t="shared" si="8"/>
        <v/>
      </c>
      <c r="K78" s="316">
        <f>IFERROR(Table7166[[#This Row],[Cost of Raw Material Per Unit]]*Table2163[No. of Units in One Batch],0)</f>
        <v>0</v>
      </c>
      <c r="L78" s="316"/>
    </row>
    <row r="79" spans="1:12" ht="15" hidden="1" customHeight="1">
      <c r="A79" s="316"/>
      <c r="B79" s="316">
        <f>IFERROR(VLOOKUP($A79,Table16[#All],2,0),0)</f>
        <v>0</v>
      </c>
      <c r="C79" s="317">
        <f>IFERROR(VLOOKUP($A79,Table16[#All],5,0),0)</f>
        <v>0</v>
      </c>
      <c r="D79" s="318"/>
      <c r="E79" s="318"/>
      <c r="F79" s="319" t="str">
        <f t="shared" si="9"/>
        <v/>
      </c>
      <c r="G79" s="320"/>
      <c r="H79" s="303">
        <f>IFERROR(Table7166[[#This Row],[Batch Required Quantity using manufacturing unit (per unit)]]/Table2163[No. of Units in One Batch],0)</f>
        <v>0</v>
      </c>
      <c r="I79" s="316" t="str">
        <f>IFERROR(H79*Table2364[No of Products Produced]/$D79,"")</f>
        <v/>
      </c>
      <c r="J79" s="321" t="str">
        <f t="shared" si="8"/>
        <v/>
      </c>
      <c r="K79" s="316">
        <f>IFERROR(Table7166[[#This Row],[Cost of Raw Material Per Unit]]*Table2163[No. of Units in One Batch],0)</f>
        <v>0</v>
      </c>
      <c r="L79" s="316"/>
    </row>
    <row r="80" spans="1:12" ht="15" hidden="1" customHeight="1">
      <c r="A80" s="316"/>
      <c r="B80" s="316">
        <f>IFERROR(VLOOKUP($A80,Table16[#All],2,0),0)</f>
        <v>0</v>
      </c>
      <c r="C80" s="317">
        <f>IFERROR(VLOOKUP($A80,Table16[#All],5,0),0)</f>
        <v>0</v>
      </c>
      <c r="D80" s="318"/>
      <c r="E80" s="318"/>
      <c r="F80" s="319" t="str">
        <f t="shared" si="9"/>
        <v/>
      </c>
      <c r="G80" s="320"/>
      <c r="H80" s="303">
        <f>IFERROR(Table7166[[#This Row],[Batch Required Quantity using manufacturing unit (per unit)]]/Table2163[No. of Units in One Batch],0)</f>
        <v>0</v>
      </c>
      <c r="I80" s="316" t="str">
        <f>IFERROR(H80*Table2364[No of Products Produced]/$D80,"")</f>
        <v/>
      </c>
      <c r="J80" s="321" t="str">
        <f t="shared" si="8"/>
        <v/>
      </c>
      <c r="K80" s="316">
        <f>IFERROR(Table7166[[#This Row],[Cost of Raw Material Per Unit]]*Table2163[No. of Units in One Batch],0)</f>
        <v>0</v>
      </c>
      <c r="L80" s="316"/>
    </row>
    <row r="81" spans="1:12" ht="15" hidden="1" customHeight="1">
      <c r="A81" s="316"/>
      <c r="B81" s="316">
        <f>IFERROR(VLOOKUP($A81,Table16[#All],2,0),0)</f>
        <v>0</v>
      </c>
      <c r="C81" s="317">
        <f>IFERROR(VLOOKUP($A81,Table16[#All],5,0),0)</f>
        <v>0</v>
      </c>
      <c r="D81" s="318"/>
      <c r="E81" s="318"/>
      <c r="F81" s="319" t="str">
        <f t="shared" si="9"/>
        <v/>
      </c>
      <c r="G81" s="320"/>
      <c r="H81" s="303">
        <f>IFERROR(Table7166[[#This Row],[Batch Required Quantity using manufacturing unit (per unit)]]/Table2163[No. of Units in One Batch],0)</f>
        <v>0</v>
      </c>
      <c r="I81" s="316" t="str">
        <f>IFERROR(H81*Table2364[No of Products Produced]/$D81,"")</f>
        <v/>
      </c>
      <c r="J81" s="321" t="str">
        <f t="shared" si="8"/>
        <v/>
      </c>
      <c r="K81" s="316">
        <f>IFERROR(Table7166[[#This Row],[Cost of Raw Material Per Unit]]*Table2163[No. of Units in One Batch],0)</f>
        <v>0</v>
      </c>
      <c r="L81" s="316"/>
    </row>
    <row r="82" spans="1:12" ht="15" hidden="1" customHeight="1">
      <c r="A82" s="316"/>
      <c r="B82" s="316">
        <f>IFERROR(VLOOKUP($A82,Table16[#All],2,0),0)</f>
        <v>0</v>
      </c>
      <c r="C82" s="317">
        <f>IFERROR(VLOOKUP($A82,Table16[#All],5,0),0)</f>
        <v>0</v>
      </c>
      <c r="D82" s="318"/>
      <c r="E82" s="318"/>
      <c r="F82" s="319" t="str">
        <f t="shared" si="9"/>
        <v/>
      </c>
      <c r="G82" s="320"/>
      <c r="H82" s="303">
        <f>IFERROR(Table7166[[#This Row],[Batch Required Quantity using manufacturing unit (per unit)]]/Table2163[No. of Units in One Batch],0)</f>
        <v>0</v>
      </c>
      <c r="I82" s="316" t="str">
        <f>IFERROR(H82*Table2364[No of Products Produced]/$D82,"")</f>
        <v/>
      </c>
      <c r="J82" s="321" t="str">
        <f t="shared" si="8"/>
        <v/>
      </c>
      <c r="K82" s="316">
        <f>IFERROR(Table7166[[#This Row],[Cost of Raw Material Per Unit]]*Table2163[No. of Units in One Batch],0)</f>
        <v>0</v>
      </c>
      <c r="L82" s="316"/>
    </row>
    <row r="83" spans="1:12" ht="15" hidden="1" customHeight="1">
      <c r="A83" s="316"/>
      <c r="B83" s="316">
        <f>IFERROR(VLOOKUP($A83,Table16[#All],2,0),0)</f>
        <v>0</v>
      </c>
      <c r="C83" s="317">
        <f>IFERROR(VLOOKUP($A83,Table16[#All],5,0),0)</f>
        <v>0</v>
      </c>
      <c r="D83" s="318"/>
      <c r="E83" s="318"/>
      <c r="F83" s="319" t="str">
        <f t="shared" si="9"/>
        <v/>
      </c>
      <c r="G83" s="320"/>
      <c r="H83" s="303">
        <f>IFERROR(Table7166[[#This Row],[Batch Required Quantity using manufacturing unit (per unit)]]/Table2163[No. of Units in One Batch],0)</f>
        <v>0</v>
      </c>
      <c r="I83" s="316" t="str">
        <f>IFERROR(H83*Table2364[No of Products Produced]/$D83,"")</f>
        <v/>
      </c>
      <c r="J83" s="321" t="str">
        <f t="shared" si="8"/>
        <v/>
      </c>
      <c r="K83" s="316">
        <f>IFERROR(Table7166[[#This Row],[Cost of Raw Material Per Unit]]*Table2163[No. of Units in One Batch],0)</f>
        <v>0</v>
      </c>
      <c r="L83" s="316"/>
    </row>
    <row r="84" spans="1:12" ht="15" hidden="1" customHeight="1">
      <c r="A84" s="316"/>
      <c r="B84" s="316">
        <f>IFERROR(VLOOKUP($A84,Table16[#All],2,0),0)</f>
        <v>0</v>
      </c>
      <c r="C84" s="317">
        <f>IFERROR(VLOOKUP($A84,Table16[#All],5,0),0)</f>
        <v>0</v>
      </c>
      <c r="D84" s="318"/>
      <c r="E84" s="318"/>
      <c r="F84" s="319" t="str">
        <f t="shared" si="9"/>
        <v/>
      </c>
      <c r="G84" s="320"/>
      <c r="H84" s="303">
        <f>IFERROR(Table7166[[#This Row],[Batch Required Quantity using manufacturing unit (per unit)]]/Table2163[No. of Units in One Batch],0)</f>
        <v>0</v>
      </c>
      <c r="I84" s="316" t="str">
        <f>IFERROR(H84*Table2364[No of Products Produced]/$D84,"")</f>
        <v/>
      </c>
      <c r="J84" s="321" t="str">
        <f t="shared" si="8"/>
        <v/>
      </c>
      <c r="K84" s="316">
        <f>IFERROR(Table7166[[#This Row],[Cost of Raw Material Per Unit]]*Table2163[No. of Units in One Batch],0)</f>
        <v>0</v>
      </c>
      <c r="L84" s="316"/>
    </row>
    <row r="85" spans="1:12" ht="15" hidden="1" customHeight="1">
      <c r="A85" s="316"/>
      <c r="B85" s="316">
        <f>IFERROR(VLOOKUP($A85,Table16[#All],2,0),0)</f>
        <v>0</v>
      </c>
      <c r="C85" s="317">
        <f>IFERROR(VLOOKUP($A85,Table16[#All],5,0),0)</f>
        <v>0</v>
      </c>
      <c r="D85" s="318"/>
      <c r="E85" s="318"/>
      <c r="F85" s="319" t="str">
        <f t="shared" si="9"/>
        <v/>
      </c>
      <c r="G85" s="320"/>
      <c r="H85" s="303">
        <f>IFERROR(Table7166[[#This Row],[Batch Required Quantity using manufacturing unit (per unit)]]/Table2163[No. of Units in One Batch],0)</f>
        <v>0</v>
      </c>
      <c r="I85" s="316" t="str">
        <f>IFERROR(H85*Table2364[No of Products Produced]/$D85,"")</f>
        <v/>
      </c>
      <c r="J85" s="321" t="str">
        <f t="shared" si="8"/>
        <v/>
      </c>
      <c r="K85" s="316">
        <f>IFERROR(Table7166[[#This Row],[Cost of Raw Material Per Unit]]*Table2163[No. of Units in One Batch],0)</f>
        <v>0</v>
      </c>
      <c r="L85" s="316"/>
    </row>
    <row r="86" spans="1:12" ht="15" hidden="1" customHeight="1">
      <c r="A86" s="316"/>
      <c r="B86" s="316">
        <f>IFERROR(VLOOKUP($A86,Table16[#All],2,0),0)</f>
        <v>0</v>
      </c>
      <c r="C86" s="317">
        <f>IFERROR(VLOOKUP($A86,Table16[#All],5,0),0)</f>
        <v>0</v>
      </c>
      <c r="D86" s="318"/>
      <c r="E86" s="318"/>
      <c r="F86" s="319" t="str">
        <f t="shared" si="9"/>
        <v/>
      </c>
      <c r="G86" s="320"/>
      <c r="H86" s="303">
        <f>IFERROR(Table7166[[#This Row],[Batch Required Quantity using manufacturing unit (per unit)]]/Table2163[No. of Units in One Batch],0)</f>
        <v>0</v>
      </c>
      <c r="I86" s="316" t="str">
        <f>IFERROR(H86*Table2364[No of Products Produced]/$D86,"")</f>
        <v/>
      </c>
      <c r="J86" s="321" t="str">
        <f t="shared" si="8"/>
        <v/>
      </c>
      <c r="K86" s="316">
        <f>IFERROR(Table7166[[#This Row],[Cost of Raw Material Per Unit]]*Table2163[No. of Units in One Batch],0)</f>
        <v>0</v>
      </c>
      <c r="L86" s="316"/>
    </row>
    <row r="87" spans="1:12" customFormat="1" ht="15" hidden="1" customHeight="1">
      <c r="A87" s="316"/>
      <c r="B87" s="316">
        <f>IFERROR(VLOOKUP($A87,Table16[#All],2,0),0)</f>
        <v>0</v>
      </c>
      <c r="C87" s="322">
        <f>IFERROR(VLOOKUP($A87,Table16[#All],5,0),0)</f>
        <v>0</v>
      </c>
      <c r="D87" s="318"/>
      <c r="E87" s="318"/>
      <c r="F87" s="319" t="str">
        <f t="shared" si="9"/>
        <v/>
      </c>
      <c r="G87" s="320"/>
      <c r="H87" s="303">
        <f>IFERROR(Table7166[[#This Row],[Batch Required Quantity using manufacturing unit (per unit)]]/Table2163[No. of Units in One Batch],0)</f>
        <v>0</v>
      </c>
      <c r="I87" s="316" t="str">
        <f>IFERROR(H87*Table2364[No of Products Produced]/$D87,"")</f>
        <v/>
      </c>
      <c r="J87" s="321" t="str">
        <f t="shared" si="8"/>
        <v/>
      </c>
      <c r="K87" s="316">
        <f>IFERROR(Table7166[[#This Row],[Cost of Raw Material Per Unit]]*Table2163[No. of Units in One Batch],0)</f>
        <v>0</v>
      </c>
      <c r="L87" s="316"/>
    </row>
    <row r="88" spans="1:12" customFormat="1" ht="15" hidden="1" customHeight="1">
      <c r="A88" s="316"/>
      <c r="B88" s="316">
        <f>IFERROR(VLOOKUP($A88,Table16[#All],2,0),0)</f>
        <v>0</v>
      </c>
      <c r="C88" s="322">
        <f>IFERROR(VLOOKUP($A88,Table16[#All],5,0),0)</f>
        <v>0</v>
      </c>
      <c r="D88" s="318"/>
      <c r="E88" s="318"/>
      <c r="F88" s="319" t="str">
        <f>IFERROR(C88/D88,"")</f>
        <v/>
      </c>
      <c r="G88" s="320"/>
      <c r="H88" s="303">
        <f>IFERROR(Table7166[[#This Row],[Batch Required Quantity using manufacturing unit (per unit)]]/Table2163[No. of Units in One Batch],0)</f>
        <v>0</v>
      </c>
      <c r="I88" s="316" t="str">
        <f>IFERROR(H88*Table2364[No of Products Produced]/$D88,"")</f>
        <v/>
      </c>
      <c r="J88" s="321" t="str">
        <f t="shared" si="8"/>
        <v/>
      </c>
      <c r="K88" s="316">
        <f>IFERROR(Table7166[[#This Row],[Cost of Raw Material Per Unit]]*Table2163[No. of Units in One Batch],0)</f>
        <v>0</v>
      </c>
      <c r="L88" s="316"/>
    </row>
    <row r="89" spans="1:12" ht="39" customHeight="1">
      <c r="A89" s="258" t="s">
        <v>617</v>
      </c>
      <c r="B89" s="258"/>
      <c r="C89" s="258"/>
      <c r="D89" s="258"/>
      <c r="E89" s="258"/>
      <c r="F89" s="258"/>
      <c r="G89" s="258"/>
      <c r="H89" s="258"/>
      <c r="I89" s="258"/>
      <c r="J89" s="259"/>
    </row>
    <row r="90" spans="1:12" ht="30" customHeight="1">
      <c r="A90" s="260" t="s">
        <v>618</v>
      </c>
      <c r="B90" s="261" t="s">
        <v>97</v>
      </c>
      <c r="C90" s="261" t="s">
        <v>98</v>
      </c>
      <c r="D90" s="261" t="s">
        <v>99</v>
      </c>
      <c r="E90" s="261" t="s">
        <v>619</v>
      </c>
      <c r="F90" s="261" t="s">
        <v>620</v>
      </c>
      <c r="G90" s="261" t="s">
        <v>621</v>
      </c>
      <c r="H90" s="261" t="s">
        <v>622</v>
      </c>
      <c r="I90" s="261" t="s">
        <v>623</v>
      </c>
      <c r="J90" s="261" t="s">
        <v>624</v>
      </c>
      <c r="K90" s="261" t="s">
        <v>625</v>
      </c>
      <c r="L90" s="261" t="s">
        <v>626</v>
      </c>
    </row>
    <row r="91" spans="1:12" s="263" customFormat="1" ht="24" customHeight="1">
      <c r="A91" s="262" t="s">
        <v>109</v>
      </c>
      <c r="B91" s="306" t="str">
        <f>IFERROR(VLOOKUP(A91,Table17[#All],2,0),"")</f>
        <v>KG</v>
      </c>
      <c r="C91" s="307" t="str">
        <f>IFERROR(VLOOKUP(Table216367[[#This Row],[Product Name]],Table17[#All],3,0),"")</f>
        <v>KG</v>
      </c>
      <c r="D91" s="307">
        <f>IFERROR(VLOOKUP(Table216367[[#This Row],[Product Name]],Table17[#All],4,0),"")</f>
        <v>1</v>
      </c>
      <c r="E91" s="339">
        <f>SUM(Table716670[Cost of Raw Material Per Batch])</f>
        <v>0.3125</v>
      </c>
      <c r="F91" s="304">
        <f>IFERROR(VLOOKUP(A91,Table17[#All],6,0),0)</f>
        <v>0.74999999999999989</v>
      </c>
      <c r="G91" s="307" t="str">
        <f>'Summary. Assumptions. Inputs'!$J$7</f>
        <v>USD</v>
      </c>
      <c r="H91" s="307">
        <f>SUBTOTAL(109,Table716670[[#All],[Cost of Raw Material Per Unit]])</f>
        <v>0.3125</v>
      </c>
      <c r="I91" s="307">
        <f>Table216367[[#This Row],[Unit Sale Price]]-Table216367[[#This Row],[Product Direct Cost / Unit]]</f>
        <v>0.43749999999999989</v>
      </c>
      <c r="J91" s="304">
        <f>IFERROR(($I94/$A94),"")</f>
        <v>0.2043257358178249</v>
      </c>
      <c r="K91" s="307">
        <f>IFERROR((I91-J91),"")</f>
        <v>0.23317426418217499</v>
      </c>
      <c r="L91" s="304">
        <f>IFERROR((F91-H91)/F91,"")</f>
        <v>0.58333333333333326</v>
      </c>
    </row>
    <row r="92" spans="1:12" ht="15" customHeight="1"/>
    <row r="93" spans="1:12" ht="45">
      <c r="A93" s="264" t="s">
        <v>627</v>
      </c>
      <c r="B93" s="264" t="s">
        <v>628</v>
      </c>
      <c r="C93" s="265" t="s">
        <v>629</v>
      </c>
      <c r="D93" s="266" t="s">
        <v>630</v>
      </c>
      <c r="E93" s="267" t="s">
        <v>631</v>
      </c>
      <c r="F93" s="268" t="s">
        <v>632</v>
      </c>
      <c r="G93" s="268" t="s">
        <v>633</v>
      </c>
      <c r="H93" s="268" t="s">
        <v>634</v>
      </c>
      <c r="I93" s="268" t="s">
        <v>635</v>
      </c>
      <c r="J93" s="269" t="s">
        <v>636</v>
      </c>
      <c r="K93" s="268" t="s">
        <v>637</v>
      </c>
    </row>
    <row r="94" spans="1:12" s="263" customFormat="1" ht="15" customHeight="1">
      <c r="A94" s="270">
        <f>IFERROR(VLOOKUP(A91,Table7[#All],16,0),0)*Capacity</f>
        <v>800280</v>
      </c>
      <c r="B94" s="271">
        <f>IFERROR(VLOOKUP(A91,'Sales, Production, &amp; Other Assu'!$A$18:$P$49,16,0),0)*Capacity</f>
        <v>738720</v>
      </c>
      <c r="C94" s="271">
        <f>IFERROR((A94-B94),0)</f>
        <v>61560</v>
      </c>
      <c r="D94" s="308">
        <f>B94*F91</f>
        <v>554039.99999999988</v>
      </c>
      <c r="E94" s="308">
        <f>A94*H91</f>
        <v>250087.5</v>
      </c>
      <c r="F94" s="308">
        <f>C94*H91</f>
        <v>19237.5</v>
      </c>
      <c r="G94" s="308">
        <f>D94-E94+F94</f>
        <v>323189.99999999988</v>
      </c>
      <c r="H94" s="272">
        <f>IFERROR(VLOOKUP(A91,'BEP. &amp; Summary Results'!$A$5:$Q$108,10,0),0)</f>
        <v>6.6462614779186691E-2</v>
      </c>
      <c r="I94" s="308">
        <f>'BEP. &amp; Summary Results'!$L$37*'Production Matrix'!$H94</f>
        <v>163517.79986028891</v>
      </c>
      <c r="J94" s="309">
        <f>G94-I94</f>
        <v>159672.20013971097</v>
      </c>
      <c r="K94" s="323">
        <f>IFERROR((K91)/F91,"")</f>
        <v>0.31089901890956667</v>
      </c>
    </row>
    <row r="95" spans="1:12" ht="15" customHeight="1"/>
    <row r="96" spans="1:12" ht="30" customHeight="1">
      <c r="A96" s="305" t="s">
        <v>638</v>
      </c>
      <c r="B96" s="305" t="s">
        <v>639</v>
      </c>
      <c r="J96" s="259"/>
    </row>
    <row r="97" spans="1:12" s="263" customFormat="1" ht="15" customHeight="1">
      <c r="A97" s="273" cm="1">
        <f t="array" ref="A97">IFERROR(Table246569[[#This Row],[BEP In Value]]/Table216367[Batch Unit],0)</f>
        <v>0</v>
      </c>
      <c r="B97" s="274">
        <f>IFERROR(($I94/$L91),"")</f>
        <v>280316.22833192389</v>
      </c>
      <c r="J97" s="275"/>
    </row>
    <row r="98" spans="1:12" s="263" customFormat="1" ht="15" customHeight="1">
      <c r="A98" s="276"/>
      <c r="B98" s="277"/>
      <c r="J98" s="275"/>
    </row>
    <row r="99" spans="1:12" ht="21.75" customHeight="1">
      <c r="A99" s="278" t="s">
        <v>640</v>
      </c>
      <c r="B99" s="278"/>
      <c r="C99" s="278"/>
      <c r="D99" s="278"/>
      <c r="E99" s="278"/>
      <c r="F99" s="278"/>
      <c r="G99" s="278"/>
      <c r="H99" s="278"/>
      <c r="I99" s="278"/>
    </row>
    <row r="100" spans="1:12" ht="66.75" customHeight="1">
      <c r="A100" s="279" t="s">
        <v>641</v>
      </c>
      <c r="B100" s="279" t="s">
        <v>642</v>
      </c>
      <c r="C100" s="279" t="s">
        <v>643</v>
      </c>
      <c r="D100" s="279" t="s">
        <v>644</v>
      </c>
      <c r="E100" s="279" t="s">
        <v>645</v>
      </c>
      <c r="F100" s="279" t="s">
        <v>646</v>
      </c>
      <c r="G100" s="279" t="s">
        <v>647</v>
      </c>
      <c r="H100" s="279" t="s">
        <v>648</v>
      </c>
      <c r="I100" s="279" t="s">
        <v>649</v>
      </c>
      <c r="J100" s="279" t="s">
        <v>650</v>
      </c>
      <c r="K100" s="279" t="s">
        <v>651</v>
      </c>
      <c r="L100" s="279" t="s">
        <v>471</v>
      </c>
    </row>
    <row r="101" spans="1:12" ht="15" customHeight="1">
      <c r="A101" s="208" t="s">
        <v>130</v>
      </c>
      <c r="B101" s="310" t="str">
        <f>IFERROR(VLOOKUP($A101,Table16[#All],2,0),0)</f>
        <v>Kilo</v>
      </c>
      <c r="C101" s="311">
        <f>IFERROR(VLOOKUP($A101,Table16[#All],5,0),0)</f>
        <v>0.3125</v>
      </c>
      <c r="D101" s="693">
        <v>1</v>
      </c>
      <c r="E101" s="693" t="s">
        <v>120</v>
      </c>
      <c r="F101" s="310">
        <f>IFERROR(C101/D101,"")</f>
        <v>0.3125</v>
      </c>
      <c r="G101" s="418">
        <v>1</v>
      </c>
      <c r="H101" s="303">
        <f>IFERROR(Table716670[[#This Row],[Batch Required Quantity using manufacturing unit (per unit)]]/Table216367[No. of Units in One Batch],0)</f>
        <v>1</v>
      </c>
      <c r="I101" s="310">
        <f>IFERROR(H101*Table236468[No of Products Produced]/$D101,"")</f>
        <v>800280</v>
      </c>
      <c r="J101" s="314">
        <f>IFERROR($H101*$F101,"")</f>
        <v>0.3125</v>
      </c>
      <c r="K101" s="316">
        <f>IFERROR(Table716670[[#This Row],[Cost of Raw Material Per Unit]]*Table216367[No. of Units in One Batch],0)</f>
        <v>0.3125</v>
      </c>
      <c r="L101" s="316"/>
    </row>
    <row r="102" spans="1:12" ht="15" customHeight="1">
      <c r="A102" s="208"/>
      <c r="B102" s="310">
        <f>IFERROR(VLOOKUP($A102,Table16[#All],2,0),0)</f>
        <v>0</v>
      </c>
      <c r="C102" s="311">
        <f>IFERROR(VLOOKUP($A102,Table16[#All],5,0),0)</f>
        <v>0</v>
      </c>
      <c r="D102" s="312"/>
      <c r="E102" s="312"/>
      <c r="F102" s="310" t="str">
        <f t="shared" ref="F102:F106" si="10">IFERROR(C102/D102,"")</f>
        <v/>
      </c>
      <c r="G102" s="418"/>
      <c r="H102" s="303">
        <f>IFERROR(Table716670[[#This Row],[Batch Required Quantity using manufacturing unit (per unit)]]/Table216367[No. of Units in One Batch],0)</f>
        <v>0</v>
      </c>
      <c r="I102" s="310" t="str">
        <f>IFERROR(H102*Table236468[No of Products Produced]/$D102,"")</f>
        <v/>
      </c>
      <c r="J102" s="314" t="str">
        <f t="shared" ref="J102:J130" si="11">IFERROR($H102*$F102,"")</f>
        <v/>
      </c>
      <c r="K102" s="316">
        <f>IFERROR(Table716670[[#This Row],[Cost of Raw Material Per Unit]]*Table216367[No. of Units in One Batch],0)</f>
        <v>0</v>
      </c>
      <c r="L102" s="316"/>
    </row>
    <row r="103" spans="1:12" ht="15" customHeight="1">
      <c r="A103" s="208"/>
      <c r="B103" s="310">
        <f>IFERROR(VLOOKUP($A103,Table16[#All],2,0),0)</f>
        <v>0</v>
      </c>
      <c r="C103" s="311">
        <f>IFERROR(VLOOKUP($A103,Table16[#All],5,0),0)</f>
        <v>0</v>
      </c>
      <c r="D103" s="312"/>
      <c r="E103" s="312"/>
      <c r="F103" s="310" t="str">
        <f t="shared" si="10"/>
        <v/>
      </c>
      <c r="G103" s="418"/>
      <c r="H103" s="303">
        <f>IFERROR(Table716670[[#This Row],[Batch Required Quantity using manufacturing unit (per unit)]]/Table216367[No. of Units in One Batch],0)</f>
        <v>0</v>
      </c>
      <c r="I103" s="310" t="str">
        <f>IFERROR(H103*Table236468[No of Products Produced]/$D103,"")</f>
        <v/>
      </c>
      <c r="J103" s="314" t="str">
        <f t="shared" si="11"/>
        <v/>
      </c>
      <c r="K103" s="316">
        <f>IFERROR(Table716670[[#This Row],[Cost of Raw Material Per Unit]]*Table216367[No. of Units in One Batch],0)</f>
        <v>0</v>
      </c>
      <c r="L103" s="316"/>
    </row>
    <row r="104" spans="1:12" ht="15" customHeight="1">
      <c r="A104" s="208"/>
      <c r="B104" s="310">
        <f>IFERROR(VLOOKUP($A104,Table16[#All],2,0),0)</f>
        <v>0</v>
      </c>
      <c r="C104" s="311">
        <f>IFERROR(VLOOKUP($A104,Table16[#All],5,0),0)</f>
        <v>0</v>
      </c>
      <c r="D104" s="312"/>
      <c r="E104" s="312"/>
      <c r="F104" s="310" t="str">
        <f t="shared" si="10"/>
        <v/>
      </c>
      <c r="G104" s="418"/>
      <c r="H104" s="303">
        <f>IFERROR(Table716670[[#This Row],[Batch Required Quantity using manufacturing unit (per unit)]]/Table216367[No. of Units in One Batch],0)</f>
        <v>0</v>
      </c>
      <c r="I104" s="310" t="str">
        <f>IFERROR(H104*Table236468[No of Products Produced]/$D104,"")</f>
        <v/>
      </c>
      <c r="J104" s="314" t="str">
        <f t="shared" si="11"/>
        <v/>
      </c>
      <c r="K104" s="316">
        <f>IFERROR(Table716670[[#This Row],[Cost of Raw Material Per Unit]]*Table216367[No. of Units in One Batch],0)</f>
        <v>0</v>
      </c>
      <c r="L104" s="316"/>
    </row>
    <row r="105" spans="1:12" ht="15" customHeight="1">
      <c r="A105" s="208"/>
      <c r="B105" s="310">
        <f>IFERROR(VLOOKUP($A105,Table16[#All],2,0),0)</f>
        <v>0</v>
      </c>
      <c r="C105" s="311">
        <f>IFERROR(VLOOKUP($A105,Table16[#All],5,0),0)</f>
        <v>0</v>
      </c>
      <c r="D105" s="312"/>
      <c r="E105" s="312"/>
      <c r="F105" s="310" t="str">
        <f t="shared" si="10"/>
        <v/>
      </c>
      <c r="G105" s="418"/>
      <c r="H105" s="303">
        <f>IFERROR(Table716670[[#This Row],[Batch Required Quantity using manufacturing unit (per unit)]]/Table216367[No. of Units in One Batch],0)</f>
        <v>0</v>
      </c>
      <c r="I105" s="310" t="str">
        <f>IFERROR(H105*Table236468[No of Products Produced]/$D105,"")</f>
        <v/>
      </c>
      <c r="J105" s="314" t="str">
        <f t="shared" si="11"/>
        <v/>
      </c>
      <c r="K105" s="316">
        <f>IFERROR(Table716670[[#This Row],[Cost of Raw Material Per Unit]]*Table216367[No. of Units in One Batch],0)</f>
        <v>0</v>
      </c>
      <c r="L105" s="316"/>
    </row>
    <row r="106" spans="1:12" ht="15" customHeight="1">
      <c r="A106" s="208"/>
      <c r="B106" s="310">
        <f>IFERROR(VLOOKUP($A106,Table16[#All],2,0),0)</f>
        <v>0</v>
      </c>
      <c r="C106" s="311">
        <f>IFERROR(VLOOKUP($A106,Table16[#All],5,0),0)</f>
        <v>0</v>
      </c>
      <c r="D106" s="312"/>
      <c r="E106" s="312"/>
      <c r="F106" s="310" t="str">
        <f t="shared" si="10"/>
        <v/>
      </c>
      <c r="G106" s="418"/>
      <c r="H106" s="303">
        <f>IFERROR(Table716670[[#This Row],[Batch Required Quantity using manufacturing unit (per unit)]]/Table216367[No. of Units in One Batch],0)</f>
        <v>0</v>
      </c>
      <c r="I106" s="310" t="str">
        <f>IFERROR(H106*Table236468[No of Products Produced]/$D106,"")</f>
        <v/>
      </c>
      <c r="J106" s="314" t="str">
        <f t="shared" si="11"/>
        <v/>
      </c>
      <c r="K106" s="316">
        <f>IFERROR(Table716670[[#This Row],[Cost of Raw Material Per Unit]]*Table216367[No. of Units in One Batch],0)</f>
        <v>0</v>
      </c>
      <c r="L106" s="316"/>
    </row>
    <row r="107" spans="1:12" ht="15" customHeight="1">
      <c r="A107" s="421"/>
      <c r="B107" s="310">
        <f>IFERROR(VLOOKUP($A107,Table16[#All],2,0),0)</f>
        <v>0</v>
      </c>
      <c r="C107" s="311">
        <f>IFERROR(VLOOKUP($A107,Table16[#All],5,0),0)</f>
        <v>0</v>
      </c>
      <c r="D107" s="312"/>
      <c r="E107" s="312"/>
      <c r="F107" s="310" t="str">
        <f>IFERROR(C107/D107,"")</f>
        <v/>
      </c>
      <c r="G107" s="418"/>
      <c r="H107" s="303">
        <f>IFERROR(Table716670[[#This Row],[Batch Required Quantity using manufacturing unit (per unit)]]/Table216367[No. of Units in One Batch],0)</f>
        <v>0</v>
      </c>
      <c r="I107" s="310" t="str">
        <f>IFERROR(H107*Table236468[No of Products Produced]/$D107,"")</f>
        <v/>
      </c>
      <c r="J107" s="314" t="str">
        <f t="shared" si="11"/>
        <v/>
      </c>
      <c r="K107" s="316">
        <f>IFERROR(Table716670[[#This Row],[Cost of Raw Material Per Unit]]*Table216367[No. of Units in One Batch],0)</f>
        <v>0</v>
      </c>
      <c r="L107" s="316"/>
    </row>
    <row r="108" spans="1:12" ht="15" customHeight="1">
      <c r="A108" s="208"/>
      <c r="B108" s="310">
        <f>IFERROR(VLOOKUP($A108,Table16[#All],2,0),0)</f>
        <v>0</v>
      </c>
      <c r="C108" s="311">
        <f>IFERROR(VLOOKUP($A108,Table16[#All],5,0),0)</f>
        <v>0</v>
      </c>
      <c r="D108" s="312"/>
      <c r="E108" s="312"/>
      <c r="F108" s="310" t="str">
        <f t="shared" ref="F108:F129" si="12">IFERROR(C108/D108,"")</f>
        <v/>
      </c>
      <c r="G108" s="418"/>
      <c r="H108" s="303">
        <f>IFERROR(Table716670[[#This Row],[Batch Required Quantity using manufacturing unit (per unit)]]/Table216367[No. of Units in One Batch],0)</f>
        <v>0</v>
      </c>
      <c r="I108" s="310" t="str">
        <f>IFERROR(H108*Table236468[No of Products Produced]/$D108,"")</f>
        <v/>
      </c>
      <c r="J108" s="314" t="str">
        <f t="shared" si="11"/>
        <v/>
      </c>
      <c r="K108" s="316">
        <f>IFERROR(Table716670[[#This Row],[Cost of Raw Material Per Unit]]*Table216367[No. of Units in One Batch],0)</f>
        <v>0</v>
      </c>
      <c r="L108" s="316"/>
    </row>
    <row r="109" spans="1:12" ht="15" customHeight="1">
      <c r="A109" s="208"/>
      <c r="B109" s="310">
        <f>IFERROR(VLOOKUP($A109,Table16[#All],2,0),0)</f>
        <v>0</v>
      </c>
      <c r="C109" s="311">
        <f>IFERROR(VLOOKUP($A109,Table16[#All],5,0),0)</f>
        <v>0</v>
      </c>
      <c r="D109" s="312"/>
      <c r="E109" s="312"/>
      <c r="F109" s="310" t="str">
        <f t="shared" si="12"/>
        <v/>
      </c>
      <c r="G109" s="418"/>
      <c r="H109" s="303">
        <f>IFERROR(Table716670[[#This Row],[Batch Required Quantity using manufacturing unit (per unit)]]/Table216367[No. of Units in One Batch],0)</f>
        <v>0</v>
      </c>
      <c r="I109" s="310" t="str">
        <f>IFERROR(H109*Table236468[No of Products Produced]/$D109,"")</f>
        <v/>
      </c>
      <c r="J109" s="314" t="str">
        <f t="shared" si="11"/>
        <v/>
      </c>
      <c r="K109" s="316">
        <f>IFERROR(Table716670[[#This Row],[Cost of Raw Material Per Unit]]*Table216367[No. of Units in One Batch],0)</f>
        <v>0</v>
      </c>
      <c r="L109" s="316"/>
    </row>
    <row r="110" spans="1:12" ht="15" customHeight="1">
      <c r="A110" s="208"/>
      <c r="B110" s="310">
        <f>IFERROR(VLOOKUP($A110,Table16[#All],2,0),0)</f>
        <v>0</v>
      </c>
      <c r="C110" s="311">
        <f>IFERROR(VLOOKUP($A110,Table16[#All],5,0),0)</f>
        <v>0</v>
      </c>
      <c r="D110" s="312"/>
      <c r="E110" s="312"/>
      <c r="F110" s="310" t="str">
        <f t="shared" si="12"/>
        <v/>
      </c>
      <c r="G110" s="418"/>
      <c r="H110" s="303">
        <f>IFERROR(Table716670[[#This Row],[Batch Required Quantity using manufacturing unit (per unit)]]/Table216367[No. of Units in One Batch],0)</f>
        <v>0</v>
      </c>
      <c r="I110" s="310" t="str">
        <f>IFERROR(H110*Table236468[No of Products Produced]/$D110,"")</f>
        <v/>
      </c>
      <c r="J110" s="314" t="str">
        <f t="shared" si="11"/>
        <v/>
      </c>
      <c r="K110" s="316">
        <f>IFERROR(Table716670[[#This Row],[Cost of Raw Material Per Unit]]*Table216367[No. of Units in One Batch],0)</f>
        <v>0</v>
      </c>
      <c r="L110" s="316"/>
    </row>
    <row r="111" spans="1:12" ht="15" customHeight="1">
      <c r="A111" s="421"/>
      <c r="B111" s="316">
        <f>IFERROR(VLOOKUP($A111,Table16[#All],2,0),0)</f>
        <v>0</v>
      </c>
      <c r="C111" s="317">
        <f>IFERROR(VLOOKUP($A111,Table16[#All],5,0),0)</f>
        <v>0</v>
      </c>
      <c r="D111" s="312"/>
      <c r="E111" s="318"/>
      <c r="F111" s="316" t="str">
        <f t="shared" si="12"/>
        <v/>
      </c>
      <c r="G111" s="419"/>
      <c r="H111" s="303">
        <f>IFERROR(Table716670[[#This Row],[Batch Required Quantity using manufacturing unit (per unit)]]/Table216367[No. of Units in One Batch],0)</f>
        <v>0</v>
      </c>
      <c r="I111" s="310" t="str">
        <f>IFERROR(H111*Table236468[No of Products Produced]/$D111,"")</f>
        <v/>
      </c>
      <c r="J111" s="321" t="str">
        <f t="shared" si="11"/>
        <v/>
      </c>
      <c r="K111" s="316">
        <f>IFERROR(Table716670[[#This Row],[Cost of Raw Material Per Unit]]*Table216367[No. of Units in One Batch],0)</f>
        <v>0</v>
      </c>
      <c r="L111" s="316"/>
    </row>
    <row r="112" spans="1:12" ht="15" customHeight="1">
      <c r="A112" s="421"/>
      <c r="B112" s="316">
        <f>IFERROR(VLOOKUP($A112,Table16[#All],2,0),0)</f>
        <v>0</v>
      </c>
      <c r="C112" s="317">
        <f>IFERROR(VLOOKUP($A112,Table16[#All],5,0),0)</f>
        <v>0</v>
      </c>
      <c r="D112" s="312"/>
      <c r="E112" s="318"/>
      <c r="F112" s="316" t="str">
        <f t="shared" si="12"/>
        <v/>
      </c>
      <c r="G112" s="419"/>
      <c r="H112" s="303">
        <f>IFERROR(Table716670[[#This Row],[Batch Required Quantity using manufacturing unit (per unit)]]/Table216367[No. of Units in One Batch],0)</f>
        <v>0</v>
      </c>
      <c r="I112" s="310" t="str">
        <f>IFERROR(H112*Table236468[No of Products Produced]/$D112,"")</f>
        <v/>
      </c>
      <c r="J112" s="321" t="str">
        <f t="shared" si="11"/>
        <v/>
      </c>
      <c r="K112" s="316">
        <f>IFERROR(Table716670[[#This Row],[Cost of Raw Material Per Unit]]*Table216367[No. of Units in One Batch],0)</f>
        <v>0</v>
      </c>
      <c r="L112" s="316"/>
    </row>
    <row r="113" spans="1:12" ht="15" customHeight="1">
      <c r="A113" s="421"/>
      <c r="B113" s="316">
        <f>IFERROR(VLOOKUP($A113,Table16[#All],2,0),0)</f>
        <v>0</v>
      </c>
      <c r="C113" s="317">
        <f>IFERROR(VLOOKUP($A113,Table16[#All],5,0),0)</f>
        <v>0</v>
      </c>
      <c r="D113" s="312"/>
      <c r="E113" s="318"/>
      <c r="F113" s="316" t="str">
        <f t="shared" si="12"/>
        <v/>
      </c>
      <c r="G113" s="419"/>
      <c r="H113" s="303">
        <f>IFERROR(Table716670[[#This Row],[Batch Required Quantity using manufacturing unit (per unit)]]/Table216367[No. of Units in One Batch],0)</f>
        <v>0</v>
      </c>
      <c r="I113" s="310" t="str">
        <f>IFERROR(H113*Table236468[No of Products Produced]/$D113,"")</f>
        <v/>
      </c>
      <c r="J113" s="321" t="str">
        <f t="shared" si="11"/>
        <v/>
      </c>
      <c r="K113" s="316">
        <f>IFERROR(Table716670[[#This Row],[Cost of Raw Material Per Unit]]*Table216367[No. of Units in One Batch],0)</f>
        <v>0</v>
      </c>
      <c r="L113" s="316"/>
    </row>
    <row r="114" spans="1:12" ht="15" customHeight="1">
      <c r="A114" s="421"/>
      <c r="B114" s="316">
        <f>IFERROR(VLOOKUP($A114,Table16[#All],2,0),0)</f>
        <v>0</v>
      </c>
      <c r="C114" s="317">
        <f>IFERROR(VLOOKUP($A114,Table16[#All],5,0),0)</f>
        <v>0</v>
      </c>
      <c r="D114" s="312"/>
      <c r="E114" s="318"/>
      <c r="F114" s="316" t="str">
        <f t="shared" si="12"/>
        <v/>
      </c>
      <c r="G114" s="419"/>
      <c r="H114" s="303">
        <f>IFERROR(Table716670[[#This Row],[Batch Required Quantity using manufacturing unit (per unit)]]/Table216367[No. of Units in One Batch],0)</f>
        <v>0</v>
      </c>
      <c r="I114" s="310" t="str">
        <f>IFERROR(H114*Table236468[No of Products Produced]/$D114,"")</f>
        <v/>
      </c>
      <c r="J114" s="321" t="str">
        <f t="shared" si="11"/>
        <v/>
      </c>
      <c r="K114" s="316">
        <f>IFERROR(Table716670[[#This Row],[Cost of Raw Material Per Unit]]*Table216367[No. of Units in One Batch],0)</f>
        <v>0</v>
      </c>
      <c r="L114" s="316"/>
    </row>
    <row r="115" spans="1:12" ht="15" customHeight="1">
      <c r="A115" s="420"/>
      <c r="B115" s="316">
        <f>IFERROR(VLOOKUP($A115,Table16[#All],2,0),0)</f>
        <v>0</v>
      </c>
      <c r="C115" s="317">
        <f>IFERROR(VLOOKUP($A115,Table16[#All],5,0),0)</f>
        <v>0</v>
      </c>
      <c r="D115" s="318"/>
      <c r="E115" s="318"/>
      <c r="F115" s="316" t="str">
        <f t="shared" si="12"/>
        <v/>
      </c>
      <c r="G115" s="320"/>
      <c r="H115" s="303">
        <f>IFERROR(Table716670[[#This Row],[Batch Required Quantity using manufacturing unit (per unit)]]/Table216367[No. of Units in One Batch],0)</f>
        <v>0</v>
      </c>
      <c r="I115" s="310" t="str">
        <f>IFERROR(H115*Table236468[No of Products Produced]/$D115,"")</f>
        <v/>
      </c>
      <c r="J115" s="321" t="str">
        <f t="shared" si="11"/>
        <v/>
      </c>
      <c r="K115" s="316">
        <f>IFERROR(Table716670[[#This Row],[Cost of Raw Material Per Unit]]*Table216367[No. of Units in One Batch],0)</f>
        <v>0</v>
      </c>
      <c r="L115" s="316"/>
    </row>
    <row r="116" spans="1:12" ht="15" customHeight="1">
      <c r="A116" s="316"/>
      <c r="B116" s="316">
        <f>IFERROR(VLOOKUP($A116,Table16[#All],2,0),0)</f>
        <v>0</v>
      </c>
      <c r="C116" s="317">
        <f>IFERROR(VLOOKUP($A116,Table16[#All],5,0),0)</f>
        <v>0</v>
      </c>
      <c r="D116" s="318"/>
      <c r="E116" s="318"/>
      <c r="F116" s="319" t="str">
        <f t="shared" si="12"/>
        <v/>
      </c>
      <c r="G116" s="320"/>
      <c r="H116" s="303">
        <f>IFERROR(Table716670[[#This Row],[Batch Required Quantity using manufacturing unit (per unit)]]/Table216367[No. of Units in One Batch],0)</f>
        <v>0</v>
      </c>
      <c r="I116" s="316" t="str">
        <f>IFERROR(H116*Table236468[No of Products Produced]/$D116,"")</f>
        <v/>
      </c>
      <c r="J116" s="321" t="str">
        <f t="shared" si="11"/>
        <v/>
      </c>
      <c r="K116" s="316">
        <f>IFERROR(Table716670[[#This Row],[Cost of Raw Material Per Unit]]*Table216367[No. of Units in One Batch],0)</f>
        <v>0</v>
      </c>
      <c r="L116" s="316"/>
    </row>
    <row r="117" spans="1:12" ht="15" customHeight="1">
      <c r="A117" s="316"/>
      <c r="B117" s="316">
        <f>IFERROR(VLOOKUP($A117,Table16[#All],2,0),0)</f>
        <v>0</v>
      </c>
      <c r="C117" s="317">
        <f>IFERROR(VLOOKUP($A117,Table16[#All],5,0),0)</f>
        <v>0</v>
      </c>
      <c r="D117" s="318"/>
      <c r="E117" s="318"/>
      <c r="F117" s="319" t="str">
        <f t="shared" si="12"/>
        <v/>
      </c>
      <c r="G117" s="320"/>
      <c r="H117" s="303">
        <f>IFERROR(Table716670[[#This Row],[Batch Required Quantity using manufacturing unit (per unit)]]/Table216367[No. of Units in One Batch],0)</f>
        <v>0</v>
      </c>
      <c r="I117" s="310" t="str">
        <f>IFERROR(H117*Table236468[No of Products Produced]/$D117,"")</f>
        <v/>
      </c>
      <c r="J117" s="321" t="str">
        <f t="shared" si="11"/>
        <v/>
      </c>
      <c r="K117" s="316">
        <f>IFERROR(Table716670[[#This Row],[Cost of Raw Material Per Unit]]*Table216367[No. of Units in One Batch],0)</f>
        <v>0</v>
      </c>
      <c r="L117" s="316"/>
    </row>
    <row r="118" spans="1:12" ht="15" customHeight="1">
      <c r="A118" s="310"/>
      <c r="B118" s="310">
        <f>IFERROR(VLOOKUP($A118,Table16[#All],2,0),0)</f>
        <v>0</v>
      </c>
      <c r="C118" s="311">
        <f>IFERROR(VLOOKUP($A118,Table16[#All],5,0),0)</f>
        <v>0</v>
      </c>
      <c r="D118" s="312"/>
      <c r="E118" s="312"/>
      <c r="F118" s="313" t="str">
        <f t="shared" si="12"/>
        <v/>
      </c>
      <c r="G118" s="315"/>
      <c r="H118" s="303">
        <f>IFERROR(Table716670[[#This Row],[Batch Required Quantity using manufacturing unit (per unit)]]/Table216367[No. of Units in One Batch],0)</f>
        <v>0</v>
      </c>
      <c r="I118" s="310" t="str">
        <f>IFERROR(H118*Table236468[No of Products Produced]/$D118,"")</f>
        <v/>
      </c>
      <c r="J118" s="314" t="str">
        <f t="shared" si="11"/>
        <v/>
      </c>
      <c r="K118" s="316">
        <f>IFERROR(Table716670[[#This Row],[Cost of Raw Material Per Unit]]*Table216367[No. of Units in One Batch],0)</f>
        <v>0</v>
      </c>
      <c r="L118" s="316"/>
    </row>
    <row r="119" spans="1:12" ht="15" customHeight="1">
      <c r="A119" s="316"/>
      <c r="B119" s="316">
        <f>IFERROR(VLOOKUP($A119,Table16[#All],2,0),0)</f>
        <v>0</v>
      </c>
      <c r="C119" s="317">
        <f>IFERROR(VLOOKUP($A119,Table16[#All],5,0),0)</f>
        <v>0</v>
      </c>
      <c r="D119" s="318"/>
      <c r="E119" s="318"/>
      <c r="F119" s="319" t="str">
        <f t="shared" si="12"/>
        <v/>
      </c>
      <c r="G119" s="320"/>
      <c r="H119" s="303">
        <f>IFERROR(Table716670[[#This Row],[Batch Required Quantity using manufacturing unit (per unit)]]/Table216367[No. of Units in One Batch],0)</f>
        <v>0</v>
      </c>
      <c r="I119" s="316" t="str">
        <f>IFERROR(H119*Table236468[No of Products Produced]/$D119,"")</f>
        <v/>
      </c>
      <c r="J119" s="321" t="str">
        <f t="shared" si="11"/>
        <v/>
      </c>
      <c r="K119" s="316">
        <f>IFERROR(Table716670[[#This Row],[Cost of Raw Material Per Unit]]*Table216367[No. of Units in One Batch],0)</f>
        <v>0</v>
      </c>
      <c r="L119" s="316"/>
    </row>
    <row r="120" spans="1:12" ht="15" customHeight="1">
      <c r="A120" s="316"/>
      <c r="B120" s="316">
        <f>IFERROR(VLOOKUP($A120,Table16[#All],2,0),0)</f>
        <v>0</v>
      </c>
      <c r="C120" s="317">
        <f>IFERROR(VLOOKUP($A120,Table16[#All],5,0),0)</f>
        <v>0</v>
      </c>
      <c r="D120" s="318"/>
      <c r="E120" s="318"/>
      <c r="F120" s="319" t="str">
        <f t="shared" si="12"/>
        <v/>
      </c>
      <c r="G120" s="320"/>
      <c r="H120" s="303">
        <f>IFERROR(Table716670[[#This Row],[Batch Required Quantity using manufacturing unit (per unit)]]/Table216367[No. of Units in One Batch],0)</f>
        <v>0</v>
      </c>
      <c r="I120" s="316" t="str">
        <f>IFERROR(H120*Table236468[No of Products Produced]/$D120,"")</f>
        <v/>
      </c>
      <c r="J120" s="321" t="str">
        <f t="shared" si="11"/>
        <v/>
      </c>
      <c r="K120" s="316">
        <f>IFERROR(Table716670[[#This Row],[Cost of Raw Material Per Unit]]*Table216367[No. of Units in One Batch],0)</f>
        <v>0</v>
      </c>
      <c r="L120" s="316"/>
    </row>
    <row r="121" spans="1:12" ht="15" customHeight="1">
      <c r="A121" s="316"/>
      <c r="B121" s="316">
        <f>IFERROR(VLOOKUP($A121,Table16[#All],2,0),0)</f>
        <v>0</v>
      </c>
      <c r="C121" s="317">
        <f>IFERROR(VLOOKUP($A121,Table16[#All],5,0),0)</f>
        <v>0</v>
      </c>
      <c r="D121" s="318"/>
      <c r="E121" s="318"/>
      <c r="F121" s="319" t="str">
        <f t="shared" si="12"/>
        <v/>
      </c>
      <c r="G121" s="320"/>
      <c r="H121" s="303">
        <f>IFERROR(Table716670[[#This Row],[Batch Required Quantity using manufacturing unit (per unit)]]/Table216367[No. of Units in One Batch],0)</f>
        <v>0</v>
      </c>
      <c r="I121" s="316" t="str">
        <f>IFERROR(H121*Table236468[No of Products Produced]/$D121,"")</f>
        <v/>
      </c>
      <c r="J121" s="321" t="str">
        <f t="shared" si="11"/>
        <v/>
      </c>
      <c r="K121" s="316">
        <f>IFERROR(Table716670[[#This Row],[Cost of Raw Material Per Unit]]*Table216367[No. of Units in One Batch],0)</f>
        <v>0</v>
      </c>
      <c r="L121" s="316"/>
    </row>
    <row r="122" spans="1:12" ht="15" customHeight="1">
      <c r="A122" s="316"/>
      <c r="B122" s="316">
        <f>IFERROR(VLOOKUP($A122,Table16[#All],2,0),0)</f>
        <v>0</v>
      </c>
      <c r="C122" s="317">
        <f>IFERROR(VLOOKUP($A122,Table16[#All],5,0),0)</f>
        <v>0</v>
      </c>
      <c r="D122" s="318"/>
      <c r="E122" s="318"/>
      <c r="F122" s="319" t="str">
        <f t="shared" si="12"/>
        <v/>
      </c>
      <c r="G122" s="320"/>
      <c r="H122" s="303">
        <f>IFERROR(Table716670[[#This Row],[Batch Required Quantity using manufacturing unit (per unit)]]/Table216367[No. of Units in One Batch],0)</f>
        <v>0</v>
      </c>
      <c r="I122" s="316" t="str">
        <f>IFERROR(H122*Table236468[No of Products Produced]/$D122,"")</f>
        <v/>
      </c>
      <c r="J122" s="321" t="str">
        <f t="shared" si="11"/>
        <v/>
      </c>
      <c r="K122" s="316">
        <f>IFERROR(Table716670[[#This Row],[Cost of Raw Material Per Unit]]*Table216367[No. of Units in One Batch],0)</f>
        <v>0</v>
      </c>
      <c r="L122" s="316"/>
    </row>
    <row r="123" spans="1:12" ht="15" customHeight="1">
      <c r="A123" s="316"/>
      <c r="B123" s="316">
        <f>IFERROR(VLOOKUP($A123,Table16[#All],2,0),0)</f>
        <v>0</v>
      </c>
      <c r="C123" s="317">
        <f>IFERROR(VLOOKUP($A123,Table16[#All],5,0),0)</f>
        <v>0</v>
      </c>
      <c r="D123" s="318"/>
      <c r="E123" s="318"/>
      <c r="F123" s="319" t="str">
        <f t="shared" si="12"/>
        <v/>
      </c>
      <c r="G123" s="320"/>
      <c r="H123" s="303">
        <f>IFERROR(Table716670[[#This Row],[Batch Required Quantity using manufacturing unit (per unit)]]/Table216367[No. of Units in One Batch],0)</f>
        <v>0</v>
      </c>
      <c r="I123" s="316" t="str">
        <f>IFERROR(H123*Table236468[No of Products Produced]/$D123,"")</f>
        <v/>
      </c>
      <c r="J123" s="321" t="str">
        <f t="shared" si="11"/>
        <v/>
      </c>
      <c r="K123" s="316">
        <f>IFERROR(Table716670[[#This Row],[Cost of Raw Material Per Unit]]*Table216367[No. of Units in One Batch],0)</f>
        <v>0</v>
      </c>
      <c r="L123" s="316"/>
    </row>
    <row r="124" spans="1:12" ht="15" customHeight="1">
      <c r="A124" s="316"/>
      <c r="B124" s="316">
        <f>IFERROR(VLOOKUP($A124,Table16[#All],2,0),0)</f>
        <v>0</v>
      </c>
      <c r="C124" s="317">
        <f>IFERROR(VLOOKUP($A124,Table16[#All],5,0),0)</f>
        <v>0</v>
      </c>
      <c r="D124" s="318"/>
      <c r="E124" s="318"/>
      <c r="F124" s="319" t="str">
        <f t="shared" si="12"/>
        <v/>
      </c>
      <c r="G124" s="320"/>
      <c r="H124" s="303">
        <f>IFERROR(Table716670[[#This Row],[Batch Required Quantity using manufacturing unit (per unit)]]/Table216367[No. of Units in One Batch],0)</f>
        <v>0</v>
      </c>
      <c r="I124" s="316" t="str">
        <f>IFERROR(H124*Table236468[No of Products Produced]/$D124,"")</f>
        <v/>
      </c>
      <c r="J124" s="321" t="str">
        <f t="shared" si="11"/>
        <v/>
      </c>
      <c r="K124" s="316">
        <f>IFERROR(Table716670[[#This Row],[Cost of Raw Material Per Unit]]*Table216367[No. of Units in One Batch],0)</f>
        <v>0</v>
      </c>
      <c r="L124" s="316"/>
    </row>
    <row r="125" spans="1:12" ht="15" customHeight="1">
      <c r="A125" s="316"/>
      <c r="B125" s="316">
        <f>IFERROR(VLOOKUP($A125,Table16[#All],2,0),0)</f>
        <v>0</v>
      </c>
      <c r="C125" s="317">
        <f>IFERROR(VLOOKUP($A125,Table16[#All],5,0),0)</f>
        <v>0</v>
      </c>
      <c r="D125" s="318"/>
      <c r="E125" s="318"/>
      <c r="F125" s="319" t="str">
        <f t="shared" si="12"/>
        <v/>
      </c>
      <c r="G125" s="320"/>
      <c r="H125" s="303">
        <f>IFERROR(Table716670[[#This Row],[Batch Required Quantity using manufacturing unit (per unit)]]/Table216367[No. of Units in One Batch],0)</f>
        <v>0</v>
      </c>
      <c r="I125" s="316" t="str">
        <f>IFERROR(H125*Table236468[No of Products Produced]/$D125,"")</f>
        <v/>
      </c>
      <c r="J125" s="321" t="str">
        <f t="shared" si="11"/>
        <v/>
      </c>
      <c r="K125" s="316">
        <f>IFERROR(Table716670[[#This Row],[Cost of Raw Material Per Unit]]*Table216367[No. of Units in One Batch],0)</f>
        <v>0</v>
      </c>
      <c r="L125" s="316"/>
    </row>
    <row r="126" spans="1:12" ht="15" customHeight="1">
      <c r="A126" s="316"/>
      <c r="B126" s="316">
        <f>IFERROR(VLOOKUP($A126,Table16[#All],2,0),0)</f>
        <v>0</v>
      </c>
      <c r="C126" s="317">
        <f>IFERROR(VLOOKUP($A126,Table16[#All],5,0),0)</f>
        <v>0</v>
      </c>
      <c r="D126" s="318"/>
      <c r="E126" s="318"/>
      <c r="F126" s="319" t="str">
        <f t="shared" si="12"/>
        <v/>
      </c>
      <c r="G126" s="320"/>
      <c r="H126" s="303">
        <f>IFERROR(Table716670[[#This Row],[Batch Required Quantity using manufacturing unit (per unit)]]/Table216367[No. of Units in One Batch],0)</f>
        <v>0</v>
      </c>
      <c r="I126" s="316" t="str">
        <f>IFERROR(H126*Table236468[No of Products Produced]/$D126,"")</f>
        <v/>
      </c>
      <c r="J126" s="321" t="str">
        <f t="shared" si="11"/>
        <v/>
      </c>
      <c r="K126" s="316">
        <f>IFERROR(Table716670[[#This Row],[Cost of Raw Material Per Unit]]*Table216367[No. of Units in One Batch],0)</f>
        <v>0</v>
      </c>
      <c r="L126" s="316"/>
    </row>
    <row r="127" spans="1:12" ht="15" customHeight="1">
      <c r="A127" s="316"/>
      <c r="B127" s="316">
        <f>IFERROR(VLOOKUP($A127,Table16[#All],2,0),0)</f>
        <v>0</v>
      </c>
      <c r="C127" s="317">
        <f>IFERROR(VLOOKUP($A127,Table16[#All],5,0),0)</f>
        <v>0</v>
      </c>
      <c r="D127" s="318"/>
      <c r="E127" s="318"/>
      <c r="F127" s="319" t="str">
        <f t="shared" si="12"/>
        <v/>
      </c>
      <c r="G127" s="320"/>
      <c r="H127" s="303">
        <f>IFERROR(Table716670[[#This Row],[Batch Required Quantity using manufacturing unit (per unit)]]/Table216367[No. of Units in One Batch],0)</f>
        <v>0</v>
      </c>
      <c r="I127" s="316" t="str">
        <f>IFERROR(H127*Table236468[No of Products Produced]/$D127,"")</f>
        <v/>
      </c>
      <c r="J127" s="321" t="str">
        <f t="shared" si="11"/>
        <v/>
      </c>
      <c r="K127" s="316">
        <f>IFERROR(Table716670[[#This Row],[Cost of Raw Material Per Unit]]*Table216367[No. of Units in One Batch],0)</f>
        <v>0</v>
      </c>
      <c r="L127" s="316"/>
    </row>
    <row r="128" spans="1:12" ht="15" customHeight="1">
      <c r="A128" s="316"/>
      <c r="B128" s="316">
        <f>IFERROR(VLOOKUP($A128,Table16[#All],2,0),0)</f>
        <v>0</v>
      </c>
      <c r="C128" s="317">
        <f>IFERROR(VLOOKUP($A128,Table16[#All],5,0),0)</f>
        <v>0</v>
      </c>
      <c r="D128" s="318"/>
      <c r="E128" s="318"/>
      <c r="F128" s="319" t="str">
        <f t="shared" si="12"/>
        <v/>
      </c>
      <c r="G128" s="320"/>
      <c r="H128" s="303">
        <f>IFERROR(Table716670[[#This Row],[Batch Required Quantity using manufacturing unit (per unit)]]/Table216367[No. of Units in One Batch],0)</f>
        <v>0</v>
      </c>
      <c r="I128" s="316" t="str">
        <f>IFERROR(H128*Table236468[No of Products Produced]/$D128,"")</f>
        <v/>
      </c>
      <c r="J128" s="321" t="str">
        <f t="shared" si="11"/>
        <v/>
      </c>
      <c r="K128" s="316">
        <f>IFERROR(Table716670[[#This Row],[Cost of Raw Material Per Unit]]*Table216367[No. of Units in One Batch],0)</f>
        <v>0</v>
      </c>
      <c r="L128" s="316"/>
    </row>
    <row r="129" spans="1:14" customFormat="1" ht="15" customHeight="1">
      <c r="A129" s="316"/>
      <c r="B129" s="316">
        <f>IFERROR(VLOOKUP($A129,Table16[#All],2,0),0)</f>
        <v>0</v>
      </c>
      <c r="C129" s="322">
        <f>IFERROR(VLOOKUP($A129,Table16[#All],5,0),0)</f>
        <v>0</v>
      </c>
      <c r="D129" s="318"/>
      <c r="E129" s="318"/>
      <c r="F129" s="319" t="str">
        <f t="shared" si="12"/>
        <v/>
      </c>
      <c r="G129" s="320"/>
      <c r="H129" s="303">
        <f>IFERROR(Table716670[[#This Row],[Batch Required Quantity using manufacturing unit (per unit)]]/Table216367[No. of Units in One Batch],0)</f>
        <v>0</v>
      </c>
      <c r="I129" s="316" t="str">
        <f>IFERROR(H129*Table236468[No of Products Produced]/$D129,"")</f>
        <v/>
      </c>
      <c r="J129" s="321" t="str">
        <f t="shared" si="11"/>
        <v/>
      </c>
      <c r="K129" s="316">
        <f>IFERROR(Table716670[[#This Row],[Cost of Raw Material Per Unit]]*Table216367[No. of Units in One Batch],0)</f>
        <v>0</v>
      </c>
      <c r="L129" s="316"/>
    </row>
    <row r="130" spans="1:14" customFormat="1" ht="15" customHeight="1">
      <c r="A130" s="316"/>
      <c r="B130" s="316">
        <f>IFERROR(VLOOKUP($A130,Table16[#All],2,0),0)</f>
        <v>0</v>
      </c>
      <c r="C130" s="322">
        <f>IFERROR(VLOOKUP($A130,Table16[#All],5,0),0)</f>
        <v>0</v>
      </c>
      <c r="D130" s="318"/>
      <c r="E130" s="318"/>
      <c r="F130" s="319" t="str">
        <f>IFERROR(C130/D130,"")</f>
        <v/>
      </c>
      <c r="G130" s="320"/>
      <c r="H130" s="303">
        <f>IFERROR(Table716670[[#This Row],[Batch Required Quantity using manufacturing unit (per unit)]]/Table216367[No. of Units in One Batch],0)</f>
        <v>0</v>
      </c>
      <c r="I130" s="316" t="str">
        <f>IFERROR(H130*Table236468[No of Products Produced]/$D130,"")</f>
        <v/>
      </c>
      <c r="J130" s="321" t="str">
        <f t="shared" si="11"/>
        <v/>
      </c>
      <c r="K130" s="316">
        <f>IFERROR(Table716670[[#This Row],[Cost of Raw Material Per Unit]]*Table216367[No. of Units in One Batch],0)</f>
        <v>0</v>
      </c>
      <c r="L130" s="316"/>
    </row>
    <row r="131" spans="1:14" ht="39" customHeight="1">
      <c r="A131"/>
      <c r="B131"/>
      <c r="C131"/>
      <c r="D131"/>
      <c r="E131"/>
      <c r="F131"/>
      <c r="G131"/>
      <c r="H131"/>
      <c r="I131"/>
      <c r="J131"/>
      <c r="K131"/>
      <c r="L131"/>
      <c r="M131"/>
      <c r="N131"/>
    </row>
    <row r="132" spans="1:14" ht="30" customHeight="1">
      <c r="A132"/>
      <c r="B132"/>
      <c r="C132"/>
      <c r="D132"/>
      <c r="E132"/>
      <c r="F132"/>
      <c r="G132"/>
      <c r="H132"/>
      <c r="I132"/>
      <c r="J132"/>
      <c r="K132"/>
      <c r="L132"/>
      <c r="M132"/>
      <c r="N132"/>
    </row>
    <row r="133" spans="1:14" s="263" customFormat="1" ht="24" customHeight="1">
      <c r="A133"/>
      <c r="B133"/>
      <c r="C133"/>
      <c r="D133"/>
      <c r="E133"/>
      <c r="F133"/>
      <c r="G133"/>
      <c r="H133"/>
      <c r="I133"/>
      <c r="J133"/>
      <c r="K133"/>
      <c r="L133"/>
      <c r="M133"/>
      <c r="N133"/>
    </row>
    <row r="134" spans="1:14" ht="15" customHeight="1">
      <c r="A134"/>
      <c r="B134"/>
      <c r="C134"/>
      <c r="D134"/>
      <c r="E134"/>
      <c r="F134"/>
      <c r="G134"/>
      <c r="H134"/>
      <c r="I134"/>
      <c r="J134"/>
      <c r="K134"/>
      <c r="L134"/>
      <c r="M134"/>
      <c r="N134"/>
    </row>
    <row r="135" spans="1:14">
      <c r="A135"/>
      <c r="B135"/>
      <c r="C135"/>
      <c r="D135"/>
      <c r="E135"/>
      <c r="F135"/>
      <c r="G135"/>
      <c r="H135"/>
      <c r="I135"/>
      <c r="J135"/>
      <c r="K135"/>
      <c r="L135"/>
      <c r="M135"/>
      <c r="N135"/>
    </row>
    <row r="136" spans="1:14" s="263" customFormat="1" ht="15" customHeight="1">
      <c r="A136"/>
      <c r="B136"/>
      <c r="C136"/>
      <c r="D136"/>
      <c r="E136"/>
      <c r="F136"/>
      <c r="G136"/>
      <c r="H136"/>
      <c r="I136"/>
      <c r="J136"/>
      <c r="K136"/>
      <c r="L136"/>
      <c r="M136"/>
      <c r="N136"/>
    </row>
    <row r="137" spans="1:14" ht="15" customHeight="1">
      <c r="A137"/>
      <c r="B137"/>
      <c r="C137"/>
      <c r="D137"/>
      <c r="E137"/>
      <c r="F137"/>
      <c r="G137"/>
      <c r="H137"/>
      <c r="I137"/>
      <c r="J137"/>
      <c r="K137"/>
      <c r="L137"/>
      <c r="M137"/>
      <c r="N137"/>
    </row>
    <row r="138" spans="1:14" ht="30" customHeight="1">
      <c r="A138"/>
      <c r="B138"/>
      <c r="C138"/>
      <c r="D138"/>
      <c r="E138"/>
      <c r="F138"/>
      <c r="G138"/>
      <c r="H138"/>
      <c r="I138"/>
      <c r="J138"/>
      <c r="K138"/>
      <c r="L138"/>
      <c r="M138"/>
      <c r="N138"/>
    </row>
    <row r="139" spans="1:14" s="263" customFormat="1" ht="15" customHeight="1">
      <c r="A139"/>
      <c r="B139"/>
      <c r="C139"/>
      <c r="D139"/>
      <c r="E139"/>
      <c r="F139"/>
      <c r="G139"/>
      <c r="H139"/>
      <c r="I139"/>
      <c r="J139"/>
      <c r="K139"/>
      <c r="L139"/>
      <c r="M139"/>
      <c r="N139"/>
    </row>
    <row r="140" spans="1:14" s="263" customFormat="1" ht="15" customHeight="1">
      <c r="A140"/>
      <c r="B140"/>
      <c r="C140"/>
      <c r="D140"/>
      <c r="E140"/>
      <c r="F140"/>
      <c r="G140"/>
      <c r="H140"/>
      <c r="I140"/>
      <c r="J140"/>
      <c r="K140"/>
      <c r="L140"/>
      <c r="M140"/>
      <c r="N140"/>
    </row>
    <row r="141" spans="1:14" ht="21.75" customHeight="1">
      <c r="A141"/>
      <c r="B141"/>
      <c r="C141"/>
      <c r="D141"/>
      <c r="E141"/>
      <c r="F141"/>
      <c r="G141"/>
      <c r="H141"/>
      <c r="I141"/>
      <c r="J141"/>
      <c r="K141"/>
      <c r="L141"/>
      <c r="M141"/>
      <c r="N141"/>
    </row>
    <row r="142" spans="1:14" ht="66.75" customHeight="1">
      <c r="A142"/>
      <c r="B142"/>
      <c r="C142"/>
      <c r="D142"/>
      <c r="E142"/>
      <c r="F142"/>
      <c r="G142"/>
      <c r="H142"/>
      <c r="I142"/>
      <c r="J142"/>
      <c r="K142"/>
      <c r="L142"/>
      <c r="M142"/>
      <c r="N142"/>
    </row>
    <row r="143" spans="1:14" ht="15" customHeight="1">
      <c r="A143"/>
      <c r="B143"/>
      <c r="C143"/>
      <c r="D143"/>
      <c r="E143"/>
      <c r="F143"/>
      <c r="G143"/>
      <c r="H143"/>
      <c r="I143"/>
      <c r="J143"/>
      <c r="K143"/>
      <c r="L143"/>
      <c r="M143"/>
      <c r="N143"/>
    </row>
    <row r="144" spans="1:14" ht="15" customHeight="1">
      <c r="A144"/>
      <c r="B144"/>
      <c r="C144"/>
      <c r="D144"/>
      <c r="E144"/>
      <c r="F144"/>
      <c r="G144"/>
      <c r="H144"/>
      <c r="I144"/>
      <c r="J144"/>
      <c r="K144"/>
      <c r="L144"/>
      <c r="M144"/>
      <c r="N144"/>
    </row>
    <row r="145" spans="1:14" ht="15" customHeight="1">
      <c r="A145"/>
      <c r="B145"/>
      <c r="C145"/>
      <c r="D145"/>
      <c r="E145"/>
      <c r="F145"/>
      <c r="G145"/>
      <c r="H145"/>
      <c r="I145"/>
      <c r="J145"/>
      <c r="K145"/>
      <c r="L145"/>
      <c r="M145"/>
      <c r="N145"/>
    </row>
    <row r="146" spans="1:14" ht="15" customHeight="1">
      <c r="A146"/>
      <c r="B146"/>
      <c r="C146"/>
      <c r="D146"/>
      <c r="E146"/>
      <c r="F146"/>
      <c r="G146"/>
      <c r="H146"/>
      <c r="I146"/>
      <c r="J146"/>
      <c r="K146"/>
      <c r="L146"/>
      <c r="M146"/>
      <c r="N146"/>
    </row>
    <row r="147" spans="1:14" ht="15" customHeight="1">
      <c r="A147"/>
      <c r="B147"/>
      <c r="C147"/>
      <c r="D147"/>
      <c r="E147"/>
      <c r="F147"/>
      <c r="G147"/>
      <c r="H147"/>
      <c r="I147"/>
      <c r="J147"/>
      <c r="K147"/>
      <c r="L147"/>
      <c r="M147"/>
      <c r="N147"/>
    </row>
    <row r="148" spans="1:14" ht="15" customHeight="1">
      <c r="A148"/>
      <c r="B148"/>
      <c r="C148"/>
      <c r="D148"/>
      <c r="E148"/>
      <c r="F148"/>
      <c r="G148"/>
      <c r="H148"/>
      <c r="I148"/>
      <c r="J148"/>
      <c r="K148"/>
      <c r="L148"/>
      <c r="M148"/>
      <c r="N148"/>
    </row>
    <row r="149" spans="1:14" ht="15" customHeight="1">
      <c r="A149"/>
      <c r="B149"/>
      <c r="C149"/>
      <c r="D149"/>
      <c r="E149"/>
      <c r="F149"/>
      <c r="G149"/>
      <c r="H149"/>
      <c r="I149"/>
      <c r="J149"/>
      <c r="K149"/>
      <c r="L149"/>
      <c r="M149"/>
      <c r="N149"/>
    </row>
    <row r="150" spans="1:14" ht="15" customHeight="1">
      <c r="A150"/>
      <c r="B150"/>
      <c r="C150"/>
      <c r="D150"/>
      <c r="E150"/>
      <c r="F150"/>
      <c r="G150"/>
      <c r="H150"/>
      <c r="I150"/>
      <c r="J150"/>
      <c r="K150"/>
      <c r="L150"/>
      <c r="M150"/>
      <c r="N150"/>
    </row>
    <row r="151" spans="1:14" ht="15" customHeight="1">
      <c r="A151"/>
      <c r="B151"/>
      <c r="C151"/>
      <c r="D151"/>
      <c r="E151"/>
      <c r="F151"/>
      <c r="G151"/>
      <c r="H151"/>
      <c r="I151"/>
      <c r="J151"/>
      <c r="K151"/>
      <c r="L151"/>
      <c r="M151"/>
      <c r="N151"/>
    </row>
    <row r="152" spans="1:14" ht="15" customHeight="1">
      <c r="A152"/>
      <c r="B152"/>
      <c r="C152"/>
      <c r="D152"/>
      <c r="E152"/>
      <c r="F152"/>
      <c r="G152"/>
      <c r="H152"/>
      <c r="I152"/>
      <c r="J152"/>
      <c r="K152"/>
      <c r="L152"/>
      <c r="M152"/>
      <c r="N152"/>
    </row>
    <row r="153" spans="1:14" ht="15" customHeight="1">
      <c r="A153"/>
      <c r="B153"/>
      <c r="C153"/>
      <c r="D153"/>
      <c r="E153"/>
      <c r="F153"/>
      <c r="G153"/>
      <c r="H153"/>
      <c r="I153"/>
      <c r="J153"/>
      <c r="K153"/>
      <c r="L153"/>
      <c r="M153"/>
      <c r="N153"/>
    </row>
    <row r="154" spans="1:14" ht="15" customHeight="1">
      <c r="A154"/>
      <c r="B154"/>
      <c r="C154"/>
      <c r="D154"/>
      <c r="E154"/>
      <c r="F154"/>
      <c r="G154"/>
      <c r="H154"/>
      <c r="I154"/>
      <c r="J154"/>
      <c r="K154"/>
      <c r="L154"/>
      <c r="M154"/>
      <c r="N154"/>
    </row>
    <row r="155" spans="1:14" ht="15" customHeight="1">
      <c r="A155"/>
      <c r="B155"/>
      <c r="C155"/>
      <c r="D155"/>
      <c r="E155"/>
      <c r="F155"/>
      <c r="G155"/>
      <c r="H155"/>
      <c r="I155"/>
      <c r="J155"/>
      <c r="K155"/>
      <c r="L155"/>
      <c r="M155"/>
      <c r="N155"/>
    </row>
    <row r="156" spans="1:14" ht="15" customHeight="1">
      <c r="A156"/>
      <c r="B156"/>
      <c r="C156"/>
      <c r="D156"/>
      <c r="E156"/>
      <c r="F156"/>
      <c r="G156"/>
      <c r="H156"/>
      <c r="I156"/>
      <c r="J156"/>
      <c r="K156"/>
      <c r="L156"/>
      <c r="M156"/>
      <c r="N156"/>
    </row>
    <row r="157" spans="1:14" ht="15" customHeight="1">
      <c r="A157"/>
      <c r="B157"/>
      <c r="C157"/>
      <c r="D157"/>
      <c r="E157"/>
      <c r="F157"/>
      <c r="G157"/>
      <c r="H157"/>
      <c r="I157"/>
      <c r="J157"/>
      <c r="K157"/>
      <c r="L157"/>
      <c r="M157"/>
      <c r="N157"/>
    </row>
    <row r="158" spans="1:14" ht="15" customHeight="1">
      <c r="A158"/>
      <c r="B158"/>
      <c r="C158"/>
      <c r="D158"/>
      <c r="E158"/>
      <c r="F158"/>
      <c r="G158"/>
      <c r="H158"/>
      <c r="I158"/>
      <c r="J158"/>
      <c r="K158"/>
      <c r="L158"/>
      <c r="M158"/>
      <c r="N158"/>
    </row>
    <row r="159" spans="1:14" ht="15" customHeight="1">
      <c r="A159"/>
      <c r="B159"/>
      <c r="C159"/>
      <c r="D159"/>
      <c r="E159"/>
      <c r="F159"/>
      <c r="G159"/>
      <c r="H159"/>
      <c r="I159"/>
      <c r="J159"/>
      <c r="K159"/>
      <c r="L159"/>
      <c r="M159"/>
      <c r="N159"/>
    </row>
    <row r="160" spans="1:14" ht="15" customHeight="1">
      <c r="A160"/>
      <c r="B160"/>
      <c r="C160"/>
      <c r="D160"/>
      <c r="E160"/>
      <c r="F160"/>
      <c r="G160"/>
      <c r="H160"/>
      <c r="I160"/>
      <c r="J160"/>
      <c r="K160"/>
      <c r="L160"/>
      <c r="M160"/>
      <c r="N160"/>
    </row>
    <row r="161" spans="1:14" ht="15" customHeight="1">
      <c r="A161"/>
      <c r="B161"/>
      <c r="C161"/>
      <c r="D161"/>
      <c r="E161"/>
      <c r="F161"/>
      <c r="G161"/>
      <c r="H161"/>
      <c r="I161"/>
      <c r="J161"/>
      <c r="K161"/>
      <c r="L161"/>
      <c r="M161"/>
      <c r="N161"/>
    </row>
    <row r="162" spans="1:14" ht="15" customHeight="1">
      <c r="A162"/>
      <c r="B162"/>
      <c r="C162"/>
      <c r="D162"/>
      <c r="E162"/>
      <c r="F162"/>
      <c r="G162"/>
      <c r="H162"/>
      <c r="I162"/>
      <c r="J162"/>
      <c r="K162"/>
      <c r="L162"/>
      <c r="M162"/>
      <c r="N162"/>
    </row>
    <row r="163" spans="1:14" ht="15" customHeight="1">
      <c r="A163"/>
      <c r="B163"/>
      <c r="C163"/>
      <c r="D163"/>
      <c r="E163"/>
      <c r="F163"/>
      <c r="G163"/>
      <c r="H163"/>
      <c r="I163"/>
      <c r="J163"/>
      <c r="K163"/>
      <c r="L163"/>
      <c r="M163"/>
      <c r="N163"/>
    </row>
    <row r="164" spans="1:14" ht="15" customHeight="1">
      <c r="A164"/>
      <c r="B164"/>
      <c r="C164"/>
      <c r="D164"/>
      <c r="E164"/>
      <c r="F164"/>
      <c r="G164"/>
      <c r="H164"/>
      <c r="I164"/>
      <c r="J164"/>
      <c r="K164"/>
      <c r="L164"/>
      <c r="M164"/>
      <c r="N164"/>
    </row>
    <row r="165" spans="1:14" ht="15" customHeight="1">
      <c r="A165"/>
      <c r="B165"/>
      <c r="C165"/>
      <c r="D165"/>
      <c r="E165"/>
      <c r="F165"/>
      <c r="G165"/>
      <c r="H165"/>
      <c r="I165"/>
      <c r="J165"/>
      <c r="K165"/>
      <c r="L165"/>
      <c r="M165"/>
      <c r="N165"/>
    </row>
    <row r="166" spans="1:14" ht="15" customHeight="1">
      <c r="A166"/>
      <c r="B166"/>
      <c r="C166"/>
      <c r="D166"/>
      <c r="E166"/>
      <c r="F166"/>
      <c r="G166"/>
      <c r="H166"/>
      <c r="I166"/>
      <c r="J166"/>
      <c r="K166"/>
      <c r="L166"/>
      <c r="M166"/>
      <c r="N166"/>
    </row>
    <row r="167" spans="1:14" ht="15" customHeight="1">
      <c r="A167"/>
      <c r="B167"/>
      <c r="C167"/>
      <c r="D167"/>
      <c r="E167"/>
      <c r="F167"/>
      <c r="G167"/>
      <c r="H167"/>
      <c r="I167"/>
      <c r="J167"/>
      <c r="K167"/>
      <c r="L167"/>
      <c r="M167"/>
      <c r="N167"/>
    </row>
    <row r="168" spans="1:14" ht="15" customHeight="1">
      <c r="A168"/>
      <c r="B168"/>
      <c r="C168"/>
      <c r="D168"/>
      <c r="E168"/>
      <c r="F168"/>
      <c r="G168"/>
      <c r="H168"/>
      <c r="I168"/>
      <c r="J168"/>
      <c r="K168"/>
      <c r="L168"/>
      <c r="M168"/>
      <c r="N168"/>
    </row>
    <row r="169" spans="1:14" ht="15" customHeight="1">
      <c r="A169"/>
      <c r="B169"/>
      <c r="C169"/>
      <c r="D169"/>
      <c r="E169"/>
      <c r="F169"/>
      <c r="G169"/>
      <c r="H169"/>
      <c r="I169"/>
      <c r="J169"/>
      <c r="K169"/>
      <c r="L169"/>
      <c r="M169"/>
      <c r="N169"/>
    </row>
    <row r="170" spans="1:14" ht="15" customHeight="1">
      <c r="A170"/>
      <c r="B170"/>
      <c r="C170"/>
      <c r="D170"/>
      <c r="E170"/>
      <c r="F170"/>
      <c r="G170"/>
      <c r="H170"/>
      <c r="I170"/>
      <c r="J170"/>
      <c r="K170"/>
      <c r="L170"/>
      <c r="M170"/>
      <c r="N170"/>
    </row>
    <row r="171" spans="1:14" customFormat="1" ht="15" customHeight="1"/>
    <row r="172" spans="1:14" customFormat="1" ht="15" customHeight="1"/>
    <row r="173" spans="1:14" ht="39" customHeight="1">
      <c r="A173"/>
      <c r="B173"/>
      <c r="C173"/>
      <c r="D173"/>
      <c r="E173"/>
      <c r="F173"/>
      <c r="G173"/>
      <c r="H173"/>
      <c r="I173"/>
      <c r="J173"/>
      <c r="K173"/>
      <c r="L173"/>
      <c r="M173"/>
      <c r="N173"/>
    </row>
    <row r="174" spans="1:14" ht="30" customHeight="1">
      <c r="A174"/>
      <c r="B174"/>
      <c r="C174"/>
      <c r="D174"/>
      <c r="E174"/>
      <c r="F174"/>
      <c r="G174"/>
      <c r="H174"/>
      <c r="I174"/>
      <c r="J174"/>
      <c r="K174"/>
      <c r="L174"/>
      <c r="M174"/>
      <c r="N174"/>
    </row>
    <row r="175" spans="1:14" s="263" customFormat="1" ht="24" customHeight="1">
      <c r="A175"/>
      <c r="B175"/>
      <c r="C175"/>
      <c r="D175"/>
      <c r="E175"/>
      <c r="F175"/>
      <c r="G175"/>
      <c r="H175"/>
      <c r="I175"/>
      <c r="J175"/>
      <c r="K175"/>
      <c r="L175"/>
      <c r="M175"/>
      <c r="N175"/>
    </row>
    <row r="176" spans="1:14" ht="15" customHeight="1">
      <c r="A176"/>
      <c r="B176"/>
      <c r="C176"/>
      <c r="D176"/>
      <c r="E176"/>
      <c r="F176"/>
      <c r="G176"/>
      <c r="H176"/>
      <c r="I176"/>
      <c r="J176"/>
      <c r="K176"/>
      <c r="L176"/>
      <c r="M176"/>
      <c r="N176"/>
    </row>
    <row r="177" spans="1:14">
      <c r="A177"/>
      <c r="B177"/>
      <c r="C177"/>
      <c r="D177"/>
      <c r="E177"/>
      <c r="F177"/>
      <c r="G177"/>
      <c r="H177"/>
      <c r="I177"/>
      <c r="J177"/>
      <c r="K177"/>
      <c r="L177"/>
      <c r="M177"/>
      <c r="N177"/>
    </row>
    <row r="178" spans="1:14" s="263" customFormat="1" ht="15" customHeight="1">
      <c r="A178"/>
      <c r="B178"/>
      <c r="C178"/>
      <c r="D178"/>
      <c r="E178"/>
      <c r="F178"/>
      <c r="G178"/>
      <c r="H178"/>
      <c r="I178"/>
      <c r="J178"/>
      <c r="K178"/>
      <c r="L178"/>
      <c r="M178"/>
      <c r="N178"/>
    </row>
    <row r="179" spans="1:14" ht="15" customHeight="1">
      <c r="A179"/>
      <c r="B179"/>
      <c r="C179"/>
      <c r="D179"/>
      <c r="E179"/>
      <c r="F179"/>
      <c r="G179"/>
      <c r="H179"/>
      <c r="I179"/>
      <c r="J179"/>
      <c r="K179"/>
      <c r="L179"/>
      <c r="M179"/>
      <c r="N179"/>
    </row>
    <row r="180" spans="1:14" ht="30" customHeight="1">
      <c r="A180"/>
      <c r="B180"/>
      <c r="C180"/>
      <c r="D180"/>
      <c r="E180"/>
      <c r="F180"/>
      <c r="G180"/>
      <c r="H180"/>
      <c r="I180"/>
      <c r="J180"/>
      <c r="K180"/>
      <c r="L180"/>
      <c r="M180"/>
      <c r="N180"/>
    </row>
    <row r="181" spans="1:14" s="263" customFormat="1" ht="15" customHeight="1">
      <c r="A181"/>
      <c r="B181"/>
      <c r="C181"/>
      <c r="D181"/>
      <c r="E181"/>
      <c r="F181"/>
      <c r="G181"/>
      <c r="H181"/>
      <c r="I181"/>
      <c r="J181"/>
      <c r="K181"/>
      <c r="L181"/>
      <c r="M181"/>
      <c r="N181"/>
    </row>
    <row r="182" spans="1:14" s="263" customFormat="1" ht="15" customHeight="1">
      <c r="A182"/>
      <c r="B182"/>
      <c r="C182"/>
      <c r="D182"/>
      <c r="E182"/>
      <c r="F182"/>
      <c r="G182"/>
      <c r="H182"/>
      <c r="I182"/>
      <c r="J182"/>
      <c r="K182"/>
      <c r="L182"/>
      <c r="M182"/>
      <c r="N182"/>
    </row>
    <row r="183" spans="1:14" ht="21.75" customHeight="1">
      <c r="A183"/>
      <c r="B183"/>
      <c r="C183"/>
      <c r="D183"/>
      <c r="E183"/>
      <c r="F183"/>
      <c r="G183"/>
      <c r="H183"/>
      <c r="I183"/>
      <c r="J183"/>
      <c r="K183"/>
      <c r="L183"/>
      <c r="M183"/>
      <c r="N183"/>
    </row>
    <row r="184" spans="1:14" ht="66.75" customHeight="1">
      <c r="A184"/>
      <c r="B184"/>
      <c r="C184"/>
      <c r="D184"/>
      <c r="E184"/>
      <c r="F184"/>
      <c r="G184"/>
      <c r="H184"/>
      <c r="I184"/>
      <c r="J184"/>
      <c r="K184"/>
      <c r="L184"/>
      <c r="M184"/>
      <c r="N184"/>
    </row>
    <row r="185" spans="1:14" ht="15" customHeight="1">
      <c r="A185"/>
      <c r="B185"/>
      <c r="C185"/>
      <c r="D185"/>
      <c r="E185"/>
      <c r="F185"/>
      <c r="G185"/>
      <c r="H185"/>
      <c r="I185"/>
      <c r="J185"/>
      <c r="K185"/>
      <c r="L185"/>
      <c r="M185"/>
      <c r="N185"/>
    </row>
    <row r="186" spans="1:14" ht="15" customHeight="1">
      <c r="A186"/>
      <c r="B186"/>
      <c r="C186"/>
      <c r="D186"/>
      <c r="E186"/>
      <c r="F186"/>
      <c r="G186"/>
      <c r="H186"/>
      <c r="I186"/>
      <c r="J186"/>
      <c r="K186"/>
      <c r="L186"/>
      <c r="M186"/>
      <c r="N186"/>
    </row>
    <row r="187" spans="1:14" ht="15" customHeight="1">
      <c r="A187"/>
      <c r="B187"/>
      <c r="C187"/>
      <c r="D187"/>
      <c r="E187"/>
      <c r="F187"/>
      <c r="G187"/>
      <c r="H187"/>
      <c r="I187"/>
      <c r="J187"/>
      <c r="K187"/>
      <c r="L187"/>
      <c r="M187"/>
      <c r="N187"/>
    </row>
    <row r="188" spans="1:14" ht="15" customHeight="1">
      <c r="A188"/>
      <c r="B188"/>
      <c r="C188"/>
      <c r="D188"/>
      <c r="E188"/>
      <c r="F188"/>
      <c r="G188"/>
      <c r="H188"/>
      <c r="I188"/>
      <c r="J188"/>
      <c r="K188"/>
      <c r="L188"/>
      <c r="M188"/>
      <c r="N188"/>
    </row>
    <row r="189" spans="1:14" ht="15" customHeight="1">
      <c r="A189"/>
      <c r="B189"/>
      <c r="C189"/>
      <c r="D189"/>
      <c r="E189"/>
      <c r="F189"/>
      <c r="G189"/>
      <c r="H189"/>
      <c r="I189"/>
      <c r="J189"/>
      <c r="K189"/>
      <c r="L189"/>
      <c r="M189"/>
      <c r="N189"/>
    </row>
    <row r="190" spans="1:14" ht="15" customHeight="1">
      <c r="A190"/>
      <c r="B190"/>
      <c r="C190"/>
      <c r="D190"/>
      <c r="E190"/>
      <c r="F190"/>
      <c r="G190"/>
      <c r="H190"/>
      <c r="I190"/>
      <c r="J190"/>
      <c r="K190"/>
      <c r="L190"/>
      <c r="M190"/>
      <c r="N190"/>
    </row>
    <row r="191" spans="1:14" ht="15" customHeight="1">
      <c r="A191"/>
      <c r="B191"/>
      <c r="C191"/>
      <c r="D191"/>
      <c r="E191"/>
      <c r="F191"/>
      <c r="G191"/>
      <c r="H191"/>
      <c r="I191"/>
      <c r="J191"/>
      <c r="K191"/>
      <c r="L191"/>
      <c r="M191"/>
      <c r="N191"/>
    </row>
    <row r="192" spans="1:14" ht="15" customHeight="1">
      <c r="A192"/>
      <c r="B192"/>
      <c r="C192"/>
      <c r="D192"/>
      <c r="E192"/>
      <c r="F192"/>
      <c r="G192"/>
      <c r="H192"/>
      <c r="I192"/>
      <c r="J192"/>
      <c r="K192"/>
      <c r="L192"/>
      <c r="M192"/>
      <c r="N192"/>
    </row>
    <row r="193" spans="1:14" ht="15" customHeight="1">
      <c r="A193"/>
      <c r="B193"/>
      <c r="C193"/>
      <c r="D193"/>
      <c r="E193"/>
      <c r="F193"/>
      <c r="G193"/>
      <c r="H193"/>
      <c r="I193"/>
      <c r="J193"/>
      <c r="K193"/>
      <c r="L193"/>
      <c r="M193"/>
      <c r="N193"/>
    </row>
    <row r="194" spans="1:14" ht="15" customHeight="1">
      <c r="A194"/>
      <c r="B194"/>
      <c r="C194"/>
      <c r="D194"/>
      <c r="E194"/>
      <c r="F194"/>
      <c r="G194"/>
      <c r="H194"/>
      <c r="I194"/>
      <c r="J194"/>
      <c r="K194"/>
      <c r="L194"/>
      <c r="M194"/>
      <c r="N194"/>
    </row>
    <row r="195" spans="1:14" ht="15" customHeight="1">
      <c r="A195"/>
      <c r="B195"/>
      <c r="C195"/>
      <c r="D195"/>
      <c r="E195"/>
      <c r="F195"/>
      <c r="G195"/>
      <c r="H195"/>
      <c r="I195"/>
      <c r="J195"/>
      <c r="K195"/>
      <c r="L195"/>
      <c r="M195"/>
      <c r="N195"/>
    </row>
    <row r="196" spans="1:14" ht="15" customHeight="1">
      <c r="A196"/>
      <c r="B196"/>
      <c r="C196"/>
      <c r="D196"/>
      <c r="E196"/>
      <c r="F196"/>
      <c r="G196"/>
      <c r="H196"/>
      <c r="I196"/>
      <c r="J196"/>
      <c r="K196"/>
      <c r="L196"/>
      <c r="M196"/>
      <c r="N196"/>
    </row>
    <row r="197" spans="1:14" ht="15" customHeight="1">
      <c r="A197"/>
      <c r="B197"/>
      <c r="C197"/>
      <c r="D197"/>
      <c r="E197"/>
      <c r="F197"/>
      <c r="G197"/>
      <c r="H197"/>
      <c r="I197"/>
      <c r="J197"/>
      <c r="K197"/>
      <c r="L197"/>
      <c r="M197"/>
      <c r="N197"/>
    </row>
    <row r="198" spans="1:14" ht="15" customHeight="1">
      <c r="A198"/>
      <c r="B198"/>
      <c r="C198"/>
      <c r="D198"/>
      <c r="E198"/>
      <c r="F198"/>
      <c r="G198"/>
      <c r="H198"/>
      <c r="I198"/>
      <c r="J198"/>
      <c r="K198"/>
      <c r="L198"/>
      <c r="M198"/>
      <c r="N198"/>
    </row>
    <row r="199" spans="1:14" ht="15" customHeight="1">
      <c r="A199"/>
      <c r="B199"/>
      <c r="C199"/>
      <c r="D199"/>
      <c r="E199"/>
      <c r="F199"/>
      <c r="G199"/>
      <c r="H199"/>
      <c r="I199"/>
      <c r="J199"/>
      <c r="K199"/>
      <c r="L199"/>
      <c r="M199"/>
      <c r="N199"/>
    </row>
    <row r="200" spans="1:14" ht="15" customHeight="1">
      <c r="A200"/>
      <c r="B200"/>
      <c r="C200"/>
      <c r="D200"/>
      <c r="E200"/>
      <c r="F200"/>
      <c r="G200"/>
      <c r="H200"/>
      <c r="I200"/>
      <c r="J200"/>
      <c r="K200"/>
      <c r="L200"/>
      <c r="M200"/>
      <c r="N200"/>
    </row>
    <row r="201" spans="1:14" ht="15" customHeight="1">
      <c r="A201"/>
      <c r="B201"/>
      <c r="C201"/>
      <c r="D201"/>
      <c r="E201"/>
      <c r="F201"/>
      <c r="G201"/>
      <c r="H201"/>
      <c r="I201"/>
      <c r="J201"/>
      <c r="K201"/>
      <c r="L201"/>
      <c r="M201"/>
      <c r="N201"/>
    </row>
    <row r="202" spans="1:14" ht="15" customHeight="1">
      <c r="A202"/>
      <c r="B202"/>
      <c r="C202"/>
      <c r="D202"/>
      <c r="E202"/>
      <c r="F202"/>
      <c r="G202"/>
      <c r="H202"/>
      <c r="I202"/>
      <c r="J202"/>
      <c r="K202"/>
      <c r="L202"/>
      <c r="M202"/>
      <c r="N202"/>
    </row>
    <row r="203" spans="1:14" ht="15" customHeight="1">
      <c r="A203"/>
      <c r="B203"/>
      <c r="C203"/>
      <c r="D203"/>
      <c r="E203"/>
      <c r="F203"/>
      <c r="G203"/>
      <c r="H203"/>
      <c r="I203"/>
      <c r="J203"/>
      <c r="K203"/>
      <c r="L203"/>
      <c r="M203"/>
      <c r="N203"/>
    </row>
    <row r="204" spans="1:14" ht="15" customHeight="1">
      <c r="A204"/>
      <c r="B204"/>
      <c r="C204"/>
      <c r="D204"/>
      <c r="E204"/>
      <c r="F204"/>
      <c r="G204"/>
      <c r="H204"/>
      <c r="I204"/>
      <c r="J204"/>
      <c r="K204"/>
      <c r="L204"/>
      <c r="M204"/>
      <c r="N204"/>
    </row>
    <row r="205" spans="1:14" ht="15" customHeight="1">
      <c r="A205"/>
      <c r="B205"/>
      <c r="C205"/>
      <c r="D205"/>
      <c r="E205"/>
      <c r="F205"/>
      <c r="G205"/>
      <c r="H205"/>
      <c r="I205"/>
      <c r="J205"/>
      <c r="K205"/>
      <c r="L205"/>
      <c r="M205"/>
      <c r="N205"/>
    </row>
    <row r="206" spans="1:14" ht="15" customHeight="1">
      <c r="A206"/>
      <c r="B206"/>
      <c r="C206"/>
      <c r="D206"/>
      <c r="E206"/>
      <c r="F206"/>
      <c r="G206"/>
      <c r="H206"/>
      <c r="I206"/>
      <c r="J206"/>
      <c r="K206"/>
      <c r="L206"/>
      <c r="M206"/>
      <c r="N206"/>
    </row>
    <row r="207" spans="1:14" ht="15" customHeight="1">
      <c r="A207"/>
      <c r="B207"/>
      <c r="C207"/>
      <c r="D207"/>
      <c r="E207"/>
      <c r="F207"/>
      <c r="G207"/>
      <c r="H207"/>
      <c r="I207"/>
      <c r="J207"/>
      <c r="K207"/>
      <c r="L207"/>
      <c r="M207"/>
      <c r="N207"/>
    </row>
    <row r="208" spans="1:14" ht="15" customHeight="1">
      <c r="A208"/>
      <c r="B208"/>
      <c r="C208"/>
      <c r="D208"/>
      <c r="E208"/>
      <c r="F208"/>
      <c r="G208"/>
      <c r="H208"/>
      <c r="I208"/>
      <c r="J208"/>
      <c r="K208"/>
      <c r="L208"/>
      <c r="M208"/>
      <c r="N208"/>
    </row>
    <row r="209" spans="1:14" ht="15" customHeight="1">
      <c r="A209"/>
      <c r="B209"/>
      <c r="C209"/>
      <c r="D209"/>
      <c r="E209"/>
      <c r="F209"/>
      <c r="G209"/>
      <c r="H209"/>
      <c r="I209"/>
      <c r="J209"/>
      <c r="K209"/>
      <c r="L209"/>
      <c r="M209"/>
      <c r="N209"/>
    </row>
    <row r="210" spans="1:14" ht="15" customHeight="1">
      <c r="A210"/>
      <c r="B210"/>
      <c r="C210"/>
      <c r="D210"/>
      <c r="E210"/>
      <c r="F210"/>
      <c r="G210"/>
      <c r="H210"/>
      <c r="I210"/>
      <c r="J210"/>
      <c r="K210"/>
      <c r="L210"/>
      <c r="M210"/>
      <c r="N210"/>
    </row>
    <row r="211" spans="1:14" ht="15" customHeight="1">
      <c r="A211"/>
      <c r="B211"/>
      <c r="C211"/>
      <c r="D211"/>
      <c r="E211"/>
      <c r="F211"/>
      <c r="G211"/>
      <c r="H211"/>
      <c r="I211"/>
      <c r="J211"/>
      <c r="K211"/>
      <c r="L211"/>
      <c r="M211"/>
      <c r="N211"/>
    </row>
    <row r="212" spans="1:14" ht="15" customHeight="1">
      <c r="A212"/>
      <c r="B212"/>
      <c r="C212"/>
      <c r="D212"/>
      <c r="E212"/>
      <c r="F212"/>
      <c r="G212"/>
      <c r="H212"/>
      <c r="I212"/>
      <c r="J212"/>
      <c r="K212"/>
      <c r="L212"/>
      <c r="M212"/>
      <c r="N212"/>
    </row>
    <row r="213" spans="1:14" customFormat="1" ht="15" customHeight="1"/>
    <row r="214" spans="1:14" customFormat="1" ht="15" customHeight="1"/>
    <row r="215" spans="1:14" ht="39" customHeight="1">
      <c r="A215"/>
      <c r="B215"/>
      <c r="C215"/>
      <c r="D215"/>
      <c r="E215"/>
      <c r="F215"/>
      <c r="G215"/>
      <c r="H215"/>
      <c r="I215"/>
      <c r="J215"/>
      <c r="K215"/>
      <c r="L215"/>
      <c r="M215"/>
      <c r="N215"/>
    </row>
    <row r="216" spans="1:14" ht="30" customHeight="1">
      <c r="A216"/>
      <c r="B216"/>
      <c r="C216"/>
      <c r="D216"/>
      <c r="E216"/>
      <c r="F216"/>
      <c r="G216"/>
      <c r="H216"/>
      <c r="I216"/>
      <c r="J216"/>
      <c r="K216"/>
      <c r="L216"/>
      <c r="M216"/>
      <c r="N216"/>
    </row>
    <row r="217" spans="1:14" s="263" customFormat="1" ht="24" customHeight="1">
      <c r="A217"/>
      <c r="B217"/>
      <c r="C217"/>
      <c r="D217"/>
      <c r="E217"/>
      <c r="F217"/>
      <c r="G217"/>
      <c r="H217"/>
      <c r="I217"/>
      <c r="J217"/>
      <c r="K217"/>
      <c r="L217"/>
      <c r="M217"/>
      <c r="N217"/>
    </row>
    <row r="218" spans="1:14" ht="15" customHeight="1">
      <c r="A218"/>
      <c r="B218"/>
      <c r="C218"/>
      <c r="D218"/>
      <c r="E218"/>
      <c r="F218"/>
      <c r="G218"/>
      <c r="H218"/>
      <c r="I218"/>
      <c r="J218"/>
      <c r="K218"/>
      <c r="L218"/>
      <c r="M218"/>
      <c r="N218"/>
    </row>
    <row r="219" spans="1:14">
      <c r="A219"/>
      <c r="B219"/>
      <c r="C219"/>
      <c r="D219"/>
      <c r="E219"/>
      <c r="F219"/>
      <c r="G219"/>
      <c r="H219"/>
      <c r="I219"/>
      <c r="J219"/>
      <c r="K219"/>
      <c r="L219"/>
      <c r="M219"/>
      <c r="N219"/>
    </row>
    <row r="220" spans="1:14" s="263" customFormat="1" ht="15" customHeight="1">
      <c r="A220"/>
      <c r="B220"/>
      <c r="C220"/>
      <c r="D220"/>
      <c r="E220"/>
      <c r="F220"/>
      <c r="G220"/>
      <c r="H220"/>
      <c r="I220"/>
      <c r="J220"/>
      <c r="K220"/>
      <c r="L220"/>
      <c r="M220"/>
      <c r="N220"/>
    </row>
    <row r="221" spans="1:14" ht="15" customHeight="1">
      <c r="A221"/>
      <c r="B221"/>
      <c r="C221"/>
      <c r="D221"/>
      <c r="E221"/>
      <c r="F221"/>
      <c r="G221"/>
      <c r="H221"/>
      <c r="I221"/>
      <c r="J221"/>
      <c r="K221"/>
      <c r="L221"/>
      <c r="M221"/>
      <c r="N221"/>
    </row>
    <row r="222" spans="1:14" ht="30" customHeight="1">
      <c r="A222"/>
      <c r="B222"/>
      <c r="C222"/>
      <c r="D222"/>
      <c r="E222"/>
      <c r="F222"/>
      <c r="G222"/>
      <c r="H222"/>
      <c r="I222"/>
      <c r="J222"/>
      <c r="K222"/>
      <c r="L222"/>
      <c r="M222"/>
      <c r="N222"/>
    </row>
    <row r="223" spans="1:14" s="263" customFormat="1" ht="15" customHeight="1">
      <c r="A223"/>
      <c r="B223"/>
      <c r="C223"/>
      <c r="D223"/>
      <c r="E223"/>
      <c r="F223"/>
      <c r="G223"/>
      <c r="H223"/>
      <c r="I223"/>
      <c r="J223"/>
      <c r="K223"/>
      <c r="L223"/>
      <c r="M223"/>
      <c r="N223"/>
    </row>
    <row r="224" spans="1:14" s="263" customFormat="1" ht="15" customHeight="1">
      <c r="A224"/>
      <c r="B224"/>
      <c r="C224"/>
      <c r="D224"/>
      <c r="E224"/>
      <c r="F224"/>
      <c r="G224"/>
      <c r="H224"/>
      <c r="I224"/>
      <c r="J224"/>
      <c r="K224"/>
      <c r="L224"/>
      <c r="M224"/>
      <c r="N224"/>
    </row>
    <row r="225" spans="1:14" ht="21.75" customHeight="1">
      <c r="A225"/>
      <c r="B225"/>
      <c r="C225"/>
      <c r="D225"/>
      <c r="E225"/>
      <c r="F225"/>
      <c r="G225"/>
      <c r="H225"/>
      <c r="I225"/>
      <c r="J225"/>
      <c r="K225"/>
      <c r="L225"/>
      <c r="M225"/>
      <c r="N225"/>
    </row>
    <row r="226" spans="1:14" ht="66.75" customHeight="1">
      <c r="A226"/>
      <c r="B226"/>
      <c r="C226"/>
      <c r="D226"/>
      <c r="E226"/>
      <c r="F226"/>
      <c r="G226"/>
      <c r="H226"/>
      <c r="I226"/>
      <c r="J226"/>
      <c r="K226"/>
      <c r="L226"/>
      <c r="M226"/>
      <c r="N226"/>
    </row>
    <row r="227" spans="1:14" ht="15" customHeight="1">
      <c r="A227"/>
      <c r="B227"/>
      <c r="C227"/>
      <c r="D227"/>
      <c r="E227"/>
      <c r="F227"/>
      <c r="G227"/>
      <c r="H227"/>
      <c r="I227"/>
      <c r="J227"/>
      <c r="K227"/>
      <c r="L227"/>
      <c r="M227"/>
      <c r="N227"/>
    </row>
    <row r="228" spans="1:14" ht="15" customHeight="1">
      <c r="A228"/>
      <c r="B228"/>
      <c r="C228"/>
      <c r="D228"/>
      <c r="E228"/>
      <c r="F228"/>
      <c r="G228"/>
      <c r="H228"/>
      <c r="I228"/>
      <c r="J228"/>
      <c r="K228"/>
      <c r="L228"/>
      <c r="M228"/>
      <c r="N228"/>
    </row>
    <row r="229" spans="1:14" ht="15" customHeight="1">
      <c r="A229"/>
      <c r="B229"/>
      <c r="C229"/>
      <c r="D229"/>
      <c r="E229"/>
      <c r="F229"/>
      <c r="G229"/>
      <c r="H229"/>
      <c r="I229"/>
      <c r="J229"/>
      <c r="K229"/>
      <c r="L229"/>
      <c r="M229"/>
      <c r="N229"/>
    </row>
    <row r="230" spans="1:14" ht="15" customHeight="1">
      <c r="A230"/>
      <c r="B230"/>
      <c r="C230"/>
      <c r="D230"/>
      <c r="E230"/>
      <c r="F230"/>
      <c r="G230"/>
      <c r="H230"/>
      <c r="I230"/>
      <c r="J230"/>
      <c r="K230"/>
      <c r="L230"/>
      <c r="M230"/>
      <c r="N230"/>
    </row>
    <row r="231" spans="1:14" ht="15" customHeight="1">
      <c r="A231"/>
      <c r="B231"/>
      <c r="C231"/>
      <c r="D231"/>
      <c r="E231"/>
      <c r="F231"/>
      <c r="G231"/>
      <c r="H231"/>
      <c r="I231"/>
      <c r="J231"/>
      <c r="K231"/>
      <c r="L231"/>
      <c r="M231"/>
      <c r="N231"/>
    </row>
    <row r="232" spans="1:14" ht="15" customHeight="1">
      <c r="A232"/>
      <c r="B232"/>
      <c r="C232"/>
      <c r="D232"/>
      <c r="E232"/>
      <c r="F232"/>
      <c r="G232"/>
      <c r="H232"/>
      <c r="I232"/>
      <c r="J232"/>
      <c r="K232"/>
      <c r="L232"/>
      <c r="M232"/>
      <c r="N232"/>
    </row>
    <row r="233" spans="1:14" ht="15" customHeight="1">
      <c r="A233"/>
      <c r="B233"/>
      <c r="C233"/>
      <c r="D233"/>
      <c r="E233"/>
      <c r="F233"/>
      <c r="G233"/>
      <c r="H233"/>
      <c r="I233"/>
      <c r="J233"/>
      <c r="K233"/>
      <c r="L233"/>
      <c r="M233"/>
      <c r="N233"/>
    </row>
    <row r="234" spans="1:14" ht="15" customHeight="1">
      <c r="A234"/>
      <c r="B234"/>
      <c r="C234"/>
      <c r="D234"/>
      <c r="E234"/>
      <c r="F234"/>
      <c r="G234"/>
      <c r="H234"/>
      <c r="I234"/>
      <c r="J234"/>
      <c r="K234"/>
      <c r="L234"/>
      <c r="M234"/>
      <c r="N234"/>
    </row>
    <row r="235" spans="1:14" ht="15" customHeight="1">
      <c r="A235"/>
      <c r="B235"/>
      <c r="C235"/>
      <c r="D235"/>
      <c r="E235"/>
      <c r="F235"/>
      <c r="G235"/>
      <c r="H235"/>
      <c r="I235"/>
      <c r="J235"/>
      <c r="K235"/>
      <c r="L235"/>
      <c r="M235"/>
      <c r="N235"/>
    </row>
    <row r="236" spans="1:14" ht="15" customHeight="1">
      <c r="A236"/>
      <c r="B236"/>
      <c r="C236"/>
      <c r="D236"/>
      <c r="E236"/>
      <c r="F236"/>
      <c r="G236"/>
      <c r="H236"/>
      <c r="I236"/>
      <c r="J236"/>
      <c r="K236"/>
      <c r="L236"/>
      <c r="M236"/>
      <c r="N236"/>
    </row>
    <row r="237" spans="1:14" ht="15" customHeight="1">
      <c r="A237"/>
      <c r="B237"/>
      <c r="C237"/>
      <c r="D237"/>
      <c r="E237"/>
      <c r="F237"/>
      <c r="G237"/>
      <c r="H237"/>
      <c r="I237"/>
      <c r="J237"/>
      <c r="K237"/>
      <c r="L237"/>
      <c r="M237"/>
      <c r="N237"/>
    </row>
    <row r="238" spans="1:14" ht="15" customHeight="1">
      <c r="A238"/>
      <c r="B238"/>
      <c r="C238"/>
      <c r="D238"/>
      <c r="E238"/>
      <c r="F238"/>
      <c r="G238"/>
      <c r="H238"/>
      <c r="I238"/>
      <c r="J238"/>
      <c r="K238"/>
      <c r="L238"/>
      <c r="M238"/>
      <c r="N238"/>
    </row>
    <row r="239" spans="1:14" ht="15" customHeight="1">
      <c r="A239"/>
      <c r="B239"/>
      <c r="C239"/>
      <c r="D239"/>
      <c r="E239"/>
      <c r="F239"/>
      <c r="G239"/>
      <c r="H239"/>
      <c r="I239"/>
      <c r="J239"/>
      <c r="K239"/>
      <c r="L239"/>
      <c r="M239"/>
      <c r="N239"/>
    </row>
    <row r="240" spans="1:14" ht="15" customHeight="1">
      <c r="A240"/>
      <c r="B240"/>
      <c r="C240"/>
      <c r="D240"/>
      <c r="E240"/>
      <c r="F240"/>
      <c r="G240"/>
      <c r="H240"/>
      <c r="I240"/>
      <c r="J240"/>
      <c r="K240"/>
      <c r="L240"/>
      <c r="M240"/>
      <c r="N240"/>
    </row>
    <row r="241" spans="1:14" ht="15" customHeight="1">
      <c r="A241"/>
      <c r="B241"/>
      <c r="C241"/>
      <c r="D241"/>
      <c r="E241"/>
      <c r="F241"/>
      <c r="G241"/>
      <c r="H241"/>
      <c r="I241"/>
      <c r="J241"/>
      <c r="K241"/>
      <c r="L241"/>
      <c r="M241"/>
      <c r="N241"/>
    </row>
    <row r="242" spans="1:14" ht="15" customHeight="1">
      <c r="A242"/>
      <c r="B242"/>
      <c r="C242"/>
      <c r="D242"/>
      <c r="E242"/>
      <c r="F242"/>
      <c r="G242"/>
      <c r="H242"/>
      <c r="I242"/>
      <c r="J242"/>
      <c r="K242"/>
      <c r="L242"/>
      <c r="M242"/>
      <c r="N242"/>
    </row>
    <row r="243" spans="1:14" ht="15" customHeight="1">
      <c r="A243"/>
      <c r="B243"/>
      <c r="C243"/>
      <c r="D243"/>
      <c r="E243"/>
      <c r="F243"/>
      <c r="G243"/>
      <c r="H243"/>
      <c r="I243"/>
      <c r="J243"/>
      <c r="K243"/>
      <c r="L243"/>
      <c r="M243"/>
      <c r="N243"/>
    </row>
    <row r="244" spans="1:14" ht="15" customHeight="1">
      <c r="A244"/>
      <c r="B244"/>
      <c r="C244"/>
      <c r="D244"/>
      <c r="E244"/>
      <c r="F244"/>
      <c r="G244"/>
      <c r="H244"/>
      <c r="I244"/>
      <c r="J244"/>
      <c r="K244"/>
      <c r="L244"/>
      <c r="M244"/>
      <c r="N244"/>
    </row>
    <row r="245" spans="1:14" ht="15" customHeight="1">
      <c r="A245"/>
      <c r="B245"/>
      <c r="C245"/>
      <c r="D245"/>
      <c r="E245"/>
      <c r="F245"/>
      <c r="G245"/>
      <c r="H245"/>
      <c r="I245"/>
      <c r="J245"/>
      <c r="K245"/>
      <c r="L245"/>
      <c r="M245"/>
      <c r="N245"/>
    </row>
    <row r="246" spans="1:14" ht="15" customHeight="1">
      <c r="A246"/>
      <c r="B246"/>
      <c r="C246"/>
      <c r="D246"/>
      <c r="E246"/>
      <c r="F246"/>
      <c r="G246"/>
      <c r="H246"/>
      <c r="I246"/>
      <c r="J246"/>
      <c r="K246"/>
      <c r="L246"/>
      <c r="M246"/>
      <c r="N246"/>
    </row>
    <row r="247" spans="1:14" ht="15" customHeight="1">
      <c r="A247"/>
      <c r="B247"/>
      <c r="C247"/>
      <c r="D247"/>
      <c r="E247"/>
      <c r="F247"/>
      <c r="G247"/>
      <c r="H247"/>
      <c r="I247"/>
      <c r="J247"/>
      <c r="K247"/>
      <c r="L247"/>
      <c r="M247"/>
      <c r="N247"/>
    </row>
    <row r="248" spans="1:14" ht="15" customHeight="1">
      <c r="A248"/>
      <c r="B248"/>
      <c r="C248"/>
      <c r="D248"/>
      <c r="E248"/>
      <c r="F248"/>
      <c r="G248"/>
      <c r="H248"/>
      <c r="I248"/>
      <c r="J248"/>
      <c r="K248"/>
      <c r="L248"/>
      <c r="M248"/>
      <c r="N248"/>
    </row>
    <row r="249" spans="1:14" ht="15" customHeight="1">
      <c r="A249"/>
      <c r="B249"/>
      <c r="C249"/>
      <c r="D249"/>
      <c r="E249"/>
      <c r="F249"/>
      <c r="G249"/>
      <c r="H249"/>
      <c r="I249"/>
      <c r="J249"/>
      <c r="K249"/>
      <c r="L249"/>
      <c r="M249"/>
      <c r="N249"/>
    </row>
    <row r="250" spans="1:14" ht="15" customHeight="1">
      <c r="A250"/>
      <c r="B250"/>
      <c r="C250"/>
      <c r="D250"/>
      <c r="E250"/>
      <c r="F250"/>
      <c r="G250"/>
      <c r="H250"/>
      <c r="I250"/>
      <c r="J250"/>
      <c r="K250"/>
      <c r="L250"/>
      <c r="M250"/>
      <c r="N250"/>
    </row>
    <row r="251" spans="1:14" ht="15" customHeight="1">
      <c r="A251"/>
      <c r="B251"/>
      <c r="C251"/>
      <c r="D251"/>
      <c r="E251"/>
      <c r="F251"/>
      <c r="G251"/>
      <c r="H251"/>
      <c r="I251"/>
      <c r="J251"/>
      <c r="K251"/>
      <c r="L251"/>
      <c r="M251"/>
      <c r="N251"/>
    </row>
    <row r="252" spans="1:14" ht="15" customHeight="1">
      <c r="A252"/>
      <c r="B252"/>
      <c r="C252"/>
      <c r="D252"/>
      <c r="E252"/>
      <c r="F252"/>
      <c r="G252"/>
      <c r="H252"/>
      <c r="I252"/>
      <c r="J252"/>
      <c r="K252"/>
      <c r="L252"/>
      <c r="M252"/>
      <c r="N252"/>
    </row>
    <row r="253" spans="1:14" ht="15" customHeight="1">
      <c r="A253"/>
      <c r="B253"/>
      <c r="C253"/>
      <c r="D253"/>
      <c r="E253"/>
      <c r="F253"/>
      <c r="G253"/>
      <c r="H253"/>
      <c r="I253"/>
      <c r="J253"/>
      <c r="K253"/>
      <c r="L253"/>
      <c r="M253"/>
      <c r="N253"/>
    </row>
    <row r="254" spans="1:14" ht="15" customHeight="1">
      <c r="A254"/>
      <c r="B254"/>
      <c r="C254"/>
      <c r="D254"/>
      <c r="E254"/>
      <c r="F254"/>
      <c r="G254"/>
      <c r="H254"/>
      <c r="I254"/>
      <c r="J254"/>
      <c r="K254"/>
      <c r="L254"/>
      <c r="M254"/>
      <c r="N254"/>
    </row>
    <row r="255" spans="1:14" customFormat="1" ht="15" customHeight="1"/>
    <row r="256" spans="1:14" customFormat="1" ht="15" customHeight="1"/>
    <row r="257" spans="1:14" ht="39" customHeight="1">
      <c r="A257"/>
      <c r="B257"/>
      <c r="C257"/>
      <c r="D257"/>
      <c r="E257"/>
      <c r="F257"/>
      <c r="G257"/>
      <c r="H257"/>
      <c r="I257"/>
      <c r="J257"/>
      <c r="K257"/>
      <c r="L257"/>
      <c r="M257"/>
      <c r="N257"/>
    </row>
    <row r="258" spans="1:14" ht="30" customHeight="1">
      <c r="A258"/>
      <c r="B258"/>
      <c r="C258"/>
      <c r="D258"/>
      <c r="E258"/>
      <c r="F258"/>
      <c r="G258"/>
      <c r="H258"/>
      <c r="I258"/>
      <c r="J258"/>
      <c r="K258"/>
      <c r="L258"/>
      <c r="M258"/>
      <c r="N258"/>
    </row>
    <row r="259" spans="1:14" s="263" customFormat="1" ht="24" customHeight="1">
      <c r="A259"/>
      <c r="B259"/>
      <c r="C259"/>
      <c r="D259"/>
      <c r="E259"/>
      <c r="F259"/>
      <c r="G259"/>
      <c r="H259"/>
      <c r="I259"/>
      <c r="J259"/>
      <c r="K259"/>
      <c r="L259"/>
      <c r="M259"/>
      <c r="N259"/>
    </row>
    <row r="260" spans="1:14" ht="15" customHeight="1">
      <c r="A260"/>
      <c r="B260"/>
      <c r="C260"/>
      <c r="D260"/>
      <c r="E260"/>
      <c r="F260"/>
      <c r="G260"/>
      <c r="H260"/>
      <c r="I260"/>
      <c r="J260"/>
      <c r="K260"/>
      <c r="L260"/>
      <c r="M260"/>
      <c r="N260"/>
    </row>
    <row r="261" spans="1:14">
      <c r="A261"/>
      <c r="B261"/>
      <c r="C261"/>
      <c r="D261"/>
      <c r="E261"/>
      <c r="F261"/>
      <c r="G261"/>
      <c r="H261"/>
      <c r="I261"/>
      <c r="J261"/>
      <c r="K261"/>
      <c r="L261"/>
      <c r="M261"/>
      <c r="N261"/>
    </row>
    <row r="262" spans="1:14" s="263" customFormat="1" ht="15" customHeight="1">
      <c r="A262"/>
      <c r="B262"/>
      <c r="C262"/>
      <c r="D262"/>
      <c r="E262"/>
      <c r="F262"/>
      <c r="G262"/>
      <c r="H262"/>
      <c r="I262"/>
      <c r="J262"/>
      <c r="K262"/>
      <c r="L262"/>
      <c r="M262"/>
      <c r="N262"/>
    </row>
    <row r="263" spans="1:14" ht="15" customHeight="1">
      <c r="A263"/>
      <c r="B263"/>
      <c r="C263"/>
      <c r="D263"/>
      <c r="E263"/>
      <c r="F263"/>
      <c r="G263"/>
      <c r="H263"/>
      <c r="I263"/>
      <c r="J263"/>
      <c r="K263"/>
      <c r="L263"/>
      <c r="M263"/>
      <c r="N263"/>
    </row>
    <row r="264" spans="1:14" ht="30" customHeight="1">
      <c r="A264"/>
      <c r="B264"/>
      <c r="C264"/>
      <c r="D264"/>
      <c r="E264"/>
      <c r="F264"/>
      <c r="G264"/>
      <c r="H264"/>
      <c r="I264"/>
      <c r="J264"/>
      <c r="K264"/>
      <c r="L264"/>
      <c r="M264"/>
      <c r="N264"/>
    </row>
    <row r="265" spans="1:14" s="263" customFormat="1" ht="15" customHeight="1">
      <c r="A265"/>
      <c r="B265"/>
      <c r="C265"/>
      <c r="D265"/>
      <c r="E265"/>
      <c r="F265"/>
      <c r="G265"/>
      <c r="H265"/>
      <c r="I265"/>
      <c r="J265"/>
      <c r="K265"/>
      <c r="L265"/>
      <c r="M265"/>
      <c r="N265"/>
    </row>
    <row r="266" spans="1:14" s="263" customFormat="1" ht="15" customHeight="1">
      <c r="A266"/>
      <c r="B266"/>
      <c r="C266"/>
      <c r="D266"/>
      <c r="E266"/>
      <c r="F266"/>
      <c r="G266"/>
      <c r="H266"/>
      <c r="I266"/>
      <c r="J266"/>
      <c r="K266"/>
      <c r="L266"/>
      <c r="M266"/>
      <c r="N266"/>
    </row>
    <row r="267" spans="1:14" ht="21.75" customHeight="1">
      <c r="A267"/>
      <c r="B267"/>
      <c r="C267"/>
      <c r="D267"/>
      <c r="E267"/>
      <c r="F267"/>
      <c r="G267"/>
      <c r="H267"/>
      <c r="I267"/>
      <c r="J267"/>
      <c r="K267"/>
      <c r="L267"/>
      <c r="M267"/>
      <c r="N267"/>
    </row>
    <row r="268" spans="1:14" ht="66.75" customHeight="1">
      <c r="A268"/>
      <c r="B268"/>
      <c r="C268"/>
      <c r="D268"/>
      <c r="E268"/>
      <c r="F268"/>
      <c r="G268"/>
      <c r="H268"/>
      <c r="I268"/>
      <c r="J268"/>
      <c r="K268"/>
      <c r="L268"/>
      <c r="M268"/>
      <c r="N268"/>
    </row>
    <row r="269" spans="1:14" ht="15" customHeight="1">
      <c r="A269"/>
      <c r="B269"/>
      <c r="C269"/>
      <c r="D269"/>
      <c r="E269"/>
      <c r="F269"/>
      <c r="G269"/>
      <c r="H269"/>
      <c r="I269"/>
      <c r="J269"/>
      <c r="K269"/>
      <c r="L269"/>
      <c r="M269"/>
      <c r="N269"/>
    </row>
    <row r="270" spans="1:14" ht="15" customHeight="1">
      <c r="A270"/>
      <c r="B270"/>
      <c r="C270"/>
      <c r="D270"/>
      <c r="E270"/>
      <c r="F270"/>
      <c r="G270"/>
      <c r="H270"/>
      <c r="I270"/>
      <c r="J270"/>
      <c r="K270"/>
      <c r="L270"/>
      <c r="M270"/>
      <c r="N270"/>
    </row>
    <row r="271" spans="1:14" ht="15" customHeight="1">
      <c r="A271"/>
      <c r="B271"/>
      <c r="C271"/>
      <c r="D271"/>
      <c r="E271"/>
      <c r="F271"/>
      <c r="G271"/>
      <c r="H271"/>
      <c r="I271"/>
      <c r="J271"/>
      <c r="K271"/>
      <c r="L271"/>
      <c r="M271"/>
      <c r="N271"/>
    </row>
    <row r="272" spans="1:14" ht="15" customHeight="1">
      <c r="A272"/>
      <c r="B272"/>
      <c r="C272"/>
      <c r="D272"/>
      <c r="E272"/>
      <c r="F272"/>
      <c r="G272"/>
      <c r="H272"/>
      <c r="I272"/>
      <c r="J272"/>
      <c r="K272"/>
      <c r="L272"/>
      <c r="M272"/>
      <c r="N272"/>
    </row>
    <row r="273" spans="1:14" ht="15" customHeight="1">
      <c r="A273"/>
      <c r="B273"/>
      <c r="C273"/>
      <c r="D273"/>
      <c r="E273"/>
      <c r="F273"/>
      <c r="G273"/>
      <c r="H273"/>
      <c r="I273"/>
      <c r="J273"/>
      <c r="K273"/>
      <c r="L273"/>
      <c r="M273"/>
      <c r="N273"/>
    </row>
    <row r="274" spans="1:14" ht="15" customHeight="1">
      <c r="A274"/>
      <c r="B274"/>
      <c r="C274"/>
      <c r="D274"/>
      <c r="E274"/>
      <c r="F274"/>
      <c r="G274"/>
      <c r="H274"/>
      <c r="I274"/>
      <c r="J274"/>
      <c r="K274"/>
      <c r="L274"/>
      <c r="M274"/>
      <c r="N274"/>
    </row>
    <row r="275" spans="1:14" ht="15" customHeight="1">
      <c r="A275"/>
      <c r="B275"/>
      <c r="C275"/>
      <c r="D275"/>
      <c r="E275"/>
      <c r="F275"/>
      <c r="G275"/>
      <c r="H275"/>
      <c r="I275"/>
      <c r="J275"/>
      <c r="K275"/>
      <c r="L275"/>
      <c r="M275"/>
      <c r="N275"/>
    </row>
    <row r="276" spans="1:14" ht="15" customHeight="1">
      <c r="A276"/>
      <c r="B276"/>
      <c r="C276"/>
      <c r="D276"/>
      <c r="E276"/>
      <c r="F276"/>
      <c r="G276"/>
      <c r="H276"/>
      <c r="I276"/>
      <c r="J276"/>
      <c r="K276"/>
      <c r="L276"/>
      <c r="M276"/>
      <c r="N276"/>
    </row>
    <row r="277" spans="1:14" ht="15" customHeight="1">
      <c r="A277"/>
      <c r="B277"/>
      <c r="C277"/>
      <c r="D277"/>
      <c r="E277"/>
      <c r="F277"/>
      <c r="G277"/>
      <c r="H277"/>
      <c r="I277"/>
      <c r="J277"/>
      <c r="K277"/>
      <c r="L277"/>
      <c r="M277"/>
      <c r="N277"/>
    </row>
    <row r="278" spans="1:14" ht="15" customHeight="1">
      <c r="A278"/>
      <c r="B278"/>
      <c r="C278"/>
      <c r="D278"/>
      <c r="E278"/>
      <c r="F278"/>
      <c r="G278"/>
      <c r="H278"/>
      <c r="I278"/>
      <c r="J278"/>
      <c r="K278"/>
      <c r="L278"/>
      <c r="M278"/>
      <c r="N278"/>
    </row>
    <row r="279" spans="1:14" ht="15" customHeight="1">
      <c r="A279"/>
      <c r="B279"/>
      <c r="C279"/>
      <c r="D279"/>
      <c r="E279"/>
      <c r="F279"/>
      <c r="G279"/>
      <c r="H279"/>
      <c r="I279"/>
      <c r="J279"/>
      <c r="K279"/>
      <c r="L279"/>
      <c r="M279"/>
      <c r="N279"/>
    </row>
    <row r="280" spans="1:14" ht="15" customHeight="1">
      <c r="A280"/>
      <c r="B280"/>
      <c r="C280"/>
      <c r="D280"/>
      <c r="E280"/>
      <c r="F280"/>
      <c r="G280"/>
      <c r="H280"/>
      <c r="I280"/>
      <c r="J280"/>
      <c r="K280"/>
      <c r="L280"/>
      <c r="M280"/>
      <c r="N280"/>
    </row>
    <row r="281" spans="1:14" ht="15" customHeight="1">
      <c r="A281"/>
      <c r="B281"/>
      <c r="C281"/>
      <c r="D281"/>
      <c r="E281"/>
      <c r="F281"/>
      <c r="G281"/>
      <c r="H281"/>
      <c r="I281"/>
      <c r="J281"/>
      <c r="K281"/>
      <c r="L281"/>
      <c r="M281"/>
      <c r="N281"/>
    </row>
    <row r="282" spans="1:14" ht="15" customHeight="1">
      <c r="A282"/>
      <c r="B282"/>
      <c r="C282"/>
      <c r="D282"/>
      <c r="E282"/>
      <c r="F282"/>
      <c r="G282"/>
      <c r="H282"/>
      <c r="I282"/>
      <c r="J282"/>
      <c r="K282"/>
      <c r="L282"/>
      <c r="M282"/>
      <c r="N282"/>
    </row>
    <row r="283" spans="1:14" ht="15" customHeight="1">
      <c r="A283"/>
      <c r="B283"/>
      <c r="C283"/>
      <c r="D283"/>
      <c r="E283"/>
      <c r="F283"/>
      <c r="G283"/>
      <c r="H283"/>
      <c r="I283"/>
      <c r="J283"/>
      <c r="K283"/>
      <c r="L283"/>
      <c r="M283"/>
      <c r="N283"/>
    </row>
    <row r="284" spans="1:14" ht="15" customHeight="1">
      <c r="A284"/>
      <c r="B284"/>
      <c r="C284"/>
      <c r="D284"/>
      <c r="E284"/>
      <c r="F284"/>
      <c r="G284"/>
      <c r="H284"/>
      <c r="I284"/>
      <c r="J284"/>
      <c r="K284"/>
      <c r="L284"/>
      <c r="M284"/>
      <c r="N284"/>
    </row>
    <row r="285" spans="1:14" ht="15" customHeight="1">
      <c r="A285"/>
      <c r="B285"/>
      <c r="C285"/>
      <c r="D285"/>
      <c r="E285"/>
      <c r="F285"/>
      <c r="G285"/>
      <c r="H285"/>
      <c r="I285"/>
      <c r="J285"/>
      <c r="K285"/>
      <c r="L285"/>
      <c r="M285"/>
      <c r="N285"/>
    </row>
    <row r="286" spans="1:14" ht="15" customHeight="1">
      <c r="A286"/>
      <c r="B286"/>
      <c r="C286"/>
      <c r="D286"/>
      <c r="E286"/>
      <c r="F286"/>
      <c r="G286"/>
      <c r="H286"/>
      <c r="I286"/>
      <c r="J286"/>
      <c r="K286"/>
      <c r="L286"/>
      <c r="M286"/>
      <c r="N286"/>
    </row>
    <row r="287" spans="1:14" ht="15" customHeight="1">
      <c r="A287"/>
      <c r="B287"/>
      <c r="C287"/>
      <c r="D287"/>
      <c r="E287"/>
      <c r="F287"/>
      <c r="G287"/>
      <c r="H287"/>
      <c r="I287"/>
      <c r="J287"/>
      <c r="K287"/>
      <c r="L287"/>
      <c r="M287"/>
      <c r="N287"/>
    </row>
    <row r="288" spans="1:14" ht="15" customHeight="1">
      <c r="A288"/>
      <c r="B288"/>
      <c r="C288"/>
      <c r="D288"/>
      <c r="E288"/>
      <c r="F288"/>
      <c r="G288"/>
      <c r="H288"/>
      <c r="I288"/>
      <c r="J288"/>
      <c r="K288"/>
      <c r="L288"/>
      <c r="M288"/>
      <c r="N288"/>
    </row>
    <row r="289" spans="1:14" ht="15" customHeight="1">
      <c r="A289"/>
      <c r="B289"/>
      <c r="C289"/>
      <c r="D289"/>
      <c r="E289"/>
      <c r="F289"/>
      <c r="G289"/>
      <c r="H289"/>
      <c r="I289"/>
      <c r="J289"/>
      <c r="K289"/>
      <c r="L289"/>
      <c r="M289"/>
      <c r="N289"/>
    </row>
    <row r="290" spans="1:14" ht="15" customHeight="1">
      <c r="A290"/>
      <c r="B290"/>
      <c r="C290"/>
      <c r="D290"/>
      <c r="E290"/>
      <c r="F290"/>
      <c r="G290"/>
      <c r="H290"/>
      <c r="I290"/>
      <c r="J290"/>
      <c r="K290"/>
      <c r="L290"/>
      <c r="M290"/>
      <c r="N290"/>
    </row>
    <row r="291" spans="1:14" ht="15" customHeight="1">
      <c r="A291"/>
      <c r="B291"/>
      <c r="C291"/>
      <c r="D291"/>
      <c r="E291"/>
      <c r="F291"/>
      <c r="G291"/>
      <c r="H291"/>
      <c r="I291"/>
      <c r="J291"/>
      <c r="K291"/>
      <c r="L291"/>
      <c r="M291"/>
      <c r="N291"/>
    </row>
    <row r="292" spans="1:14" ht="15" customHeight="1">
      <c r="A292"/>
      <c r="B292"/>
      <c r="C292"/>
      <c r="D292"/>
      <c r="E292"/>
      <c r="F292"/>
      <c r="G292"/>
      <c r="H292"/>
      <c r="I292"/>
      <c r="J292"/>
      <c r="K292"/>
      <c r="L292"/>
      <c r="M292"/>
      <c r="N292"/>
    </row>
    <row r="293" spans="1:14" ht="15" customHeight="1">
      <c r="A293"/>
      <c r="B293"/>
      <c r="C293"/>
      <c r="D293"/>
      <c r="E293"/>
      <c r="F293"/>
      <c r="G293"/>
      <c r="H293"/>
      <c r="I293"/>
      <c r="J293"/>
      <c r="K293"/>
      <c r="L293"/>
      <c r="M293"/>
      <c r="N293"/>
    </row>
    <row r="294" spans="1:14" ht="15" customHeight="1">
      <c r="A294"/>
      <c r="B294"/>
      <c r="C294"/>
      <c r="D294"/>
      <c r="E294"/>
      <c r="F294"/>
      <c r="G294"/>
      <c r="H294"/>
      <c r="I294"/>
      <c r="J294"/>
      <c r="K294"/>
      <c r="L294"/>
      <c r="M294"/>
      <c r="N294"/>
    </row>
    <row r="295" spans="1:14" ht="15" customHeight="1">
      <c r="A295"/>
      <c r="B295"/>
      <c r="C295"/>
      <c r="D295"/>
      <c r="E295"/>
      <c r="F295"/>
      <c r="G295"/>
      <c r="H295"/>
      <c r="I295"/>
      <c r="J295"/>
      <c r="K295"/>
      <c r="L295"/>
      <c r="M295"/>
      <c r="N295"/>
    </row>
    <row r="296" spans="1:14" ht="15" customHeight="1">
      <c r="A296"/>
      <c r="B296"/>
      <c r="C296"/>
      <c r="D296"/>
      <c r="E296"/>
      <c r="F296"/>
      <c r="G296"/>
      <c r="H296"/>
      <c r="I296"/>
      <c r="J296"/>
      <c r="K296"/>
      <c r="L296"/>
      <c r="M296"/>
      <c r="N296"/>
    </row>
    <row r="297" spans="1:14" customFormat="1" ht="15" customHeight="1"/>
    <row r="298" spans="1:14" customFormat="1" ht="15" customHeight="1"/>
    <row r="299" spans="1:14" ht="39" customHeight="1">
      <c r="A299"/>
      <c r="B299"/>
      <c r="C299"/>
      <c r="D299"/>
      <c r="E299"/>
      <c r="F299"/>
      <c r="G299"/>
      <c r="H299"/>
      <c r="I299"/>
      <c r="J299"/>
      <c r="K299"/>
      <c r="L299"/>
      <c r="M299"/>
      <c r="N299"/>
    </row>
    <row r="300" spans="1:14" ht="30" customHeight="1">
      <c r="A300"/>
      <c r="B300"/>
      <c r="C300"/>
      <c r="D300"/>
      <c r="E300"/>
      <c r="F300"/>
      <c r="G300"/>
      <c r="H300"/>
      <c r="I300"/>
      <c r="J300"/>
      <c r="K300"/>
      <c r="L300"/>
      <c r="M300"/>
      <c r="N300"/>
    </row>
    <row r="301" spans="1:14" s="263" customFormat="1" ht="24" customHeight="1">
      <c r="A301"/>
      <c r="B301"/>
      <c r="C301"/>
      <c r="D301"/>
      <c r="E301"/>
      <c r="F301"/>
      <c r="G301"/>
      <c r="H301"/>
      <c r="I301"/>
      <c r="J301"/>
      <c r="K301"/>
      <c r="L301"/>
      <c r="M301"/>
      <c r="N301"/>
    </row>
    <row r="302" spans="1:14" ht="15" customHeight="1">
      <c r="A302"/>
      <c r="B302"/>
      <c r="C302"/>
      <c r="D302"/>
      <c r="E302"/>
      <c r="F302"/>
      <c r="G302"/>
      <c r="H302"/>
      <c r="I302"/>
      <c r="J302"/>
      <c r="K302"/>
      <c r="L302"/>
      <c r="M302"/>
      <c r="N302"/>
    </row>
    <row r="303" spans="1:14">
      <c r="A303"/>
      <c r="B303"/>
      <c r="C303"/>
      <c r="D303"/>
      <c r="E303"/>
      <c r="F303"/>
      <c r="G303"/>
      <c r="H303"/>
      <c r="I303"/>
      <c r="J303"/>
      <c r="K303"/>
      <c r="L303"/>
      <c r="M303"/>
      <c r="N303"/>
    </row>
    <row r="304" spans="1:14" s="263" customFormat="1" ht="15" customHeight="1">
      <c r="A304"/>
      <c r="B304"/>
      <c r="C304"/>
      <c r="D304"/>
      <c r="E304"/>
      <c r="F304"/>
      <c r="G304"/>
      <c r="H304"/>
      <c r="I304"/>
      <c r="J304"/>
      <c r="K304"/>
      <c r="L304"/>
      <c r="M304"/>
      <c r="N304"/>
    </row>
    <row r="305" spans="1:14" ht="15" customHeight="1">
      <c r="A305"/>
      <c r="B305"/>
      <c r="C305"/>
      <c r="D305"/>
      <c r="E305"/>
      <c r="F305"/>
      <c r="G305"/>
      <c r="H305"/>
      <c r="I305"/>
      <c r="J305"/>
      <c r="K305"/>
      <c r="L305"/>
      <c r="M305"/>
      <c r="N305"/>
    </row>
    <row r="306" spans="1:14" ht="30" customHeight="1">
      <c r="A306"/>
      <c r="B306"/>
      <c r="C306"/>
      <c r="D306"/>
      <c r="E306"/>
      <c r="F306"/>
      <c r="G306"/>
      <c r="H306"/>
      <c r="I306"/>
      <c r="J306"/>
      <c r="K306"/>
      <c r="L306"/>
      <c r="M306"/>
      <c r="N306"/>
    </row>
    <row r="307" spans="1:14" s="263" customFormat="1" ht="15" customHeight="1">
      <c r="A307"/>
      <c r="B307"/>
      <c r="C307"/>
      <c r="D307"/>
      <c r="E307"/>
      <c r="F307"/>
      <c r="G307"/>
      <c r="H307"/>
      <c r="I307"/>
      <c r="J307"/>
      <c r="K307"/>
      <c r="L307"/>
      <c r="M307"/>
      <c r="N307"/>
    </row>
    <row r="308" spans="1:14" s="263" customFormat="1" ht="15" customHeight="1">
      <c r="A308"/>
      <c r="B308"/>
      <c r="C308"/>
      <c r="D308"/>
      <c r="E308"/>
      <c r="F308"/>
      <c r="G308"/>
      <c r="H308"/>
      <c r="I308"/>
      <c r="J308"/>
      <c r="K308"/>
      <c r="L308"/>
      <c r="M308"/>
      <c r="N308"/>
    </row>
    <row r="309" spans="1:14" ht="21.75" customHeight="1">
      <c r="A309"/>
      <c r="B309"/>
      <c r="C309"/>
      <c r="D309"/>
      <c r="E309"/>
      <c r="F309"/>
      <c r="G309"/>
      <c r="H309"/>
      <c r="I309"/>
      <c r="J309"/>
      <c r="K309"/>
      <c r="L309"/>
      <c r="M309"/>
      <c r="N309"/>
    </row>
    <row r="310" spans="1:14" ht="66.75" customHeight="1">
      <c r="A310"/>
      <c r="B310"/>
      <c r="C310"/>
      <c r="D310"/>
      <c r="E310"/>
      <c r="F310"/>
      <c r="G310"/>
      <c r="H310"/>
      <c r="I310"/>
      <c r="J310"/>
      <c r="K310"/>
      <c r="L310"/>
      <c r="M310"/>
      <c r="N310"/>
    </row>
    <row r="311" spans="1:14" ht="15" customHeight="1">
      <c r="A311"/>
      <c r="B311"/>
      <c r="C311"/>
      <c r="D311"/>
      <c r="E311"/>
      <c r="F311"/>
      <c r="G311"/>
      <c r="H311"/>
      <c r="I311"/>
      <c r="J311"/>
      <c r="K311"/>
      <c r="L311"/>
      <c r="M311"/>
      <c r="N311"/>
    </row>
    <row r="312" spans="1:14" ht="15" customHeight="1">
      <c r="A312"/>
      <c r="B312"/>
      <c r="C312"/>
      <c r="D312"/>
      <c r="E312"/>
      <c r="F312"/>
      <c r="G312"/>
      <c r="H312"/>
      <c r="I312"/>
      <c r="J312"/>
      <c r="K312"/>
      <c r="L312"/>
      <c r="M312"/>
      <c r="N312"/>
    </row>
    <row r="313" spans="1:14" ht="15" customHeight="1">
      <c r="A313"/>
      <c r="B313"/>
      <c r="C313"/>
      <c r="D313"/>
      <c r="E313"/>
      <c r="F313"/>
      <c r="G313"/>
      <c r="H313"/>
      <c r="I313"/>
      <c r="J313"/>
      <c r="K313"/>
      <c r="L313"/>
      <c r="M313"/>
      <c r="N313"/>
    </row>
    <row r="314" spans="1:14" ht="15" customHeight="1">
      <c r="A314"/>
      <c r="B314"/>
      <c r="C314"/>
      <c r="D314"/>
      <c r="E314"/>
      <c r="F314"/>
      <c r="G314"/>
      <c r="H314"/>
      <c r="I314"/>
      <c r="J314"/>
      <c r="K314"/>
      <c r="L314"/>
      <c r="M314"/>
      <c r="N314"/>
    </row>
    <row r="315" spans="1:14" ht="15" customHeight="1">
      <c r="A315"/>
      <c r="B315"/>
      <c r="C315"/>
      <c r="D315"/>
      <c r="E315"/>
      <c r="F315"/>
      <c r="G315"/>
      <c r="H315"/>
      <c r="I315"/>
      <c r="J315"/>
      <c r="K315"/>
      <c r="L315"/>
      <c r="M315"/>
      <c r="N315"/>
    </row>
    <row r="316" spans="1:14" ht="15" customHeight="1">
      <c r="A316"/>
      <c r="B316"/>
      <c r="C316"/>
      <c r="D316"/>
      <c r="E316"/>
      <c r="F316"/>
      <c r="G316"/>
      <c r="H316"/>
      <c r="I316"/>
      <c r="J316"/>
      <c r="K316"/>
      <c r="L316"/>
      <c r="M316"/>
      <c r="N316"/>
    </row>
    <row r="317" spans="1:14" ht="15" customHeight="1">
      <c r="A317"/>
      <c r="B317"/>
      <c r="C317"/>
      <c r="D317"/>
      <c r="E317"/>
      <c r="F317"/>
      <c r="G317"/>
      <c r="H317"/>
      <c r="I317"/>
      <c r="J317"/>
      <c r="K317"/>
      <c r="L317"/>
      <c r="M317"/>
      <c r="N317"/>
    </row>
    <row r="318" spans="1:14" ht="15" customHeight="1">
      <c r="A318"/>
      <c r="B318"/>
      <c r="C318"/>
      <c r="D318"/>
      <c r="E318"/>
      <c r="F318"/>
      <c r="G318"/>
      <c r="H318"/>
      <c r="I318"/>
      <c r="J318"/>
      <c r="K318"/>
      <c r="L318"/>
      <c r="M318"/>
      <c r="N318"/>
    </row>
    <row r="319" spans="1:14" ht="15" customHeight="1">
      <c r="A319"/>
      <c r="B319"/>
      <c r="C319"/>
      <c r="D319"/>
      <c r="E319"/>
      <c r="F319"/>
      <c r="G319"/>
      <c r="H319"/>
      <c r="I319"/>
      <c r="J319"/>
      <c r="K319"/>
      <c r="L319"/>
      <c r="M319"/>
      <c r="N319"/>
    </row>
    <row r="320" spans="1:14" ht="15" customHeight="1">
      <c r="A320"/>
      <c r="B320"/>
      <c r="C320"/>
      <c r="D320"/>
      <c r="E320"/>
      <c r="F320"/>
      <c r="G320"/>
      <c r="H320"/>
      <c r="I320"/>
      <c r="J320"/>
      <c r="K320"/>
      <c r="L320"/>
      <c r="M320"/>
      <c r="N320"/>
    </row>
    <row r="321" spans="1:14" ht="15" customHeight="1">
      <c r="A321"/>
      <c r="B321"/>
      <c r="C321"/>
      <c r="D321"/>
      <c r="E321"/>
      <c r="F321"/>
      <c r="G321"/>
      <c r="H321"/>
      <c r="I321"/>
      <c r="J321"/>
      <c r="K321"/>
      <c r="L321"/>
      <c r="M321"/>
      <c r="N321"/>
    </row>
    <row r="322" spans="1:14" ht="15" customHeight="1">
      <c r="A322"/>
      <c r="B322"/>
      <c r="C322"/>
      <c r="D322"/>
      <c r="E322"/>
      <c r="F322"/>
      <c r="G322"/>
      <c r="H322"/>
      <c r="I322"/>
      <c r="J322"/>
      <c r="K322"/>
      <c r="L322"/>
      <c r="M322"/>
      <c r="N322"/>
    </row>
    <row r="323" spans="1:14" ht="15" customHeight="1">
      <c r="A323"/>
      <c r="B323"/>
      <c r="C323"/>
      <c r="D323"/>
      <c r="E323"/>
      <c r="F323"/>
      <c r="G323"/>
      <c r="H323"/>
      <c r="I323"/>
      <c r="J323"/>
      <c r="K323"/>
      <c r="L323"/>
      <c r="M323"/>
      <c r="N323"/>
    </row>
    <row r="324" spans="1:14" ht="15" customHeight="1">
      <c r="A324"/>
      <c r="B324"/>
      <c r="C324"/>
      <c r="D324"/>
      <c r="E324"/>
      <c r="F324"/>
      <c r="G324"/>
      <c r="H324"/>
      <c r="I324"/>
      <c r="J324"/>
      <c r="K324"/>
      <c r="L324"/>
      <c r="M324"/>
      <c r="N324"/>
    </row>
    <row r="325" spans="1:14" ht="15" customHeight="1">
      <c r="A325"/>
      <c r="B325"/>
      <c r="C325"/>
      <c r="D325"/>
      <c r="E325"/>
      <c r="F325"/>
      <c r="G325"/>
      <c r="H325"/>
      <c r="I325"/>
      <c r="J325"/>
      <c r="K325"/>
      <c r="L325"/>
      <c r="M325"/>
      <c r="N325"/>
    </row>
    <row r="326" spans="1:14" ht="15" customHeight="1">
      <c r="A326"/>
      <c r="B326"/>
      <c r="C326"/>
      <c r="D326"/>
      <c r="E326"/>
      <c r="F326"/>
      <c r="G326"/>
      <c r="H326"/>
      <c r="I326"/>
      <c r="J326"/>
      <c r="K326"/>
      <c r="L326"/>
      <c r="M326"/>
      <c r="N326"/>
    </row>
    <row r="327" spans="1:14" ht="15" customHeight="1">
      <c r="A327"/>
      <c r="B327"/>
      <c r="C327"/>
      <c r="D327"/>
      <c r="E327"/>
      <c r="F327"/>
      <c r="G327"/>
      <c r="H327"/>
      <c r="I327"/>
      <c r="J327"/>
      <c r="K327"/>
      <c r="L327"/>
      <c r="M327"/>
      <c r="N327"/>
    </row>
    <row r="328" spans="1:14" ht="15" customHeight="1">
      <c r="A328"/>
      <c r="B328"/>
      <c r="C328"/>
      <c r="D328"/>
      <c r="E328"/>
      <c r="F328"/>
      <c r="G328"/>
      <c r="H328"/>
      <c r="I328"/>
      <c r="J328"/>
      <c r="K328"/>
      <c r="L328"/>
      <c r="M328"/>
      <c r="N328"/>
    </row>
    <row r="329" spans="1:14" ht="15" customHeight="1">
      <c r="A329"/>
      <c r="B329"/>
      <c r="C329"/>
      <c r="D329"/>
      <c r="E329"/>
      <c r="F329"/>
      <c r="G329"/>
      <c r="H329"/>
      <c r="I329"/>
      <c r="J329"/>
      <c r="K329"/>
      <c r="L329"/>
      <c r="M329"/>
      <c r="N329"/>
    </row>
    <row r="330" spans="1:14" ht="15" customHeight="1">
      <c r="A330"/>
      <c r="B330"/>
      <c r="C330"/>
      <c r="D330"/>
      <c r="E330"/>
      <c r="F330"/>
      <c r="G330"/>
      <c r="H330"/>
      <c r="I330"/>
      <c r="J330"/>
      <c r="K330"/>
      <c r="L330"/>
      <c r="M330"/>
      <c r="N330"/>
    </row>
    <row r="331" spans="1:14" ht="15" customHeight="1">
      <c r="A331"/>
      <c r="B331"/>
      <c r="C331"/>
      <c r="D331"/>
      <c r="E331"/>
      <c r="F331"/>
      <c r="G331"/>
      <c r="H331"/>
      <c r="I331"/>
      <c r="J331"/>
      <c r="K331"/>
      <c r="L331"/>
      <c r="M331"/>
      <c r="N331"/>
    </row>
    <row r="332" spans="1:14" ht="15" customHeight="1">
      <c r="A332"/>
      <c r="B332"/>
      <c r="C332"/>
      <c r="D332"/>
      <c r="E332"/>
      <c r="F332"/>
      <c r="G332"/>
      <c r="H332"/>
      <c r="I332"/>
      <c r="J332"/>
      <c r="K332"/>
      <c r="L332"/>
      <c r="M332"/>
      <c r="N332"/>
    </row>
    <row r="333" spans="1:14" ht="15" customHeight="1">
      <c r="A333"/>
      <c r="B333"/>
      <c r="C333"/>
      <c r="D333"/>
      <c r="E333"/>
      <c r="F333"/>
      <c r="G333"/>
      <c r="H333"/>
      <c r="I333"/>
      <c r="J333"/>
      <c r="K333"/>
      <c r="L333"/>
      <c r="M333"/>
      <c r="N333"/>
    </row>
    <row r="334" spans="1:14" ht="15" customHeight="1">
      <c r="A334"/>
      <c r="B334"/>
      <c r="C334"/>
      <c r="D334"/>
      <c r="E334"/>
      <c r="F334"/>
      <c r="G334"/>
      <c r="H334"/>
      <c r="I334"/>
      <c r="J334"/>
      <c r="K334"/>
      <c r="L334"/>
      <c r="M334"/>
      <c r="N334"/>
    </row>
    <row r="335" spans="1:14" ht="15" customHeight="1">
      <c r="A335"/>
      <c r="B335"/>
      <c r="C335"/>
      <c r="D335"/>
      <c r="E335"/>
      <c r="F335"/>
      <c r="G335"/>
      <c r="H335"/>
      <c r="I335"/>
      <c r="J335"/>
      <c r="K335"/>
      <c r="L335"/>
      <c r="M335"/>
      <c r="N335"/>
    </row>
    <row r="336" spans="1:14" ht="15" customHeight="1">
      <c r="A336"/>
      <c r="B336"/>
      <c r="C336"/>
      <c r="D336"/>
      <c r="E336"/>
      <c r="F336"/>
      <c r="G336"/>
      <c r="H336"/>
      <c r="I336"/>
      <c r="J336"/>
      <c r="K336"/>
      <c r="L336"/>
      <c r="M336"/>
      <c r="N336"/>
    </row>
    <row r="337" spans="1:14" ht="15" customHeight="1">
      <c r="A337"/>
      <c r="B337"/>
      <c r="C337"/>
      <c r="D337"/>
      <c r="E337"/>
      <c r="F337"/>
      <c r="G337"/>
      <c r="H337"/>
      <c r="I337"/>
      <c r="J337"/>
      <c r="K337"/>
      <c r="L337"/>
      <c r="M337"/>
      <c r="N337"/>
    </row>
    <row r="338" spans="1:14" ht="15" customHeight="1">
      <c r="A338"/>
      <c r="B338"/>
      <c r="C338"/>
      <c r="D338"/>
      <c r="E338"/>
      <c r="F338"/>
      <c r="G338"/>
      <c r="H338"/>
      <c r="I338"/>
      <c r="J338"/>
      <c r="K338"/>
      <c r="L338"/>
      <c r="M338"/>
      <c r="N338"/>
    </row>
    <row r="339" spans="1:14" customFormat="1" ht="15" customHeight="1"/>
    <row r="340" spans="1:14" customFormat="1" ht="15" customHeight="1"/>
    <row r="341" spans="1:14" ht="39" customHeight="1">
      <c r="A341"/>
      <c r="B341"/>
      <c r="C341"/>
      <c r="D341"/>
      <c r="E341"/>
      <c r="F341"/>
      <c r="G341"/>
      <c r="H341"/>
      <c r="I341"/>
      <c r="J341"/>
      <c r="K341"/>
      <c r="L341"/>
      <c r="M341"/>
      <c r="N341"/>
    </row>
    <row r="342" spans="1:14" ht="30" customHeight="1">
      <c r="A342"/>
      <c r="B342"/>
      <c r="C342"/>
      <c r="D342"/>
      <c r="E342"/>
      <c r="F342"/>
      <c r="G342"/>
      <c r="H342"/>
      <c r="I342"/>
      <c r="J342"/>
      <c r="K342"/>
      <c r="L342"/>
      <c r="M342"/>
      <c r="N342"/>
    </row>
    <row r="343" spans="1:14" s="263" customFormat="1" ht="24" customHeight="1">
      <c r="A343"/>
      <c r="B343"/>
      <c r="C343"/>
      <c r="D343"/>
      <c r="E343"/>
      <c r="F343"/>
      <c r="G343"/>
      <c r="H343"/>
      <c r="I343"/>
      <c r="J343"/>
      <c r="K343"/>
      <c r="L343"/>
      <c r="M343"/>
      <c r="N343"/>
    </row>
    <row r="344" spans="1:14" ht="15" customHeight="1">
      <c r="A344"/>
      <c r="B344"/>
      <c r="C344"/>
      <c r="D344"/>
      <c r="E344"/>
      <c r="F344"/>
      <c r="G344"/>
      <c r="H344"/>
      <c r="I344"/>
      <c r="J344"/>
      <c r="K344"/>
      <c r="L344"/>
      <c r="M344"/>
      <c r="N344"/>
    </row>
    <row r="345" spans="1:14">
      <c r="A345"/>
      <c r="B345"/>
      <c r="C345"/>
      <c r="D345"/>
      <c r="E345"/>
      <c r="F345"/>
      <c r="G345"/>
      <c r="H345"/>
      <c r="I345"/>
      <c r="J345"/>
      <c r="K345"/>
      <c r="L345"/>
      <c r="M345"/>
      <c r="N345"/>
    </row>
    <row r="346" spans="1:14" s="263" customFormat="1" ht="15" customHeight="1">
      <c r="A346"/>
      <c r="B346"/>
      <c r="C346"/>
      <c r="D346"/>
      <c r="E346"/>
      <c r="F346"/>
      <c r="G346"/>
      <c r="H346"/>
      <c r="I346"/>
      <c r="J346"/>
      <c r="K346"/>
      <c r="L346"/>
      <c r="M346"/>
      <c r="N346"/>
    </row>
    <row r="347" spans="1:14" ht="15" customHeight="1">
      <c r="A347"/>
      <c r="B347"/>
      <c r="C347"/>
      <c r="D347"/>
      <c r="E347"/>
      <c r="F347"/>
      <c r="G347"/>
      <c r="H347"/>
      <c r="I347"/>
      <c r="J347"/>
      <c r="K347"/>
      <c r="L347"/>
      <c r="M347"/>
      <c r="N347"/>
    </row>
    <row r="348" spans="1:14" ht="30" customHeight="1">
      <c r="A348"/>
      <c r="B348"/>
      <c r="C348"/>
      <c r="D348"/>
      <c r="E348"/>
      <c r="F348"/>
      <c r="G348"/>
      <c r="H348"/>
      <c r="I348"/>
      <c r="J348"/>
      <c r="K348"/>
      <c r="L348"/>
      <c r="M348"/>
      <c r="N348"/>
    </row>
    <row r="349" spans="1:14" s="263" customFormat="1" ht="15" customHeight="1">
      <c r="A349"/>
      <c r="B349"/>
      <c r="C349"/>
      <c r="D349"/>
      <c r="E349"/>
      <c r="F349"/>
      <c r="G349"/>
      <c r="H349"/>
      <c r="I349"/>
      <c r="J349"/>
      <c r="K349"/>
      <c r="L349"/>
      <c r="M349"/>
      <c r="N349"/>
    </row>
    <row r="350" spans="1:14" s="263" customFormat="1" ht="15" customHeight="1">
      <c r="A350"/>
      <c r="B350"/>
      <c r="C350"/>
      <c r="D350"/>
      <c r="E350"/>
      <c r="F350"/>
      <c r="G350"/>
      <c r="H350"/>
      <c r="I350"/>
      <c r="J350"/>
      <c r="K350"/>
      <c r="L350"/>
      <c r="M350"/>
      <c r="N350"/>
    </row>
    <row r="351" spans="1:14" ht="21.75" customHeight="1">
      <c r="A351"/>
      <c r="B351"/>
      <c r="C351"/>
      <c r="D351"/>
      <c r="E351"/>
      <c r="F351"/>
      <c r="G351"/>
      <c r="H351"/>
      <c r="I351"/>
      <c r="J351"/>
      <c r="K351"/>
      <c r="L351"/>
      <c r="M351"/>
      <c r="N351"/>
    </row>
    <row r="352" spans="1:14" ht="66.75" customHeight="1">
      <c r="A352"/>
      <c r="B352"/>
      <c r="C352"/>
      <c r="D352"/>
      <c r="E352"/>
      <c r="F352"/>
      <c r="G352"/>
      <c r="H352"/>
      <c r="I352"/>
      <c r="J352"/>
      <c r="K352"/>
      <c r="L352"/>
      <c r="M352"/>
      <c r="N352"/>
    </row>
    <row r="353" spans="1:14" ht="15" customHeight="1">
      <c r="A353"/>
      <c r="B353"/>
      <c r="C353"/>
      <c r="D353"/>
      <c r="E353"/>
      <c r="F353"/>
      <c r="G353"/>
      <c r="H353"/>
      <c r="I353"/>
      <c r="J353"/>
      <c r="K353"/>
      <c r="L353"/>
      <c r="M353"/>
      <c r="N353"/>
    </row>
    <row r="354" spans="1:14" ht="15" customHeight="1">
      <c r="A354"/>
      <c r="B354"/>
      <c r="C354"/>
      <c r="D354"/>
      <c r="E354"/>
      <c r="F354"/>
      <c r="G354"/>
      <c r="H354"/>
      <c r="I354"/>
      <c r="J354"/>
      <c r="K354"/>
      <c r="L354"/>
      <c r="M354"/>
      <c r="N354"/>
    </row>
    <row r="355" spans="1:14" ht="15" customHeight="1">
      <c r="A355"/>
      <c r="B355"/>
      <c r="C355"/>
      <c r="D355"/>
      <c r="E355"/>
      <c r="F355"/>
      <c r="G355"/>
      <c r="H355"/>
      <c r="I355"/>
      <c r="J355"/>
      <c r="K355"/>
      <c r="L355"/>
      <c r="M355"/>
      <c r="N355"/>
    </row>
    <row r="356" spans="1:14" ht="15" customHeight="1">
      <c r="A356"/>
      <c r="B356"/>
      <c r="C356"/>
      <c r="D356"/>
      <c r="E356"/>
      <c r="F356"/>
      <c r="G356"/>
      <c r="H356"/>
      <c r="I356"/>
      <c r="J356"/>
      <c r="K356"/>
      <c r="L356"/>
      <c r="M356"/>
      <c r="N356"/>
    </row>
    <row r="357" spans="1:14" ht="15" customHeight="1">
      <c r="A357"/>
      <c r="B357"/>
      <c r="C357"/>
      <c r="D357"/>
      <c r="E357"/>
      <c r="F357"/>
      <c r="G357"/>
      <c r="H357"/>
      <c r="I357"/>
      <c r="J357"/>
      <c r="K357"/>
      <c r="L357"/>
      <c r="M357"/>
      <c r="N357"/>
    </row>
    <row r="358" spans="1:14" ht="15" customHeight="1">
      <c r="A358"/>
      <c r="B358"/>
      <c r="C358"/>
      <c r="D358"/>
      <c r="E358"/>
      <c r="F358"/>
      <c r="G358"/>
      <c r="H358"/>
      <c r="I358"/>
      <c r="J358"/>
      <c r="K358"/>
      <c r="L358"/>
      <c r="M358"/>
      <c r="N358"/>
    </row>
    <row r="359" spans="1:14" ht="15" customHeight="1">
      <c r="A359"/>
      <c r="B359"/>
      <c r="C359"/>
      <c r="D359"/>
      <c r="E359"/>
      <c r="F359"/>
      <c r="G359"/>
      <c r="H359"/>
      <c r="I359"/>
      <c r="J359"/>
      <c r="K359"/>
      <c r="L359"/>
      <c r="M359"/>
      <c r="N359"/>
    </row>
    <row r="360" spans="1:14" ht="15" customHeight="1">
      <c r="A360"/>
      <c r="B360"/>
      <c r="C360"/>
      <c r="D360"/>
      <c r="E360"/>
      <c r="F360"/>
      <c r="G360"/>
      <c r="H360"/>
      <c r="I360"/>
      <c r="J360"/>
      <c r="K360"/>
      <c r="L360"/>
      <c r="M360"/>
      <c r="N360"/>
    </row>
    <row r="361" spans="1:14" ht="15" customHeight="1">
      <c r="A361"/>
      <c r="B361"/>
      <c r="C361"/>
      <c r="D361"/>
      <c r="E361"/>
      <c r="F361"/>
      <c r="G361"/>
      <c r="H361"/>
      <c r="I361"/>
      <c r="J361"/>
      <c r="K361"/>
      <c r="L361"/>
      <c r="M361"/>
      <c r="N361"/>
    </row>
    <row r="362" spans="1:14" ht="15" customHeight="1">
      <c r="A362"/>
      <c r="B362"/>
      <c r="C362"/>
      <c r="D362"/>
      <c r="E362"/>
      <c r="F362"/>
      <c r="G362"/>
      <c r="H362"/>
      <c r="I362"/>
      <c r="J362"/>
      <c r="K362"/>
      <c r="L362"/>
      <c r="M362"/>
      <c r="N362"/>
    </row>
    <row r="363" spans="1:14" ht="15" customHeight="1">
      <c r="A363"/>
      <c r="B363"/>
      <c r="C363"/>
      <c r="D363"/>
      <c r="E363"/>
      <c r="F363"/>
      <c r="G363"/>
      <c r="H363"/>
      <c r="I363"/>
      <c r="J363"/>
      <c r="K363"/>
      <c r="L363"/>
      <c r="M363"/>
      <c r="N363"/>
    </row>
    <row r="364" spans="1:14" ht="15" customHeight="1">
      <c r="A364"/>
      <c r="B364"/>
      <c r="C364"/>
      <c r="D364"/>
      <c r="E364"/>
      <c r="F364"/>
      <c r="G364"/>
      <c r="H364"/>
      <c r="I364"/>
      <c r="J364"/>
      <c r="K364"/>
      <c r="L364"/>
      <c r="M364"/>
      <c r="N364"/>
    </row>
    <row r="365" spans="1:14" ht="15" customHeight="1">
      <c r="A365"/>
      <c r="B365"/>
      <c r="C365"/>
      <c r="D365"/>
      <c r="E365"/>
      <c r="F365"/>
      <c r="G365"/>
      <c r="H365"/>
      <c r="I365"/>
      <c r="J365"/>
      <c r="K365"/>
      <c r="L365"/>
      <c r="M365"/>
      <c r="N365"/>
    </row>
    <row r="366" spans="1:14" ht="15" customHeight="1">
      <c r="A366"/>
      <c r="B366"/>
      <c r="C366"/>
      <c r="D366"/>
      <c r="E366"/>
      <c r="F366"/>
      <c r="G366"/>
      <c r="H366"/>
      <c r="I366"/>
      <c r="J366"/>
      <c r="K366"/>
      <c r="L366"/>
      <c r="M366"/>
      <c r="N366"/>
    </row>
    <row r="367" spans="1:14" ht="15" customHeight="1">
      <c r="A367"/>
      <c r="B367"/>
      <c r="C367"/>
      <c r="D367"/>
      <c r="E367"/>
      <c r="F367"/>
      <c r="G367"/>
      <c r="H367"/>
      <c r="I367"/>
      <c r="J367"/>
      <c r="K367"/>
      <c r="L367"/>
      <c r="M367"/>
      <c r="N367"/>
    </row>
    <row r="368" spans="1:14" ht="15" customHeight="1">
      <c r="A368"/>
      <c r="B368"/>
      <c r="C368"/>
      <c r="D368"/>
      <c r="E368"/>
      <c r="F368"/>
      <c r="G368"/>
      <c r="H368"/>
      <c r="I368"/>
      <c r="J368"/>
      <c r="K368"/>
      <c r="L368"/>
      <c r="M368"/>
      <c r="N368"/>
    </row>
    <row r="369" spans="1:14" ht="15" customHeight="1">
      <c r="A369"/>
      <c r="B369"/>
      <c r="C369"/>
      <c r="D369"/>
      <c r="E369"/>
      <c r="F369"/>
      <c r="G369"/>
      <c r="H369"/>
      <c r="I369"/>
      <c r="J369"/>
      <c r="K369"/>
      <c r="L369"/>
      <c r="M369"/>
      <c r="N369"/>
    </row>
    <row r="370" spans="1:14" ht="15" customHeight="1">
      <c r="A370"/>
      <c r="B370"/>
      <c r="C370"/>
      <c r="D370"/>
      <c r="E370"/>
      <c r="F370"/>
      <c r="G370"/>
      <c r="H370"/>
      <c r="I370"/>
      <c r="J370"/>
      <c r="K370"/>
      <c r="L370"/>
      <c r="M370"/>
      <c r="N370"/>
    </row>
    <row r="371" spans="1:14" ht="15" customHeight="1">
      <c r="A371"/>
      <c r="B371"/>
      <c r="C371"/>
      <c r="D371"/>
      <c r="E371"/>
      <c r="F371"/>
      <c r="G371"/>
      <c r="H371"/>
      <c r="I371"/>
      <c r="J371"/>
      <c r="K371"/>
      <c r="L371"/>
      <c r="M371"/>
      <c r="N371"/>
    </row>
    <row r="372" spans="1:14" ht="15" customHeight="1">
      <c r="A372"/>
      <c r="B372"/>
      <c r="C372"/>
      <c r="D372"/>
      <c r="E372"/>
      <c r="F372"/>
      <c r="G372"/>
      <c r="H372"/>
      <c r="I372"/>
      <c r="J372"/>
      <c r="K372"/>
      <c r="L372"/>
      <c r="M372"/>
      <c r="N372"/>
    </row>
    <row r="373" spans="1:14" ht="15" customHeight="1">
      <c r="A373"/>
      <c r="B373"/>
      <c r="C373"/>
      <c r="D373"/>
      <c r="E373"/>
      <c r="F373"/>
      <c r="G373"/>
      <c r="H373"/>
      <c r="I373"/>
      <c r="J373"/>
      <c r="K373"/>
      <c r="L373"/>
      <c r="M373"/>
      <c r="N373"/>
    </row>
    <row r="374" spans="1:14" ht="15" customHeight="1">
      <c r="A374"/>
      <c r="B374"/>
      <c r="C374"/>
      <c r="D374"/>
      <c r="E374"/>
      <c r="F374"/>
      <c r="G374"/>
      <c r="H374"/>
      <c r="I374"/>
      <c r="J374"/>
      <c r="K374"/>
      <c r="L374"/>
      <c r="M374"/>
      <c r="N374"/>
    </row>
    <row r="375" spans="1:14" ht="15" customHeight="1">
      <c r="A375"/>
      <c r="B375"/>
      <c r="C375"/>
      <c r="D375"/>
      <c r="E375"/>
      <c r="F375"/>
      <c r="G375"/>
      <c r="H375"/>
      <c r="I375"/>
      <c r="J375"/>
      <c r="K375"/>
      <c r="L375"/>
      <c r="M375"/>
      <c r="N375"/>
    </row>
    <row r="376" spans="1:14" ht="15" customHeight="1">
      <c r="A376"/>
      <c r="B376"/>
      <c r="C376"/>
      <c r="D376"/>
      <c r="E376"/>
      <c r="F376"/>
      <c r="G376"/>
      <c r="H376"/>
      <c r="I376"/>
      <c r="J376"/>
      <c r="K376"/>
      <c r="L376"/>
      <c r="M376"/>
      <c r="N376"/>
    </row>
    <row r="377" spans="1:14" ht="15" customHeight="1">
      <c r="A377"/>
      <c r="B377"/>
      <c r="C377"/>
      <c r="D377"/>
      <c r="E377"/>
      <c r="F377"/>
      <c r="G377"/>
      <c r="H377"/>
      <c r="I377"/>
      <c r="J377"/>
      <c r="K377"/>
      <c r="L377"/>
      <c r="M377"/>
      <c r="N377"/>
    </row>
    <row r="378" spans="1:14" ht="15" customHeight="1">
      <c r="A378"/>
      <c r="B378"/>
      <c r="C378"/>
      <c r="D378"/>
      <c r="E378"/>
      <c r="F378"/>
      <c r="G378"/>
      <c r="H378"/>
      <c r="I378"/>
      <c r="J378"/>
      <c r="K378"/>
      <c r="L378"/>
      <c r="M378"/>
      <c r="N378"/>
    </row>
    <row r="379" spans="1:14" ht="15" customHeight="1">
      <c r="A379"/>
      <c r="B379"/>
      <c r="C379"/>
      <c r="D379"/>
      <c r="E379"/>
      <c r="F379"/>
      <c r="G379"/>
      <c r="H379"/>
      <c r="I379"/>
      <c r="J379"/>
      <c r="K379"/>
      <c r="L379"/>
      <c r="M379"/>
      <c r="N379"/>
    </row>
    <row r="380" spans="1:14" ht="15" customHeight="1">
      <c r="A380"/>
      <c r="B380"/>
      <c r="C380"/>
      <c r="D380"/>
      <c r="E380"/>
      <c r="F380"/>
      <c r="G380"/>
      <c r="H380"/>
      <c r="I380"/>
      <c r="J380"/>
      <c r="K380"/>
      <c r="L380"/>
      <c r="M380"/>
      <c r="N380"/>
    </row>
    <row r="381" spans="1:14" customFormat="1" ht="15" customHeight="1"/>
    <row r="382" spans="1:14" customFormat="1" ht="15" customHeight="1"/>
    <row r="383" spans="1:14" ht="39" customHeight="1">
      <c r="A383"/>
      <c r="B383"/>
      <c r="C383"/>
      <c r="D383"/>
      <c r="E383"/>
      <c r="F383"/>
      <c r="G383"/>
      <c r="H383"/>
      <c r="I383"/>
      <c r="J383"/>
      <c r="K383"/>
      <c r="L383"/>
      <c r="M383"/>
      <c r="N383"/>
    </row>
    <row r="384" spans="1:14" ht="30" customHeight="1">
      <c r="A384"/>
      <c r="B384"/>
      <c r="C384"/>
      <c r="D384"/>
      <c r="E384"/>
      <c r="F384"/>
      <c r="G384"/>
      <c r="H384"/>
      <c r="I384"/>
      <c r="J384"/>
      <c r="K384"/>
      <c r="L384"/>
      <c r="M384"/>
      <c r="N384"/>
    </row>
    <row r="385" spans="1:14" s="263" customFormat="1" ht="24" customHeight="1">
      <c r="A385"/>
      <c r="B385"/>
      <c r="C385"/>
      <c r="D385"/>
      <c r="E385"/>
      <c r="F385"/>
      <c r="G385"/>
      <c r="H385"/>
      <c r="I385"/>
      <c r="J385"/>
      <c r="K385"/>
      <c r="L385"/>
      <c r="M385"/>
      <c r="N385"/>
    </row>
    <row r="386" spans="1:14" ht="15" customHeight="1">
      <c r="A386"/>
      <c r="B386"/>
      <c r="C386"/>
      <c r="D386"/>
      <c r="E386"/>
      <c r="F386"/>
      <c r="G386"/>
      <c r="H386"/>
      <c r="I386"/>
      <c r="J386"/>
      <c r="K386"/>
      <c r="L386"/>
      <c r="M386"/>
      <c r="N386"/>
    </row>
    <row r="387" spans="1:14">
      <c r="A387"/>
      <c r="B387"/>
      <c r="C387"/>
      <c r="D387"/>
      <c r="E387"/>
      <c r="F387"/>
      <c r="G387"/>
      <c r="H387"/>
      <c r="I387"/>
      <c r="J387"/>
      <c r="K387"/>
      <c r="L387"/>
      <c r="M387"/>
      <c r="N387"/>
    </row>
    <row r="388" spans="1:14" s="263" customFormat="1" ht="15" customHeight="1">
      <c r="A388"/>
      <c r="B388"/>
      <c r="C388"/>
      <c r="D388"/>
      <c r="E388"/>
      <c r="F388"/>
      <c r="G388"/>
      <c r="H388"/>
      <c r="I388"/>
      <c r="J388"/>
      <c r="K388"/>
      <c r="L388"/>
      <c r="M388"/>
      <c r="N388"/>
    </row>
    <row r="389" spans="1:14" ht="15" customHeight="1">
      <c r="A389"/>
      <c r="B389"/>
      <c r="C389"/>
      <c r="D389"/>
      <c r="E389"/>
      <c r="F389"/>
      <c r="G389"/>
      <c r="H389"/>
      <c r="I389"/>
      <c r="J389"/>
      <c r="K389"/>
      <c r="L389"/>
      <c r="M389"/>
      <c r="N389"/>
    </row>
    <row r="390" spans="1:14" ht="30" customHeight="1">
      <c r="A390"/>
      <c r="B390"/>
      <c r="C390"/>
      <c r="D390"/>
      <c r="E390"/>
      <c r="F390"/>
      <c r="G390"/>
      <c r="H390"/>
      <c r="I390"/>
      <c r="J390"/>
      <c r="K390"/>
      <c r="L390"/>
      <c r="M390"/>
      <c r="N390"/>
    </row>
    <row r="391" spans="1:14" s="263" customFormat="1" ht="15" customHeight="1">
      <c r="A391"/>
      <c r="B391"/>
      <c r="C391"/>
      <c r="D391"/>
      <c r="E391"/>
      <c r="F391"/>
      <c r="G391"/>
      <c r="H391"/>
      <c r="I391"/>
      <c r="J391"/>
      <c r="K391"/>
      <c r="L391"/>
      <c r="M391"/>
      <c r="N391"/>
    </row>
    <row r="392" spans="1:14" s="263" customFormat="1" ht="15" customHeight="1">
      <c r="A392"/>
      <c r="B392"/>
      <c r="C392"/>
      <c r="D392"/>
      <c r="E392"/>
      <c r="F392"/>
      <c r="G392"/>
      <c r="H392"/>
      <c r="I392"/>
      <c r="J392"/>
      <c r="K392"/>
      <c r="L392"/>
      <c r="M392"/>
      <c r="N392"/>
    </row>
    <row r="393" spans="1:14" ht="21.75" customHeight="1">
      <c r="A393"/>
      <c r="B393"/>
      <c r="C393"/>
      <c r="D393"/>
      <c r="E393"/>
      <c r="F393"/>
      <c r="G393"/>
      <c r="H393"/>
      <c r="I393"/>
      <c r="J393"/>
      <c r="K393"/>
      <c r="L393"/>
      <c r="M393"/>
      <c r="N393"/>
    </row>
    <row r="394" spans="1:14" ht="66.75" customHeight="1">
      <c r="A394"/>
      <c r="B394"/>
      <c r="C394"/>
      <c r="D394"/>
      <c r="E394"/>
      <c r="F394"/>
      <c r="G394"/>
      <c r="H394"/>
      <c r="I394"/>
      <c r="J394"/>
      <c r="K394"/>
      <c r="L394"/>
      <c r="M394"/>
      <c r="N394"/>
    </row>
    <row r="395" spans="1:14" ht="15" customHeight="1">
      <c r="A395"/>
      <c r="B395"/>
      <c r="C395"/>
      <c r="D395"/>
      <c r="E395"/>
      <c r="F395"/>
      <c r="G395"/>
      <c r="H395"/>
      <c r="I395"/>
      <c r="J395"/>
      <c r="K395"/>
      <c r="L395"/>
      <c r="M395"/>
      <c r="N395"/>
    </row>
    <row r="396" spans="1:14" ht="15" customHeight="1">
      <c r="A396"/>
      <c r="B396"/>
      <c r="C396"/>
      <c r="D396"/>
      <c r="E396"/>
      <c r="F396"/>
      <c r="G396"/>
      <c r="H396"/>
      <c r="I396"/>
      <c r="J396"/>
      <c r="K396"/>
      <c r="L396"/>
      <c r="M396"/>
      <c r="N396"/>
    </row>
    <row r="397" spans="1:14" ht="15" customHeight="1">
      <c r="A397"/>
      <c r="B397"/>
      <c r="C397"/>
      <c r="D397"/>
      <c r="E397"/>
      <c r="F397"/>
      <c r="G397"/>
      <c r="H397"/>
      <c r="I397"/>
      <c r="J397"/>
      <c r="K397"/>
      <c r="L397"/>
      <c r="M397"/>
      <c r="N397"/>
    </row>
    <row r="398" spans="1:14" ht="15" customHeight="1">
      <c r="A398"/>
      <c r="B398"/>
      <c r="C398"/>
      <c r="D398"/>
      <c r="E398"/>
      <c r="F398"/>
      <c r="G398"/>
      <c r="H398"/>
      <c r="I398"/>
      <c r="J398"/>
      <c r="K398"/>
      <c r="L398"/>
      <c r="M398"/>
      <c r="N398"/>
    </row>
    <row r="399" spans="1:14" ht="15" customHeight="1">
      <c r="A399"/>
      <c r="B399"/>
      <c r="C399"/>
      <c r="D399"/>
      <c r="E399"/>
      <c r="F399"/>
      <c r="G399"/>
      <c r="H399"/>
      <c r="I399"/>
      <c r="J399"/>
      <c r="K399"/>
      <c r="L399"/>
      <c r="M399"/>
      <c r="N399"/>
    </row>
    <row r="400" spans="1:14" ht="15" customHeight="1">
      <c r="A400"/>
      <c r="B400"/>
      <c r="C400"/>
      <c r="D400"/>
      <c r="E400"/>
      <c r="F400"/>
      <c r="G400"/>
      <c r="H400"/>
      <c r="I400"/>
      <c r="J400"/>
      <c r="K400"/>
      <c r="L400"/>
      <c r="M400"/>
      <c r="N400"/>
    </row>
    <row r="401" spans="1:14" ht="15" customHeight="1">
      <c r="A401"/>
      <c r="B401"/>
      <c r="C401"/>
      <c r="D401"/>
      <c r="E401"/>
      <c r="F401"/>
      <c r="G401"/>
      <c r="H401"/>
      <c r="I401"/>
      <c r="J401"/>
      <c r="K401"/>
      <c r="L401"/>
      <c r="M401"/>
      <c r="N401"/>
    </row>
    <row r="402" spans="1:14" ht="15" customHeight="1">
      <c r="A402"/>
      <c r="B402"/>
      <c r="C402"/>
      <c r="D402"/>
      <c r="E402"/>
      <c r="F402"/>
      <c r="G402"/>
      <c r="H402"/>
      <c r="I402"/>
      <c r="J402"/>
      <c r="K402"/>
      <c r="L402"/>
      <c r="M402"/>
      <c r="N402"/>
    </row>
    <row r="403" spans="1:14" ht="15" customHeight="1">
      <c r="A403"/>
      <c r="B403"/>
      <c r="C403"/>
      <c r="D403"/>
      <c r="E403"/>
      <c r="F403"/>
      <c r="G403"/>
      <c r="H403"/>
      <c r="I403"/>
      <c r="J403"/>
      <c r="K403"/>
      <c r="L403"/>
      <c r="M403"/>
      <c r="N403"/>
    </row>
    <row r="404" spans="1:14" ht="15" customHeight="1">
      <c r="A404"/>
      <c r="B404"/>
      <c r="C404"/>
      <c r="D404"/>
      <c r="E404"/>
      <c r="F404"/>
      <c r="G404"/>
      <c r="H404"/>
      <c r="I404"/>
      <c r="J404"/>
      <c r="K404"/>
      <c r="L404"/>
      <c r="M404"/>
      <c r="N404"/>
    </row>
    <row r="405" spans="1:14" ht="15" customHeight="1">
      <c r="A405"/>
      <c r="B405"/>
      <c r="C405"/>
      <c r="D405"/>
      <c r="E405"/>
      <c r="F405"/>
      <c r="G405"/>
      <c r="H405"/>
      <c r="I405"/>
      <c r="J405"/>
      <c r="K405"/>
      <c r="L405"/>
      <c r="M405"/>
      <c r="N405"/>
    </row>
    <row r="406" spans="1:14" ht="15" customHeight="1">
      <c r="A406"/>
      <c r="B406"/>
      <c r="C406"/>
      <c r="D406"/>
      <c r="E406"/>
      <c r="F406"/>
      <c r="G406"/>
      <c r="H406"/>
      <c r="I406"/>
      <c r="J406"/>
      <c r="K406"/>
      <c r="L406"/>
      <c r="M406"/>
      <c r="N406"/>
    </row>
    <row r="407" spans="1:14" ht="15" customHeight="1">
      <c r="A407"/>
      <c r="B407"/>
      <c r="C407"/>
      <c r="D407"/>
      <c r="E407"/>
      <c r="F407"/>
      <c r="G407"/>
      <c r="H407"/>
      <c r="I407"/>
      <c r="J407"/>
      <c r="K407"/>
      <c r="L407"/>
      <c r="M407"/>
      <c r="N407"/>
    </row>
    <row r="408" spans="1:14" ht="15" customHeight="1">
      <c r="A408"/>
      <c r="B408"/>
      <c r="C408"/>
      <c r="D408"/>
      <c r="E408"/>
      <c r="F408"/>
      <c r="G408"/>
      <c r="H408"/>
      <c r="I408"/>
      <c r="J408"/>
      <c r="K408"/>
      <c r="L408"/>
      <c r="M408"/>
      <c r="N408"/>
    </row>
    <row r="409" spans="1:14" ht="15" customHeight="1">
      <c r="A409"/>
      <c r="B409"/>
      <c r="C409"/>
      <c r="D409"/>
      <c r="E409"/>
      <c r="F409"/>
      <c r="G409"/>
      <c r="H409"/>
      <c r="I409"/>
      <c r="J409"/>
      <c r="K409"/>
      <c r="L409"/>
      <c r="M409"/>
      <c r="N409"/>
    </row>
    <row r="410" spans="1:14" ht="15" customHeight="1">
      <c r="A410"/>
      <c r="B410"/>
      <c r="C410"/>
      <c r="D410"/>
      <c r="E410"/>
      <c r="F410"/>
      <c r="G410"/>
      <c r="H410"/>
      <c r="I410"/>
      <c r="J410"/>
      <c r="K410"/>
      <c r="L410"/>
      <c r="M410"/>
      <c r="N410"/>
    </row>
    <row r="411" spans="1:14" ht="15" customHeight="1">
      <c r="A411"/>
      <c r="B411"/>
      <c r="C411"/>
      <c r="D411"/>
      <c r="E411"/>
      <c r="F411"/>
      <c r="G411"/>
      <c r="H411"/>
      <c r="I411"/>
      <c r="J411"/>
      <c r="K411"/>
      <c r="L411"/>
      <c r="M411"/>
      <c r="N411"/>
    </row>
    <row r="412" spans="1:14" ht="15" customHeight="1">
      <c r="A412"/>
      <c r="B412"/>
      <c r="C412"/>
      <c r="D412"/>
      <c r="E412"/>
      <c r="F412"/>
      <c r="G412"/>
      <c r="H412"/>
      <c r="I412"/>
      <c r="J412"/>
      <c r="K412"/>
      <c r="L412"/>
      <c r="M412"/>
      <c r="N412"/>
    </row>
    <row r="413" spans="1:14" ht="15" customHeight="1">
      <c r="A413"/>
      <c r="B413"/>
      <c r="C413"/>
      <c r="D413"/>
      <c r="E413"/>
      <c r="F413"/>
      <c r="G413"/>
      <c r="H413"/>
      <c r="I413"/>
      <c r="J413"/>
      <c r="K413"/>
      <c r="L413"/>
      <c r="M413"/>
      <c r="N413"/>
    </row>
    <row r="414" spans="1:14" ht="15" customHeight="1">
      <c r="A414"/>
      <c r="B414"/>
      <c r="C414"/>
      <c r="D414"/>
      <c r="E414"/>
      <c r="F414"/>
      <c r="G414"/>
      <c r="H414"/>
      <c r="I414"/>
      <c r="J414"/>
      <c r="K414"/>
      <c r="L414"/>
      <c r="M414"/>
      <c r="N414"/>
    </row>
    <row r="415" spans="1:14" ht="15" customHeight="1">
      <c r="A415"/>
      <c r="B415"/>
      <c r="C415"/>
      <c r="D415"/>
      <c r="E415"/>
      <c r="F415"/>
      <c r="G415"/>
      <c r="H415"/>
      <c r="I415"/>
      <c r="J415"/>
      <c r="K415"/>
      <c r="L415"/>
      <c r="M415"/>
      <c r="N415"/>
    </row>
    <row r="416" spans="1:14" ht="15" customHeight="1">
      <c r="A416"/>
      <c r="B416"/>
      <c r="C416"/>
      <c r="D416"/>
      <c r="E416"/>
      <c r="F416"/>
      <c r="G416"/>
      <c r="H416"/>
      <c r="I416"/>
      <c r="J416"/>
      <c r="K416"/>
      <c r="L416"/>
      <c r="M416"/>
      <c r="N416"/>
    </row>
    <row r="417" spans="1:14" ht="15" customHeight="1">
      <c r="A417"/>
      <c r="B417"/>
      <c r="C417"/>
      <c r="D417"/>
      <c r="E417"/>
      <c r="F417"/>
      <c r="G417"/>
      <c r="H417"/>
      <c r="I417"/>
      <c r="J417"/>
      <c r="K417"/>
      <c r="L417"/>
      <c r="M417"/>
      <c r="N417"/>
    </row>
    <row r="418" spans="1:14" ht="15" customHeight="1">
      <c r="A418"/>
      <c r="B418"/>
      <c r="C418"/>
      <c r="D418"/>
      <c r="E418"/>
      <c r="F418"/>
      <c r="G418"/>
      <c r="H418"/>
      <c r="I418"/>
      <c r="J418"/>
      <c r="K418"/>
      <c r="L418"/>
      <c r="M418"/>
      <c r="N418"/>
    </row>
    <row r="419" spans="1:14" ht="15" customHeight="1">
      <c r="A419"/>
      <c r="B419"/>
      <c r="C419"/>
      <c r="D419"/>
      <c r="E419"/>
      <c r="F419"/>
      <c r="G419"/>
      <c r="H419"/>
      <c r="I419"/>
      <c r="J419"/>
      <c r="K419"/>
      <c r="L419"/>
      <c r="M419"/>
      <c r="N419"/>
    </row>
    <row r="420" spans="1:14" ht="15" customHeight="1">
      <c r="A420"/>
      <c r="B420"/>
      <c r="C420"/>
      <c r="D420"/>
      <c r="E420"/>
      <c r="F420"/>
      <c r="G420"/>
      <c r="H420"/>
      <c r="I420"/>
      <c r="J420"/>
      <c r="K420"/>
      <c r="L420"/>
      <c r="M420"/>
      <c r="N420"/>
    </row>
    <row r="421" spans="1:14" ht="15" customHeight="1">
      <c r="A421"/>
      <c r="B421"/>
      <c r="C421"/>
      <c r="D421"/>
      <c r="E421"/>
      <c r="F421"/>
      <c r="G421"/>
      <c r="H421"/>
      <c r="I421"/>
      <c r="J421"/>
      <c r="K421"/>
      <c r="L421"/>
      <c r="M421"/>
      <c r="N421"/>
    </row>
    <row r="422" spans="1:14" ht="15" customHeight="1">
      <c r="A422"/>
      <c r="B422"/>
      <c r="C422"/>
      <c r="D422"/>
      <c r="E422"/>
      <c r="F422"/>
      <c r="G422"/>
      <c r="H422"/>
      <c r="I422"/>
      <c r="J422"/>
      <c r="K422"/>
      <c r="L422"/>
      <c r="M422"/>
      <c r="N422"/>
    </row>
    <row r="423" spans="1:14" customFormat="1" ht="15" customHeight="1"/>
    <row r="424" spans="1:14" customFormat="1" ht="15" customHeight="1"/>
    <row r="425" spans="1:14" ht="39" customHeight="1">
      <c r="A425"/>
      <c r="B425"/>
      <c r="C425"/>
      <c r="D425"/>
      <c r="E425"/>
      <c r="F425"/>
      <c r="G425"/>
      <c r="H425"/>
      <c r="I425"/>
      <c r="J425"/>
      <c r="K425"/>
      <c r="L425"/>
      <c r="M425"/>
      <c r="N425"/>
    </row>
    <row r="426" spans="1:14" ht="30" customHeight="1">
      <c r="A426"/>
      <c r="B426"/>
      <c r="C426"/>
      <c r="D426"/>
      <c r="E426"/>
      <c r="F426"/>
      <c r="G426"/>
      <c r="H426"/>
      <c r="I426"/>
      <c r="J426"/>
      <c r="K426"/>
      <c r="L426"/>
      <c r="M426"/>
      <c r="N426"/>
    </row>
    <row r="427" spans="1:14" s="263" customFormat="1" ht="24" customHeight="1">
      <c r="A427"/>
      <c r="B427"/>
      <c r="C427"/>
      <c r="D427"/>
      <c r="E427"/>
      <c r="F427"/>
      <c r="G427"/>
      <c r="H427"/>
      <c r="I427"/>
      <c r="J427"/>
      <c r="K427"/>
      <c r="L427"/>
      <c r="M427"/>
      <c r="N427"/>
    </row>
    <row r="428" spans="1:14" ht="15" customHeight="1">
      <c r="A428"/>
      <c r="B428"/>
      <c r="C428"/>
      <c r="D428"/>
      <c r="E428"/>
      <c r="F428"/>
      <c r="G428"/>
      <c r="H428"/>
      <c r="I428"/>
      <c r="J428"/>
      <c r="K428"/>
      <c r="L428"/>
      <c r="M428"/>
      <c r="N428"/>
    </row>
    <row r="429" spans="1:14">
      <c r="A429"/>
      <c r="B429"/>
      <c r="C429"/>
      <c r="D429"/>
      <c r="E429"/>
      <c r="F429"/>
      <c r="G429"/>
      <c r="H429"/>
      <c r="I429"/>
      <c r="J429"/>
      <c r="K429"/>
      <c r="L429"/>
      <c r="M429"/>
      <c r="N429"/>
    </row>
    <row r="430" spans="1:14" s="263" customFormat="1" ht="15" customHeight="1">
      <c r="A430"/>
      <c r="B430"/>
      <c r="C430"/>
      <c r="D430"/>
      <c r="E430"/>
      <c r="F430"/>
      <c r="G430"/>
      <c r="H430"/>
      <c r="I430"/>
      <c r="J430"/>
      <c r="K430"/>
      <c r="L430"/>
      <c r="M430"/>
      <c r="N430"/>
    </row>
    <row r="431" spans="1:14" ht="15" customHeight="1">
      <c r="A431"/>
      <c r="B431"/>
      <c r="C431"/>
      <c r="D431"/>
      <c r="E431"/>
      <c r="F431"/>
      <c r="G431"/>
      <c r="H431"/>
      <c r="I431"/>
      <c r="J431"/>
      <c r="K431"/>
      <c r="L431"/>
      <c r="M431"/>
      <c r="N431"/>
    </row>
    <row r="432" spans="1:14" ht="30" customHeight="1">
      <c r="A432"/>
      <c r="B432"/>
      <c r="C432"/>
      <c r="D432"/>
      <c r="E432"/>
      <c r="F432"/>
      <c r="G432"/>
      <c r="H432"/>
      <c r="I432"/>
      <c r="J432"/>
      <c r="K432"/>
      <c r="L432"/>
      <c r="M432"/>
      <c r="N432"/>
    </row>
    <row r="433" spans="1:14" s="263" customFormat="1" ht="15" customHeight="1">
      <c r="A433"/>
      <c r="B433"/>
      <c r="C433"/>
      <c r="D433"/>
      <c r="E433"/>
      <c r="F433"/>
      <c r="G433"/>
      <c r="H433"/>
      <c r="I433"/>
      <c r="J433"/>
      <c r="K433"/>
      <c r="L433"/>
      <c r="M433"/>
      <c r="N433"/>
    </row>
    <row r="434" spans="1:14" s="263" customFormat="1" ht="15" customHeight="1">
      <c r="A434"/>
      <c r="B434"/>
      <c r="C434"/>
      <c r="D434"/>
      <c r="E434"/>
      <c r="F434"/>
      <c r="G434"/>
      <c r="H434"/>
      <c r="I434"/>
      <c r="J434"/>
      <c r="K434"/>
      <c r="L434"/>
      <c r="M434"/>
      <c r="N434"/>
    </row>
    <row r="435" spans="1:14" ht="21.75" customHeight="1">
      <c r="A435"/>
      <c r="B435"/>
      <c r="C435"/>
      <c r="D435"/>
      <c r="E435"/>
      <c r="F435"/>
      <c r="G435"/>
      <c r="H435"/>
      <c r="I435"/>
      <c r="J435"/>
      <c r="K435"/>
      <c r="L435"/>
      <c r="M435"/>
      <c r="N435"/>
    </row>
    <row r="436" spans="1:14" ht="66.75" customHeight="1">
      <c r="A436"/>
      <c r="B436"/>
      <c r="C436"/>
      <c r="D436"/>
      <c r="E436"/>
      <c r="F436"/>
      <c r="G436"/>
      <c r="H436"/>
      <c r="I436"/>
      <c r="J436"/>
      <c r="K436"/>
      <c r="L436"/>
      <c r="M436"/>
      <c r="N436"/>
    </row>
    <row r="437" spans="1:14" ht="15" customHeight="1">
      <c r="A437"/>
      <c r="B437"/>
      <c r="C437"/>
      <c r="D437"/>
      <c r="E437"/>
      <c r="F437"/>
      <c r="G437"/>
      <c r="H437"/>
      <c r="I437"/>
      <c r="J437"/>
      <c r="K437"/>
      <c r="L437"/>
      <c r="M437"/>
      <c r="N437"/>
    </row>
    <row r="438" spans="1:14" ht="15" customHeight="1">
      <c r="A438"/>
      <c r="B438"/>
      <c r="C438"/>
      <c r="D438"/>
      <c r="E438"/>
      <c r="F438"/>
      <c r="G438"/>
      <c r="H438"/>
      <c r="I438"/>
      <c r="J438"/>
      <c r="K438"/>
      <c r="L438"/>
      <c r="M438"/>
      <c r="N438"/>
    </row>
    <row r="439" spans="1:14" ht="15" customHeight="1">
      <c r="A439"/>
      <c r="B439"/>
      <c r="C439"/>
      <c r="D439"/>
      <c r="E439"/>
      <c r="F439"/>
      <c r="G439"/>
      <c r="H439"/>
      <c r="I439"/>
      <c r="J439"/>
      <c r="K439"/>
      <c r="L439"/>
      <c r="M439"/>
      <c r="N439"/>
    </row>
    <row r="440" spans="1:14" ht="15" customHeight="1">
      <c r="A440"/>
      <c r="B440"/>
      <c r="C440"/>
      <c r="D440"/>
      <c r="E440"/>
      <c r="F440"/>
      <c r="G440"/>
      <c r="H440"/>
      <c r="I440"/>
      <c r="J440"/>
      <c r="K440"/>
      <c r="L440"/>
      <c r="M440"/>
      <c r="N440"/>
    </row>
    <row r="441" spans="1:14" ht="15" customHeight="1">
      <c r="A441"/>
      <c r="B441"/>
      <c r="C441"/>
      <c r="D441"/>
      <c r="E441"/>
      <c r="F441"/>
      <c r="G441"/>
      <c r="H441"/>
      <c r="I441"/>
      <c r="J441"/>
      <c r="K441"/>
      <c r="L441"/>
      <c r="M441"/>
      <c r="N441"/>
    </row>
    <row r="442" spans="1:14" ht="15" customHeight="1">
      <c r="A442"/>
      <c r="B442"/>
      <c r="C442"/>
      <c r="D442"/>
      <c r="E442"/>
      <c r="F442"/>
      <c r="G442"/>
      <c r="H442"/>
      <c r="I442"/>
      <c r="J442"/>
      <c r="K442"/>
      <c r="L442"/>
      <c r="M442"/>
      <c r="N442"/>
    </row>
    <row r="443" spans="1:14" ht="15" customHeight="1">
      <c r="A443"/>
      <c r="B443"/>
      <c r="C443"/>
      <c r="D443"/>
      <c r="E443"/>
      <c r="F443"/>
      <c r="G443"/>
      <c r="H443"/>
      <c r="I443"/>
      <c r="J443"/>
      <c r="K443"/>
      <c r="L443"/>
      <c r="M443"/>
      <c r="N443"/>
    </row>
    <row r="444" spans="1:14" ht="15" customHeight="1">
      <c r="A444"/>
      <c r="B444"/>
      <c r="C444"/>
      <c r="D444"/>
      <c r="E444"/>
      <c r="F444"/>
      <c r="G444"/>
      <c r="H444"/>
      <c r="I444"/>
      <c r="J444"/>
      <c r="K444"/>
      <c r="L444"/>
      <c r="M444"/>
      <c r="N444"/>
    </row>
    <row r="445" spans="1:14" ht="15" customHeight="1">
      <c r="A445"/>
      <c r="B445"/>
      <c r="C445"/>
      <c r="D445"/>
      <c r="E445"/>
      <c r="F445"/>
      <c r="G445"/>
      <c r="H445"/>
      <c r="I445"/>
      <c r="J445"/>
      <c r="K445"/>
      <c r="L445"/>
      <c r="M445"/>
      <c r="N445"/>
    </row>
    <row r="446" spans="1:14" ht="15" customHeight="1">
      <c r="A446"/>
      <c r="B446"/>
      <c r="C446"/>
      <c r="D446"/>
      <c r="E446"/>
      <c r="F446"/>
      <c r="G446"/>
      <c r="H446"/>
      <c r="I446"/>
      <c r="J446"/>
      <c r="K446"/>
      <c r="L446"/>
      <c r="M446"/>
      <c r="N446"/>
    </row>
    <row r="447" spans="1:14" ht="15" customHeight="1">
      <c r="A447"/>
      <c r="B447"/>
      <c r="C447"/>
      <c r="D447"/>
      <c r="E447"/>
      <c r="F447"/>
      <c r="G447"/>
      <c r="H447"/>
      <c r="I447"/>
      <c r="J447"/>
      <c r="K447"/>
      <c r="L447"/>
      <c r="M447"/>
      <c r="N447"/>
    </row>
    <row r="448" spans="1:14" ht="15" customHeight="1">
      <c r="A448"/>
      <c r="B448"/>
      <c r="C448"/>
      <c r="D448"/>
      <c r="E448"/>
      <c r="F448"/>
      <c r="G448"/>
      <c r="H448"/>
      <c r="I448"/>
      <c r="J448"/>
      <c r="K448"/>
      <c r="L448"/>
      <c r="M448"/>
      <c r="N448"/>
    </row>
    <row r="449" spans="1:14" ht="15" customHeight="1">
      <c r="A449"/>
      <c r="B449"/>
      <c r="C449"/>
      <c r="D449"/>
      <c r="E449"/>
      <c r="F449"/>
      <c r="G449"/>
      <c r="H449"/>
      <c r="I449"/>
      <c r="J449"/>
      <c r="K449"/>
      <c r="L449"/>
      <c r="M449"/>
      <c r="N449"/>
    </row>
    <row r="450" spans="1:14" ht="15" customHeight="1">
      <c r="A450"/>
      <c r="B450"/>
      <c r="C450"/>
      <c r="D450"/>
      <c r="E450"/>
      <c r="F450"/>
      <c r="G450"/>
      <c r="H450"/>
      <c r="I450"/>
      <c r="J450"/>
      <c r="K450"/>
      <c r="L450"/>
      <c r="M450"/>
      <c r="N450"/>
    </row>
    <row r="451" spans="1:14" ht="15" customHeight="1">
      <c r="A451"/>
      <c r="B451"/>
      <c r="C451"/>
      <c r="D451"/>
      <c r="E451"/>
      <c r="F451"/>
      <c r="G451"/>
      <c r="H451"/>
      <c r="I451"/>
      <c r="J451"/>
      <c r="K451"/>
      <c r="L451"/>
      <c r="M451"/>
      <c r="N451"/>
    </row>
    <row r="452" spans="1:14" ht="15" customHeight="1">
      <c r="A452"/>
      <c r="B452"/>
      <c r="C452"/>
      <c r="D452"/>
      <c r="E452"/>
      <c r="F452"/>
      <c r="G452"/>
      <c r="H452"/>
      <c r="I452"/>
      <c r="J452"/>
      <c r="K452"/>
      <c r="L452"/>
      <c r="M452"/>
      <c r="N452"/>
    </row>
    <row r="453" spans="1:14" ht="15" customHeight="1">
      <c r="A453"/>
      <c r="B453"/>
      <c r="C453"/>
      <c r="D453"/>
      <c r="E453"/>
      <c r="F453"/>
      <c r="G453"/>
      <c r="H453"/>
      <c r="I453"/>
      <c r="J453"/>
      <c r="K453"/>
      <c r="L453"/>
      <c r="M453"/>
      <c r="N453"/>
    </row>
    <row r="454" spans="1:14" ht="15" customHeight="1">
      <c r="A454"/>
      <c r="B454"/>
      <c r="C454"/>
      <c r="D454"/>
      <c r="E454"/>
      <c r="F454"/>
      <c r="G454"/>
      <c r="H454"/>
      <c r="I454"/>
      <c r="J454"/>
      <c r="K454"/>
      <c r="L454"/>
      <c r="M454"/>
      <c r="N454"/>
    </row>
    <row r="455" spans="1:14" ht="15" customHeight="1">
      <c r="A455"/>
      <c r="B455"/>
      <c r="C455"/>
      <c r="D455"/>
      <c r="E455"/>
      <c r="F455"/>
      <c r="G455"/>
      <c r="H455"/>
      <c r="I455"/>
      <c r="J455"/>
      <c r="K455"/>
      <c r="L455"/>
      <c r="M455"/>
      <c r="N455"/>
    </row>
    <row r="456" spans="1:14" ht="15" customHeight="1">
      <c r="A456"/>
      <c r="B456"/>
      <c r="C456"/>
      <c r="D456"/>
      <c r="E456"/>
      <c r="F456"/>
      <c r="G456"/>
      <c r="H456"/>
      <c r="I456"/>
      <c r="J456"/>
      <c r="K456"/>
      <c r="L456"/>
      <c r="M456"/>
      <c r="N456"/>
    </row>
    <row r="457" spans="1:14" ht="15" customHeight="1">
      <c r="A457"/>
      <c r="B457"/>
      <c r="C457"/>
      <c r="D457"/>
      <c r="E457"/>
      <c r="F457"/>
      <c r="G457"/>
      <c r="H457"/>
      <c r="I457"/>
      <c r="J457"/>
      <c r="K457"/>
      <c r="L457"/>
      <c r="M457"/>
      <c r="N457"/>
    </row>
    <row r="458" spans="1:14" ht="15" customHeight="1">
      <c r="A458"/>
      <c r="B458"/>
      <c r="C458"/>
      <c r="D458"/>
      <c r="E458"/>
      <c r="F458"/>
      <c r="G458"/>
      <c r="H458"/>
      <c r="I458"/>
      <c r="J458"/>
      <c r="K458"/>
      <c r="L458"/>
      <c r="M458"/>
      <c r="N458"/>
    </row>
    <row r="459" spans="1:14" ht="15" customHeight="1">
      <c r="A459"/>
      <c r="B459"/>
      <c r="C459"/>
      <c r="D459"/>
      <c r="E459"/>
      <c r="F459"/>
      <c r="G459"/>
      <c r="H459"/>
      <c r="I459"/>
      <c r="J459"/>
      <c r="K459"/>
      <c r="L459"/>
      <c r="M459"/>
      <c r="N459"/>
    </row>
    <row r="460" spans="1:14" ht="15" customHeight="1">
      <c r="A460"/>
      <c r="B460"/>
      <c r="C460"/>
      <c r="D460"/>
      <c r="E460"/>
      <c r="F460"/>
      <c r="G460"/>
      <c r="H460"/>
      <c r="I460"/>
      <c r="J460"/>
      <c r="K460"/>
      <c r="L460"/>
      <c r="M460"/>
      <c r="N460"/>
    </row>
    <row r="461" spans="1:14" ht="15" customHeight="1">
      <c r="A461"/>
      <c r="B461"/>
      <c r="C461"/>
      <c r="D461"/>
      <c r="E461"/>
      <c r="F461"/>
      <c r="G461"/>
      <c r="H461"/>
      <c r="I461"/>
      <c r="J461"/>
      <c r="K461"/>
      <c r="L461"/>
      <c r="M461"/>
      <c r="N461"/>
    </row>
    <row r="462" spans="1:14" ht="15" customHeight="1">
      <c r="A462"/>
      <c r="B462"/>
      <c r="C462"/>
      <c r="D462"/>
      <c r="E462"/>
      <c r="F462"/>
      <c r="G462"/>
      <c r="H462"/>
      <c r="I462"/>
      <c r="J462"/>
      <c r="K462"/>
      <c r="L462"/>
      <c r="M462"/>
      <c r="N462"/>
    </row>
    <row r="463" spans="1:14" ht="15" customHeight="1">
      <c r="A463"/>
      <c r="B463"/>
      <c r="C463"/>
      <c r="D463"/>
      <c r="E463"/>
      <c r="F463"/>
      <c r="G463"/>
      <c r="H463"/>
      <c r="I463"/>
      <c r="J463"/>
      <c r="K463"/>
      <c r="L463"/>
      <c r="M463"/>
      <c r="N463"/>
    </row>
    <row r="464" spans="1:14" ht="15" customHeight="1">
      <c r="A464"/>
      <c r="B464"/>
      <c r="C464"/>
      <c r="D464"/>
      <c r="E464"/>
      <c r="F464"/>
      <c r="G464"/>
      <c r="H464"/>
      <c r="I464"/>
      <c r="J464"/>
      <c r="K464"/>
      <c r="L464"/>
      <c r="M464"/>
      <c r="N464"/>
    </row>
    <row r="465" spans="1:14" customFormat="1" ht="15" customHeight="1"/>
    <row r="466" spans="1:14" customFormat="1" ht="15" customHeight="1"/>
    <row r="467" spans="1:14" ht="39" customHeight="1">
      <c r="A467"/>
      <c r="B467"/>
      <c r="C467"/>
      <c r="D467"/>
      <c r="E467"/>
      <c r="F467"/>
      <c r="G467"/>
      <c r="H467"/>
      <c r="I467"/>
      <c r="J467"/>
      <c r="K467"/>
      <c r="L467"/>
      <c r="M467"/>
      <c r="N467"/>
    </row>
    <row r="468" spans="1:14" ht="30" customHeight="1">
      <c r="A468"/>
      <c r="B468"/>
      <c r="C468"/>
      <c r="D468"/>
      <c r="E468"/>
      <c r="F468"/>
      <c r="G468"/>
      <c r="H468"/>
      <c r="I468"/>
      <c r="J468"/>
      <c r="K468"/>
      <c r="L468"/>
      <c r="M468"/>
      <c r="N468"/>
    </row>
    <row r="469" spans="1:14" s="263" customFormat="1" ht="24" customHeight="1">
      <c r="A469"/>
      <c r="B469"/>
      <c r="C469"/>
      <c r="D469"/>
      <c r="E469"/>
      <c r="F469"/>
      <c r="G469"/>
      <c r="H469"/>
      <c r="I469"/>
      <c r="J469"/>
      <c r="K469"/>
      <c r="L469"/>
      <c r="M469"/>
      <c r="N469"/>
    </row>
    <row r="470" spans="1:14" ht="15" customHeight="1">
      <c r="A470"/>
      <c r="B470"/>
      <c r="C470"/>
      <c r="D470"/>
      <c r="E470"/>
      <c r="F470"/>
      <c r="G470"/>
      <c r="H470"/>
      <c r="I470"/>
      <c r="J470"/>
      <c r="K470"/>
      <c r="L470"/>
      <c r="M470"/>
      <c r="N470"/>
    </row>
    <row r="471" spans="1:14">
      <c r="A471"/>
      <c r="B471"/>
      <c r="C471"/>
      <c r="D471"/>
      <c r="E471"/>
      <c r="F471"/>
      <c r="G471"/>
      <c r="H471"/>
      <c r="I471"/>
      <c r="J471"/>
      <c r="K471"/>
      <c r="L471"/>
      <c r="M471"/>
      <c r="N471"/>
    </row>
    <row r="472" spans="1:14" s="263" customFormat="1" ht="15" customHeight="1">
      <c r="A472"/>
      <c r="B472"/>
      <c r="C472"/>
      <c r="D472"/>
      <c r="E472"/>
      <c r="F472"/>
      <c r="G472"/>
      <c r="H472"/>
      <c r="I472"/>
      <c r="J472"/>
      <c r="K472"/>
      <c r="L472"/>
      <c r="M472"/>
      <c r="N472"/>
    </row>
    <row r="473" spans="1:14" ht="15" customHeight="1">
      <c r="A473"/>
      <c r="B473"/>
      <c r="C473"/>
      <c r="D473"/>
      <c r="E473"/>
      <c r="F473"/>
      <c r="G473"/>
      <c r="H473"/>
      <c r="I473"/>
      <c r="J473"/>
      <c r="K473"/>
      <c r="L473"/>
      <c r="M473"/>
      <c r="N473"/>
    </row>
    <row r="474" spans="1:14" ht="30" customHeight="1">
      <c r="A474"/>
      <c r="B474"/>
      <c r="C474"/>
      <c r="D474"/>
      <c r="E474"/>
      <c r="F474"/>
      <c r="G474"/>
      <c r="H474"/>
      <c r="I474"/>
      <c r="J474"/>
      <c r="K474"/>
      <c r="L474"/>
      <c r="M474"/>
      <c r="N474"/>
    </row>
    <row r="475" spans="1:14" s="263" customFormat="1" ht="15" customHeight="1">
      <c r="A475"/>
      <c r="B475"/>
      <c r="C475"/>
      <c r="D475"/>
      <c r="E475"/>
      <c r="F475"/>
      <c r="G475"/>
      <c r="H475"/>
      <c r="I475"/>
      <c r="J475"/>
      <c r="K475"/>
      <c r="L475"/>
      <c r="M475"/>
      <c r="N475"/>
    </row>
    <row r="476" spans="1:14" s="263" customFormat="1" ht="15" customHeight="1">
      <c r="A476"/>
      <c r="B476"/>
      <c r="C476"/>
      <c r="D476"/>
      <c r="E476"/>
      <c r="F476"/>
      <c r="G476"/>
      <c r="H476"/>
      <c r="I476"/>
      <c r="J476"/>
      <c r="K476"/>
      <c r="L476"/>
      <c r="M476"/>
      <c r="N476"/>
    </row>
    <row r="477" spans="1:14" ht="21.75" customHeight="1">
      <c r="A477"/>
      <c r="B477"/>
      <c r="C477"/>
      <c r="D477"/>
      <c r="E477"/>
      <c r="F477"/>
      <c r="G477"/>
      <c r="H477"/>
      <c r="I477"/>
      <c r="J477"/>
      <c r="K477"/>
      <c r="L477"/>
      <c r="M477"/>
      <c r="N477"/>
    </row>
    <row r="478" spans="1:14" ht="66.75" customHeight="1">
      <c r="A478"/>
      <c r="B478"/>
      <c r="C478"/>
      <c r="D478"/>
      <c r="E478"/>
      <c r="F478"/>
      <c r="G478"/>
      <c r="H478"/>
      <c r="I478"/>
      <c r="J478"/>
      <c r="K478"/>
      <c r="L478"/>
      <c r="M478"/>
      <c r="N478"/>
    </row>
    <row r="479" spans="1:14" ht="15" customHeight="1">
      <c r="A479"/>
      <c r="B479"/>
      <c r="C479"/>
      <c r="D479"/>
      <c r="E479"/>
      <c r="F479"/>
      <c r="G479"/>
      <c r="H479"/>
      <c r="I479"/>
      <c r="J479"/>
      <c r="K479"/>
      <c r="L479"/>
      <c r="M479"/>
      <c r="N479"/>
    </row>
    <row r="480" spans="1:14" ht="15" customHeight="1">
      <c r="A480"/>
      <c r="B480"/>
      <c r="C480"/>
      <c r="D480"/>
      <c r="E480"/>
      <c r="F480"/>
      <c r="G480"/>
      <c r="H480"/>
      <c r="I480"/>
      <c r="J480"/>
      <c r="K480"/>
      <c r="L480"/>
      <c r="M480"/>
      <c r="N480"/>
    </row>
    <row r="481" spans="1:14" ht="15" customHeight="1">
      <c r="A481"/>
      <c r="B481"/>
      <c r="C481"/>
      <c r="D481"/>
      <c r="E481"/>
      <c r="F481"/>
      <c r="G481"/>
      <c r="H481"/>
      <c r="I481"/>
      <c r="J481"/>
      <c r="K481"/>
      <c r="L481"/>
      <c r="M481"/>
      <c r="N481"/>
    </row>
    <row r="482" spans="1:14" ht="15" customHeight="1">
      <c r="A482"/>
      <c r="B482"/>
      <c r="C482"/>
      <c r="D482"/>
      <c r="E482"/>
      <c r="F482"/>
      <c r="G482"/>
      <c r="H482"/>
      <c r="I482"/>
      <c r="J482"/>
      <c r="K482"/>
      <c r="L482"/>
      <c r="M482"/>
      <c r="N482"/>
    </row>
    <row r="483" spans="1:14" ht="15" customHeight="1">
      <c r="A483"/>
      <c r="B483"/>
      <c r="C483"/>
      <c r="D483"/>
      <c r="E483"/>
      <c r="F483"/>
      <c r="G483"/>
      <c r="H483"/>
      <c r="I483"/>
      <c r="J483"/>
      <c r="K483"/>
      <c r="L483"/>
      <c r="M483"/>
      <c r="N483"/>
    </row>
    <row r="484" spans="1:14" ht="15" customHeight="1">
      <c r="A484"/>
      <c r="B484"/>
      <c r="C484"/>
      <c r="D484"/>
      <c r="E484"/>
      <c r="F484"/>
      <c r="G484"/>
      <c r="H484"/>
      <c r="I484"/>
      <c r="J484"/>
      <c r="K484"/>
      <c r="L484"/>
      <c r="M484"/>
      <c r="N484"/>
    </row>
    <row r="485" spans="1:14" ht="15" customHeight="1">
      <c r="A485"/>
      <c r="B485"/>
      <c r="C485"/>
      <c r="D485"/>
      <c r="E485"/>
      <c r="F485"/>
      <c r="G485"/>
      <c r="H485"/>
      <c r="I485"/>
      <c r="J485"/>
      <c r="K485"/>
      <c r="L485"/>
      <c r="M485"/>
      <c r="N485"/>
    </row>
    <row r="486" spans="1:14" ht="15" customHeight="1">
      <c r="A486"/>
      <c r="B486"/>
      <c r="C486"/>
      <c r="D486"/>
      <c r="E486"/>
      <c r="F486"/>
      <c r="G486"/>
      <c r="H486"/>
      <c r="I486"/>
      <c r="J486"/>
      <c r="K486"/>
      <c r="L486"/>
      <c r="M486"/>
      <c r="N486"/>
    </row>
    <row r="487" spans="1:14" ht="15" customHeight="1">
      <c r="A487"/>
      <c r="B487"/>
      <c r="C487"/>
      <c r="D487"/>
      <c r="E487"/>
      <c r="F487"/>
      <c r="G487"/>
      <c r="H487"/>
      <c r="I487"/>
      <c r="J487"/>
      <c r="K487"/>
      <c r="L487"/>
      <c r="M487"/>
      <c r="N487"/>
    </row>
    <row r="488" spans="1:14" ht="15" customHeight="1">
      <c r="A488"/>
      <c r="B488"/>
      <c r="C488"/>
      <c r="D488"/>
      <c r="E488"/>
      <c r="F488"/>
      <c r="G488"/>
      <c r="H488"/>
      <c r="I488"/>
      <c r="J488"/>
      <c r="K488"/>
      <c r="L488"/>
      <c r="M488"/>
      <c r="N488"/>
    </row>
    <row r="489" spans="1:14" ht="15" customHeight="1">
      <c r="A489"/>
      <c r="B489"/>
      <c r="C489"/>
      <c r="D489"/>
      <c r="E489"/>
      <c r="F489"/>
      <c r="G489"/>
      <c r="H489"/>
      <c r="I489"/>
      <c r="J489"/>
      <c r="K489"/>
      <c r="L489"/>
      <c r="M489"/>
      <c r="N489"/>
    </row>
    <row r="490" spans="1:14" ht="15" customHeight="1">
      <c r="A490"/>
      <c r="B490"/>
      <c r="C490"/>
      <c r="D490"/>
      <c r="E490"/>
      <c r="F490"/>
      <c r="G490"/>
      <c r="H490"/>
      <c r="I490"/>
      <c r="J490"/>
      <c r="K490"/>
      <c r="L490"/>
      <c r="M490"/>
      <c r="N490"/>
    </row>
    <row r="491" spans="1:14" ht="15" customHeight="1">
      <c r="A491"/>
      <c r="B491"/>
      <c r="C491"/>
      <c r="D491"/>
      <c r="E491"/>
      <c r="F491"/>
      <c r="G491"/>
      <c r="H491"/>
      <c r="I491"/>
      <c r="J491"/>
      <c r="K491"/>
      <c r="L491"/>
      <c r="M491"/>
      <c r="N491"/>
    </row>
    <row r="492" spans="1:14" ht="15" customHeight="1">
      <c r="A492"/>
      <c r="B492"/>
      <c r="C492"/>
      <c r="D492"/>
      <c r="E492"/>
      <c r="F492"/>
      <c r="G492"/>
      <c r="H492"/>
      <c r="I492"/>
      <c r="J492"/>
      <c r="K492"/>
      <c r="L492"/>
      <c r="M492"/>
      <c r="N492"/>
    </row>
    <row r="493" spans="1:14" ht="15" customHeight="1">
      <c r="A493"/>
      <c r="B493"/>
      <c r="C493"/>
      <c r="D493"/>
      <c r="E493"/>
      <c r="F493"/>
      <c r="G493"/>
      <c r="H493"/>
      <c r="I493"/>
      <c r="J493"/>
      <c r="K493"/>
      <c r="L493"/>
      <c r="M493"/>
      <c r="N493"/>
    </row>
    <row r="494" spans="1:14" ht="15" customHeight="1">
      <c r="A494"/>
      <c r="B494"/>
      <c r="C494"/>
      <c r="D494"/>
      <c r="E494"/>
      <c r="F494"/>
      <c r="G494"/>
      <c r="H494"/>
      <c r="I494"/>
      <c r="J494"/>
      <c r="K494"/>
      <c r="L494"/>
      <c r="M494"/>
      <c r="N494"/>
    </row>
    <row r="495" spans="1:14" ht="15" customHeight="1">
      <c r="A495"/>
      <c r="B495"/>
      <c r="C495"/>
      <c r="D495"/>
      <c r="E495"/>
      <c r="F495"/>
      <c r="G495"/>
      <c r="H495"/>
      <c r="I495"/>
      <c r="J495"/>
      <c r="K495"/>
      <c r="L495"/>
      <c r="M495"/>
      <c r="N495"/>
    </row>
    <row r="496" spans="1:14" ht="15" customHeight="1">
      <c r="A496"/>
      <c r="B496"/>
      <c r="C496"/>
      <c r="D496"/>
      <c r="E496"/>
      <c r="F496"/>
      <c r="G496"/>
      <c r="H496"/>
      <c r="I496"/>
      <c r="J496"/>
      <c r="K496"/>
      <c r="L496"/>
      <c r="M496"/>
      <c r="N496"/>
    </row>
    <row r="497" spans="1:14" ht="15" customHeight="1">
      <c r="A497"/>
      <c r="B497"/>
      <c r="C497"/>
      <c r="D497"/>
      <c r="E497"/>
      <c r="F497"/>
      <c r="G497"/>
      <c r="H497"/>
      <c r="I497"/>
      <c r="J497"/>
      <c r="K497"/>
      <c r="L497"/>
      <c r="M497"/>
      <c r="N497"/>
    </row>
    <row r="498" spans="1:14" ht="15" customHeight="1">
      <c r="A498"/>
      <c r="B498"/>
      <c r="C498"/>
      <c r="D498"/>
      <c r="E498"/>
      <c r="F498"/>
      <c r="G498"/>
      <c r="H498"/>
      <c r="I498"/>
      <c r="J498"/>
      <c r="K498"/>
      <c r="L498"/>
      <c r="M498"/>
      <c r="N498"/>
    </row>
    <row r="499" spans="1:14" ht="15" customHeight="1">
      <c r="A499"/>
      <c r="B499"/>
      <c r="C499"/>
      <c r="D499"/>
      <c r="E499"/>
      <c r="F499"/>
      <c r="G499"/>
      <c r="H499"/>
      <c r="I499"/>
      <c r="J499"/>
      <c r="K499"/>
      <c r="L499"/>
      <c r="M499"/>
      <c r="N499"/>
    </row>
    <row r="500" spans="1:14" ht="15" customHeight="1">
      <c r="A500"/>
      <c r="B500"/>
      <c r="C500"/>
      <c r="D500"/>
      <c r="E500"/>
      <c r="F500"/>
      <c r="G500"/>
      <c r="H500"/>
      <c r="I500"/>
      <c r="J500"/>
      <c r="K500"/>
      <c r="L500"/>
      <c r="M500"/>
      <c r="N500"/>
    </row>
    <row r="501" spans="1:14" ht="15" customHeight="1">
      <c r="A501"/>
      <c r="B501"/>
      <c r="C501"/>
      <c r="D501"/>
      <c r="E501"/>
      <c r="F501"/>
      <c r="G501"/>
      <c r="H501"/>
      <c r="I501"/>
      <c r="J501"/>
      <c r="K501"/>
      <c r="L501"/>
      <c r="M501"/>
      <c r="N501"/>
    </row>
    <row r="502" spans="1:14" ht="15" customHeight="1">
      <c r="A502"/>
      <c r="B502"/>
      <c r="C502"/>
      <c r="D502"/>
      <c r="E502"/>
      <c r="F502"/>
      <c r="G502"/>
      <c r="H502"/>
      <c r="I502"/>
      <c r="J502"/>
      <c r="K502"/>
      <c r="L502"/>
      <c r="M502"/>
      <c r="N502"/>
    </row>
    <row r="503" spans="1:14" ht="15" customHeight="1">
      <c r="A503"/>
      <c r="B503"/>
      <c r="C503"/>
      <c r="D503"/>
      <c r="E503"/>
      <c r="F503"/>
      <c r="G503"/>
      <c r="H503"/>
      <c r="I503"/>
      <c r="J503"/>
      <c r="K503"/>
      <c r="L503"/>
      <c r="M503"/>
      <c r="N503"/>
    </row>
    <row r="504" spans="1:14" ht="15" customHeight="1">
      <c r="A504"/>
      <c r="B504"/>
      <c r="C504"/>
      <c r="D504"/>
      <c r="E504"/>
      <c r="F504"/>
      <c r="G504"/>
      <c r="H504"/>
      <c r="I504"/>
      <c r="J504"/>
      <c r="K504"/>
      <c r="L504"/>
      <c r="M504"/>
      <c r="N504"/>
    </row>
    <row r="505" spans="1:14" ht="15" customHeight="1">
      <c r="A505"/>
      <c r="B505"/>
      <c r="C505"/>
      <c r="D505"/>
      <c r="E505"/>
      <c r="F505"/>
      <c r="G505"/>
      <c r="H505"/>
      <c r="I505"/>
      <c r="J505"/>
      <c r="K505"/>
      <c r="L505"/>
      <c r="M505"/>
      <c r="N505"/>
    </row>
    <row r="506" spans="1:14" ht="15" customHeight="1">
      <c r="A506"/>
      <c r="B506"/>
      <c r="C506"/>
      <c r="D506"/>
      <c r="E506"/>
      <c r="F506"/>
      <c r="G506"/>
      <c r="H506"/>
      <c r="I506"/>
      <c r="J506"/>
      <c r="K506"/>
      <c r="L506"/>
      <c r="M506"/>
      <c r="N506"/>
    </row>
    <row r="507" spans="1:14" customFormat="1" ht="15" customHeight="1"/>
    <row r="508" spans="1:14" customFormat="1" ht="15" customHeight="1"/>
    <row r="509" spans="1:14" ht="39" customHeight="1">
      <c r="A509"/>
      <c r="B509"/>
      <c r="C509"/>
      <c r="D509"/>
      <c r="E509"/>
      <c r="F509"/>
      <c r="G509"/>
      <c r="H509"/>
      <c r="I509"/>
      <c r="J509"/>
      <c r="K509"/>
      <c r="L509"/>
      <c r="M509"/>
      <c r="N509"/>
    </row>
    <row r="510" spans="1:14" ht="30" customHeight="1">
      <c r="A510"/>
      <c r="B510"/>
      <c r="C510"/>
      <c r="D510"/>
      <c r="E510"/>
      <c r="F510"/>
      <c r="G510"/>
      <c r="H510"/>
      <c r="I510"/>
      <c r="J510"/>
      <c r="K510"/>
      <c r="L510"/>
      <c r="M510"/>
      <c r="N510"/>
    </row>
    <row r="511" spans="1:14" s="263" customFormat="1" ht="24" customHeight="1">
      <c r="A511"/>
      <c r="B511"/>
      <c r="C511"/>
      <c r="D511"/>
      <c r="E511"/>
      <c r="F511"/>
      <c r="G511"/>
      <c r="H511"/>
      <c r="I511"/>
      <c r="J511"/>
      <c r="K511"/>
      <c r="L511"/>
      <c r="M511"/>
      <c r="N511"/>
    </row>
    <row r="512" spans="1:14" ht="15" customHeight="1">
      <c r="A512"/>
      <c r="B512"/>
      <c r="C512"/>
      <c r="D512"/>
      <c r="E512"/>
      <c r="F512"/>
      <c r="G512"/>
      <c r="H512"/>
      <c r="I512"/>
      <c r="J512"/>
      <c r="K512"/>
      <c r="L512"/>
      <c r="M512"/>
      <c r="N512"/>
    </row>
    <row r="513" spans="1:14">
      <c r="A513"/>
      <c r="B513"/>
      <c r="C513"/>
      <c r="D513"/>
      <c r="E513"/>
      <c r="F513"/>
      <c r="G513"/>
      <c r="H513"/>
      <c r="I513"/>
      <c r="J513"/>
      <c r="K513"/>
      <c r="L513"/>
      <c r="M513"/>
      <c r="N513"/>
    </row>
    <row r="514" spans="1:14" s="263" customFormat="1" ht="15" customHeight="1">
      <c r="A514"/>
      <c r="B514"/>
      <c r="C514"/>
      <c r="D514"/>
      <c r="E514"/>
      <c r="F514"/>
      <c r="G514"/>
      <c r="H514"/>
      <c r="I514"/>
      <c r="J514"/>
      <c r="K514"/>
      <c r="L514"/>
      <c r="M514"/>
      <c r="N514"/>
    </row>
    <row r="515" spans="1:14" ht="15" customHeight="1">
      <c r="A515"/>
      <c r="B515"/>
      <c r="C515"/>
      <c r="D515"/>
      <c r="E515"/>
      <c r="F515"/>
      <c r="G515"/>
      <c r="H515"/>
      <c r="I515"/>
      <c r="J515"/>
      <c r="K515"/>
      <c r="L515"/>
      <c r="M515"/>
      <c r="N515"/>
    </row>
    <row r="516" spans="1:14" ht="30" customHeight="1">
      <c r="A516"/>
      <c r="B516"/>
      <c r="C516"/>
      <c r="D516"/>
      <c r="E516"/>
      <c r="F516"/>
      <c r="G516"/>
      <c r="H516"/>
      <c r="I516"/>
      <c r="J516"/>
      <c r="K516"/>
      <c r="L516"/>
      <c r="M516"/>
      <c r="N516"/>
    </row>
    <row r="517" spans="1:14" s="263" customFormat="1" ht="15" customHeight="1">
      <c r="A517"/>
      <c r="B517"/>
      <c r="C517"/>
      <c r="D517"/>
      <c r="E517"/>
      <c r="F517"/>
      <c r="G517"/>
      <c r="H517"/>
      <c r="I517"/>
      <c r="J517"/>
      <c r="K517"/>
      <c r="L517"/>
      <c r="M517"/>
      <c r="N517"/>
    </row>
    <row r="518" spans="1:14" s="263" customFormat="1" ht="15" customHeight="1">
      <c r="A518"/>
      <c r="B518"/>
      <c r="C518"/>
      <c r="D518"/>
      <c r="E518"/>
      <c r="F518"/>
      <c r="G518"/>
      <c r="H518"/>
      <c r="I518"/>
      <c r="J518"/>
      <c r="K518"/>
      <c r="L518"/>
      <c r="M518"/>
      <c r="N518"/>
    </row>
    <row r="519" spans="1:14" ht="21.75" customHeight="1">
      <c r="A519"/>
      <c r="B519"/>
      <c r="C519"/>
      <c r="D519"/>
      <c r="E519"/>
      <c r="F519"/>
      <c r="G519"/>
      <c r="H519"/>
      <c r="I519"/>
      <c r="J519"/>
      <c r="K519"/>
      <c r="L519"/>
      <c r="M519"/>
      <c r="N519"/>
    </row>
    <row r="520" spans="1:14" ht="66.75" customHeight="1">
      <c r="A520"/>
      <c r="B520"/>
      <c r="C520"/>
      <c r="D520"/>
      <c r="E520"/>
      <c r="F520"/>
      <c r="G520"/>
      <c r="H520"/>
      <c r="I520"/>
      <c r="J520"/>
      <c r="K520"/>
      <c r="L520"/>
      <c r="M520"/>
      <c r="N520"/>
    </row>
    <row r="521" spans="1:14" ht="15" customHeight="1">
      <c r="A521"/>
      <c r="B521"/>
      <c r="C521"/>
      <c r="D521"/>
      <c r="E521"/>
      <c r="F521"/>
      <c r="G521"/>
      <c r="H521"/>
      <c r="I521"/>
      <c r="J521"/>
      <c r="K521"/>
      <c r="L521"/>
      <c r="M521"/>
      <c r="N521"/>
    </row>
    <row r="522" spans="1:14" ht="15" customHeight="1">
      <c r="A522"/>
      <c r="B522"/>
      <c r="C522"/>
      <c r="D522"/>
      <c r="E522"/>
      <c r="F522"/>
      <c r="G522"/>
      <c r="H522"/>
      <c r="I522"/>
      <c r="J522"/>
      <c r="K522"/>
      <c r="L522"/>
      <c r="M522"/>
      <c r="N522"/>
    </row>
    <row r="523" spans="1:14" ht="15" customHeight="1">
      <c r="A523"/>
      <c r="B523"/>
      <c r="C523"/>
      <c r="D523"/>
      <c r="E523"/>
      <c r="F523"/>
      <c r="G523"/>
      <c r="H523"/>
      <c r="I523"/>
      <c r="J523"/>
      <c r="K523"/>
      <c r="L523"/>
      <c r="M523"/>
      <c r="N523"/>
    </row>
    <row r="524" spans="1:14" ht="15" customHeight="1">
      <c r="A524"/>
      <c r="B524"/>
      <c r="C524"/>
      <c r="D524"/>
      <c r="E524"/>
      <c r="F524"/>
      <c r="G524"/>
      <c r="H524"/>
      <c r="I524"/>
      <c r="J524"/>
      <c r="K524"/>
      <c r="L524"/>
      <c r="M524"/>
      <c r="N524"/>
    </row>
    <row r="525" spans="1:14" ht="15" customHeight="1">
      <c r="A525"/>
      <c r="B525"/>
      <c r="C525"/>
      <c r="D525"/>
      <c r="E525"/>
      <c r="F525"/>
      <c r="G525"/>
      <c r="H525"/>
      <c r="I525"/>
      <c r="J525"/>
      <c r="K525"/>
      <c r="L525"/>
      <c r="M525"/>
      <c r="N525"/>
    </row>
    <row r="526" spans="1:14" ht="15" customHeight="1">
      <c r="A526"/>
      <c r="B526"/>
      <c r="C526"/>
      <c r="D526"/>
      <c r="E526"/>
      <c r="F526"/>
      <c r="G526"/>
      <c r="H526"/>
      <c r="I526"/>
      <c r="J526"/>
      <c r="K526"/>
      <c r="L526"/>
      <c r="M526"/>
      <c r="N526"/>
    </row>
    <row r="527" spans="1:14" ht="15" customHeight="1">
      <c r="A527"/>
      <c r="B527"/>
      <c r="C527"/>
      <c r="D527"/>
      <c r="E527"/>
      <c r="F527"/>
      <c r="G527"/>
      <c r="H527"/>
      <c r="I527"/>
      <c r="J527"/>
      <c r="K527"/>
      <c r="L527"/>
      <c r="M527"/>
      <c r="N527"/>
    </row>
    <row r="528" spans="1:14" ht="15" customHeight="1">
      <c r="A528"/>
      <c r="B528"/>
      <c r="C528"/>
      <c r="D528"/>
      <c r="E528"/>
      <c r="F528"/>
      <c r="G528"/>
      <c r="H528"/>
      <c r="I528"/>
      <c r="J528"/>
      <c r="K528"/>
      <c r="L528"/>
      <c r="M528"/>
      <c r="N528"/>
    </row>
    <row r="529" spans="1:14" ht="15" customHeight="1">
      <c r="A529"/>
      <c r="B529"/>
      <c r="C529"/>
      <c r="D529"/>
      <c r="E529"/>
      <c r="F529"/>
      <c r="G529"/>
      <c r="H529"/>
      <c r="I529"/>
      <c r="J529"/>
      <c r="K529"/>
      <c r="L529"/>
      <c r="M529"/>
      <c r="N529"/>
    </row>
    <row r="530" spans="1:14" ht="15" customHeight="1">
      <c r="A530"/>
      <c r="B530"/>
      <c r="C530"/>
      <c r="D530"/>
      <c r="E530"/>
      <c r="F530"/>
      <c r="G530"/>
      <c r="H530"/>
      <c r="I530"/>
      <c r="J530"/>
      <c r="K530"/>
      <c r="L530"/>
      <c r="M530"/>
      <c r="N530"/>
    </row>
    <row r="531" spans="1:14" ht="15" customHeight="1">
      <c r="A531"/>
      <c r="B531"/>
      <c r="C531"/>
      <c r="D531"/>
      <c r="E531"/>
      <c r="F531"/>
      <c r="G531"/>
      <c r="H531"/>
      <c r="I531"/>
      <c r="J531"/>
      <c r="K531"/>
      <c r="L531"/>
      <c r="M531"/>
      <c r="N531"/>
    </row>
    <row r="532" spans="1:14" ht="15" customHeight="1">
      <c r="A532"/>
      <c r="B532"/>
      <c r="C532"/>
      <c r="D532"/>
      <c r="E532"/>
      <c r="F532"/>
      <c r="G532"/>
      <c r="H532"/>
      <c r="I532"/>
      <c r="J532"/>
      <c r="K532"/>
      <c r="L532"/>
      <c r="M532"/>
      <c r="N532"/>
    </row>
    <row r="533" spans="1:14" ht="15" customHeight="1">
      <c r="A533"/>
      <c r="B533"/>
      <c r="C533"/>
      <c r="D533"/>
      <c r="E533"/>
      <c r="F533"/>
      <c r="G533"/>
      <c r="H533"/>
      <c r="I533"/>
      <c r="J533"/>
      <c r="K533"/>
      <c r="L533"/>
      <c r="M533"/>
      <c r="N533"/>
    </row>
    <row r="534" spans="1:14" ht="15" customHeight="1">
      <c r="A534"/>
      <c r="B534"/>
      <c r="C534"/>
      <c r="D534"/>
      <c r="E534"/>
      <c r="F534"/>
      <c r="G534"/>
      <c r="H534"/>
      <c r="I534"/>
      <c r="J534"/>
      <c r="K534"/>
      <c r="L534"/>
      <c r="M534"/>
      <c r="N534"/>
    </row>
    <row r="535" spans="1:14" ht="15" customHeight="1">
      <c r="A535"/>
      <c r="B535"/>
      <c r="C535"/>
      <c r="D535"/>
      <c r="E535"/>
      <c r="F535"/>
      <c r="G535"/>
      <c r="H535"/>
      <c r="I535"/>
      <c r="J535"/>
      <c r="K535"/>
      <c r="L535"/>
      <c r="M535"/>
      <c r="N535"/>
    </row>
    <row r="536" spans="1:14" ht="15" customHeight="1">
      <c r="A536"/>
      <c r="B536"/>
      <c r="C536"/>
      <c r="D536"/>
      <c r="E536"/>
      <c r="F536"/>
      <c r="G536"/>
      <c r="H536"/>
      <c r="I536"/>
      <c r="J536"/>
      <c r="K536"/>
      <c r="L536"/>
      <c r="M536"/>
      <c r="N536"/>
    </row>
    <row r="537" spans="1:14" ht="15" customHeight="1">
      <c r="A537"/>
      <c r="B537"/>
      <c r="C537"/>
      <c r="D537"/>
      <c r="E537"/>
      <c r="F537"/>
      <c r="G537"/>
      <c r="H537"/>
      <c r="I537"/>
      <c r="J537"/>
      <c r="K537"/>
      <c r="L537"/>
      <c r="M537"/>
      <c r="N537"/>
    </row>
    <row r="538" spans="1:14" ht="15" customHeight="1">
      <c r="A538"/>
      <c r="B538"/>
      <c r="C538"/>
      <c r="D538"/>
      <c r="E538"/>
      <c r="F538"/>
      <c r="G538"/>
      <c r="H538"/>
      <c r="I538"/>
      <c r="J538"/>
      <c r="K538"/>
      <c r="L538"/>
      <c r="M538"/>
      <c r="N538"/>
    </row>
    <row r="539" spans="1:14" ht="15" customHeight="1">
      <c r="A539"/>
      <c r="B539"/>
      <c r="C539"/>
      <c r="D539"/>
      <c r="E539"/>
      <c r="F539"/>
      <c r="G539"/>
      <c r="H539"/>
      <c r="I539"/>
      <c r="J539"/>
      <c r="K539"/>
      <c r="L539"/>
      <c r="M539"/>
      <c r="N539"/>
    </row>
    <row r="540" spans="1:14" ht="15" customHeight="1">
      <c r="A540"/>
      <c r="B540"/>
      <c r="C540"/>
      <c r="D540"/>
      <c r="E540"/>
      <c r="F540"/>
      <c r="G540"/>
      <c r="H540"/>
      <c r="I540"/>
      <c r="J540"/>
      <c r="K540"/>
      <c r="L540"/>
      <c r="M540"/>
      <c r="N540"/>
    </row>
    <row r="541" spans="1:14" ht="15" customHeight="1">
      <c r="A541"/>
      <c r="B541"/>
      <c r="C541"/>
      <c r="D541"/>
      <c r="E541"/>
      <c r="F541"/>
      <c r="G541"/>
      <c r="H541"/>
      <c r="I541"/>
      <c r="J541"/>
      <c r="K541"/>
      <c r="L541"/>
      <c r="M541"/>
      <c r="N541"/>
    </row>
    <row r="542" spans="1:14" ht="15" customHeight="1">
      <c r="A542"/>
      <c r="B542"/>
      <c r="C542"/>
      <c r="D542"/>
      <c r="E542"/>
      <c r="F542"/>
      <c r="G542"/>
      <c r="H542"/>
      <c r="I542"/>
      <c r="J542"/>
      <c r="K542"/>
      <c r="L542"/>
      <c r="M542"/>
      <c r="N542"/>
    </row>
    <row r="543" spans="1:14" ht="15" customHeight="1">
      <c r="A543"/>
      <c r="B543"/>
      <c r="C543"/>
      <c r="D543"/>
      <c r="E543"/>
      <c r="F543"/>
      <c r="G543"/>
      <c r="H543"/>
      <c r="I543"/>
      <c r="J543"/>
      <c r="K543"/>
      <c r="L543"/>
      <c r="M543"/>
      <c r="N543"/>
    </row>
    <row r="544" spans="1:14" ht="15" customHeight="1">
      <c r="A544"/>
      <c r="B544"/>
      <c r="C544"/>
      <c r="D544"/>
      <c r="E544"/>
      <c r="F544"/>
      <c r="G544"/>
      <c r="H544"/>
      <c r="I544"/>
      <c r="J544"/>
      <c r="K544"/>
      <c r="L544"/>
      <c r="M544"/>
      <c r="N544"/>
    </row>
    <row r="545" spans="1:14" ht="15" customHeight="1">
      <c r="A545"/>
      <c r="B545"/>
      <c r="C545"/>
      <c r="D545"/>
      <c r="E545"/>
      <c r="F545"/>
      <c r="G545"/>
      <c r="H545"/>
      <c r="I545"/>
      <c r="J545"/>
      <c r="K545"/>
      <c r="L545"/>
      <c r="M545"/>
      <c r="N545"/>
    </row>
    <row r="546" spans="1:14" ht="15" customHeight="1">
      <c r="A546"/>
      <c r="B546"/>
      <c r="C546"/>
      <c r="D546"/>
      <c r="E546"/>
      <c r="F546"/>
      <c r="G546"/>
      <c r="H546"/>
      <c r="I546"/>
      <c r="J546"/>
      <c r="K546"/>
      <c r="L546"/>
      <c r="M546"/>
      <c r="N546"/>
    </row>
    <row r="547" spans="1:14" ht="15" customHeight="1">
      <c r="A547"/>
      <c r="B547"/>
      <c r="C547"/>
      <c r="D547"/>
      <c r="E547"/>
      <c r="F547"/>
      <c r="G547"/>
      <c r="H547"/>
      <c r="I547"/>
      <c r="J547"/>
      <c r="K547"/>
      <c r="L547"/>
      <c r="M547"/>
      <c r="N547"/>
    </row>
    <row r="548" spans="1:14" ht="15" customHeight="1">
      <c r="A548"/>
      <c r="B548"/>
      <c r="C548"/>
      <c r="D548"/>
      <c r="E548"/>
      <c r="F548"/>
      <c r="G548"/>
      <c r="H548"/>
      <c r="I548"/>
      <c r="J548"/>
      <c r="K548"/>
      <c r="L548"/>
      <c r="M548"/>
      <c r="N548"/>
    </row>
    <row r="549" spans="1:14" customFormat="1" ht="15" customHeight="1"/>
    <row r="550" spans="1:14" customFormat="1" ht="15" customHeight="1"/>
    <row r="551" spans="1:14" ht="39" customHeight="1">
      <c r="A551"/>
      <c r="B551"/>
      <c r="C551"/>
      <c r="D551"/>
      <c r="E551"/>
      <c r="F551"/>
      <c r="G551"/>
      <c r="H551"/>
      <c r="I551"/>
      <c r="J551"/>
      <c r="K551"/>
      <c r="L551"/>
      <c r="M551"/>
      <c r="N551"/>
    </row>
    <row r="552" spans="1:14" ht="30" customHeight="1">
      <c r="A552"/>
      <c r="B552"/>
      <c r="C552"/>
      <c r="D552"/>
      <c r="E552"/>
      <c r="F552"/>
      <c r="G552"/>
      <c r="H552"/>
      <c r="I552"/>
      <c r="J552"/>
      <c r="K552"/>
      <c r="L552"/>
      <c r="M552"/>
      <c r="N552"/>
    </row>
    <row r="553" spans="1:14" s="263" customFormat="1" ht="24" customHeight="1">
      <c r="A553"/>
      <c r="B553"/>
      <c r="C553"/>
      <c r="D553"/>
      <c r="E553"/>
      <c r="F553"/>
      <c r="G553"/>
      <c r="H553"/>
      <c r="I553"/>
      <c r="J553"/>
      <c r="K553"/>
      <c r="L553"/>
      <c r="M553"/>
      <c r="N553"/>
    </row>
    <row r="554" spans="1:14" ht="15" customHeight="1">
      <c r="A554"/>
      <c r="B554"/>
      <c r="C554"/>
      <c r="D554"/>
      <c r="E554"/>
      <c r="F554"/>
      <c r="G554"/>
      <c r="H554"/>
      <c r="I554"/>
      <c r="J554"/>
      <c r="K554"/>
      <c r="L554"/>
      <c r="M554"/>
      <c r="N554"/>
    </row>
    <row r="555" spans="1:14">
      <c r="A555"/>
      <c r="B555"/>
      <c r="C555"/>
      <c r="D555"/>
      <c r="E555"/>
      <c r="F555"/>
      <c r="G555"/>
      <c r="H555"/>
      <c r="I555"/>
      <c r="J555"/>
      <c r="K555"/>
      <c r="L555"/>
      <c r="M555"/>
      <c r="N555"/>
    </row>
    <row r="556" spans="1:14" s="263" customFormat="1" ht="15" customHeight="1">
      <c r="A556"/>
      <c r="B556"/>
      <c r="C556"/>
      <c r="D556"/>
      <c r="E556"/>
      <c r="F556"/>
      <c r="G556"/>
      <c r="H556"/>
      <c r="I556"/>
      <c r="J556"/>
      <c r="K556"/>
      <c r="L556"/>
      <c r="M556"/>
      <c r="N556"/>
    </row>
    <row r="557" spans="1:14" ht="15" customHeight="1">
      <c r="A557"/>
      <c r="B557"/>
      <c r="C557"/>
      <c r="D557"/>
      <c r="E557"/>
      <c r="F557"/>
      <c r="G557"/>
      <c r="H557"/>
      <c r="I557"/>
      <c r="J557"/>
      <c r="K557"/>
      <c r="L557"/>
      <c r="M557"/>
      <c r="N557"/>
    </row>
    <row r="558" spans="1:14" ht="30" customHeight="1">
      <c r="A558"/>
      <c r="B558"/>
      <c r="C558"/>
      <c r="D558"/>
      <c r="E558"/>
      <c r="F558"/>
      <c r="G558"/>
      <c r="H558"/>
      <c r="I558"/>
      <c r="J558"/>
      <c r="K558"/>
      <c r="L558"/>
      <c r="M558"/>
      <c r="N558"/>
    </row>
    <row r="559" spans="1:14" s="263" customFormat="1" ht="15" customHeight="1">
      <c r="A559"/>
      <c r="B559"/>
      <c r="C559"/>
      <c r="D559"/>
      <c r="E559"/>
      <c r="F559"/>
      <c r="G559"/>
      <c r="H559"/>
      <c r="I559"/>
      <c r="J559"/>
      <c r="K559"/>
      <c r="L559"/>
      <c r="M559"/>
      <c r="N559"/>
    </row>
    <row r="560" spans="1:14" s="263" customFormat="1" ht="15" customHeight="1">
      <c r="A560"/>
      <c r="B560"/>
      <c r="C560"/>
      <c r="D560"/>
      <c r="E560"/>
      <c r="F560"/>
      <c r="G560"/>
      <c r="H560"/>
      <c r="I560"/>
      <c r="J560"/>
      <c r="K560"/>
      <c r="L560"/>
      <c r="M560"/>
      <c r="N560"/>
    </row>
    <row r="561" spans="1:14" ht="21.75" customHeight="1">
      <c r="A561"/>
      <c r="B561"/>
      <c r="C561"/>
      <c r="D561"/>
      <c r="E561"/>
      <c r="F561"/>
      <c r="G561"/>
      <c r="H561"/>
      <c r="I561"/>
      <c r="J561"/>
      <c r="K561"/>
      <c r="L561"/>
      <c r="M561"/>
      <c r="N561"/>
    </row>
    <row r="562" spans="1:14" ht="66.75" customHeight="1">
      <c r="A562"/>
      <c r="B562"/>
      <c r="C562"/>
      <c r="D562"/>
      <c r="E562"/>
      <c r="F562"/>
      <c r="G562"/>
      <c r="H562"/>
      <c r="I562"/>
      <c r="J562"/>
      <c r="K562"/>
      <c r="L562"/>
      <c r="M562"/>
      <c r="N562"/>
    </row>
    <row r="563" spans="1:14" ht="15" customHeight="1">
      <c r="A563"/>
      <c r="B563"/>
      <c r="C563"/>
      <c r="D563"/>
      <c r="E563"/>
      <c r="F563"/>
      <c r="G563"/>
      <c r="H563"/>
      <c r="I563"/>
      <c r="J563"/>
      <c r="K563"/>
      <c r="L563"/>
      <c r="M563"/>
      <c r="N563"/>
    </row>
    <row r="564" spans="1:14" ht="15" customHeight="1">
      <c r="A564"/>
      <c r="B564"/>
      <c r="C564"/>
      <c r="D564"/>
      <c r="E564"/>
      <c r="F564"/>
      <c r="G564"/>
      <c r="H564"/>
      <c r="I564"/>
      <c r="J564"/>
      <c r="K564"/>
      <c r="L564"/>
      <c r="M564"/>
      <c r="N564"/>
    </row>
    <row r="565" spans="1:14" ht="15" customHeight="1">
      <c r="A565"/>
      <c r="B565"/>
      <c r="C565"/>
      <c r="D565"/>
      <c r="E565"/>
      <c r="F565"/>
      <c r="G565"/>
      <c r="H565"/>
      <c r="I565"/>
      <c r="J565"/>
      <c r="K565"/>
      <c r="L565"/>
      <c r="M565"/>
      <c r="N565"/>
    </row>
    <row r="566" spans="1:14" ht="15" customHeight="1">
      <c r="A566"/>
      <c r="B566"/>
      <c r="C566"/>
      <c r="D566"/>
      <c r="E566"/>
      <c r="F566"/>
      <c r="G566"/>
      <c r="H566"/>
      <c r="I566"/>
      <c r="J566"/>
      <c r="K566"/>
      <c r="L566"/>
      <c r="M566"/>
      <c r="N566"/>
    </row>
    <row r="567" spans="1:14" ht="15" customHeight="1">
      <c r="A567"/>
      <c r="B567"/>
      <c r="C567"/>
      <c r="D567"/>
      <c r="E567"/>
      <c r="F567"/>
      <c r="G567"/>
      <c r="H567"/>
      <c r="I567"/>
      <c r="J567"/>
      <c r="K567"/>
      <c r="L567"/>
      <c r="M567"/>
      <c r="N567"/>
    </row>
    <row r="568" spans="1:14" ht="15" customHeight="1">
      <c r="A568"/>
      <c r="B568"/>
      <c r="C568"/>
      <c r="D568"/>
      <c r="E568"/>
      <c r="F568"/>
      <c r="G568"/>
      <c r="H568"/>
      <c r="I568"/>
      <c r="J568"/>
      <c r="K568"/>
      <c r="L568"/>
      <c r="M568"/>
      <c r="N568"/>
    </row>
    <row r="569" spans="1:14" ht="15" customHeight="1">
      <c r="A569"/>
      <c r="B569"/>
      <c r="C569"/>
      <c r="D569"/>
      <c r="E569"/>
      <c r="F569"/>
      <c r="G569"/>
      <c r="H569"/>
      <c r="I569"/>
      <c r="J569"/>
      <c r="K569"/>
      <c r="L569"/>
      <c r="M569"/>
      <c r="N569"/>
    </row>
    <row r="570" spans="1:14" ht="15" customHeight="1">
      <c r="A570"/>
      <c r="B570"/>
      <c r="C570"/>
      <c r="D570"/>
      <c r="E570"/>
      <c r="F570"/>
      <c r="G570"/>
      <c r="H570"/>
      <c r="I570"/>
      <c r="J570"/>
      <c r="K570"/>
      <c r="L570"/>
      <c r="M570"/>
      <c r="N570"/>
    </row>
    <row r="571" spans="1:14" ht="15" customHeight="1">
      <c r="A571"/>
      <c r="B571"/>
      <c r="C571"/>
      <c r="D571"/>
      <c r="E571"/>
      <c r="F571"/>
      <c r="G571"/>
      <c r="H571"/>
      <c r="I571"/>
      <c r="J571"/>
      <c r="K571"/>
      <c r="L571"/>
      <c r="M571"/>
      <c r="N571"/>
    </row>
    <row r="572" spans="1:14" ht="15" customHeight="1">
      <c r="A572"/>
      <c r="B572"/>
      <c r="C572"/>
      <c r="D572"/>
      <c r="E572"/>
      <c r="F572"/>
      <c r="G572"/>
      <c r="H572"/>
      <c r="I572"/>
      <c r="J572"/>
      <c r="K572"/>
      <c r="L572"/>
      <c r="M572"/>
      <c r="N572"/>
    </row>
    <row r="573" spans="1:14" ht="15" customHeight="1">
      <c r="A573"/>
      <c r="B573"/>
      <c r="C573"/>
      <c r="D573"/>
      <c r="E573"/>
      <c r="F573"/>
      <c r="G573"/>
      <c r="H573"/>
      <c r="I573"/>
      <c r="J573"/>
      <c r="K573"/>
      <c r="L573"/>
      <c r="M573"/>
      <c r="N573"/>
    </row>
    <row r="574" spans="1:14" ht="15" customHeight="1">
      <c r="A574"/>
      <c r="B574"/>
      <c r="C574"/>
      <c r="D574"/>
      <c r="E574"/>
      <c r="F574"/>
      <c r="G574"/>
      <c r="H574"/>
      <c r="I574"/>
      <c r="J574"/>
      <c r="K574"/>
      <c r="L574"/>
      <c r="M574"/>
      <c r="N574"/>
    </row>
    <row r="575" spans="1:14" ht="15" customHeight="1">
      <c r="A575"/>
      <c r="B575"/>
      <c r="C575"/>
      <c r="D575"/>
      <c r="E575"/>
      <c r="F575"/>
      <c r="G575"/>
      <c r="H575"/>
      <c r="I575"/>
      <c r="J575"/>
      <c r="K575"/>
      <c r="L575"/>
      <c r="M575"/>
      <c r="N575"/>
    </row>
    <row r="576" spans="1:14" ht="15" customHeight="1">
      <c r="A576"/>
      <c r="B576"/>
      <c r="C576"/>
      <c r="D576"/>
      <c r="E576"/>
      <c r="F576"/>
      <c r="G576"/>
      <c r="H576"/>
      <c r="I576"/>
      <c r="J576"/>
      <c r="K576"/>
      <c r="L576"/>
      <c r="M576"/>
      <c r="N576"/>
    </row>
    <row r="577" spans="1:14" ht="15" customHeight="1">
      <c r="A577"/>
      <c r="B577"/>
      <c r="C577"/>
      <c r="D577"/>
      <c r="E577"/>
      <c r="F577"/>
      <c r="G577"/>
      <c r="H577"/>
      <c r="I577"/>
      <c r="J577"/>
      <c r="K577"/>
      <c r="L577"/>
      <c r="M577"/>
      <c r="N577"/>
    </row>
    <row r="578" spans="1:14" ht="15" customHeight="1">
      <c r="A578"/>
      <c r="B578"/>
      <c r="C578"/>
      <c r="D578"/>
      <c r="E578"/>
      <c r="F578"/>
      <c r="G578"/>
      <c r="H578"/>
      <c r="I578"/>
      <c r="J578"/>
      <c r="K578"/>
      <c r="L578"/>
      <c r="M578"/>
      <c r="N578"/>
    </row>
    <row r="579" spans="1:14" ht="15" customHeight="1">
      <c r="A579"/>
      <c r="B579"/>
      <c r="C579"/>
      <c r="D579"/>
      <c r="E579"/>
      <c r="F579"/>
      <c r="G579"/>
      <c r="H579"/>
      <c r="I579"/>
      <c r="J579"/>
      <c r="K579"/>
      <c r="L579"/>
      <c r="M579"/>
      <c r="N579"/>
    </row>
    <row r="580" spans="1:14" ht="15" customHeight="1">
      <c r="A580"/>
      <c r="B580"/>
      <c r="C580"/>
      <c r="D580"/>
      <c r="E580"/>
      <c r="F580"/>
      <c r="G580"/>
      <c r="H580"/>
      <c r="I580"/>
      <c r="J580"/>
      <c r="K580"/>
      <c r="L580"/>
      <c r="M580"/>
      <c r="N580"/>
    </row>
    <row r="581" spans="1:14" ht="15" customHeight="1">
      <c r="A581"/>
      <c r="B581"/>
      <c r="C581"/>
      <c r="D581"/>
      <c r="E581"/>
      <c r="F581"/>
      <c r="G581"/>
      <c r="H581"/>
      <c r="I581"/>
      <c r="J581"/>
      <c r="K581"/>
      <c r="L581"/>
      <c r="M581"/>
      <c r="N581"/>
    </row>
    <row r="582" spans="1:14" ht="15" customHeight="1">
      <c r="A582"/>
      <c r="B582"/>
      <c r="C582"/>
      <c r="D582"/>
      <c r="E582"/>
      <c r="F582"/>
      <c r="G582"/>
      <c r="H582"/>
      <c r="I582"/>
      <c r="J582"/>
      <c r="K582"/>
      <c r="L582"/>
      <c r="M582"/>
      <c r="N582"/>
    </row>
    <row r="583" spans="1:14" ht="15" customHeight="1">
      <c r="A583"/>
      <c r="B583"/>
      <c r="C583"/>
      <c r="D583"/>
      <c r="E583"/>
      <c r="F583"/>
      <c r="G583"/>
      <c r="H583"/>
      <c r="I583"/>
      <c r="J583"/>
      <c r="K583"/>
      <c r="L583"/>
      <c r="M583"/>
      <c r="N583"/>
    </row>
    <row r="584" spans="1:14" ht="15" customHeight="1">
      <c r="A584"/>
      <c r="B584"/>
      <c r="C584"/>
      <c r="D584"/>
      <c r="E584"/>
      <c r="F584"/>
      <c r="G584"/>
      <c r="H584"/>
      <c r="I584"/>
      <c r="J584"/>
      <c r="K584"/>
      <c r="L584"/>
      <c r="M584"/>
      <c r="N584"/>
    </row>
    <row r="585" spans="1:14" ht="15" customHeight="1">
      <c r="A585"/>
      <c r="B585"/>
      <c r="C585"/>
      <c r="D585"/>
      <c r="E585"/>
      <c r="F585"/>
      <c r="G585"/>
      <c r="H585"/>
      <c r="I585"/>
      <c r="J585"/>
      <c r="K585"/>
      <c r="L585"/>
      <c r="M585"/>
      <c r="N585"/>
    </row>
    <row r="586" spans="1:14" ht="15" customHeight="1">
      <c r="A586"/>
      <c r="B586"/>
      <c r="C586"/>
      <c r="D586"/>
      <c r="E586"/>
      <c r="F586"/>
      <c r="G586"/>
      <c r="H586"/>
      <c r="I586"/>
      <c r="J586"/>
      <c r="K586"/>
      <c r="L586"/>
      <c r="M586"/>
      <c r="N586"/>
    </row>
    <row r="587" spans="1:14" ht="15" customHeight="1">
      <c r="A587"/>
      <c r="B587"/>
      <c r="C587"/>
      <c r="D587"/>
      <c r="E587"/>
      <c r="F587"/>
      <c r="G587"/>
      <c r="H587"/>
      <c r="I587"/>
      <c r="J587"/>
      <c r="K587"/>
      <c r="L587"/>
      <c r="M587"/>
      <c r="N587"/>
    </row>
    <row r="588" spans="1:14" ht="15" customHeight="1">
      <c r="A588"/>
      <c r="B588"/>
      <c r="C588"/>
      <c r="D588"/>
      <c r="E588"/>
      <c r="F588"/>
      <c r="G588"/>
      <c r="H588"/>
      <c r="I588"/>
      <c r="J588"/>
      <c r="K588"/>
      <c r="L588"/>
      <c r="M588"/>
      <c r="N588"/>
    </row>
    <row r="589" spans="1:14" ht="15" customHeight="1">
      <c r="A589"/>
      <c r="B589"/>
      <c r="C589"/>
      <c r="D589"/>
      <c r="E589"/>
      <c r="F589"/>
      <c r="G589"/>
      <c r="H589"/>
      <c r="I589"/>
      <c r="J589"/>
      <c r="K589"/>
      <c r="L589"/>
      <c r="M589"/>
      <c r="N589"/>
    </row>
    <row r="590" spans="1:14" ht="15" customHeight="1">
      <c r="A590"/>
      <c r="B590"/>
      <c r="C590"/>
      <c r="D590"/>
      <c r="E590"/>
      <c r="F590"/>
      <c r="G590"/>
      <c r="H590"/>
      <c r="I590"/>
      <c r="J590"/>
      <c r="K590"/>
      <c r="L590"/>
      <c r="M590"/>
      <c r="N590"/>
    </row>
    <row r="591" spans="1:14" customFormat="1" ht="15" customHeight="1"/>
    <row r="592" spans="1:14" customFormat="1" ht="15" customHeight="1"/>
    <row r="593" spans="1:14" ht="39" customHeight="1">
      <c r="A593"/>
      <c r="B593"/>
      <c r="C593"/>
      <c r="D593"/>
      <c r="E593"/>
      <c r="F593"/>
      <c r="G593"/>
      <c r="H593"/>
      <c r="I593"/>
      <c r="J593"/>
      <c r="K593"/>
      <c r="L593"/>
      <c r="M593"/>
      <c r="N593"/>
    </row>
    <row r="594" spans="1:14" ht="30" customHeight="1">
      <c r="A594"/>
      <c r="B594"/>
      <c r="C594"/>
      <c r="D594"/>
      <c r="E594"/>
      <c r="F594"/>
      <c r="G594"/>
      <c r="H594"/>
      <c r="I594"/>
      <c r="J594"/>
      <c r="K594"/>
      <c r="L594"/>
      <c r="M594"/>
      <c r="N594"/>
    </row>
    <row r="595" spans="1:14" s="263" customFormat="1" ht="24" customHeight="1">
      <c r="A595"/>
      <c r="B595"/>
      <c r="C595"/>
      <c r="D595"/>
      <c r="E595"/>
      <c r="F595"/>
      <c r="G595"/>
      <c r="H595"/>
      <c r="I595"/>
      <c r="J595"/>
      <c r="K595"/>
      <c r="L595"/>
      <c r="M595"/>
      <c r="N595"/>
    </row>
    <row r="596" spans="1:14" ht="15" customHeight="1">
      <c r="A596"/>
      <c r="B596"/>
      <c r="C596"/>
      <c r="D596"/>
      <c r="E596"/>
      <c r="F596"/>
      <c r="G596"/>
      <c r="H596"/>
      <c r="I596"/>
      <c r="J596"/>
      <c r="K596"/>
      <c r="L596"/>
      <c r="M596"/>
      <c r="N596"/>
    </row>
    <row r="597" spans="1:14">
      <c r="A597"/>
      <c r="B597"/>
      <c r="C597"/>
      <c r="D597"/>
      <c r="E597"/>
      <c r="F597"/>
      <c r="G597"/>
      <c r="H597"/>
      <c r="I597"/>
      <c r="J597"/>
      <c r="K597"/>
      <c r="L597"/>
      <c r="M597"/>
      <c r="N597"/>
    </row>
    <row r="598" spans="1:14" s="263" customFormat="1" ht="15" customHeight="1">
      <c r="A598"/>
      <c r="B598"/>
      <c r="C598"/>
      <c r="D598"/>
      <c r="E598"/>
      <c r="F598"/>
      <c r="G598"/>
      <c r="H598"/>
      <c r="I598"/>
      <c r="J598"/>
      <c r="K598"/>
      <c r="L598"/>
      <c r="M598"/>
      <c r="N598"/>
    </row>
    <row r="599" spans="1:14" ht="15" customHeight="1">
      <c r="A599"/>
      <c r="B599"/>
      <c r="C599"/>
      <c r="D599"/>
      <c r="E599"/>
      <c r="F599"/>
      <c r="G599"/>
      <c r="H599"/>
      <c r="I599"/>
      <c r="J599"/>
      <c r="K599"/>
      <c r="L599"/>
      <c r="M599"/>
      <c r="N599"/>
    </row>
    <row r="600" spans="1:14" ht="30" customHeight="1">
      <c r="A600"/>
      <c r="B600"/>
      <c r="C600"/>
      <c r="D600"/>
      <c r="E600"/>
      <c r="F600"/>
      <c r="G600"/>
      <c r="H600"/>
      <c r="I600"/>
      <c r="J600"/>
      <c r="K600"/>
      <c r="L600"/>
      <c r="M600"/>
      <c r="N600"/>
    </row>
    <row r="601" spans="1:14" s="263" customFormat="1" ht="15" customHeight="1">
      <c r="A601"/>
      <c r="B601"/>
      <c r="C601"/>
      <c r="D601"/>
      <c r="E601"/>
      <c r="F601"/>
      <c r="G601"/>
      <c r="H601"/>
      <c r="I601"/>
      <c r="J601"/>
      <c r="K601"/>
      <c r="L601"/>
      <c r="M601"/>
      <c r="N601"/>
    </row>
    <row r="602" spans="1:14" s="263" customFormat="1" ht="15" customHeight="1">
      <c r="A602"/>
      <c r="B602"/>
      <c r="C602"/>
      <c r="D602"/>
      <c r="E602"/>
      <c r="F602"/>
      <c r="G602"/>
      <c r="H602"/>
      <c r="I602"/>
      <c r="J602"/>
      <c r="K602"/>
      <c r="L602"/>
      <c r="M602"/>
      <c r="N602"/>
    </row>
    <row r="603" spans="1:14" ht="21.75" customHeight="1">
      <c r="A603"/>
      <c r="B603"/>
      <c r="C603"/>
      <c r="D603"/>
      <c r="E603"/>
      <c r="F603"/>
      <c r="G603"/>
      <c r="H603"/>
      <c r="I603"/>
      <c r="J603"/>
      <c r="K603"/>
      <c r="L603"/>
      <c r="M603"/>
      <c r="N603"/>
    </row>
    <row r="604" spans="1:14" ht="66.75" customHeight="1">
      <c r="A604"/>
      <c r="B604"/>
      <c r="C604"/>
      <c r="D604"/>
      <c r="E604"/>
      <c r="F604"/>
      <c r="G604"/>
      <c r="H604"/>
      <c r="I604"/>
      <c r="J604"/>
      <c r="K604"/>
      <c r="L604"/>
      <c r="M604"/>
      <c r="N604"/>
    </row>
    <row r="605" spans="1:14" ht="15" customHeight="1">
      <c r="A605"/>
      <c r="B605"/>
      <c r="C605"/>
      <c r="D605"/>
      <c r="E605"/>
      <c r="F605"/>
      <c r="G605"/>
      <c r="H605"/>
      <c r="I605"/>
      <c r="J605"/>
      <c r="K605"/>
      <c r="L605"/>
      <c r="M605"/>
      <c r="N605"/>
    </row>
    <row r="606" spans="1:14" ht="15" customHeight="1">
      <c r="A606"/>
      <c r="B606"/>
      <c r="C606"/>
      <c r="D606"/>
      <c r="E606"/>
      <c r="F606"/>
      <c r="G606"/>
      <c r="H606"/>
      <c r="I606"/>
      <c r="J606"/>
      <c r="K606"/>
      <c r="L606"/>
      <c r="M606"/>
      <c r="N606"/>
    </row>
    <row r="607" spans="1:14" ht="15" customHeight="1">
      <c r="A607"/>
      <c r="B607"/>
      <c r="C607"/>
      <c r="D607"/>
      <c r="E607"/>
      <c r="F607"/>
      <c r="G607"/>
      <c r="H607"/>
      <c r="I607"/>
      <c r="J607"/>
      <c r="K607"/>
      <c r="L607"/>
      <c r="M607"/>
      <c r="N607"/>
    </row>
    <row r="608" spans="1:14" ht="15" customHeight="1">
      <c r="A608"/>
      <c r="B608"/>
      <c r="C608"/>
      <c r="D608"/>
      <c r="E608"/>
      <c r="F608"/>
      <c r="G608"/>
      <c r="H608"/>
      <c r="I608"/>
      <c r="J608"/>
      <c r="K608"/>
      <c r="L608"/>
      <c r="M608"/>
      <c r="N608"/>
    </row>
    <row r="609" spans="1:14" ht="15" customHeight="1">
      <c r="A609"/>
      <c r="B609"/>
      <c r="C609"/>
      <c r="D609"/>
      <c r="E609"/>
      <c r="F609"/>
      <c r="G609"/>
      <c r="H609"/>
      <c r="I609"/>
      <c r="J609"/>
      <c r="K609"/>
      <c r="L609"/>
      <c r="M609"/>
      <c r="N609"/>
    </row>
    <row r="610" spans="1:14" ht="15" customHeight="1">
      <c r="A610"/>
      <c r="B610"/>
      <c r="C610"/>
      <c r="D610"/>
      <c r="E610"/>
      <c r="F610"/>
      <c r="G610"/>
      <c r="H610"/>
      <c r="I610"/>
      <c r="J610"/>
      <c r="K610"/>
      <c r="L610"/>
      <c r="M610"/>
      <c r="N610"/>
    </row>
    <row r="611" spans="1:14" ht="15" customHeight="1">
      <c r="A611"/>
      <c r="B611"/>
      <c r="C611"/>
      <c r="D611"/>
      <c r="E611"/>
      <c r="F611"/>
      <c r="G611"/>
      <c r="H611"/>
      <c r="I611"/>
      <c r="J611"/>
      <c r="K611"/>
      <c r="L611"/>
      <c r="M611"/>
      <c r="N611"/>
    </row>
    <row r="612" spans="1:14" ht="15" customHeight="1">
      <c r="A612"/>
      <c r="B612"/>
      <c r="C612"/>
      <c r="D612"/>
      <c r="E612"/>
      <c r="F612"/>
      <c r="G612"/>
      <c r="H612"/>
      <c r="I612"/>
      <c r="J612"/>
      <c r="K612"/>
      <c r="L612"/>
      <c r="M612"/>
      <c r="N612"/>
    </row>
    <row r="613" spans="1:14" ht="15" customHeight="1">
      <c r="A613"/>
      <c r="B613"/>
      <c r="C613"/>
      <c r="D613"/>
      <c r="E613"/>
      <c r="F613"/>
      <c r="G613"/>
      <c r="H613"/>
      <c r="I613"/>
      <c r="J613"/>
      <c r="K613"/>
      <c r="L613"/>
      <c r="M613"/>
      <c r="N613"/>
    </row>
    <row r="614" spans="1:14" ht="15" customHeight="1">
      <c r="A614"/>
      <c r="B614"/>
      <c r="C614"/>
      <c r="D614"/>
      <c r="E614"/>
      <c r="F614"/>
      <c r="G614"/>
      <c r="H614"/>
      <c r="I614"/>
      <c r="J614"/>
      <c r="K614"/>
      <c r="L614"/>
      <c r="M614"/>
      <c r="N614"/>
    </row>
    <row r="615" spans="1:14" ht="15" customHeight="1">
      <c r="A615"/>
      <c r="B615"/>
      <c r="C615"/>
      <c r="D615"/>
      <c r="E615"/>
      <c r="F615"/>
      <c r="G615"/>
      <c r="H615"/>
      <c r="I615"/>
      <c r="J615"/>
      <c r="K615"/>
      <c r="L615"/>
      <c r="M615"/>
      <c r="N615"/>
    </row>
    <row r="616" spans="1:14" ht="15" customHeight="1">
      <c r="A616"/>
      <c r="B616"/>
      <c r="C616"/>
      <c r="D616"/>
      <c r="E616"/>
      <c r="F616"/>
      <c r="G616"/>
      <c r="H616"/>
      <c r="I616"/>
      <c r="J616"/>
      <c r="K616"/>
      <c r="L616"/>
      <c r="M616"/>
      <c r="N616"/>
    </row>
    <row r="617" spans="1:14" ht="15" customHeight="1">
      <c r="A617"/>
      <c r="B617"/>
      <c r="C617"/>
      <c r="D617"/>
      <c r="E617"/>
      <c r="F617"/>
      <c r="G617"/>
      <c r="H617"/>
      <c r="I617"/>
      <c r="J617"/>
      <c r="K617"/>
      <c r="L617"/>
      <c r="M617"/>
      <c r="N617"/>
    </row>
    <row r="618" spans="1:14" ht="15" customHeight="1">
      <c r="A618"/>
      <c r="B618"/>
      <c r="C618"/>
      <c r="D618"/>
      <c r="E618"/>
      <c r="F618"/>
      <c r="G618"/>
      <c r="H618"/>
      <c r="I618"/>
      <c r="J618"/>
      <c r="K618"/>
      <c r="L618"/>
      <c r="M618"/>
      <c r="N618"/>
    </row>
    <row r="619" spans="1:14" ht="15" customHeight="1">
      <c r="A619"/>
      <c r="B619"/>
      <c r="C619"/>
      <c r="D619"/>
      <c r="E619"/>
      <c r="F619"/>
      <c r="G619"/>
      <c r="H619"/>
      <c r="I619"/>
      <c r="J619"/>
      <c r="K619"/>
      <c r="L619"/>
      <c r="M619"/>
      <c r="N619"/>
    </row>
    <row r="620" spans="1:14" ht="15" customHeight="1">
      <c r="A620"/>
      <c r="B620"/>
      <c r="C620"/>
      <c r="D620"/>
      <c r="E620"/>
      <c r="F620"/>
      <c r="G620"/>
      <c r="H620"/>
      <c r="I620"/>
      <c r="J620"/>
      <c r="K620"/>
      <c r="L620"/>
      <c r="M620"/>
      <c r="N620"/>
    </row>
    <row r="621" spans="1:14" ht="15" customHeight="1">
      <c r="A621"/>
      <c r="B621"/>
      <c r="C621"/>
      <c r="D621"/>
      <c r="E621"/>
      <c r="F621"/>
      <c r="G621"/>
      <c r="H621"/>
      <c r="I621"/>
      <c r="J621"/>
      <c r="K621"/>
      <c r="L621"/>
      <c r="M621"/>
      <c r="N621"/>
    </row>
    <row r="622" spans="1:14" ht="15" customHeight="1">
      <c r="A622"/>
      <c r="B622"/>
      <c r="C622"/>
      <c r="D622"/>
      <c r="E622"/>
      <c r="F622"/>
      <c r="G622"/>
      <c r="H622"/>
      <c r="I622"/>
      <c r="J622"/>
      <c r="K622"/>
      <c r="L622"/>
      <c r="M622"/>
      <c r="N622"/>
    </row>
    <row r="623" spans="1:14" ht="15" customHeight="1">
      <c r="A623"/>
      <c r="B623"/>
      <c r="C623"/>
      <c r="D623"/>
      <c r="E623"/>
      <c r="F623"/>
      <c r="G623"/>
      <c r="H623"/>
      <c r="I623"/>
      <c r="J623"/>
      <c r="K623"/>
      <c r="L623"/>
      <c r="M623"/>
      <c r="N623"/>
    </row>
    <row r="624" spans="1:14" ht="15" customHeight="1">
      <c r="A624"/>
      <c r="B624"/>
      <c r="C624"/>
      <c r="D624"/>
      <c r="E624"/>
      <c r="F624"/>
      <c r="G624"/>
      <c r="H624"/>
      <c r="I624"/>
      <c r="J624"/>
      <c r="K624"/>
      <c r="L624"/>
      <c r="M624"/>
      <c r="N624"/>
    </row>
    <row r="625" spans="1:14" ht="15" customHeight="1">
      <c r="A625"/>
      <c r="B625"/>
      <c r="C625"/>
      <c r="D625"/>
      <c r="E625"/>
      <c r="F625"/>
      <c r="G625"/>
      <c r="H625"/>
      <c r="I625"/>
      <c r="J625"/>
      <c r="K625"/>
      <c r="L625"/>
      <c r="M625"/>
      <c r="N625"/>
    </row>
    <row r="626" spans="1:14" ht="15" customHeight="1">
      <c r="A626"/>
      <c r="B626"/>
      <c r="C626"/>
      <c r="D626"/>
      <c r="E626"/>
      <c r="F626"/>
      <c r="G626"/>
      <c r="H626"/>
      <c r="I626"/>
      <c r="J626"/>
      <c r="K626"/>
      <c r="L626"/>
      <c r="M626"/>
      <c r="N626"/>
    </row>
    <row r="627" spans="1:14" ht="15" customHeight="1">
      <c r="A627"/>
      <c r="B627"/>
      <c r="C627"/>
      <c r="D627"/>
      <c r="E627"/>
      <c r="F627"/>
      <c r="G627"/>
      <c r="H627"/>
      <c r="I627"/>
      <c r="J627"/>
      <c r="K627"/>
      <c r="L627"/>
      <c r="M627"/>
      <c r="N627"/>
    </row>
    <row r="628" spans="1:14" ht="15" customHeight="1">
      <c r="A628"/>
      <c r="B628"/>
      <c r="C628"/>
      <c r="D628"/>
      <c r="E628"/>
      <c r="F628"/>
      <c r="G628"/>
      <c r="H628"/>
      <c r="I628"/>
      <c r="J628"/>
      <c r="K628"/>
      <c r="L628"/>
      <c r="M628"/>
      <c r="N628"/>
    </row>
    <row r="629" spans="1:14" ht="15" customHeight="1">
      <c r="A629"/>
      <c r="B629"/>
      <c r="C629"/>
      <c r="D629"/>
      <c r="E629"/>
      <c r="F629"/>
      <c r="G629"/>
      <c r="H629"/>
      <c r="I629"/>
      <c r="J629"/>
      <c r="K629"/>
      <c r="L629"/>
      <c r="M629"/>
      <c r="N629"/>
    </row>
    <row r="630" spans="1:14" ht="15" customHeight="1">
      <c r="A630"/>
      <c r="B630"/>
      <c r="C630"/>
      <c r="D630"/>
      <c r="E630"/>
      <c r="F630"/>
      <c r="G630"/>
      <c r="H630"/>
      <c r="I630"/>
      <c r="J630"/>
      <c r="K630"/>
      <c r="L630"/>
      <c r="M630"/>
      <c r="N630"/>
    </row>
    <row r="631" spans="1:14" ht="15" customHeight="1">
      <c r="A631"/>
      <c r="B631"/>
      <c r="C631"/>
      <c r="D631"/>
      <c r="E631"/>
      <c r="F631"/>
      <c r="G631"/>
      <c r="H631"/>
      <c r="I631"/>
      <c r="J631"/>
      <c r="K631"/>
      <c r="L631"/>
      <c r="M631"/>
      <c r="N631"/>
    </row>
    <row r="632" spans="1:14" ht="15" customHeight="1">
      <c r="A632"/>
      <c r="B632"/>
      <c r="C632"/>
      <c r="D632"/>
      <c r="E632"/>
      <c r="F632"/>
      <c r="G632"/>
      <c r="H632"/>
      <c r="I632"/>
      <c r="J632"/>
      <c r="K632"/>
      <c r="L632"/>
      <c r="M632"/>
      <c r="N632"/>
    </row>
    <row r="633" spans="1:14" customFormat="1" ht="15" customHeight="1"/>
    <row r="634" spans="1:14" customFormat="1" ht="15" customHeight="1"/>
    <row r="635" spans="1:14" ht="39" customHeight="1">
      <c r="A635"/>
      <c r="B635"/>
      <c r="C635"/>
      <c r="D635"/>
      <c r="E635"/>
      <c r="F635"/>
      <c r="G635"/>
      <c r="H635"/>
      <c r="I635"/>
      <c r="J635"/>
      <c r="K635"/>
      <c r="L635"/>
      <c r="M635"/>
      <c r="N635"/>
    </row>
    <row r="636" spans="1:14" ht="30" customHeight="1">
      <c r="A636"/>
      <c r="B636"/>
      <c r="C636"/>
      <c r="D636"/>
      <c r="E636"/>
      <c r="F636"/>
      <c r="G636"/>
      <c r="H636"/>
      <c r="I636"/>
      <c r="J636"/>
      <c r="K636"/>
      <c r="L636"/>
      <c r="M636"/>
      <c r="N636"/>
    </row>
    <row r="637" spans="1:14" s="263" customFormat="1" ht="24" customHeight="1">
      <c r="A637"/>
      <c r="B637"/>
      <c r="C637"/>
      <c r="D637"/>
      <c r="E637"/>
      <c r="F637"/>
      <c r="G637"/>
      <c r="H637"/>
      <c r="I637"/>
      <c r="J637"/>
      <c r="K637"/>
      <c r="L637"/>
      <c r="M637"/>
      <c r="N637"/>
    </row>
    <row r="638" spans="1:14" ht="15" customHeight="1">
      <c r="A638"/>
      <c r="B638"/>
      <c r="C638"/>
      <c r="D638"/>
      <c r="E638"/>
      <c r="F638"/>
      <c r="G638"/>
      <c r="H638"/>
      <c r="I638"/>
      <c r="J638"/>
      <c r="K638"/>
      <c r="L638"/>
      <c r="M638"/>
      <c r="N638"/>
    </row>
    <row r="639" spans="1:14">
      <c r="A639"/>
      <c r="B639"/>
      <c r="C639"/>
      <c r="D639"/>
      <c r="E639"/>
      <c r="F639"/>
      <c r="G639"/>
      <c r="H639"/>
      <c r="I639"/>
      <c r="J639"/>
      <c r="K639"/>
      <c r="L639"/>
      <c r="M639"/>
      <c r="N639"/>
    </row>
    <row r="640" spans="1:14" s="263" customFormat="1" ht="15" customHeight="1">
      <c r="A640"/>
      <c r="B640"/>
      <c r="C640"/>
      <c r="D640"/>
      <c r="E640"/>
      <c r="F640"/>
      <c r="G640"/>
      <c r="H640"/>
      <c r="I640"/>
      <c r="J640"/>
      <c r="K640"/>
      <c r="L640"/>
      <c r="M640"/>
      <c r="N640"/>
    </row>
    <row r="641" spans="1:14" ht="15" customHeight="1">
      <c r="A641"/>
      <c r="B641"/>
      <c r="C641"/>
      <c r="D641"/>
      <c r="E641"/>
      <c r="F641"/>
      <c r="G641"/>
      <c r="H641"/>
      <c r="I641"/>
      <c r="J641"/>
      <c r="K641"/>
      <c r="L641"/>
      <c r="M641"/>
      <c r="N641"/>
    </row>
    <row r="642" spans="1:14" ht="30" customHeight="1">
      <c r="A642"/>
      <c r="B642"/>
      <c r="C642"/>
      <c r="D642"/>
      <c r="E642"/>
      <c r="F642"/>
      <c r="G642"/>
      <c r="H642"/>
      <c r="I642"/>
      <c r="J642"/>
      <c r="K642"/>
      <c r="L642"/>
      <c r="M642"/>
      <c r="N642"/>
    </row>
    <row r="643" spans="1:14" s="263" customFormat="1" ht="15" customHeight="1">
      <c r="A643"/>
      <c r="B643"/>
      <c r="C643"/>
      <c r="D643"/>
      <c r="E643"/>
      <c r="F643"/>
      <c r="G643"/>
      <c r="H643"/>
      <c r="I643"/>
      <c r="J643"/>
      <c r="K643"/>
      <c r="L643"/>
      <c r="M643"/>
      <c r="N643"/>
    </row>
    <row r="644" spans="1:14" s="263" customFormat="1" ht="15" customHeight="1">
      <c r="A644"/>
      <c r="B644"/>
      <c r="C644"/>
      <c r="D644"/>
      <c r="E644"/>
      <c r="F644"/>
      <c r="G644"/>
      <c r="H644"/>
      <c r="I644"/>
      <c r="J644"/>
      <c r="K644"/>
      <c r="L644"/>
      <c r="M644"/>
      <c r="N644"/>
    </row>
    <row r="645" spans="1:14" ht="21.75" customHeight="1">
      <c r="A645"/>
      <c r="B645"/>
      <c r="C645"/>
      <c r="D645"/>
      <c r="E645"/>
      <c r="F645"/>
      <c r="G645"/>
      <c r="H645"/>
      <c r="I645"/>
      <c r="J645"/>
      <c r="K645"/>
      <c r="L645"/>
      <c r="M645"/>
      <c r="N645"/>
    </row>
    <row r="646" spans="1:14" ht="66.75" customHeight="1">
      <c r="A646"/>
      <c r="B646"/>
      <c r="C646"/>
      <c r="D646"/>
      <c r="E646"/>
      <c r="F646"/>
      <c r="G646"/>
      <c r="H646"/>
      <c r="I646"/>
      <c r="J646"/>
      <c r="K646"/>
      <c r="L646"/>
      <c r="M646"/>
      <c r="N646"/>
    </row>
    <row r="647" spans="1:14" ht="15" customHeight="1">
      <c r="A647"/>
      <c r="B647"/>
      <c r="C647"/>
      <c r="D647"/>
      <c r="E647"/>
      <c r="F647"/>
      <c r="G647"/>
      <c r="H647"/>
      <c r="I647"/>
      <c r="J647"/>
      <c r="K647"/>
      <c r="L647"/>
      <c r="M647"/>
      <c r="N647"/>
    </row>
    <row r="648" spans="1:14" ht="15" customHeight="1">
      <c r="A648"/>
      <c r="B648"/>
      <c r="C648"/>
      <c r="D648"/>
      <c r="E648"/>
      <c r="F648"/>
      <c r="G648"/>
      <c r="H648"/>
      <c r="I648"/>
      <c r="J648"/>
      <c r="K648"/>
      <c r="L648"/>
      <c r="M648"/>
      <c r="N648"/>
    </row>
    <row r="649" spans="1:14" ht="15" customHeight="1">
      <c r="A649"/>
      <c r="B649"/>
      <c r="C649"/>
      <c r="D649"/>
      <c r="E649"/>
      <c r="F649"/>
      <c r="G649"/>
      <c r="H649"/>
      <c r="I649"/>
      <c r="J649"/>
      <c r="K649"/>
      <c r="L649"/>
      <c r="M649"/>
      <c r="N649"/>
    </row>
    <row r="650" spans="1:14" ht="15" customHeight="1">
      <c r="A650"/>
      <c r="B650"/>
      <c r="C650"/>
      <c r="D650"/>
      <c r="E650"/>
      <c r="F650"/>
      <c r="G650"/>
      <c r="H650"/>
      <c r="I650"/>
      <c r="J650"/>
      <c r="K650"/>
      <c r="L650"/>
      <c r="M650"/>
      <c r="N650"/>
    </row>
    <row r="651" spans="1:14" ht="15" customHeight="1">
      <c r="A651"/>
      <c r="B651"/>
      <c r="C651"/>
      <c r="D651"/>
      <c r="E651"/>
      <c r="F651"/>
      <c r="G651"/>
      <c r="H651"/>
      <c r="I651"/>
      <c r="J651"/>
      <c r="K651"/>
      <c r="L651"/>
      <c r="M651"/>
      <c r="N651"/>
    </row>
    <row r="652" spans="1:14" ht="15" customHeight="1">
      <c r="A652"/>
      <c r="B652"/>
      <c r="C652"/>
      <c r="D652"/>
      <c r="E652"/>
      <c r="F652"/>
      <c r="G652"/>
      <c r="H652"/>
      <c r="I652"/>
      <c r="J652"/>
      <c r="K652"/>
      <c r="L652"/>
      <c r="M652"/>
      <c r="N652"/>
    </row>
    <row r="653" spans="1:14" ht="15" customHeight="1">
      <c r="A653"/>
      <c r="B653"/>
      <c r="C653"/>
      <c r="D653"/>
      <c r="E653"/>
      <c r="F653"/>
      <c r="G653"/>
      <c r="H653"/>
      <c r="I653"/>
      <c r="J653"/>
      <c r="K653"/>
      <c r="L653"/>
      <c r="M653"/>
      <c r="N653"/>
    </row>
    <row r="654" spans="1:14" ht="15" customHeight="1">
      <c r="A654"/>
      <c r="B654"/>
      <c r="C654"/>
      <c r="D654"/>
      <c r="E654"/>
      <c r="F654"/>
      <c r="G654"/>
      <c r="H654"/>
      <c r="I654"/>
      <c r="J654"/>
      <c r="K654"/>
      <c r="L654"/>
      <c r="M654"/>
      <c r="N654"/>
    </row>
    <row r="655" spans="1:14" ht="15" customHeight="1">
      <c r="A655"/>
      <c r="B655"/>
      <c r="C655"/>
      <c r="D655"/>
      <c r="E655"/>
      <c r="F655"/>
      <c r="G655"/>
      <c r="H655"/>
      <c r="I655"/>
      <c r="J655"/>
      <c r="K655"/>
      <c r="L655"/>
      <c r="M655"/>
      <c r="N655"/>
    </row>
    <row r="656" spans="1:14" ht="15" customHeight="1">
      <c r="A656"/>
      <c r="B656"/>
      <c r="C656"/>
      <c r="D656"/>
      <c r="E656"/>
      <c r="F656"/>
      <c r="G656"/>
      <c r="H656"/>
      <c r="I656"/>
      <c r="J656"/>
      <c r="K656"/>
      <c r="L656"/>
      <c r="M656"/>
      <c r="N656"/>
    </row>
    <row r="657" spans="1:14" ht="15" customHeight="1">
      <c r="A657"/>
      <c r="B657"/>
      <c r="C657"/>
      <c r="D657"/>
      <c r="E657"/>
      <c r="F657"/>
      <c r="G657"/>
      <c r="H657"/>
      <c r="I657"/>
      <c r="J657"/>
      <c r="K657"/>
      <c r="L657"/>
      <c r="M657"/>
      <c r="N657"/>
    </row>
    <row r="658" spans="1:14" ht="15" customHeight="1">
      <c r="A658"/>
      <c r="B658"/>
      <c r="C658"/>
      <c r="D658"/>
      <c r="E658"/>
      <c r="F658"/>
      <c r="G658"/>
      <c r="H658"/>
      <c r="I658"/>
      <c r="J658"/>
      <c r="K658"/>
      <c r="L658"/>
      <c r="M658"/>
      <c r="N658"/>
    </row>
    <row r="659" spans="1:14" ht="15" customHeight="1">
      <c r="A659"/>
      <c r="B659"/>
      <c r="C659"/>
      <c r="D659"/>
      <c r="E659"/>
      <c r="F659"/>
      <c r="G659"/>
      <c r="H659"/>
      <c r="I659"/>
      <c r="J659"/>
      <c r="K659"/>
      <c r="L659"/>
      <c r="M659"/>
      <c r="N659"/>
    </row>
    <row r="660" spans="1:14" ht="15" customHeight="1">
      <c r="A660"/>
      <c r="B660"/>
      <c r="C660"/>
      <c r="D660"/>
      <c r="E660"/>
      <c r="F660"/>
      <c r="G660"/>
      <c r="H660"/>
      <c r="I660"/>
      <c r="J660"/>
      <c r="K660"/>
      <c r="L660"/>
      <c r="M660"/>
      <c r="N660"/>
    </row>
    <row r="661" spans="1:14" ht="15" customHeight="1">
      <c r="A661"/>
      <c r="B661"/>
      <c r="C661"/>
      <c r="D661"/>
      <c r="E661"/>
      <c r="F661"/>
      <c r="G661"/>
      <c r="H661"/>
      <c r="I661"/>
      <c r="J661"/>
      <c r="K661"/>
      <c r="L661"/>
      <c r="M661"/>
      <c r="N661"/>
    </row>
    <row r="662" spans="1:14" ht="15" customHeight="1">
      <c r="A662"/>
      <c r="B662"/>
      <c r="C662"/>
      <c r="D662"/>
      <c r="E662"/>
      <c r="F662"/>
      <c r="G662"/>
      <c r="H662"/>
      <c r="I662"/>
      <c r="J662"/>
      <c r="K662"/>
      <c r="L662"/>
      <c r="M662"/>
      <c r="N662"/>
    </row>
    <row r="663" spans="1:14" ht="15" customHeight="1">
      <c r="A663"/>
      <c r="B663"/>
      <c r="C663"/>
      <c r="D663"/>
      <c r="E663"/>
      <c r="F663"/>
      <c r="G663"/>
      <c r="H663"/>
      <c r="I663"/>
      <c r="J663"/>
      <c r="K663"/>
      <c r="L663"/>
      <c r="M663"/>
      <c r="N663"/>
    </row>
    <row r="664" spans="1:14" ht="15" customHeight="1">
      <c r="A664"/>
      <c r="B664"/>
      <c r="C664"/>
      <c r="D664"/>
      <c r="E664"/>
      <c r="F664"/>
      <c r="G664"/>
      <c r="H664"/>
      <c r="I664"/>
      <c r="J664"/>
      <c r="K664"/>
      <c r="L664"/>
      <c r="M664"/>
      <c r="N664"/>
    </row>
    <row r="665" spans="1:14" ht="15" customHeight="1">
      <c r="A665"/>
      <c r="B665"/>
      <c r="C665"/>
      <c r="D665"/>
      <c r="E665"/>
      <c r="F665"/>
      <c r="G665"/>
      <c r="H665"/>
      <c r="I665"/>
      <c r="J665"/>
      <c r="K665"/>
      <c r="L665"/>
      <c r="M665"/>
      <c r="N665"/>
    </row>
    <row r="666" spans="1:14" ht="15" customHeight="1">
      <c r="A666"/>
      <c r="B666"/>
      <c r="C666"/>
      <c r="D666"/>
      <c r="E666"/>
      <c r="F666"/>
      <c r="G666"/>
      <c r="H666"/>
      <c r="I666"/>
      <c r="J666"/>
      <c r="K666"/>
      <c r="L666"/>
      <c r="M666"/>
      <c r="N666"/>
    </row>
    <row r="667" spans="1:14" ht="15" customHeight="1">
      <c r="A667"/>
      <c r="B667"/>
      <c r="C667"/>
      <c r="D667"/>
      <c r="E667"/>
      <c r="F667"/>
      <c r="G667"/>
      <c r="H667"/>
      <c r="I667"/>
      <c r="J667"/>
      <c r="K667"/>
      <c r="L667"/>
      <c r="M667"/>
      <c r="N667"/>
    </row>
    <row r="668" spans="1:14" ht="15" customHeight="1">
      <c r="A668"/>
      <c r="B668"/>
      <c r="C668"/>
      <c r="D668"/>
      <c r="E668"/>
      <c r="F668"/>
      <c r="G668"/>
      <c r="H668"/>
      <c r="I668"/>
      <c r="J668"/>
      <c r="K668"/>
      <c r="L668"/>
      <c r="M668"/>
      <c r="N668"/>
    </row>
    <row r="669" spans="1:14" ht="15" customHeight="1">
      <c r="A669"/>
      <c r="B669"/>
      <c r="C669"/>
      <c r="D669"/>
      <c r="E669"/>
      <c r="F669"/>
      <c r="G669"/>
      <c r="H669"/>
      <c r="I669"/>
      <c r="J669"/>
      <c r="K669"/>
      <c r="L669"/>
      <c r="M669"/>
      <c r="N669"/>
    </row>
    <row r="670" spans="1:14" ht="15" customHeight="1">
      <c r="A670"/>
      <c r="B670"/>
      <c r="C670"/>
      <c r="D670"/>
      <c r="E670"/>
      <c r="F670"/>
      <c r="G670"/>
      <c r="H670"/>
      <c r="I670"/>
      <c r="J670"/>
      <c r="K670"/>
      <c r="L670"/>
      <c r="M670"/>
      <c r="N670"/>
    </row>
    <row r="671" spans="1:14" ht="15" customHeight="1">
      <c r="A671"/>
      <c r="B671"/>
      <c r="C671"/>
      <c r="D671"/>
      <c r="E671"/>
      <c r="F671"/>
      <c r="G671"/>
      <c r="H671"/>
      <c r="I671"/>
      <c r="J671"/>
      <c r="K671"/>
      <c r="L671"/>
      <c r="M671"/>
      <c r="N671"/>
    </row>
    <row r="672" spans="1:14" ht="15" customHeight="1">
      <c r="A672"/>
      <c r="B672"/>
      <c r="C672"/>
      <c r="D672"/>
      <c r="E672"/>
      <c r="F672"/>
      <c r="G672"/>
      <c r="H672"/>
      <c r="I672"/>
      <c r="J672"/>
      <c r="K672"/>
      <c r="L672"/>
      <c r="M672"/>
      <c r="N672"/>
    </row>
    <row r="673" spans="1:14" ht="15" customHeight="1">
      <c r="A673"/>
      <c r="B673"/>
      <c r="C673"/>
      <c r="D673"/>
      <c r="E673"/>
      <c r="F673"/>
      <c r="G673"/>
      <c r="H673"/>
      <c r="I673"/>
      <c r="J673"/>
      <c r="K673"/>
      <c r="L673"/>
      <c r="M673"/>
      <c r="N673"/>
    </row>
    <row r="674" spans="1:14" ht="15" customHeight="1">
      <c r="A674"/>
      <c r="B674"/>
      <c r="C674"/>
      <c r="D674"/>
      <c r="E674"/>
      <c r="F674"/>
      <c r="G674"/>
      <c r="H674"/>
      <c r="I674"/>
      <c r="J674"/>
      <c r="K674"/>
      <c r="L674"/>
      <c r="M674"/>
      <c r="N674"/>
    </row>
    <row r="675" spans="1:14" customFormat="1" ht="15" customHeight="1"/>
    <row r="676" spans="1:14" customFormat="1" ht="15" customHeight="1"/>
    <row r="677" spans="1:14" ht="39" customHeight="1">
      <c r="A677"/>
      <c r="B677"/>
      <c r="C677"/>
      <c r="D677"/>
      <c r="E677"/>
      <c r="F677"/>
      <c r="G677"/>
      <c r="H677"/>
      <c r="I677"/>
      <c r="J677"/>
      <c r="K677"/>
      <c r="L677"/>
      <c r="M677"/>
      <c r="N677"/>
    </row>
    <row r="678" spans="1:14" ht="30" customHeight="1">
      <c r="A678"/>
      <c r="B678"/>
      <c r="C678"/>
      <c r="D678"/>
      <c r="E678"/>
      <c r="F678"/>
      <c r="G678"/>
      <c r="H678"/>
      <c r="I678"/>
      <c r="J678"/>
      <c r="K678"/>
      <c r="L678"/>
      <c r="M678"/>
      <c r="N678"/>
    </row>
    <row r="679" spans="1:14" s="263" customFormat="1" ht="24" customHeight="1">
      <c r="A679"/>
      <c r="B679"/>
      <c r="C679"/>
      <c r="D679"/>
      <c r="E679"/>
      <c r="F679"/>
      <c r="G679"/>
      <c r="H679"/>
      <c r="I679"/>
      <c r="J679"/>
      <c r="K679"/>
      <c r="L679"/>
      <c r="M679"/>
      <c r="N679"/>
    </row>
    <row r="680" spans="1:14" ht="15" customHeight="1">
      <c r="A680"/>
      <c r="B680"/>
      <c r="C680"/>
      <c r="D680"/>
      <c r="E680"/>
      <c r="F680"/>
      <c r="G680"/>
      <c r="H680"/>
      <c r="I680"/>
      <c r="J680"/>
      <c r="K680"/>
      <c r="L680"/>
      <c r="M680"/>
      <c r="N680"/>
    </row>
    <row r="681" spans="1:14">
      <c r="A681"/>
      <c r="B681"/>
      <c r="C681"/>
      <c r="D681"/>
      <c r="E681"/>
      <c r="F681"/>
      <c r="G681"/>
      <c r="H681"/>
      <c r="I681"/>
      <c r="J681"/>
      <c r="K681"/>
      <c r="L681"/>
      <c r="M681"/>
      <c r="N681"/>
    </row>
    <row r="682" spans="1:14" s="263" customFormat="1" ht="15" customHeight="1">
      <c r="A682"/>
      <c r="B682"/>
      <c r="C682"/>
      <c r="D682"/>
      <c r="E682"/>
      <c r="F682"/>
      <c r="G682"/>
      <c r="H682"/>
      <c r="I682"/>
      <c r="J682"/>
      <c r="K682"/>
      <c r="L682"/>
      <c r="M682"/>
      <c r="N682"/>
    </row>
    <row r="683" spans="1:14" ht="15" customHeight="1">
      <c r="A683"/>
      <c r="B683"/>
      <c r="C683"/>
      <c r="D683"/>
      <c r="E683"/>
      <c r="F683"/>
      <c r="G683"/>
      <c r="H683"/>
      <c r="I683"/>
      <c r="J683"/>
      <c r="K683"/>
      <c r="L683"/>
      <c r="M683"/>
      <c r="N683"/>
    </row>
    <row r="684" spans="1:14" ht="30" customHeight="1">
      <c r="A684"/>
      <c r="B684"/>
      <c r="C684"/>
      <c r="D684"/>
      <c r="E684"/>
      <c r="F684"/>
      <c r="G684"/>
      <c r="H684"/>
      <c r="I684"/>
      <c r="J684"/>
      <c r="K684"/>
      <c r="L684"/>
      <c r="M684"/>
      <c r="N684"/>
    </row>
    <row r="685" spans="1:14" s="263" customFormat="1" ht="15" customHeight="1">
      <c r="A685"/>
      <c r="B685"/>
      <c r="C685"/>
      <c r="D685"/>
      <c r="E685"/>
      <c r="F685"/>
      <c r="G685"/>
      <c r="H685"/>
      <c r="I685"/>
      <c r="J685"/>
      <c r="K685"/>
      <c r="L685"/>
      <c r="M685"/>
      <c r="N685"/>
    </row>
    <row r="686" spans="1:14" s="263" customFormat="1" ht="15" customHeight="1">
      <c r="A686"/>
      <c r="B686"/>
      <c r="C686"/>
      <c r="D686"/>
      <c r="E686"/>
      <c r="F686"/>
      <c r="G686"/>
      <c r="H686"/>
      <c r="I686"/>
      <c r="J686"/>
      <c r="K686"/>
      <c r="L686"/>
      <c r="M686"/>
      <c r="N686"/>
    </row>
    <row r="687" spans="1:14" ht="21.75" customHeight="1">
      <c r="A687"/>
      <c r="B687"/>
      <c r="C687"/>
      <c r="D687"/>
      <c r="E687"/>
      <c r="F687"/>
      <c r="G687"/>
      <c r="H687"/>
      <c r="I687"/>
      <c r="J687"/>
      <c r="K687"/>
      <c r="L687"/>
      <c r="M687"/>
      <c r="N687"/>
    </row>
    <row r="688" spans="1:14" ht="66.75" customHeight="1">
      <c r="A688"/>
      <c r="B688"/>
      <c r="C688"/>
      <c r="D688"/>
      <c r="E688"/>
      <c r="F688"/>
      <c r="G688"/>
      <c r="H688"/>
      <c r="I688"/>
      <c r="J688"/>
      <c r="K688"/>
      <c r="L688"/>
      <c r="M688"/>
      <c r="N688"/>
    </row>
    <row r="689" spans="1:14" ht="15" customHeight="1">
      <c r="A689"/>
      <c r="B689"/>
      <c r="C689"/>
      <c r="D689"/>
      <c r="E689"/>
      <c r="F689"/>
      <c r="G689"/>
      <c r="H689"/>
      <c r="I689"/>
      <c r="J689"/>
      <c r="K689"/>
      <c r="L689"/>
      <c r="M689"/>
      <c r="N689"/>
    </row>
    <row r="690" spans="1:14" ht="15" customHeight="1">
      <c r="A690"/>
      <c r="B690"/>
      <c r="C690"/>
      <c r="D690"/>
      <c r="E690"/>
      <c r="F690"/>
      <c r="G690"/>
      <c r="H690"/>
      <c r="I690"/>
      <c r="J690"/>
      <c r="K690"/>
      <c r="L690"/>
      <c r="M690"/>
      <c r="N690"/>
    </row>
    <row r="691" spans="1:14" ht="15" customHeight="1">
      <c r="A691"/>
      <c r="B691"/>
      <c r="C691"/>
      <c r="D691"/>
      <c r="E691"/>
      <c r="F691"/>
      <c r="G691"/>
      <c r="H691"/>
      <c r="I691"/>
      <c r="J691"/>
      <c r="K691"/>
      <c r="L691"/>
      <c r="M691"/>
      <c r="N691"/>
    </row>
    <row r="692" spans="1:14" ht="15" customHeight="1">
      <c r="A692"/>
      <c r="B692"/>
      <c r="C692"/>
      <c r="D692"/>
      <c r="E692"/>
      <c r="F692"/>
      <c r="G692"/>
      <c r="H692"/>
      <c r="I692"/>
      <c r="J692"/>
      <c r="K692"/>
      <c r="L692"/>
      <c r="M692"/>
      <c r="N692"/>
    </row>
    <row r="693" spans="1:14" ht="15" customHeight="1">
      <c r="A693"/>
      <c r="B693"/>
      <c r="C693"/>
      <c r="D693"/>
      <c r="E693"/>
      <c r="F693"/>
      <c r="G693"/>
      <c r="H693"/>
      <c r="I693"/>
      <c r="J693"/>
      <c r="K693"/>
      <c r="L693"/>
      <c r="M693"/>
      <c r="N693"/>
    </row>
    <row r="694" spans="1:14" ht="15" customHeight="1">
      <c r="A694"/>
      <c r="B694"/>
      <c r="C694"/>
      <c r="D694"/>
      <c r="E694"/>
      <c r="F694"/>
      <c r="G694"/>
      <c r="H694"/>
      <c r="I694"/>
      <c r="J694"/>
      <c r="K694"/>
      <c r="L694"/>
      <c r="M694"/>
      <c r="N694"/>
    </row>
    <row r="695" spans="1:14" ht="15" customHeight="1">
      <c r="A695"/>
      <c r="B695"/>
      <c r="C695"/>
      <c r="D695"/>
      <c r="E695"/>
      <c r="F695"/>
      <c r="G695"/>
      <c r="H695"/>
      <c r="I695"/>
      <c r="J695"/>
      <c r="K695"/>
      <c r="L695"/>
      <c r="M695"/>
      <c r="N695"/>
    </row>
    <row r="696" spans="1:14" ht="15" customHeight="1">
      <c r="A696"/>
      <c r="B696"/>
      <c r="C696"/>
      <c r="D696"/>
      <c r="E696"/>
      <c r="F696"/>
      <c r="G696"/>
      <c r="H696"/>
      <c r="I696"/>
      <c r="J696"/>
      <c r="K696"/>
      <c r="L696"/>
      <c r="M696"/>
      <c r="N696"/>
    </row>
    <row r="697" spans="1:14" ht="15" customHeight="1">
      <c r="A697"/>
      <c r="B697"/>
      <c r="C697"/>
      <c r="D697"/>
      <c r="E697"/>
      <c r="F697"/>
      <c r="G697"/>
      <c r="H697"/>
      <c r="I697"/>
      <c r="J697"/>
      <c r="K697"/>
      <c r="L697"/>
      <c r="M697"/>
      <c r="N697"/>
    </row>
    <row r="698" spans="1:14" ht="15" customHeight="1">
      <c r="A698"/>
      <c r="B698"/>
      <c r="C698"/>
      <c r="D698"/>
      <c r="E698"/>
      <c r="F698"/>
      <c r="G698"/>
      <c r="H698"/>
      <c r="I698"/>
      <c r="J698"/>
      <c r="K698"/>
      <c r="L698"/>
      <c r="M698"/>
      <c r="N698"/>
    </row>
    <row r="699" spans="1:14" ht="15" customHeight="1">
      <c r="A699"/>
      <c r="B699"/>
      <c r="C699"/>
      <c r="D699"/>
      <c r="E699"/>
      <c r="F699"/>
      <c r="G699"/>
      <c r="H699"/>
      <c r="I699"/>
      <c r="J699"/>
      <c r="K699"/>
      <c r="L699"/>
      <c r="M699"/>
      <c r="N699"/>
    </row>
    <row r="700" spans="1:14" ht="15" customHeight="1">
      <c r="A700"/>
      <c r="B700"/>
      <c r="C700"/>
      <c r="D700"/>
      <c r="E700"/>
      <c r="F700"/>
      <c r="G700"/>
      <c r="H700"/>
      <c r="I700"/>
      <c r="J700"/>
      <c r="K700"/>
      <c r="L700"/>
      <c r="M700"/>
      <c r="N700"/>
    </row>
    <row r="701" spans="1:14" ht="15" customHeight="1">
      <c r="A701"/>
      <c r="B701"/>
      <c r="C701"/>
      <c r="D701"/>
      <c r="E701"/>
      <c r="F701"/>
      <c r="G701"/>
      <c r="H701"/>
      <c r="I701"/>
      <c r="J701"/>
      <c r="K701"/>
      <c r="L701"/>
      <c r="M701"/>
      <c r="N701"/>
    </row>
    <row r="702" spans="1:14" ht="15" customHeight="1">
      <c r="A702"/>
      <c r="B702"/>
      <c r="C702"/>
      <c r="D702"/>
      <c r="E702"/>
      <c r="F702"/>
      <c r="G702"/>
      <c r="H702"/>
      <c r="I702"/>
      <c r="J702"/>
      <c r="K702"/>
      <c r="L702"/>
      <c r="M702"/>
      <c r="N702"/>
    </row>
    <row r="703" spans="1:14" ht="15" customHeight="1">
      <c r="A703"/>
      <c r="B703"/>
      <c r="C703"/>
      <c r="D703"/>
      <c r="E703"/>
      <c r="F703"/>
      <c r="G703"/>
      <c r="H703"/>
      <c r="I703"/>
      <c r="J703"/>
      <c r="K703"/>
      <c r="L703"/>
      <c r="M703"/>
      <c r="N703"/>
    </row>
    <row r="704" spans="1:14" ht="15" customHeight="1">
      <c r="A704"/>
      <c r="B704"/>
      <c r="C704"/>
      <c r="D704"/>
      <c r="E704"/>
      <c r="F704"/>
      <c r="G704"/>
      <c r="H704"/>
      <c r="I704"/>
      <c r="J704"/>
      <c r="K704"/>
      <c r="L704"/>
      <c r="M704"/>
      <c r="N704"/>
    </row>
    <row r="705" spans="1:14" ht="15" customHeight="1">
      <c r="A705"/>
      <c r="B705"/>
      <c r="C705"/>
      <c r="D705"/>
      <c r="E705"/>
      <c r="F705"/>
      <c r="G705"/>
      <c r="H705"/>
      <c r="I705"/>
      <c r="J705"/>
      <c r="K705"/>
      <c r="L705"/>
      <c r="M705"/>
      <c r="N705"/>
    </row>
    <row r="706" spans="1:14" ht="15" customHeight="1">
      <c r="A706"/>
      <c r="B706"/>
      <c r="C706"/>
      <c r="D706"/>
      <c r="E706"/>
      <c r="F706"/>
      <c r="G706"/>
      <c r="H706"/>
      <c r="I706"/>
      <c r="J706"/>
      <c r="K706"/>
      <c r="L706"/>
      <c r="M706"/>
      <c r="N706"/>
    </row>
    <row r="707" spans="1:14" ht="15" customHeight="1">
      <c r="A707"/>
      <c r="B707"/>
      <c r="C707"/>
      <c r="D707"/>
      <c r="E707"/>
      <c r="F707"/>
      <c r="G707"/>
      <c r="H707"/>
      <c r="I707"/>
      <c r="J707"/>
      <c r="K707"/>
      <c r="L707"/>
      <c r="M707"/>
      <c r="N707"/>
    </row>
    <row r="708" spans="1:14" ht="15" customHeight="1">
      <c r="A708"/>
      <c r="B708"/>
      <c r="C708"/>
      <c r="D708"/>
      <c r="E708"/>
      <c r="F708"/>
      <c r="G708"/>
      <c r="H708"/>
      <c r="I708"/>
      <c r="J708"/>
      <c r="K708"/>
      <c r="L708"/>
      <c r="M708"/>
      <c r="N708"/>
    </row>
    <row r="709" spans="1:14" ht="15" customHeight="1">
      <c r="A709"/>
      <c r="B709"/>
      <c r="C709"/>
      <c r="D709"/>
      <c r="E709"/>
      <c r="F709"/>
      <c r="G709"/>
      <c r="H709"/>
      <c r="I709"/>
      <c r="J709"/>
      <c r="K709"/>
      <c r="L709"/>
      <c r="M709"/>
      <c r="N709"/>
    </row>
    <row r="710" spans="1:14" ht="15" customHeight="1">
      <c r="A710"/>
      <c r="B710"/>
      <c r="C710"/>
      <c r="D710"/>
      <c r="E710"/>
      <c r="F710"/>
      <c r="G710"/>
      <c r="H710"/>
      <c r="I710"/>
      <c r="J710"/>
      <c r="K710"/>
      <c r="L710"/>
      <c r="M710"/>
      <c r="N710"/>
    </row>
    <row r="711" spans="1:14" ht="15" customHeight="1">
      <c r="A711"/>
      <c r="B711"/>
      <c r="C711"/>
      <c r="D711"/>
      <c r="E711"/>
      <c r="F711"/>
      <c r="G711"/>
      <c r="H711"/>
      <c r="I711"/>
      <c r="J711"/>
      <c r="K711"/>
      <c r="L711"/>
      <c r="M711"/>
      <c r="N711"/>
    </row>
    <row r="712" spans="1:14" ht="15" customHeight="1">
      <c r="A712"/>
      <c r="B712"/>
      <c r="C712"/>
      <c r="D712"/>
      <c r="E712"/>
      <c r="F712"/>
      <c r="G712"/>
      <c r="H712"/>
      <c r="I712"/>
      <c r="J712"/>
      <c r="K712"/>
      <c r="L712"/>
      <c r="M712"/>
      <c r="N712"/>
    </row>
    <row r="713" spans="1:14" ht="15" customHeight="1">
      <c r="A713"/>
      <c r="B713"/>
      <c r="C713"/>
      <c r="D713"/>
      <c r="E713"/>
      <c r="F713"/>
      <c r="G713"/>
      <c r="H713"/>
      <c r="I713"/>
      <c r="J713"/>
      <c r="K713"/>
      <c r="L713"/>
      <c r="M713"/>
      <c r="N713"/>
    </row>
    <row r="714" spans="1:14" ht="15" customHeight="1">
      <c r="A714"/>
      <c r="B714"/>
      <c r="C714"/>
      <c r="D714"/>
      <c r="E714"/>
      <c r="F714"/>
      <c r="G714"/>
      <c r="H714"/>
      <c r="I714"/>
      <c r="J714"/>
      <c r="K714"/>
      <c r="L714"/>
      <c r="M714"/>
      <c r="N714"/>
    </row>
    <row r="715" spans="1:14" ht="15" customHeight="1">
      <c r="A715"/>
      <c r="B715"/>
      <c r="C715"/>
      <c r="D715"/>
      <c r="E715"/>
      <c r="F715"/>
      <c r="G715"/>
      <c r="H715"/>
      <c r="I715"/>
      <c r="J715"/>
      <c r="K715"/>
      <c r="L715"/>
      <c r="M715"/>
      <c r="N715"/>
    </row>
    <row r="716" spans="1:14" ht="15" customHeight="1">
      <c r="A716"/>
      <c r="B716"/>
      <c r="C716"/>
      <c r="D716"/>
      <c r="E716"/>
      <c r="F716"/>
      <c r="G716"/>
      <c r="H716"/>
      <c r="I716"/>
      <c r="J716"/>
      <c r="K716"/>
      <c r="L716"/>
      <c r="M716"/>
      <c r="N716"/>
    </row>
    <row r="717" spans="1:14" customFormat="1" ht="15" customHeight="1"/>
    <row r="718" spans="1:14" customFormat="1" ht="15" customHeight="1"/>
    <row r="719" spans="1:14" ht="39" customHeight="1">
      <c r="A719"/>
      <c r="B719"/>
      <c r="C719"/>
      <c r="D719"/>
      <c r="E719"/>
      <c r="F719"/>
      <c r="G719"/>
      <c r="H719"/>
      <c r="I719"/>
      <c r="J719"/>
      <c r="K719"/>
      <c r="L719"/>
      <c r="M719"/>
      <c r="N719"/>
    </row>
    <row r="720" spans="1:14" ht="30" customHeight="1">
      <c r="A720"/>
      <c r="B720"/>
      <c r="C720"/>
      <c r="D720"/>
      <c r="E720"/>
      <c r="F720"/>
      <c r="G720"/>
      <c r="H720"/>
      <c r="I720"/>
      <c r="J720"/>
      <c r="K720"/>
      <c r="L720"/>
      <c r="M720"/>
      <c r="N720"/>
    </row>
    <row r="721" spans="1:14" s="263" customFormat="1" ht="24" customHeight="1">
      <c r="A721"/>
      <c r="B721"/>
      <c r="C721"/>
      <c r="D721"/>
      <c r="E721"/>
      <c r="F721"/>
      <c r="G721"/>
      <c r="H721"/>
      <c r="I721"/>
      <c r="J721"/>
      <c r="K721"/>
      <c r="L721"/>
      <c r="M721"/>
      <c r="N721"/>
    </row>
    <row r="722" spans="1:14" ht="15" customHeight="1">
      <c r="A722"/>
      <c r="B722"/>
      <c r="C722"/>
      <c r="D722"/>
      <c r="E722"/>
      <c r="F722"/>
      <c r="G722"/>
      <c r="H722"/>
      <c r="I722"/>
      <c r="J722"/>
      <c r="K722"/>
      <c r="L722"/>
      <c r="M722"/>
      <c r="N722"/>
    </row>
    <row r="723" spans="1:14">
      <c r="A723"/>
      <c r="B723"/>
      <c r="C723"/>
      <c r="D723"/>
      <c r="E723"/>
      <c r="F723"/>
      <c r="G723"/>
      <c r="H723"/>
      <c r="I723"/>
      <c r="J723"/>
      <c r="K723"/>
      <c r="L723"/>
      <c r="M723"/>
      <c r="N723"/>
    </row>
    <row r="724" spans="1:14" s="263" customFormat="1" ht="15" customHeight="1">
      <c r="A724"/>
      <c r="B724"/>
      <c r="C724"/>
      <c r="D724"/>
      <c r="E724"/>
      <c r="F724"/>
      <c r="G724"/>
      <c r="H724"/>
      <c r="I724"/>
      <c r="J724"/>
      <c r="K724"/>
      <c r="L724"/>
      <c r="M724"/>
      <c r="N724"/>
    </row>
    <row r="725" spans="1:14" ht="15" customHeight="1">
      <c r="A725"/>
      <c r="B725"/>
      <c r="C725"/>
      <c r="D725"/>
      <c r="E725"/>
      <c r="F725"/>
      <c r="G725"/>
      <c r="H725"/>
      <c r="I725"/>
      <c r="J725"/>
      <c r="K725"/>
      <c r="L725"/>
      <c r="M725"/>
      <c r="N725"/>
    </row>
    <row r="726" spans="1:14" ht="30" customHeight="1">
      <c r="A726"/>
      <c r="B726"/>
      <c r="C726"/>
      <c r="D726"/>
      <c r="E726"/>
      <c r="F726"/>
      <c r="G726"/>
      <c r="H726"/>
      <c r="I726"/>
      <c r="J726"/>
      <c r="K726"/>
      <c r="L726"/>
      <c r="M726"/>
      <c r="N726"/>
    </row>
    <row r="727" spans="1:14" s="263" customFormat="1" ht="15" customHeight="1">
      <c r="A727"/>
      <c r="B727"/>
      <c r="C727"/>
      <c r="D727"/>
      <c r="E727"/>
      <c r="F727"/>
      <c r="G727"/>
      <c r="H727"/>
      <c r="I727"/>
      <c r="J727"/>
      <c r="K727"/>
      <c r="L727"/>
      <c r="M727"/>
      <c r="N727"/>
    </row>
    <row r="728" spans="1:14" s="263" customFormat="1" ht="15" customHeight="1">
      <c r="A728"/>
      <c r="B728"/>
      <c r="C728"/>
      <c r="D728"/>
      <c r="E728"/>
      <c r="F728"/>
      <c r="G728"/>
      <c r="H728"/>
      <c r="I728"/>
      <c r="J728"/>
      <c r="K728"/>
      <c r="L728"/>
      <c r="M728"/>
      <c r="N728"/>
    </row>
    <row r="729" spans="1:14" ht="21.75" customHeight="1">
      <c r="A729"/>
      <c r="B729"/>
      <c r="C729"/>
      <c r="D729"/>
      <c r="E729"/>
      <c r="F729"/>
      <c r="G729"/>
      <c r="H729"/>
      <c r="I729"/>
      <c r="J729"/>
      <c r="K729"/>
      <c r="L729"/>
      <c r="M729"/>
      <c r="N729"/>
    </row>
    <row r="730" spans="1:14" ht="66.75" customHeight="1">
      <c r="A730"/>
      <c r="B730"/>
      <c r="C730"/>
      <c r="D730"/>
      <c r="E730"/>
      <c r="F730"/>
      <c r="G730"/>
      <c r="H730"/>
      <c r="I730"/>
      <c r="J730"/>
      <c r="K730"/>
      <c r="L730"/>
      <c r="M730"/>
      <c r="N730"/>
    </row>
    <row r="731" spans="1:14" ht="15" customHeight="1">
      <c r="A731"/>
      <c r="B731"/>
      <c r="C731"/>
      <c r="D731"/>
      <c r="E731"/>
      <c r="F731"/>
      <c r="G731"/>
      <c r="H731"/>
      <c r="I731"/>
      <c r="J731"/>
      <c r="K731"/>
      <c r="L731"/>
      <c r="M731"/>
      <c r="N731"/>
    </row>
    <row r="732" spans="1:14" ht="15" customHeight="1">
      <c r="A732"/>
      <c r="B732"/>
      <c r="C732"/>
      <c r="D732"/>
      <c r="E732"/>
      <c r="F732"/>
      <c r="G732"/>
      <c r="H732"/>
      <c r="I732"/>
      <c r="J732"/>
      <c r="K732"/>
      <c r="L732"/>
      <c r="M732"/>
      <c r="N732"/>
    </row>
    <row r="733" spans="1:14" ht="15" customHeight="1">
      <c r="A733"/>
      <c r="B733"/>
      <c r="C733"/>
      <c r="D733"/>
      <c r="E733"/>
      <c r="F733"/>
      <c r="G733"/>
      <c r="H733"/>
      <c r="I733"/>
      <c r="J733"/>
      <c r="K733"/>
      <c r="L733"/>
      <c r="M733"/>
      <c r="N733"/>
    </row>
    <row r="734" spans="1:14" ht="15" customHeight="1">
      <c r="A734"/>
      <c r="B734"/>
      <c r="C734"/>
      <c r="D734"/>
      <c r="E734"/>
      <c r="F734"/>
      <c r="G734"/>
      <c r="H734"/>
      <c r="I734"/>
      <c r="J734"/>
      <c r="K734"/>
      <c r="L734"/>
      <c r="M734"/>
      <c r="N734"/>
    </row>
    <row r="735" spans="1:14" ht="15" customHeight="1">
      <c r="A735"/>
      <c r="B735"/>
      <c r="C735"/>
      <c r="D735"/>
      <c r="E735"/>
      <c r="F735"/>
      <c r="G735"/>
      <c r="H735"/>
      <c r="I735"/>
      <c r="J735"/>
      <c r="K735"/>
      <c r="L735"/>
      <c r="M735"/>
      <c r="N735"/>
    </row>
    <row r="736" spans="1:14" ht="15" customHeight="1">
      <c r="A736"/>
      <c r="B736"/>
      <c r="C736"/>
      <c r="D736"/>
      <c r="E736"/>
      <c r="F736"/>
      <c r="G736"/>
      <c r="H736"/>
      <c r="I736"/>
      <c r="J736"/>
      <c r="K736"/>
      <c r="L736"/>
      <c r="M736"/>
      <c r="N736"/>
    </row>
    <row r="737" spans="1:14" ht="15" customHeight="1">
      <c r="A737"/>
      <c r="B737"/>
      <c r="C737"/>
      <c r="D737"/>
      <c r="E737"/>
      <c r="F737"/>
      <c r="G737"/>
      <c r="H737"/>
      <c r="I737"/>
      <c r="J737"/>
      <c r="K737"/>
      <c r="L737"/>
      <c r="M737"/>
      <c r="N737"/>
    </row>
    <row r="738" spans="1:14" ht="15" customHeight="1">
      <c r="A738"/>
      <c r="B738"/>
      <c r="C738"/>
      <c r="D738"/>
      <c r="E738"/>
      <c r="F738"/>
      <c r="G738"/>
      <c r="H738"/>
      <c r="I738"/>
      <c r="J738"/>
      <c r="K738"/>
      <c r="L738"/>
      <c r="M738"/>
      <c r="N738"/>
    </row>
    <row r="739" spans="1:14" ht="15" customHeight="1">
      <c r="A739"/>
      <c r="B739"/>
      <c r="C739"/>
      <c r="D739"/>
      <c r="E739"/>
      <c r="F739"/>
      <c r="G739"/>
      <c r="H739"/>
      <c r="I739"/>
      <c r="J739"/>
      <c r="K739"/>
      <c r="L739"/>
      <c r="M739"/>
      <c r="N739"/>
    </row>
    <row r="740" spans="1:14" ht="15" customHeight="1">
      <c r="A740"/>
      <c r="B740"/>
      <c r="C740"/>
      <c r="D740"/>
      <c r="E740"/>
      <c r="F740"/>
      <c r="G740"/>
      <c r="H740"/>
      <c r="I740"/>
      <c r="J740"/>
      <c r="K740"/>
      <c r="L740"/>
      <c r="M740"/>
      <c r="N740"/>
    </row>
    <row r="741" spans="1:14" ht="15" customHeight="1">
      <c r="A741"/>
      <c r="B741"/>
      <c r="C741"/>
      <c r="D741"/>
      <c r="E741"/>
      <c r="F741"/>
      <c r="G741"/>
      <c r="H741"/>
      <c r="I741"/>
      <c r="J741"/>
      <c r="K741"/>
      <c r="L741"/>
      <c r="M741"/>
      <c r="N741"/>
    </row>
    <row r="742" spans="1:14" ht="15" customHeight="1">
      <c r="A742"/>
      <c r="B742"/>
      <c r="C742"/>
      <c r="D742"/>
      <c r="E742"/>
      <c r="F742"/>
      <c r="G742"/>
      <c r="H742"/>
      <c r="I742"/>
      <c r="J742"/>
      <c r="K742"/>
      <c r="L742"/>
      <c r="M742"/>
      <c r="N742"/>
    </row>
    <row r="743" spans="1:14" ht="15" customHeight="1">
      <c r="A743"/>
      <c r="B743"/>
      <c r="C743"/>
      <c r="D743"/>
      <c r="E743"/>
      <c r="F743"/>
      <c r="G743"/>
      <c r="H743"/>
      <c r="I743"/>
      <c r="J743"/>
      <c r="K743"/>
      <c r="L743"/>
      <c r="M743"/>
      <c r="N743"/>
    </row>
    <row r="744" spans="1:14" ht="15" customHeight="1">
      <c r="A744"/>
      <c r="B744"/>
      <c r="C744"/>
      <c r="D744"/>
      <c r="E744"/>
      <c r="F744"/>
      <c r="G744"/>
      <c r="H744"/>
      <c r="I744"/>
      <c r="J744"/>
      <c r="K744"/>
      <c r="L744"/>
      <c r="M744"/>
      <c r="N744"/>
    </row>
    <row r="745" spans="1:14" ht="15" customHeight="1">
      <c r="A745"/>
      <c r="B745"/>
      <c r="C745"/>
      <c r="D745"/>
      <c r="E745"/>
      <c r="F745"/>
      <c r="G745"/>
      <c r="H745"/>
      <c r="I745"/>
      <c r="J745"/>
      <c r="K745"/>
      <c r="L745"/>
      <c r="M745"/>
      <c r="N745"/>
    </row>
    <row r="746" spans="1:14" ht="15" customHeight="1">
      <c r="A746"/>
      <c r="B746"/>
      <c r="C746"/>
      <c r="D746"/>
      <c r="E746"/>
      <c r="F746"/>
      <c r="G746"/>
      <c r="H746"/>
      <c r="I746"/>
      <c r="J746"/>
      <c r="K746"/>
      <c r="L746"/>
      <c r="M746"/>
      <c r="N746"/>
    </row>
    <row r="747" spans="1:14" ht="15" customHeight="1">
      <c r="A747"/>
      <c r="B747"/>
      <c r="C747"/>
      <c r="D747"/>
      <c r="E747"/>
      <c r="F747"/>
      <c r="G747"/>
      <c r="H747"/>
      <c r="I747"/>
      <c r="J747"/>
      <c r="K747"/>
      <c r="L747"/>
      <c r="M747"/>
      <c r="N747"/>
    </row>
    <row r="748" spans="1:14" ht="15" customHeight="1">
      <c r="A748"/>
      <c r="B748"/>
      <c r="C748"/>
      <c r="D748"/>
      <c r="E748"/>
      <c r="F748"/>
      <c r="G748"/>
      <c r="H748"/>
      <c r="I748"/>
      <c r="J748"/>
      <c r="K748"/>
      <c r="L748"/>
      <c r="M748"/>
      <c r="N748"/>
    </row>
    <row r="749" spans="1:14" ht="15" customHeight="1">
      <c r="A749"/>
      <c r="B749"/>
      <c r="C749"/>
      <c r="D749"/>
      <c r="E749"/>
      <c r="F749"/>
      <c r="G749"/>
      <c r="H749"/>
      <c r="I749"/>
      <c r="J749"/>
      <c r="K749"/>
      <c r="L749"/>
      <c r="M749"/>
      <c r="N749"/>
    </row>
    <row r="750" spans="1:14" ht="15" customHeight="1">
      <c r="A750"/>
      <c r="B750"/>
      <c r="C750"/>
      <c r="D750"/>
      <c r="E750"/>
      <c r="F750"/>
      <c r="G750"/>
      <c r="H750"/>
      <c r="I750"/>
      <c r="J750"/>
      <c r="K750"/>
      <c r="L750"/>
      <c r="M750"/>
      <c r="N750"/>
    </row>
    <row r="751" spans="1:14" ht="15" customHeight="1">
      <c r="A751"/>
      <c r="B751"/>
      <c r="C751"/>
      <c r="D751"/>
      <c r="E751"/>
      <c r="F751"/>
      <c r="G751"/>
      <c r="H751"/>
      <c r="I751"/>
      <c r="J751"/>
      <c r="K751"/>
      <c r="L751"/>
      <c r="M751"/>
      <c r="N751"/>
    </row>
    <row r="752" spans="1:14" ht="15" customHeight="1">
      <c r="A752"/>
      <c r="B752"/>
      <c r="C752"/>
      <c r="D752"/>
      <c r="E752"/>
      <c r="F752"/>
      <c r="G752"/>
      <c r="H752"/>
      <c r="I752"/>
      <c r="J752"/>
      <c r="K752"/>
      <c r="L752"/>
      <c r="M752"/>
      <c r="N752"/>
    </row>
    <row r="753" spans="1:14" ht="15" customHeight="1">
      <c r="A753"/>
      <c r="B753"/>
      <c r="C753"/>
      <c r="D753"/>
      <c r="E753"/>
      <c r="F753"/>
      <c r="G753"/>
      <c r="H753"/>
      <c r="I753"/>
      <c r="J753"/>
      <c r="K753"/>
      <c r="L753"/>
      <c r="M753"/>
      <c r="N753"/>
    </row>
    <row r="754" spans="1:14" ht="15" customHeight="1">
      <c r="A754"/>
      <c r="B754"/>
      <c r="C754"/>
      <c r="D754"/>
      <c r="E754"/>
      <c r="F754"/>
      <c r="G754"/>
      <c r="H754"/>
      <c r="I754"/>
      <c r="J754"/>
      <c r="K754"/>
      <c r="L754"/>
      <c r="M754"/>
      <c r="N754"/>
    </row>
    <row r="755" spans="1:14" ht="15" customHeight="1">
      <c r="A755"/>
      <c r="B755"/>
      <c r="C755"/>
      <c r="D755"/>
      <c r="E755"/>
      <c r="F755"/>
      <c r="G755"/>
      <c r="H755"/>
      <c r="I755"/>
      <c r="J755"/>
      <c r="K755"/>
      <c r="L755"/>
      <c r="M755"/>
      <c r="N755"/>
    </row>
    <row r="756" spans="1:14" ht="15" customHeight="1">
      <c r="A756"/>
      <c r="B756"/>
      <c r="C756"/>
      <c r="D756"/>
      <c r="E756"/>
      <c r="F756"/>
      <c r="G756"/>
      <c r="H756"/>
      <c r="I756"/>
      <c r="J756"/>
      <c r="K756"/>
      <c r="L756"/>
      <c r="M756"/>
      <c r="N756"/>
    </row>
    <row r="757" spans="1:14" ht="15" customHeight="1">
      <c r="A757"/>
      <c r="B757"/>
      <c r="C757"/>
      <c r="D757"/>
      <c r="E757"/>
      <c r="F757"/>
      <c r="G757"/>
      <c r="H757"/>
      <c r="I757"/>
      <c r="J757"/>
      <c r="K757"/>
      <c r="L757"/>
      <c r="M757"/>
      <c r="N757"/>
    </row>
    <row r="758" spans="1:14" ht="15" customHeight="1">
      <c r="A758"/>
      <c r="B758"/>
      <c r="C758"/>
      <c r="D758"/>
      <c r="E758"/>
      <c r="F758"/>
      <c r="G758"/>
      <c r="H758"/>
      <c r="I758"/>
      <c r="J758"/>
      <c r="K758"/>
      <c r="L758"/>
      <c r="M758"/>
      <c r="N758"/>
    </row>
    <row r="759" spans="1:14" customFormat="1" ht="15" customHeight="1"/>
    <row r="760" spans="1:14" customFormat="1" ht="15" customHeight="1"/>
    <row r="761" spans="1:14" ht="39" customHeight="1">
      <c r="A761"/>
      <c r="B761"/>
      <c r="C761"/>
      <c r="D761"/>
      <c r="E761"/>
      <c r="F761"/>
      <c r="G761"/>
      <c r="H761"/>
      <c r="I761"/>
      <c r="J761"/>
      <c r="K761"/>
      <c r="L761"/>
      <c r="M761"/>
      <c r="N761"/>
    </row>
    <row r="762" spans="1:14" ht="30" customHeight="1">
      <c r="A762"/>
      <c r="B762"/>
      <c r="C762"/>
      <c r="D762"/>
      <c r="E762"/>
      <c r="F762"/>
      <c r="G762"/>
      <c r="H762"/>
      <c r="I762"/>
      <c r="J762"/>
      <c r="K762"/>
      <c r="L762"/>
      <c r="M762"/>
      <c r="N762"/>
    </row>
    <row r="763" spans="1:14" s="263" customFormat="1" ht="24" customHeight="1">
      <c r="A763"/>
      <c r="B763"/>
      <c r="C763"/>
      <c r="D763"/>
      <c r="E763"/>
      <c r="F763"/>
      <c r="G763"/>
      <c r="H763"/>
      <c r="I763"/>
      <c r="J763"/>
      <c r="K763"/>
      <c r="L763"/>
      <c r="M763"/>
      <c r="N763"/>
    </row>
    <row r="764" spans="1:14" ht="15" customHeight="1">
      <c r="A764"/>
      <c r="B764"/>
      <c r="C764"/>
      <c r="D764"/>
      <c r="E764"/>
      <c r="F764"/>
      <c r="G764"/>
      <c r="H764"/>
      <c r="I764"/>
      <c r="J764"/>
      <c r="K764"/>
      <c r="L764"/>
      <c r="M764"/>
      <c r="N764"/>
    </row>
    <row r="765" spans="1:14">
      <c r="A765"/>
      <c r="B765"/>
      <c r="C765"/>
      <c r="D765"/>
      <c r="E765"/>
      <c r="F765"/>
      <c r="G765"/>
      <c r="H765"/>
      <c r="I765"/>
      <c r="J765"/>
      <c r="K765"/>
      <c r="L765"/>
      <c r="M765"/>
      <c r="N765"/>
    </row>
    <row r="766" spans="1:14" s="263" customFormat="1" ht="15" customHeight="1">
      <c r="A766"/>
      <c r="B766"/>
      <c r="C766"/>
      <c r="D766"/>
      <c r="E766"/>
      <c r="F766"/>
      <c r="G766"/>
      <c r="H766"/>
      <c r="I766"/>
      <c r="J766"/>
      <c r="K766"/>
      <c r="L766"/>
      <c r="M766"/>
      <c r="N766"/>
    </row>
    <row r="767" spans="1:14" ht="15" customHeight="1">
      <c r="A767"/>
      <c r="B767"/>
      <c r="C767"/>
      <c r="D767"/>
      <c r="E767"/>
      <c r="F767"/>
      <c r="G767"/>
      <c r="H767"/>
      <c r="I767"/>
      <c r="J767"/>
      <c r="K767"/>
      <c r="L767"/>
      <c r="M767"/>
      <c r="N767"/>
    </row>
    <row r="768" spans="1:14" ht="30" customHeight="1">
      <c r="A768"/>
      <c r="B768"/>
      <c r="C768"/>
      <c r="D768"/>
      <c r="E768"/>
      <c r="F768"/>
      <c r="G768"/>
      <c r="H768"/>
      <c r="I768"/>
      <c r="J768"/>
      <c r="K768"/>
      <c r="L768"/>
      <c r="M768"/>
      <c r="N768"/>
    </row>
    <row r="769" spans="1:14" s="263" customFormat="1" ht="15" customHeight="1">
      <c r="A769"/>
      <c r="B769"/>
      <c r="C769"/>
      <c r="D769"/>
      <c r="E769"/>
      <c r="F769"/>
      <c r="G769"/>
      <c r="H769"/>
      <c r="I769"/>
      <c r="J769"/>
      <c r="K769"/>
      <c r="L769"/>
      <c r="M769"/>
      <c r="N769"/>
    </row>
    <row r="770" spans="1:14" s="263" customFormat="1" ht="15" customHeight="1">
      <c r="A770"/>
      <c r="B770"/>
      <c r="C770"/>
      <c r="D770"/>
      <c r="E770"/>
      <c r="F770"/>
      <c r="G770"/>
      <c r="H770"/>
      <c r="I770"/>
      <c r="J770"/>
      <c r="K770"/>
      <c r="L770"/>
      <c r="M770"/>
      <c r="N770"/>
    </row>
    <row r="771" spans="1:14" ht="21.75" customHeight="1">
      <c r="A771"/>
      <c r="B771"/>
      <c r="C771"/>
      <c r="D771"/>
      <c r="E771"/>
      <c r="F771"/>
      <c r="G771"/>
      <c r="H771"/>
      <c r="I771"/>
      <c r="J771"/>
      <c r="K771"/>
      <c r="L771"/>
      <c r="M771"/>
      <c r="N771"/>
    </row>
    <row r="772" spans="1:14" ht="66.75" customHeight="1">
      <c r="A772"/>
      <c r="B772"/>
      <c r="C772"/>
      <c r="D772"/>
      <c r="E772"/>
      <c r="F772"/>
      <c r="G772"/>
      <c r="H772"/>
      <c r="I772"/>
      <c r="J772"/>
      <c r="K772"/>
      <c r="L772"/>
      <c r="M772"/>
      <c r="N772"/>
    </row>
    <row r="773" spans="1:14" ht="15" customHeight="1">
      <c r="A773"/>
      <c r="B773"/>
      <c r="C773"/>
      <c r="D773"/>
      <c r="E773"/>
      <c r="F773"/>
      <c r="G773"/>
      <c r="H773"/>
      <c r="I773"/>
      <c r="J773"/>
      <c r="K773"/>
      <c r="L773"/>
      <c r="M773"/>
      <c r="N773"/>
    </row>
    <row r="774" spans="1:14" ht="15" customHeight="1">
      <c r="A774"/>
      <c r="B774"/>
      <c r="C774"/>
      <c r="D774"/>
      <c r="E774"/>
      <c r="F774"/>
      <c r="G774"/>
      <c r="H774"/>
      <c r="I774"/>
      <c r="J774"/>
      <c r="K774"/>
      <c r="L774"/>
      <c r="M774"/>
      <c r="N774"/>
    </row>
    <row r="775" spans="1:14" ht="15" customHeight="1">
      <c r="A775"/>
      <c r="B775"/>
      <c r="C775"/>
      <c r="D775"/>
      <c r="E775"/>
      <c r="F775"/>
      <c r="G775"/>
      <c r="H775"/>
      <c r="I775"/>
      <c r="J775"/>
      <c r="K775"/>
      <c r="L775"/>
      <c r="M775"/>
      <c r="N775"/>
    </row>
    <row r="776" spans="1:14" ht="15" customHeight="1">
      <c r="A776"/>
      <c r="B776"/>
      <c r="C776"/>
      <c r="D776"/>
      <c r="E776"/>
      <c r="F776"/>
      <c r="G776"/>
      <c r="H776"/>
      <c r="I776"/>
      <c r="J776"/>
      <c r="K776"/>
      <c r="L776"/>
      <c r="M776"/>
      <c r="N776"/>
    </row>
    <row r="777" spans="1:14" ht="15" customHeight="1">
      <c r="A777"/>
      <c r="B777"/>
      <c r="C777"/>
      <c r="D777"/>
      <c r="E777"/>
      <c r="F777"/>
      <c r="G777"/>
      <c r="H777"/>
      <c r="I777"/>
      <c r="J777"/>
      <c r="K777"/>
      <c r="L777"/>
      <c r="M777"/>
      <c r="N777"/>
    </row>
    <row r="778" spans="1:14" ht="15" customHeight="1">
      <c r="A778"/>
      <c r="B778"/>
      <c r="C778"/>
      <c r="D778"/>
      <c r="E778"/>
      <c r="F778"/>
      <c r="G778"/>
      <c r="H778"/>
      <c r="I778"/>
      <c r="J778"/>
      <c r="K778"/>
      <c r="L778"/>
      <c r="M778"/>
      <c r="N778"/>
    </row>
    <row r="779" spans="1:14" ht="15" customHeight="1">
      <c r="A779"/>
      <c r="B779"/>
      <c r="C779"/>
      <c r="D779"/>
      <c r="E779"/>
      <c r="F779"/>
      <c r="G779"/>
      <c r="H779"/>
      <c r="I779"/>
      <c r="J779"/>
      <c r="K779"/>
      <c r="L779"/>
      <c r="M779"/>
      <c r="N779"/>
    </row>
    <row r="780" spans="1:14" ht="15" customHeight="1">
      <c r="A780"/>
      <c r="B780"/>
      <c r="C780"/>
      <c r="D780"/>
      <c r="E780"/>
      <c r="F780"/>
      <c r="G780"/>
      <c r="H780"/>
      <c r="I780"/>
      <c r="J780"/>
      <c r="K780"/>
      <c r="L780"/>
      <c r="M780"/>
      <c r="N780"/>
    </row>
    <row r="781" spans="1:14" ht="15" customHeight="1">
      <c r="A781"/>
      <c r="B781"/>
      <c r="C781"/>
      <c r="D781"/>
      <c r="E781"/>
      <c r="F781"/>
      <c r="G781"/>
      <c r="H781"/>
      <c r="I781"/>
      <c r="J781"/>
      <c r="K781"/>
      <c r="L781"/>
      <c r="M781"/>
      <c r="N781"/>
    </row>
    <row r="782" spans="1:14" ht="15" customHeight="1">
      <c r="A782"/>
      <c r="B782"/>
      <c r="C782"/>
      <c r="D782"/>
      <c r="E782"/>
      <c r="F782"/>
      <c r="G782"/>
      <c r="H782"/>
      <c r="I782"/>
      <c r="J782"/>
      <c r="K782"/>
      <c r="L782"/>
      <c r="M782"/>
      <c r="N782"/>
    </row>
    <row r="783" spans="1:14" ht="15" customHeight="1">
      <c r="A783"/>
      <c r="B783"/>
      <c r="C783"/>
      <c r="D783"/>
      <c r="E783"/>
      <c r="F783"/>
      <c r="G783"/>
      <c r="H783"/>
      <c r="I783"/>
      <c r="J783"/>
      <c r="K783"/>
      <c r="L783"/>
      <c r="M783"/>
      <c r="N783"/>
    </row>
    <row r="784" spans="1:14" ht="15" customHeight="1">
      <c r="A784"/>
      <c r="B784"/>
      <c r="C784"/>
      <c r="D784"/>
      <c r="E784"/>
      <c r="F784"/>
      <c r="G784"/>
      <c r="H784"/>
      <c r="I784"/>
      <c r="J784"/>
      <c r="K784"/>
      <c r="L784"/>
      <c r="M784"/>
      <c r="N784"/>
    </row>
    <row r="785" spans="1:14" ht="15" customHeight="1">
      <c r="A785"/>
      <c r="B785"/>
      <c r="C785"/>
      <c r="D785"/>
      <c r="E785"/>
      <c r="F785"/>
      <c r="G785"/>
      <c r="H785"/>
      <c r="I785"/>
      <c r="J785"/>
      <c r="K785"/>
      <c r="L785"/>
      <c r="M785"/>
      <c r="N785"/>
    </row>
    <row r="786" spans="1:14" ht="15" customHeight="1">
      <c r="A786"/>
      <c r="B786"/>
      <c r="C786"/>
      <c r="D786"/>
      <c r="E786"/>
      <c r="F786"/>
      <c r="G786"/>
      <c r="H786"/>
      <c r="I786"/>
      <c r="J786"/>
      <c r="K786"/>
      <c r="L786"/>
      <c r="M786"/>
      <c r="N786"/>
    </row>
    <row r="787" spans="1:14" ht="15" customHeight="1">
      <c r="A787"/>
      <c r="B787"/>
      <c r="C787"/>
      <c r="D787"/>
      <c r="E787"/>
      <c r="F787"/>
      <c r="G787"/>
      <c r="H787"/>
      <c r="I787"/>
      <c r="J787"/>
      <c r="K787"/>
      <c r="L787"/>
      <c r="M787"/>
      <c r="N787"/>
    </row>
    <row r="788" spans="1:14" ht="15" customHeight="1">
      <c r="A788"/>
      <c r="B788"/>
      <c r="C788"/>
      <c r="D788"/>
      <c r="E788"/>
      <c r="F788"/>
      <c r="G788"/>
      <c r="H788"/>
      <c r="I788"/>
      <c r="J788"/>
      <c r="K788"/>
      <c r="L788"/>
      <c r="M788"/>
      <c r="N788"/>
    </row>
    <row r="789" spans="1:14" ht="15" customHeight="1">
      <c r="A789"/>
      <c r="B789"/>
      <c r="C789"/>
      <c r="D789"/>
      <c r="E789"/>
      <c r="F789"/>
      <c r="G789"/>
      <c r="H789"/>
      <c r="I789"/>
      <c r="J789"/>
      <c r="K789"/>
      <c r="L789"/>
      <c r="M789"/>
      <c r="N789"/>
    </row>
    <row r="790" spans="1:14" ht="15" customHeight="1">
      <c r="A790"/>
      <c r="B790"/>
      <c r="C790"/>
      <c r="D790"/>
      <c r="E790"/>
      <c r="F790"/>
      <c r="G790"/>
      <c r="H790"/>
      <c r="I790"/>
      <c r="J790"/>
      <c r="K790"/>
      <c r="L790"/>
      <c r="M790"/>
      <c r="N790"/>
    </row>
    <row r="791" spans="1:14" ht="15" customHeight="1">
      <c r="A791"/>
      <c r="B791"/>
      <c r="C791"/>
      <c r="D791"/>
      <c r="E791"/>
      <c r="F791"/>
      <c r="G791"/>
      <c r="H791"/>
      <c r="I791"/>
      <c r="J791"/>
      <c r="K791"/>
      <c r="L791"/>
      <c r="M791"/>
      <c r="N791"/>
    </row>
    <row r="792" spans="1:14" ht="15" customHeight="1">
      <c r="A792"/>
      <c r="B792"/>
      <c r="C792"/>
      <c r="D792"/>
      <c r="E792"/>
      <c r="F792"/>
      <c r="G792"/>
      <c r="H792"/>
      <c r="I792"/>
      <c r="J792"/>
      <c r="K792"/>
      <c r="L792"/>
      <c r="M792"/>
      <c r="N792"/>
    </row>
    <row r="793" spans="1:14" ht="15" customHeight="1">
      <c r="A793"/>
      <c r="B793"/>
      <c r="C793"/>
      <c r="D793"/>
      <c r="E793"/>
      <c r="F793"/>
      <c r="G793"/>
      <c r="H793"/>
      <c r="I793"/>
      <c r="J793"/>
      <c r="K793"/>
      <c r="L793"/>
      <c r="M793"/>
      <c r="N793"/>
    </row>
    <row r="794" spans="1:14" ht="15" customHeight="1">
      <c r="A794"/>
      <c r="B794"/>
      <c r="C794"/>
      <c r="D794"/>
      <c r="E794"/>
      <c r="F794"/>
      <c r="G794"/>
      <c r="H794"/>
      <c r="I794"/>
      <c r="J794"/>
      <c r="K794"/>
      <c r="L794"/>
      <c r="M794"/>
      <c r="N794"/>
    </row>
    <row r="795" spans="1:14" ht="15" customHeight="1">
      <c r="A795"/>
      <c r="B795"/>
      <c r="C795"/>
      <c r="D795"/>
      <c r="E795"/>
      <c r="F795"/>
      <c r="G795"/>
      <c r="H795"/>
      <c r="I795"/>
      <c r="J795"/>
      <c r="K795"/>
      <c r="L795"/>
      <c r="M795"/>
      <c r="N795"/>
    </row>
    <row r="796" spans="1:14" ht="15" customHeight="1">
      <c r="A796"/>
      <c r="B796"/>
      <c r="C796"/>
      <c r="D796"/>
      <c r="E796"/>
      <c r="F796"/>
      <c r="G796"/>
      <c r="H796"/>
      <c r="I796"/>
      <c r="J796"/>
      <c r="K796"/>
      <c r="L796"/>
      <c r="M796"/>
      <c r="N796"/>
    </row>
    <row r="797" spans="1:14" ht="15" customHeight="1">
      <c r="A797"/>
      <c r="B797"/>
      <c r="C797"/>
      <c r="D797"/>
      <c r="E797"/>
      <c r="F797"/>
      <c r="G797"/>
      <c r="H797"/>
      <c r="I797"/>
      <c r="J797"/>
      <c r="K797"/>
      <c r="L797"/>
      <c r="M797"/>
      <c r="N797"/>
    </row>
    <row r="798" spans="1:14" ht="15" customHeight="1">
      <c r="A798"/>
      <c r="B798"/>
      <c r="C798"/>
      <c r="D798"/>
      <c r="E798"/>
      <c r="F798"/>
      <c r="G798"/>
      <c r="H798"/>
      <c r="I798"/>
      <c r="J798"/>
      <c r="K798"/>
      <c r="L798"/>
      <c r="M798"/>
      <c r="N798"/>
    </row>
    <row r="799" spans="1:14" ht="15" customHeight="1">
      <c r="A799"/>
      <c r="B799"/>
      <c r="C799"/>
      <c r="D799"/>
      <c r="E799"/>
      <c r="F799"/>
      <c r="G799"/>
      <c r="H799"/>
      <c r="I799"/>
      <c r="J799"/>
      <c r="K799"/>
      <c r="L799"/>
      <c r="M799"/>
      <c r="N799"/>
    </row>
    <row r="800" spans="1:14" ht="15" customHeight="1">
      <c r="A800"/>
      <c r="B800"/>
      <c r="C800"/>
      <c r="D800"/>
      <c r="E800"/>
      <c r="F800"/>
      <c r="G800"/>
      <c r="H800"/>
      <c r="I800"/>
      <c r="J800"/>
      <c r="K800"/>
      <c r="L800"/>
      <c r="M800"/>
      <c r="N800"/>
    </row>
    <row r="801" spans="1:14" customFormat="1" ht="15" customHeight="1"/>
    <row r="802" spans="1:14" customFormat="1" ht="15" customHeight="1"/>
    <row r="803" spans="1:14" ht="39" customHeight="1">
      <c r="A803"/>
      <c r="B803"/>
      <c r="C803"/>
      <c r="D803"/>
      <c r="E803"/>
      <c r="F803"/>
      <c r="G803"/>
      <c r="H803"/>
      <c r="I803"/>
      <c r="J803"/>
      <c r="K803"/>
      <c r="L803"/>
      <c r="M803"/>
      <c r="N803"/>
    </row>
    <row r="804" spans="1:14" ht="30" customHeight="1">
      <c r="A804"/>
      <c r="B804"/>
      <c r="C804"/>
      <c r="D804"/>
      <c r="E804"/>
      <c r="F804"/>
      <c r="G804"/>
      <c r="H804"/>
      <c r="I804"/>
      <c r="J804"/>
      <c r="K804"/>
      <c r="L804"/>
      <c r="M804"/>
      <c r="N804"/>
    </row>
    <row r="805" spans="1:14" s="263" customFormat="1" ht="24" customHeight="1">
      <c r="A805"/>
      <c r="B805"/>
      <c r="C805"/>
      <c r="D805"/>
      <c r="E805"/>
      <c r="F805"/>
      <c r="G805"/>
      <c r="H805"/>
      <c r="I805"/>
      <c r="J805"/>
      <c r="K805"/>
      <c r="L805"/>
      <c r="M805"/>
      <c r="N805"/>
    </row>
    <row r="806" spans="1:14" ht="15" customHeight="1">
      <c r="A806"/>
      <c r="B806"/>
      <c r="C806"/>
      <c r="D806"/>
      <c r="E806"/>
      <c r="F806"/>
      <c r="G806"/>
      <c r="H806"/>
      <c r="I806"/>
      <c r="J806"/>
      <c r="K806"/>
      <c r="L806"/>
      <c r="M806"/>
      <c r="N806"/>
    </row>
    <row r="807" spans="1:14">
      <c r="A807"/>
      <c r="B807"/>
      <c r="C807"/>
      <c r="D807"/>
      <c r="E807"/>
      <c r="F807"/>
      <c r="G807"/>
      <c r="H807"/>
      <c r="I807"/>
      <c r="J807"/>
      <c r="K807"/>
      <c r="L807"/>
      <c r="M807"/>
      <c r="N807"/>
    </row>
    <row r="808" spans="1:14" s="263" customFormat="1" ht="15" customHeight="1">
      <c r="A808"/>
      <c r="B808"/>
      <c r="C808"/>
      <c r="D808"/>
      <c r="E808"/>
      <c r="F808"/>
      <c r="G808"/>
      <c r="H808"/>
      <c r="I808"/>
      <c r="J808"/>
      <c r="K808"/>
      <c r="L808"/>
      <c r="M808"/>
      <c r="N808"/>
    </row>
    <row r="809" spans="1:14" ht="15" customHeight="1">
      <c r="A809"/>
      <c r="B809"/>
      <c r="C809"/>
      <c r="D809"/>
      <c r="E809"/>
      <c r="F809"/>
      <c r="G809"/>
      <c r="H809"/>
      <c r="I809"/>
      <c r="J809"/>
      <c r="K809"/>
      <c r="L809"/>
      <c r="M809"/>
      <c r="N809"/>
    </row>
    <row r="810" spans="1:14" ht="30" customHeight="1">
      <c r="A810"/>
      <c r="B810"/>
      <c r="C810"/>
      <c r="D810"/>
      <c r="E810"/>
      <c r="F810"/>
      <c r="G810"/>
      <c r="H810"/>
      <c r="I810"/>
      <c r="J810"/>
      <c r="K810"/>
      <c r="L810"/>
      <c r="M810"/>
      <c r="N810"/>
    </row>
    <row r="811" spans="1:14" s="263" customFormat="1" ht="15" customHeight="1">
      <c r="A811"/>
      <c r="B811"/>
      <c r="C811"/>
      <c r="D811"/>
      <c r="E811"/>
      <c r="F811"/>
      <c r="G811"/>
      <c r="H811"/>
      <c r="I811"/>
      <c r="J811"/>
      <c r="K811"/>
      <c r="L811"/>
      <c r="M811"/>
      <c r="N811"/>
    </row>
    <row r="812" spans="1:14" s="263" customFormat="1" ht="15" customHeight="1">
      <c r="A812"/>
      <c r="B812"/>
      <c r="C812"/>
      <c r="D812"/>
      <c r="E812"/>
      <c r="F812"/>
      <c r="G812"/>
      <c r="H812"/>
      <c r="I812"/>
      <c r="J812"/>
      <c r="K812"/>
      <c r="L812"/>
      <c r="M812"/>
      <c r="N812"/>
    </row>
    <row r="813" spans="1:14" ht="21.75" customHeight="1">
      <c r="A813"/>
      <c r="B813"/>
      <c r="C813"/>
      <c r="D813"/>
      <c r="E813"/>
      <c r="F813"/>
      <c r="G813"/>
      <c r="H813"/>
      <c r="I813"/>
      <c r="J813"/>
      <c r="K813"/>
      <c r="L813"/>
      <c r="M813"/>
      <c r="N813"/>
    </row>
    <row r="814" spans="1:14" ht="66.75" customHeight="1">
      <c r="A814"/>
      <c r="B814"/>
      <c r="C814"/>
      <c r="D814"/>
      <c r="E814"/>
      <c r="F814"/>
      <c r="G814"/>
      <c r="H814"/>
      <c r="I814"/>
      <c r="J814"/>
      <c r="K814"/>
      <c r="L814"/>
      <c r="M814"/>
      <c r="N814"/>
    </row>
    <row r="815" spans="1:14" ht="15" customHeight="1">
      <c r="A815"/>
      <c r="B815"/>
      <c r="C815"/>
      <c r="D815"/>
      <c r="E815"/>
      <c r="F815"/>
      <c r="G815"/>
      <c r="H815"/>
      <c r="I815"/>
      <c r="J815"/>
      <c r="K815"/>
      <c r="L815"/>
      <c r="M815"/>
      <c r="N815"/>
    </row>
    <row r="816" spans="1:14" ht="15" customHeight="1">
      <c r="A816"/>
      <c r="B816"/>
      <c r="C816"/>
      <c r="D816"/>
      <c r="E816"/>
      <c r="F816"/>
      <c r="G816"/>
      <c r="H816"/>
      <c r="I816"/>
      <c r="J816"/>
      <c r="K816"/>
      <c r="L816"/>
      <c r="M816"/>
      <c r="N816"/>
    </row>
    <row r="817" spans="1:14" ht="15" customHeight="1">
      <c r="A817"/>
      <c r="B817"/>
      <c r="C817"/>
      <c r="D817"/>
      <c r="E817"/>
      <c r="F817"/>
      <c r="G817"/>
      <c r="H817"/>
      <c r="I817"/>
      <c r="J817"/>
      <c r="K817"/>
      <c r="L817"/>
      <c r="M817"/>
      <c r="N817"/>
    </row>
    <row r="818" spans="1:14" ht="15" customHeight="1">
      <c r="A818"/>
      <c r="B818"/>
      <c r="C818"/>
      <c r="D818"/>
      <c r="E818"/>
      <c r="F818"/>
      <c r="G818"/>
      <c r="H818"/>
      <c r="I818"/>
      <c r="J818"/>
      <c r="K818"/>
      <c r="L818"/>
      <c r="M818"/>
      <c r="N818"/>
    </row>
    <row r="819" spans="1:14" ht="15" customHeight="1">
      <c r="A819"/>
      <c r="B819"/>
      <c r="C819"/>
      <c r="D819"/>
      <c r="E819"/>
      <c r="F819"/>
      <c r="G819"/>
      <c r="H819"/>
      <c r="I819"/>
      <c r="J819"/>
      <c r="K819"/>
      <c r="L819"/>
      <c r="M819"/>
      <c r="N819"/>
    </row>
    <row r="820" spans="1:14" ht="15" customHeight="1">
      <c r="A820"/>
      <c r="B820"/>
      <c r="C820"/>
      <c r="D820"/>
      <c r="E820"/>
      <c r="F820"/>
      <c r="G820"/>
      <c r="H820"/>
      <c r="I820"/>
      <c r="J820"/>
      <c r="K820"/>
      <c r="L820"/>
      <c r="M820"/>
      <c r="N820"/>
    </row>
    <row r="821" spans="1:14" ht="15" customHeight="1">
      <c r="A821"/>
      <c r="B821"/>
      <c r="C821"/>
      <c r="D821"/>
      <c r="E821"/>
      <c r="F821"/>
      <c r="G821"/>
      <c r="H821"/>
      <c r="I821"/>
      <c r="J821"/>
      <c r="K821"/>
      <c r="L821"/>
      <c r="M821"/>
      <c r="N821"/>
    </row>
    <row r="822" spans="1:14" ht="15" customHeight="1">
      <c r="A822"/>
      <c r="B822"/>
      <c r="C822"/>
      <c r="D822"/>
      <c r="E822"/>
      <c r="F822"/>
      <c r="G822"/>
      <c r="H822"/>
      <c r="I822"/>
      <c r="J822"/>
      <c r="K822"/>
      <c r="L822"/>
      <c r="M822"/>
      <c r="N822"/>
    </row>
    <row r="823" spans="1:14" ht="15" customHeight="1">
      <c r="A823"/>
      <c r="B823"/>
      <c r="C823"/>
      <c r="D823"/>
      <c r="E823"/>
      <c r="F823"/>
      <c r="G823"/>
      <c r="H823"/>
      <c r="I823"/>
      <c r="J823"/>
      <c r="K823"/>
      <c r="L823"/>
      <c r="M823"/>
      <c r="N823"/>
    </row>
    <row r="824" spans="1:14" ht="15" customHeight="1">
      <c r="A824"/>
      <c r="B824"/>
      <c r="C824"/>
      <c r="D824"/>
      <c r="E824"/>
      <c r="F824"/>
      <c r="G824"/>
      <c r="H824"/>
      <c r="I824"/>
      <c r="J824"/>
      <c r="K824"/>
      <c r="L824"/>
      <c r="M824"/>
      <c r="N824"/>
    </row>
    <row r="825" spans="1:14" ht="15" customHeight="1">
      <c r="A825"/>
      <c r="B825"/>
      <c r="C825"/>
      <c r="D825"/>
      <c r="E825"/>
      <c r="F825"/>
      <c r="G825"/>
      <c r="H825"/>
      <c r="I825"/>
      <c r="J825"/>
      <c r="K825"/>
      <c r="L825"/>
      <c r="M825"/>
      <c r="N825"/>
    </row>
    <row r="826" spans="1:14" ht="15" customHeight="1">
      <c r="A826"/>
      <c r="B826"/>
      <c r="C826"/>
      <c r="D826"/>
      <c r="E826"/>
      <c r="F826"/>
      <c r="G826"/>
      <c r="H826"/>
      <c r="I826"/>
      <c r="J826"/>
      <c r="K826"/>
      <c r="L826"/>
      <c r="M826"/>
      <c r="N826"/>
    </row>
    <row r="827" spans="1:14" ht="15" customHeight="1">
      <c r="A827"/>
      <c r="B827"/>
      <c r="C827"/>
      <c r="D827"/>
      <c r="E827"/>
      <c r="F827"/>
      <c r="G827"/>
      <c r="H827"/>
      <c r="I827"/>
      <c r="J827"/>
      <c r="K827"/>
      <c r="L827"/>
      <c r="M827"/>
      <c r="N827"/>
    </row>
    <row r="828" spans="1:14" ht="15" customHeight="1">
      <c r="A828"/>
      <c r="B828"/>
      <c r="C828"/>
      <c r="D828"/>
      <c r="E828"/>
      <c r="F828"/>
      <c r="G828"/>
      <c r="H828"/>
      <c r="I828"/>
      <c r="J828"/>
      <c r="K828"/>
      <c r="L828"/>
      <c r="M828"/>
      <c r="N828"/>
    </row>
    <row r="829" spans="1:14" ht="15" customHeight="1">
      <c r="A829"/>
      <c r="B829"/>
      <c r="C829"/>
      <c r="D829"/>
      <c r="E829"/>
      <c r="F829"/>
      <c r="G829"/>
      <c r="H829"/>
      <c r="I829"/>
      <c r="J829"/>
      <c r="K829"/>
      <c r="L829"/>
      <c r="M829"/>
      <c r="N829"/>
    </row>
    <row r="830" spans="1:14" ht="15" customHeight="1">
      <c r="A830"/>
      <c r="B830"/>
      <c r="C830"/>
      <c r="D830"/>
      <c r="E830"/>
      <c r="F830"/>
      <c r="G830"/>
      <c r="H830"/>
      <c r="I830"/>
      <c r="J830"/>
      <c r="K830"/>
      <c r="L830"/>
      <c r="M830"/>
      <c r="N830"/>
    </row>
    <row r="831" spans="1:14" ht="15" customHeight="1">
      <c r="A831"/>
      <c r="B831"/>
      <c r="C831"/>
      <c r="D831"/>
      <c r="E831"/>
      <c r="F831"/>
      <c r="G831"/>
      <c r="H831"/>
      <c r="I831"/>
      <c r="J831"/>
      <c r="K831"/>
      <c r="L831"/>
      <c r="M831"/>
      <c r="N831"/>
    </row>
    <row r="832" spans="1:14" ht="15" customHeight="1">
      <c r="A832"/>
      <c r="B832"/>
      <c r="C832"/>
      <c r="D832"/>
      <c r="E832"/>
      <c r="F832"/>
      <c r="G832"/>
      <c r="H832"/>
      <c r="I832"/>
      <c r="J832"/>
      <c r="K832"/>
      <c r="L832"/>
      <c r="M832"/>
      <c r="N832"/>
    </row>
    <row r="833" spans="1:14" ht="15" customHeight="1">
      <c r="A833"/>
      <c r="B833"/>
      <c r="C833"/>
      <c r="D833"/>
      <c r="E833"/>
      <c r="F833"/>
      <c r="G833"/>
      <c r="H833"/>
      <c r="I833"/>
      <c r="J833"/>
      <c r="K833"/>
      <c r="L833"/>
      <c r="M833"/>
      <c r="N833"/>
    </row>
    <row r="834" spans="1:14" ht="15" customHeight="1">
      <c r="A834"/>
      <c r="B834"/>
      <c r="C834"/>
      <c r="D834"/>
      <c r="E834"/>
      <c r="F834"/>
      <c r="G834"/>
      <c r="H834"/>
      <c r="I834"/>
      <c r="J834"/>
      <c r="K834"/>
      <c r="L834"/>
      <c r="M834"/>
      <c r="N834"/>
    </row>
    <row r="835" spans="1:14" ht="15" customHeight="1">
      <c r="A835"/>
      <c r="B835"/>
      <c r="C835"/>
      <c r="D835"/>
      <c r="E835"/>
      <c r="F835"/>
      <c r="G835"/>
      <c r="H835"/>
      <c r="I835"/>
      <c r="J835"/>
      <c r="K835"/>
      <c r="L835"/>
      <c r="M835"/>
      <c r="N835"/>
    </row>
    <row r="836" spans="1:14" ht="15" customHeight="1">
      <c r="A836"/>
      <c r="B836"/>
      <c r="C836"/>
      <c r="D836"/>
      <c r="E836"/>
      <c r="F836"/>
      <c r="G836"/>
      <c r="H836"/>
      <c r="I836"/>
      <c r="J836"/>
      <c r="K836"/>
      <c r="L836"/>
      <c r="M836"/>
      <c r="N836"/>
    </row>
    <row r="837" spans="1:14" ht="15" customHeight="1">
      <c r="A837"/>
      <c r="B837"/>
      <c r="C837"/>
      <c r="D837"/>
      <c r="E837"/>
      <c r="F837"/>
      <c r="G837"/>
      <c r="H837"/>
      <c r="I837"/>
      <c r="J837"/>
      <c r="K837"/>
      <c r="L837"/>
      <c r="M837"/>
      <c r="N837"/>
    </row>
    <row r="838" spans="1:14" ht="15" customHeight="1">
      <c r="A838"/>
      <c r="B838"/>
      <c r="C838"/>
      <c r="D838"/>
      <c r="E838"/>
      <c r="F838"/>
      <c r="G838"/>
      <c r="H838"/>
      <c r="I838"/>
      <c r="J838"/>
      <c r="K838"/>
      <c r="L838"/>
      <c r="M838"/>
      <c r="N838"/>
    </row>
    <row r="839" spans="1:14" ht="15" customHeight="1">
      <c r="A839"/>
      <c r="B839"/>
      <c r="C839"/>
      <c r="D839"/>
      <c r="E839"/>
      <c r="F839"/>
      <c r="G839"/>
      <c r="H839"/>
      <c r="I839"/>
      <c r="J839"/>
      <c r="K839"/>
      <c r="L839"/>
      <c r="M839"/>
      <c r="N839"/>
    </row>
    <row r="840" spans="1:14" ht="15" customHeight="1">
      <c r="A840"/>
      <c r="B840"/>
      <c r="C840"/>
      <c r="D840"/>
      <c r="E840"/>
      <c r="F840"/>
      <c r="G840"/>
      <c r="H840"/>
      <c r="I840"/>
      <c r="J840"/>
      <c r="K840"/>
      <c r="L840"/>
      <c r="M840"/>
      <c r="N840"/>
    </row>
    <row r="841" spans="1:14" ht="15" customHeight="1">
      <c r="A841"/>
      <c r="B841"/>
      <c r="C841"/>
      <c r="D841"/>
      <c r="E841"/>
      <c r="F841"/>
      <c r="G841"/>
      <c r="H841"/>
      <c r="I841"/>
      <c r="J841"/>
      <c r="K841"/>
      <c r="L841"/>
      <c r="M841"/>
      <c r="N841"/>
    </row>
    <row r="842" spans="1:14" ht="15" customHeight="1">
      <c r="A842"/>
      <c r="B842"/>
      <c r="C842"/>
      <c r="D842"/>
      <c r="E842"/>
      <c r="F842"/>
      <c r="G842"/>
      <c r="H842"/>
      <c r="I842"/>
      <c r="J842"/>
      <c r="K842"/>
      <c r="L842"/>
      <c r="M842"/>
      <c r="N842"/>
    </row>
    <row r="843" spans="1:14" customFormat="1" ht="15" customHeight="1"/>
    <row r="844" spans="1:14" customFormat="1" ht="15" customHeight="1"/>
    <row r="845" spans="1:14" ht="39" customHeight="1">
      <c r="A845"/>
      <c r="B845"/>
      <c r="C845"/>
      <c r="D845"/>
      <c r="E845"/>
      <c r="F845"/>
      <c r="G845"/>
      <c r="H845"/>
      <c r="I845"/>
      <c r="J845"/>
      <c r="K845"/>
      <c r="L845"/>
      <c r="M845"/>
      <c r="N845"/>
    </row>
    <row r="846" spans="1:14" ht="30" customHeight="1">
      <c r="A846"/>
      <c r="B846"/>
      <c r="C846"/>
      <c r="D846"/>
      <c r="E846"/>
      <c r="F846"/>
      <c r="G846"/>
      <c r="H846"/>
      <c r="I846"/>
      <c r="J846"/>
      <c r="K846"/>
      <c r="L846"/>
      <c r="M846"/>
      <c r="N846"/>
    </row>
    <row r="847" spans="1:14" s="263" customFormat="1" ht="24" customHeight="1">
      <c r="A847"/>
      <c r="B847"/>
      <c r="C847"/>
      <c r="D847"/>
      <c r="E847"/>
      <c r="F847"/>
      <c r="G847"/>
      <c r="H847"/>
      <c r="I847"/>
      <c r="J847"/>
      <c r="K847"/>
      <c r="L847"/>
      <c r="M847"/>
      <c r="N847"/>
    </row>
    <row r="848" spans="1:14" ht="15" customHeight="1">
      <c r="A848"/>
      <c r="B848"/>
      <c r="C848"/>
      <c r="D848"/>
      <c r="E848"/>
      <c r="F848"/>
      <c r="G848"/>
      <c r="H848"/>
      <c r="I848"/>
      <c r="J848"/>
      <c r="K848"/>
      <c r="L848"/>
      <c r="M848"/>
      <c r="N848"/>
    </row>
    <row r="849" spans="1:14">
      <c r="A849"/>
      <c r="B849"/>
      <c r="C849"/>
      <c r="D849"/>
      <c r="E849"/>
      <c r="F849"/>
      <c r="G849"/>
      <c r="H849"/>
      <c r="I849"/>
      <c r="J849"/>
      <c r="K849"/>
      <c r="L849"/>
      <c r="M849"/>
      <c r="N849"/>
    </row>
    <row r="850" spans="1:14" s="263" customFormat="1" ht="15" customHeight="1">
      <c r="A850"/>
      <c r="B850"/>
      <c r="C850"/>
      <c r="D850"/>
      <c r="E850"/>
      <c r="F850"/>
      <c r="G850"/>
      <c r="H850"/>
      <c r="I850"/>
      <c r="J850"/>
      <c r="K850"/>
      <c r="L850"/>
      <c r="M850"/>
      <c r="N850"/>
    </row>
    <row r="851" spans="1:14" ht="15" customHeight="1">
      <c r="A851"/>
      <c r="B851"/>
      <c r="C851"/>
      <c r="D851"/>
      <c r="E851"/>
      <c r="F851"/>
      <c r="G851"/>
      <c r="H851"/>
      <c r="I851"/>
      <c r="J851"/>
      <c r="K851"/>
      <c r="L851"/>
      <c r="M851"/>
      <c r="N851"/>
    </row>
    <row r="852" spans="1:14" ht="30" customHeight="1">
      <c r="A852"/>
      <c r="B852"/>
      <c r="C852"/>
      <c r="D852"/>
      <c r="E852"/>
      <c r="F852"/>
      <c r="G852"/>
      <c r="H852"/>
      <c r="I852"/>
      <c r="J852"/>
      <c r="K852"/>
      <c r="L852"/>
      <c r="M852"/>
      <c r="N852"/>
    </row>
    <row r="853" spans="1:14" s="263" customFormat="1" ht="15" customHeight="1">
      <c r="A853"/>
      <c r="B853"/>
      <c r="C853"/>
      <c r="D853"/>
      <c r="E853"/>
      <c r="F853"/>
      <c r="G853"/>
      <c r="H853"/>
      <c r="I853"/>
      <c r="J853"/>
      <c r="K853"/>
      <c r="L853"/>
      <c r="M853"/>
      <c r="N853"/>
    </row>
    <row r="854" spans="1:14" s="263" customFormat="1" ht="15" customHeight="1">
      <c r="A854"/>
      <c r="B854"/>
      <c r="C854"/>
      <c r="D854"/>
      <c r="E854"/>
      <c r="F854"/>
      <c r="G854"/>
      <c r="H854"/>
      <c r="I854"/>
      <c r="J854"/>
      <c r="K854"/>
      <c r="L854"/>
      <c r="M854"/>
      <c r="N854"/>
    </row>
    <row r="855" spans="1:14" ht="21.75" customHeight="1">
      <c r="A855"/>
      <c r="B855"/>
      <c r="C855"/>
      <c r="D855"/>
      <c r="E855"/>
      <c r="F855"/>
      <c r="G855"/>
      <c r="H855"/>
      <c r="I855"/>
      <c r="J855"/>
      <c r="K855"/>
      <c r="L855"/>
      <c r="M855"/>
      <c r="N855"/>
    </row>
    <row r="856" spans="1:14" ht="66.75" customHeight="1">
      <c r="A856"/>
      <c r="B856"/>
      <c r="C856"/>
      <c r="D856"/>
      <c r="E856"/>
      <c r="F856"/>
      <c r="G856"/>
      <c r="H856"/>
      <c r="I856"/>
      <c r="J856"/>
      <c r="K856"/>
      <c r="L856"/>
      <c r="M856"/>
      <c r="N856"/>
    </row>
    <row r="857" spans="1:14" ht="15" customHeight="1">
      <c r="A857"/>
      <c r="B857"/>
      <c r="C857"/>
      <c r="D857"/>
      <c r="E857"/>
      <c r="F857"/>
      <c r="G857"/>
      <c r="H857"/>
      <c r="I857"/>
      <c r="J857"/>
      <c r="K857"/>
      <c r="L857"/>
      <c r="M857"/>
      <c r="N857"/>
    </row>
    <row r="858" spans="1:14" ht="15" customHeight="1">
      <c r="A858"/>
      <c r="B858"/>
      <c r="C858"/>
      <c r="D858"/>
      <c r="E858"/>
      <c r="F858"/>
      <c r="G858"/>
      <c r="H858"/>
      <c r="I858"/>
      <c r="J858"/>
      <c r="K858"/>
      <c r="L858"/>
      <c r="M858"/>
      <c r="N858"/>
    </row>
    <row r="859" spans="1:14" ht="15" customHeight="1">
      <c r="A859"/>
      <c r="B859"/>
      <c r="C859"/>
      <c r="D859"/>
      <c r="E859"/>
      <c r="F859"/>
      <c r="G859"/>
      <c r="H859"/>
      <c r="I859"/>
      <c r="J859"/>
      <c r="K859"/>
      <c r="L859"/>
      <c r="M859"/>
      <c r="N859"/>
    </row>
    <row r="860" spans="1:14" ht="15" customHeight="1">
      <c r="A860"/>
      <c r="B860"/>
      <c r="C860"/>
      <c r="D860"/>
      <c r="E860"/>
      <c r="F860"/>
      <c r="G860"/>
      <c r="H860"/>
      <c r="I860"/>
      <c r="J860"/>
      <c r="K860"/>
      <c r="L860"/>
      <c r="M860"/>
      <c r="N860"/>
    </row>
    <row r="861" spans="1:14" ht="15" customHeight="1">
      <c r="A861"/>
      <c r="B861"/>
      <c r="C861"/>
      <c r="D861"/>
      <c r="E861"/>
      <c r="F861"/>
      <c r="G861"/>
      <c r="H861"/>
      <c r="I861"/>
      <c r="J861"/>
      <c r="K861"/>
      <c r="L861"/>
      <c r="M861"/>
      <c r="N861"/>
    </row>
    <row r="862" spans="1:14" ht="15" customHeight="1">
      <c r="A862"/>
      <c r="B862"/>
      <c r="C862"/>
      <c r="D862"/>
      <c r="E862"/>
      <c r="F862"/>
      <c r="G862"/>
      <c r="H862"/>
      <c r="I862"/>
      <c r="J862"/>
      <c r="K862"/>
      <c r="L862"/>
      <c r="M862"/>
      <c r="N862"/>
    </row>
    <row r="863" spans="1:14" ht="15" customHeight="1">
      <c r="A863"/>
      <c r="B863"/>
      <c r="C863"/>
      <c r="D863"/>
      <c r="E863"/>
      <c r="F863"/>
      <c r="G863"/>
      <c r="H863"/>
      <c r="I863"/>
      <c r="J863"/>
      <c r="K863"/>
      <c r="L863"/>
      <c r="M863"/>
      <c r="N863"/>
    </row>
    <row r="864" spans="1:14" ht="15" customHeight="1">
      <c r="A864"/>
      <c r="B864"/>
      <c r="C864"/>
      <c r="D864"/>
      <c r="E864"/>
      <c r="F864"/>
      <c r="G864"/>
      <c r="H864"/>
      <c r="I864"/>
      <c r="J864"/>
      <c r="K864"/>
      <c r="L864"/>
      <c r="M864"/>
      <c r="N864"/>
    </row>
    <row r="865" spans="1:14" ht="15" customHeight="1">
      <c r="A865"/>
      <c r="B865"/>
      <c r="C865"/>
      <c r="D865"/>
      <c r="E865"/>
      <c r="F865"/>
      <c r="G865"/>
      <c r="H865"/>
      <c r="I865"/>
      <c r="J865"/>
      <c r="K865"/>
      <c r="L865"/>
      <c r="M865"/>
      <c r="N865"/>
    </row>
    <row r="866" spans="1:14" ht="15" customHeight="1">
      <c r="A866"/>
      <c r="B866"/>
      <c r="C866"/>
      <c r="D866"/>
      <c r="E866"/>
      <c r="F866"/>
      <c r="G866"/>
      <c r="H866"/>
      <c r="I866"/>
      <c r="J866"/>
      <c r="K866"/>
      <c r="L866"/>
      <c r="M866"/>
      <c r="N866"/>
    </row>
    <row r="867" spans="1:14" ht="15" customHeight="1">
      <c r="A867"/>
      <c r="B867"/>
      <c r="C867"/>
      <c r="D867"/>
      <c r="E867"/>
      <c r="F867"/>
      <c r="G867"/>
      <c r="H867"/>
      <c r="I867"/>
      <c r="J867"/>
      <c r="K867"/>
      <c r="L867"/>
      <c r="M867"/>
      <c r="N867"/>
    </row>
    <row r="868" spans="1:14" ht="15" customHeight="1">
      <c r="A868"/>
      <c r="B868"/>
      <c r="C868"/>
      <c r="D868"/>
      <c r="E868"/>
      <c r="F868"/>
      <c r="G868"/>
      <c r="H868"/>
      <c r="I868"/>
      <c r="J868"/>
      <c r="K868"/>
      <c r="L868"/>
      <c r="M868"/>
      <c r="N868"/>
    </row>
    <row r="869" spans="1:14" ht="15" customHeight="1">
      <c r="A869"/>
      <c r="B869"/>
      <c r="C869"/>
      <c r="D869"/>
      <c r="E869"/>
      <c r="F869"/>
      <c r="G869"/>
      <c r="H869"/>
      <c r="I869"/>
      <c r="J869"/>
      <c r="K869"/>
      <c r="L869"/>
      <c r="M869"/>
      <c r="N869"/>
    </row>
    <row r="870" spans="1:14" ht="15" customHeight="1">
      <c r="A870"/>
      <c r="B870"/>
      <c r="C870"/>
      <c r="D870"/>
      <c r="E870"/>
      <c r="F870"/>
      <c r="G870"/>
      <c r="H870"/>
      <c r="I870"/>
      <c r="J870"/>
      <c r="K870"/>
      <c r="L870"/>
      <c r="M870"/>
      <c r="N870"/>
    </row>
    <row r="871" spans="1:14" ht="15" customHeight="1">
      <c r="A871"/>
      <c r="B871"/>
      <c r="C871"/>
      <c r="D871"/>
      <c r="E871"/>
      <c r="F871"/>
      <c r="G871"/>
      <c r="H871"/>
      <c r="I871"/>
      <c r="J871"/>
      <c r="K871"/>
      <c r="L871"/>
      <c r="M871"/>
      <c r="N871"/>
    </row>
    <row r="872" spans="1:14" ht="15" customHeight="1">
      <c r="A872"/>
      <c r="B872"/>
      <c r="C872"/>
      <c r="D872"/>
      <c r="E872"/>
      <c r="F872"/>
      <c r="G872"/>
      <c r="H872"/>
      <c r="I872"/>
      <c r="J872"/>
      <c r="K872"/>
      <c r="L872"/>
      <c r="M872"/>
      <c r="N872"/>
    </row>
    <row r="873" spans="1:14" ht="15" customHeight="1">
      <c r="A873"/>
      <c r="B873"/>
      <c r="C873"/>
      <c r="D873"/>
      <c r="E873"/>
      <c r="F873"/>
      <c r="G873"/>
      <c r="H873"/>
      <c r="I873"/>
      <c r="J873"/>
      <c r="K873"/>
      <c r="L873"/>
      <c r="M873"/>
      <c r="N873"/>
    </row>
    <row r="874" spans="1:14" ht="15" customHeight="1">
      <c r="A874"/>
      <c r="B874"/>
      <c r="C874"/>
      <c r="D874"/>
      <c r="E874"/>
      <c r="F874"/>
      <c r="G874"/>
      <c r="H874"/>
      <c r="I874"/>
      <c r="J874"/>
      <c r="K874"/>
      <c r="L874"/>
      <c r="M874"/>
      <c r="N874"/>
    </row>
    <row r="875" spans="1:14" ht="15" customHeight="1">
      <c r="A875"/>
      <c r="B875"/>
      <c r="C875"/>
      <c r="D875"/>
      <c r="E875"/>
      <c r="F875"/>
      <c r="G875"/>
      <c r="H875"/>
      <c r="I875"/>
      <c r="J875"/>
      <c r="K875"/>
      <c r="L875"/>
      <c r="M875"/>
      <c r="N875"/>
    </row>
    <row r="876" spans="1:14" ht="15" customHeight="1">
      <c r="A876"/>
      <c r="B876"/>
      <c r="C876"/>
      <c r="D876"/>
      <c r="E876"/>
      <c r="F876"/>
      <c r="G876"/>
      <c r="H876"/>
      <c r="I876"/>
      <c r="J876"/>
      <c r="K876"/>
      <c r="L876"/>
      <c r="M876"/>
      <c r="N876"/>
    </row>
    <row r="877" spans="1:14" ht="15" customHeight="1">
      <c r="A877"/>
      <c r="B877"/>
      <c r="C877"/>
      <c r="D877"/>
      <c r="E877"/>
      <c r="F877"/>
      <c r="G877"/>
      <c r="H877"/>
      <c r="I877"/>
      <c r="J877"/>
      <c r="K877"/>
      <c r="L877"/>
      <c r="M877"/>
      <c r="N877"/>
    </row>
    <row r="878" spans="1:14" ht="15" customHeight="1">
      <c r="A878"/>
      <c r="B878"/>
      <c r="C878"/>
      <c r="D878"/>
      <c r="E878"/>
      <c r="F878"/>
      <c r="G878"/>
      <c r="H878"/>
      <c r="I878"/>
      <c r="J878"/>
      <c r="K878"/>
      <c r="L878"/>
      <c r="M878"/>
      <c r="N878"/>
    </row>
    <row r="879" spans="1:14" ht="15" customHeight="1">
      <c r="A879"/>
      <c r="B879"/>
      <c r="C879"/>
      <c r="D879"/>
      <c r="E879"/>
      <c r="F879"/>
      <c r="G879"/>
      <c r="H879"/>
      <c r="I879"/>
      <c r="J879"/>
      <c r="K879"/>
      <c r="L879"/>
      <c r="M879"/>
      <c r="N879"/>
    </row>
    <row r="880" spans="1:14" ht="15" customHeight="1">
      <c r="A880"/>
      <c r="B880"/>
      <c r="C880"/>
      <c r="D880"/>
      <c r="E880"/>
      <c r="F880"/>
      <c r="G880"/>
      <c r="H880"/>
      <c r="I880"/>
      <c r="J880"/>
      <c r="K880"/>
      <c r="L880"/>
      <c r="M880"/>
      <c r="N880"/>
    </row>
    <row r="881" spans="1:14" ht="15" customHeight="1">
      <c r="A881"/>
      <c r="B881"/>
      <c r="C881"/>
      <c r="D881"/>
      <c r="E881"/>
      <c r="F881"/>
      <c r="G881"/>
      <c r="H881"/>
      <c r="I881"/>
      <c r="J881"/>
      <c r="K881"/>
      <c r="L881"/>
      <c r="M881"/>
      <c r="N881"/>
    </row>
    <row r="882" spans="1:14" ht="15" customHeight="1">
      <c r="A882"/>
      <c r="B882"/>
      <c r="C882"/>
      <c r="D882"/>
      <c r="E882"/>
      <c r="F882"/>
      <c r="G882"/>
      <c r="H882"/>
      <c r="I882"/>
      <c r="J882"/>
      <c r="K882"/>
      <c r="L882"/>
      <c r="M882"/>
      <c r="N882"/>
    </row>
    <row r="883" spans="1:14" ht="15" customHeight="1">
      <c r="A883"/>
      <c r="B883"/>
      <c r="C883"/>
      <c r="D883"/>
      <c r="E883"/>
      <c r="F883"/>
      <c r="G883"/>
      <c r="H883"/>
      <c r="I883"/>
      <c r="J883"/>
      <c r="K883"/>
      <c r="L883"/>
      <c r="M883"/>
      <c r="N883"/>
    </row>
    <row r="884" spans="1:14" ht="15" customHeight="1">
      <c r="A884"/>
      <c r="B884"/>
      <c r="C884"/>
      <c r="D884"/>
      <c r="E884"/>
      <c r="F884"/>
      <c r="G884"/>
      <c r="H884"/>
      <c r="I884"/>
      <c r="J884"/>
      <c r="K884"/>
      <c r="L884"/>
      <c r="M884"/>
      <c r="N884"/>
    </row>
    <row r="885" spans="1:14" customFormat="1" ht="15" customHeight="1"/>
    <row r="886" spans="1:14" customFormat="1" ht="15" customHeight="1"/>
    <row r="887" spans="1:14" ht="39" customHeight="1">
      <c r="A887"/>
      <c r="B887"/>
      <c r="C887"/>
      <c r="D887"/>
      <c r="E887"/>
      <c r="F887"/>
      <c r="G887"/>
      <c r="H887"/>
      <c r="I887"/>
      <c r="J887"/>
      <c r="K887"/>
      <c r="L887"/>
      <c r="M887"/>
      <c r="N887"/>
    </row>
    <row r="888" spans="1:14" ht="30" customHeight="1">
      <c r="A888"/>
      <c r="B888"/>
      <c r="C888"/>
      <c r="D888"/>
      <c r="E888"/>
      <c r="F888"/>
      <c r="G888"/>
      <c r="H888"/>
      <c r="I888"/>
      <c r="J888"/>
      <c r="K888"/>
      <c r="L888"/>
      <c r="M888"/>
      <c r="N888"/>
    </row>
    <row r="889" spans="1:14" s="263" customFormat="1" ht="24" customHeight="1">
      <c r="A889"/>
      <c r="B889"/>
      <c r="C889"/>
      <c r="D889"/>
      <c r="E889"/>
      <c r="F889"/>
      <c r="G889"/>
      <c r="H889"/>
      <c r="I889"/>
      <c r="J889"/>
      <c r="K889"/>
      <c r="L889"/>
      <c r="M889"/>
      <c r="N889"/>
    </row>
    <row r="890" spans="1:14" ht="15" customHeight="1">
      <c r="A890"/>
      <c r="B890"/>
      <c r="C890"/>
      <c r="D890"/>
      <c r="E890"/>
      <c r="F890"/>
      <c r="G890"/>
      <c r="H890"/>
      <c r="I890"/>
      <c r="J890"/>
      <c r="K890"/>
      <c r="L890"/>
      <c r="M890"/>
      <c r="N890"/>
    </row>
    <row r="891" spans="1:14">
      <c r="A891"/>
      <c r="B891"/>
      <c r="C891"/>
      <c r="D891"/>
      <c r="E891"/>
      <c r="F891"/>
      <c r="G891"/>
      <c r="H891"/>
      <c r="I891"/>
      <c r="J891"/>
      <c r="K891"/>
      <c r="L891"/>
      <c r="M891"/>
      <c r="N891"/>
    </row>
    <row r="892" spans="1:14" s="263" customFormat="1" ht="15" customHeight="1">
      <c r="A892"/>
      <c r="B892"/>
      <c r="C892"/>
      <c r="D892"/>
      <c r="E892"/>
      <c r="F892"/>
      <c r="G892"/>
      <c r="H892"/>
      <c r="I892"/>
      <c r="J892"/>
      <c r="K892"/>
      <c r="L892"/>
      <c r="M892"/>
      <c r="N892"/>
    </row>
    <row r="893" spans="1:14" ht="15" customHeight="1">
      <c r="A893"/>
      <c r="B893"/>
      <c r="C893"/>
      <c r="D893"/>
      <c r="E893"/>
      <c r="F893"/>
      <c r="G893"/>
      <c r="H893"/>
      <c r="I893"/>
      <c r="J893"/>
      <c r="K893"/>
      <c r="L893"/>
      <c r="M893"/>
      <c r="N893"/>
    </row>
    <row r="894" spans="1:14" ht="30" customHeight="1">
      <c r="A894"/>
      <c r="B894"/>
      <c r="C894"/>
      <c r="D894"/>
      <c r="E894"/>
      <c r="F894"/>
      <c r="G894"/>
      <c r="H894"/>
      <c r="I894"/>
      <c r="J894"/>
      <c r="K894"/>
      <c r="L894"/>
      <c r="M894"/>
      <c r="N894"/>
    </row>
    <row r="895" spans="1:14" s="263" customFormat="1" ht="15" customHeight="1">
      <c r="A895"/>
      <c r="B895"/>
      <c r="C895"/>
      <c r="D895"/>
      <c r="E895"/>
      <c r="F895"/>
      <c r="G895"/>
      <c r="H895"/>
      <c r="I895"/>
      <c r="J895"/>
      <c r="K895"/>
      <c r="L895"/>
      <c r="M895"/>
      <c r="N895"/>
    </row>
    <row r="896" spans="1:14" s="263" customFormat="1" ht="15" customHeight="1">
      <c r="A896"/>
      <c r="B896"/>
      <c r="C896"/>
      <c r="D896"/>
      <c r="E896"/>
      <c r="F896"/>
      <c r="G896"/>
      <c r="H896"/>
      <c r="I896"/>
      <c r="J896"/>
      <c r="K896"/>
      <c r="L896"/>
      <c r="M896"/>
      <c r="N896"/>
    </row>
    <row r="897" spans="1:14" ht="21.75" customHeight="1">
      <c r="A897"/>
      <c r="B897"/>
      <c r="C897"/>
      <c r="D897"/>
      <c r="E897"/>
      <c r="F897"/>
      <c r="G897"/>
      <c r="H897"/>
      <c r="I897"/>
      <c r="J897"/>
      <c r="K897"/>
      <c r="L897"/>
      <c r="M897"/>
      <c r="N897"/>
    </row>
    <row r="898" spans="1:14" ht="66.75" customHeight="1">
      <c r="A898"/>
      <c r="B898"/>
      <c r="C898"/>
      <c r="D898"/>
      <c r="E898"/>
      <c r="F898"/>
      <c r="G898"/>
      <c r="H898"/>
      <c r="I898"/>
      <c r="J898"/>
      <c r="K898"/>
      <c r="L898"/>
      <c r="M898"/>
      <c r="N898"/>
    </row>
    <row r="899" spans="1:14" ht="15" customHeight="1">
      <c r="A899"/>
      <c r="B899"/>
      <c r="C899"/>
      <c r="D899"/>
      <c r="E899"/>
      <c r="F899"/>
      <c r="G899"/>
      <c r="H899"/>
      <c r="I899"/>
      <c r="J899"/>
      <c r="K899"/>
      <c r="L899"/>
      <c r="M899"/>
      <c r="N899"/>
    </row>
    <row r="900" spans="1:14" ht="15" customHeight="1">
      <c r="A900"/>
      <c r="B900"/>
      <c r="C900"/>
      <c r="D900"/>
      <c r="E900"/>
      <c r="F900"/>
      <c r="G900"/>
      <c r="H900"/>
      <c r="I900"/>
      <c r="J900"/>
      <c r="K900"/>
      <c r="L900"/>
      <c r="M900"/>
      <c r="N900"/>
    </row>
    <row r="901" spans="1:14" ht="15" customHeight="1">
      <c r="A901"/>
      <c r="B901"/>
      <c r="C901"/>
      <c r="D901"/>
      <c r="E901"/>
      <c r="F901"/>
      <c r="G901"/>
      <c r="H901"/>
      <c r="I901"/>
      <c r="J901"/>
      <c r="K901"/>
      <c r="L901"/>
      <c r="M901"/>
      <c r="N901"/>
    </row>
    <row r="902" spans="1:14" ht="15" customHeight="1">
      <c r="A902"/>
      <c r="B902"/>
      <c r="C902"/>
      <c r="D902"/>
      <c r="E902"/>
      <c r="F902"/>
      <c r="G902"/>
      <c r="H902"/>
      <c r="I902"/>
      <c r="J902"/>
      <c r="K902"/>
      <c r="L902"/>
      <c r="M902"/>
      <c r="N902"/>
    </row>
    <row r="903" spans="1:14" ht="15" customHeight="1">
      <c r="A903"/>
      <c r="B903"/>
      <c r="C903"/>
      <c r="D903"/>
      <c r="E903"/>
      <c r="F903"/>
      <c r="G903"/>
      <c r="H903"/>
      <c r="I903"/>
      <c r="J903"/>
      <c r="K903"/>
      <c r="L903"/>
      <c r="M903"/>
      <c r="N903"/>
    </row>
    <row r="904" spans="1:14" ht="15" customHeight="1">
      <c r="A904"/>
      <c r="B904"/>
      <c r="C904"/>
      <c r="D904"/>
      <c r="E904"/>
      <c r="F904"/>
      <c r="G904"/>
      <c r="H904"/>
      <c r="I904"/>
      <c r="J904"/>
      <c r="K904"/>
      <c r="L904"/>
      <c r="M904"/>
      <c r="N904"/>
    </row>
    <row r="905" spans="1:14" ht="15" customHeight="1">
      <c r="A905"/>
      <c r="B905"/>
      <c r="C905"/>
      <c r="D905"/>
      <c r="E905"/>
      <c r="F905"/>
      <c r="G905"/>
      <c r="H905"/>
      <c r="I905"/>
      <c r="J905"/>
      <c r="K905"/>
      <c r="L905"/>
      <c r="M905"/>
      <c r="N905"/>
    </row>
    <row r="906" spans="1:14" ht="15" customHeight="1">
      <c r="A906"/>
      <c r="B906"/>
      <c r="C906"/>
      <c r="D906"/>
      <c r="E906"/>
      <c r="F906"/>
      <c r="G906"/>
      <c r="H906"/>
      <c r="I906"/>
      <c r="J906"/>
      <c r="K906"/>
      <c r="L906"/>
      <c r="M906"/>
      <c r="N906"/>
    </row>
    <row r="907" spans="1:14" ht="15" customHeight="1">
      <c r="A907"/>
      <c r="B907"/>
      <c r="C907"/>
      <c r="D907"/>
      <c r="E907"/>
      <c r="F907"/>
      <c r="G907"/>
      <c r="H907"/>
      <c r="I907"/>
      <c r="J907"/>
      <c r="K907"/>
      <c r="L907"/>
      <c r="M907"/>
      <c r="N907"/>
    </row>
    <row r="908" spans="1:14" ht="15" customHeight="1">
      <c r="A908"/>
      <c r="B908"/>
      <c r="C908"/>
      <c r="D908"/>
      <c r="E908"/>
      <c r="F908"/>
      <c r="G908"/>
      <c r="H908"/>
      <c r="I908"/>
      <c r="J908"/>
      <c r="K908"/>
      <c r="L908"/>
      <c r="M908"/>
      <c r="N908"/>
    </row>
    <row r="909" spans="1:14" ht="15" customHeight="1">
      <c r="A909"/>
      <c r="B909"/>
      <c r="C909"/>
      <c r="D909"/>
      <c r="E909"/>
      <c r="F909"/>
      <c r="G909"/>
      <c r="H909"/>
      <c r="I909"/>
      <c r="J909"/>
      <c r="K909"/>
      <c r="L909"/>
      <c r="M909"/>
      <c r="N909"/>
    </row>
    <row r="910" spans="1:14" ht="15" customHeight="1">
      <c r="A910"/>
      <c r="B910"/>
      <c r="C910"/>
      <c r="D910"/>
      <c r="E910"/>
      <c r="F910"/>
      <c r="G910"/>
      <c r="H910"/>
      <c r="I910"/>
      <c r="J910"/>
      <c r="K910"/>
      <c r="L910"/>
      <c r="M910"/>
      <c r="N910"/>
    </row>
    <row r="911" spans="1:14" ht="15" customHeight="1">
      <c r="A911"/>
      <c r="B911"/>
      <c r="C911"/>
      <c r="D911"/>
      <c r="E911"/>
      <c r="F911"/>
      <c r="G911"/>
      <c r="H911"/>
      <c r="I911"/>
      <c r="J911"/>
      <c r="K911"/>
      <c r="L911"/>
      <c r="M911"/>
      <c r="N911"/>
    </row>
    <row r="912" spans="1:14" ht="15" customHeight="1">
      <c r="A912"/>
      <c r="B912"/>
      <c r="C912"/>
      <c r="D912"/>
      <c r="E912"/>
      <c r="F912"/>
      <c r="G912"/>
      <c r="H912"/>
      <c r="I912"/>
      <c r="J912"/>
      <c r="K912"/>
      <c r="L912"/>
      <c r="M912"/>
      <c r="N912"/>
    </row>
    <row r="913" spans="1:14" ht="15" customHeight="1">
      <c r="A913"/>
      <c r="B913"/>
      <c r="C913"/>
      <c r="D913"/>
      <c r="E913"/>
      <c r="F913"/>
      <c r="G913"/>
      <c r="H913"/>
      <c r="I913"/>
      <c r="J913"/>
      <c r="K913"/>
      <c r="L913"/>
      <c r="M913"/>
      <c r="N913"/>
    </row>
    <row r="914" spans="1:14" ht="15" customHeight="1">
      <c r="A914"/>
      <c r="B914"/>
      <c r="C914"/>
      <c r="D914"/>
      <c r="E914"/>
      <c r="F914"/>
      <c r="G914"/>
      <c r="H914"/>
      <c r="I914"/>
      <c r="J914"/>
      <c r="K914"/>
      <c r="L914"/>
      <c r="M914"/>
      <c r="N914"/>
    </row>
    <row r="915" spans="1:14" ht="15" customHeight="1">
      <c r="A915"/>
      <c r="B915"/>
      <c r="C915"/>
      <c r="D915"/>
      <c r="E915"/>
      <c r="F915"/>
      <c r="G915"/>
      <c r="H915"/>
      <c r="I915"/>
      <c r="J915"/>
      <c r="K915"/>
      <c r="L915"/>
      <c r="M915"/>
      <c r="N915"/>
    </row>
    <row r="916" spans="1:14" ht="15" customHeight="1">
      <c r="A916"/>
      <c r="B916"/>
      <c r="C916"/>
      <c r="D916"/>
      <c r="E916"/>
      <c r="F916"/>
      <c r="G916"/>
      <c r="H916"/>
      <c r="I916"/>
      <c r="J916"/>
      <c r="K916"/>
      <c r="L916"/>
      <c r="M916"/>
      <c r="N916"/>
    </row>
    <row r="917" spans="1:14" ht="15" customHeight="1">
      <c r="A917"/>
      <c r="B917"/>
      <c r="C917"/>
      <c r="D917"/>
      <c r="E917"/>
      <c r="F917"/>
      <c r="G917"/>
      <c r="H917"/>
      <c r="I917"/>
      <c r="J917"/>
      <c r="K917"/>
      <c r="L917"/>
      <c r="M917"/>
      <c r="N917"/>
    </row>
    <row r="918" spans="1:14" ht="15" customHeight="1">
      <c r="A918"/>
      <c r="B918"/>
      <c r="C918"/>
      <c r="D918"/>
      <c r="E918"/>
      <c r="F918"/>
      <c r="G918"/>
      <c r="H918"/>
      <c r="I918"/>
      <c r="J918"/>
      <c r="K918"/>
      <c r="L918"/>
      <c r="M918"/>
      <c r="N918"/>
    </row>
    <row r="919" spans="1:14" ht="15" customHeight="1">
      <c r="A919"/>
      <c r="B919"/>
      <c r="C919"/>
      <c r="D919"/>
      <c r="E919"/>
      <c r="F919"/>
      <c r="G919"/>
      <c r="H919"/>
      <c r="I919"/>
      <c r="J919"/>
      <c r="K919"/>
      <c r="L919"/>
      <c r="M919"/>
      <c r="N919"/>
    </row>
    <row r="920" spans="1:14" ht="15" customHeight="1">
      <c r="A920"/>
      <c r="B920"/>
      <c r="C920"/>
      <c r="D920"/>
      <c r="E920"/>
      <c r="F920"/>
      <c r="G920"/>
      <c r="H920"/>
      <c r="I920"/>
      <c r="J920"/>
      <c r="K920"/>
      <c r="L920"/>
      <c r="M920"/>
      <c r="N920"/>
    </row>
    <row r="921" spans="1:14" ht="15" customHeight="1">
      <c r="A921"/>
      <c r="B921"/>
      <c r="C921"/>
      <c r="D921"/>
      <c r="E921"/>
      <c r="F921"/>
      <c r="G921"/>
      <c r="H921"/>
      <c r="I921"/>
      <c r="J921"/>
      <c r="K921"/>
      <c r="L921"/>
      <c r="M921"/>
      <c r="N921"/>
    </row>
    <row r="922" spans="1:14" ht="15" customHeight="1">
      <c r="A922"/>
      <c r="B922"/>
      <c r="C922"/>
      <c r="D922"/>
      <c r="E922"/>
      <c r="F922"/>
      <c r="G922"/>
      <c r="H922"/>
      <c r="I922"/>
      <c r="J922"/>
      <c r="K922"/>
      <c r="L922"/>
      <c r="M922"/>
      <c r="N922"/>
    </row>
    <row r="923" spans="1:14" ht="15" customHeight="1">
      <c r="A923"/>
      <c r="B923"/>
      <c r="C923"/>
      <c r="D923"/>
      <c r="E923"/>
      <c r="F923"/>
      <c r="G923"/>
      <c r="H923"/>
      <c r="I923"/>
      <c r="J923"/>
      <c r="K923"/>
      <c r="L923"/>
      <c r="M923"/>
      <c r="N923"/>
    </row>
    <row r="924" spans="1:14" ht="15" customHeight="1">
      <c r="A924"/>
      <c r="B924"/>
      <c r="C924"/>
      <c r="D924"/>
      <c r="E924"/>
      <c r="F924"/>
      <c r="G924"/>
      <c r="H924"/>
      <c r="I924"/>
      <c r="J924"/>
      <c r="K924"/>
      <c r="L924"/>
      <c r="M924"/>
      <c r="N924"/>
    </row>
    <row r="925" spans="1:14" ht="15" customHeight="1">
      <c r="A925"/>
      <c r="B925"/>
      <c r="C925"/>
      <c r="D925"/>
      <c r="E925"/>
      <c r="F925"/>
      <c r="G925"/>
      <c r="H925"/>
      <c r="I925"/>
      <c r="J925"/>
      <c r="K925"/>
      <c r="L925"/>
      <c r="M925"/>
      <c r="N925"/>
    </row>
    <row r="926" spans="1:14" ht="15" customHeight="1">
      <c r="A926"/>
      <c r="B926"/>
      <c r="C926"/>
      <c r="D926"/>
      <c r="E926"/>
      <c r="F926"/>
      <c r="G926"/>
      <c r="H926"/>
      <c r="I926"/>
      <c r="J926"/>
      <c r="K926"/>
      <c r="L926"/>
      <c r="M926"/>
      <c r="N926"/>
    </row>
    <row r="927" spans="1:14" customFormat="1" ht="15" customHeight="1"/>
    <row r="928" spans="1:14" customFormat="1" ht="15" customHeight="1"/>
    <row r="929" spans="1:14" ht="39" customHeight="1">
      <c r="A929"/>
      <c r="B929"/>
      <c r="C929"/>
      <c r="D929"/>
      <c r="E929"/>
      <c r="F929"/>
      <c r="G929"/>
      <c r="H929"/>
      <c r="I929"/>
      <c r="J929"/>
      <c r="K929"/>
      <c r="L929"/>
      <c r="M929"/>
      <c r="N929"/>
    </row>
    <row r="930" spans="1:14" ht="30" customHeight="1">
      <c r="A930"/>
      <c r="B930"/>
      <c r="C930"/>
      <c r="D930"/>
      <c r="E930"/>
      <c r="F930"/>
      <c r="G930"/>
      <c r="H930"/>
      <c r="I930"/>
      <c r="J930"/>
      <c r="K930"/>
      <c r="L930"/>
      <c r="M930"/>
      <c r="N930"/>
    </row>
    <row r="931" spans="1:14" s="263" customFormat="1" ht="24" customHeight="1">
      <c r="A931"/>
      <c r="B931"/>
      <c r="C931"/>
      <c r="D931"/>
      <c r="E931"/>
      <c r="F931"/>
      <c r="G931"/>
      <c r="H931"/>
      <c r="I931"/>
      <c r="J931"/>
      <c r="K931"/>
      <c r="L931"/>
      <c r="M931"/>
      <c r="N931"/>
    </row>
    <row r="932" spans="1:14" ht="15" customHeight="1">
      <c r="A932"/>
      <c r="B932"/>
      <c r="C932"/>
      <c r="D932"/>
      <c r="E932"/>
      <c r="F932"/>
      <c r="G932"/>
      <c r="H932"/>
      <c r="I932"/>
      <c r="J932"/>
      <c r="K932"/>
      <c r="L932"/>
      <c r="M932"/>
      <c r="N932"/>
    </row>
    <row r="933" spans="1:14">
      <c r="A933"/>
      <c r="B933"/>
      <c r="C933"/>
      <c r="D933"/>
      <c r="E933"/>
      <c r="F933"/>
      <c r="G933"/>
      <c r="H933"/>
      <c r="I933"/>
      <c r="J933"/>
      <c r="K933"/>
      <c r="L933"/>
      <c r="M933"/>
      <c r="N933"/>
    </row>
    <row r="934" spans="1:14" s="263" customFormat="1" ht="15" customHeight="1">
      <c r="A934"/>
      <c r="B934"/>
      <c r="C934"/>
      <c r="D934"/>
      <c r="E934"/>
      <c r="F934"/>
      <c r="G934"/>
      <c r="H934"/>
      <c r="I934"/>
      <c r="J934"/>
      <c r="K934"/>
      <c r="L934"/>
      <c r="M934"/>
      <c r="N934"/>
    </row>
    <row r="935" spans="1:14" ht="15" customHeight="1">
      <c r="A935"/>
      <c r="B935"/>
      <c r="C935"/>
      <c r="D935"/>
      <c r="E935"/>
      <c r="F935"/>
      <c r="G935"/>
      <c r="H935"/>
      <c r="I935"/>
      <c r="J935"/>
      <c r="K935"/>
      <c r="L935"/>
      <c r="M935"/>
      <c r="N935"/>
    </row>
    <row r="936" spans="1:14" ht="30" customHeight="1">
      <c r="A936"/>
      <c r="B936"/>
      <c r="C936"/>
      <c r="D936"/>
      <c r="E936"/>
      <c r="F936"/>
      <c r="G936"/>
      <c r="H936"/>
      <c r="I936"/>
      <c r="J936"/>
      <c r="K936"/>
      <c r="L936"/>
      <c r="M936"/>
      <c r="N936"/>
    </row>
    <row r="937" spans="1:14" s="263" customFormat="1" ht="15" customHeight="1">
      <c r="A937"/>
      <c r="B937"/>
      <c r="C937"/>
      <c r="D937"/>
      <c r="E937"/>
      <c r="F937"/>
      <c r="G937"/>
      <c r="H937"/>
      <c r="I937"/>
      <c r="J937"/>
      <c r="K937"/>
      <c r="L937"/>
      <c r="M937"/>
      <c r="N937"/>
    </row>
    <row r="938" spans="1:14" s="263" customFormat="1" ht="15" customHeight="1">
      <c r="A938"/>
      <c r="B938"/>
      <c r="C938"/>
      <c r="D938"/>
      <c r="E938"/>
      <c r="F938"/>
      <c r="G938"/>
      <c r="H938"/>
      <c r="I938"/>
      <c r="J938"/>
      <c r="K938"/>
      <c r="L938"/>
      <c r="M938"/>
      <c r="N938"/>
    </row>
    <row r="939" spans="1:14" ht="21.75" customHeight="1">
      <c r="A939"/>
      <c r="B939"/>
      <c r="C939"/>
      <c r="D939"/>
      <c r="E939"/>
      <c r="F939"/>
      <c r="G939"/>
      <c r="H939"/>
      <c r="I939"/>
      <c r="J939"/>
      <c r="K939"/>
      <c r="L939"/>
      <c r="M939"/>
      <c r="N939"/>
    </row>
    <row r="940" spans="1:14" ht="66.75" customHeight="1">
      <c r="A940"/>
      <c r="B940"/>
      <c r="C940"/>
      <c r="D940"/>
      <c r="E940"/>
      <c r="F940"/>
      <c r="G940"/>
      <c r="H940"/>
      <c r="I940"/>
      <c r="J940"/>
      <c r="K940"/>
      <c r="L940"/>
      <c r="M940"/>
      <c r="N940"/>
    </row>
    <row r="941" spans="1:14" ht="15" customHeight="1">
      <c r="A941"/>
      <c r="B941"/>
      <c r="C941"/>
      <c r="D941"/>
      <c r="E941"/>
      <c r="F941"/>
      <c r="G941"/>
      <c r="H941"/>
      <c r="I941"/>
      <c r="J941"/>
      <c r="K941"/>
      <c r="L941"/>
      <c r="M941"/>
      <c r="N941"/>
    </row>
    <row r="942" spans="1:14" ht="15" customHeight="1">
      <c r="A942"/>
      <c r="B942"/>
      <c r="C942"/>
      <c r="D942"/>
      <c r="E942"/>
      <c r="F942"/>
      <c r="G942"/>
      <c r="H942"/>
      <c r="I942"/>
      <c r="J942"/>
      <c r="K942"/>
      <c r="L942"/>
      <c r="M942"/>
      <c r="N942"/>
    </row>
    <row r="943" spans="1:14" ht="15" customHeight="1">
      <c r="A943"/>
      <c r="B943"/>
      <c r="C943"/>
      <c r="D943"/>
      <c r="E943"/>
      <c r="F943"/>
      <c r="G943"/>
      <c r="H943"/>
      <c r="I943"/>
      <c r="J943"/>
      <c r="K943"/>
      <c r="L943"/>
      <c r="M943"/>
      <c r="N943"/>
    </row>
    <row r="944" spans="1:14" ht="15" customHeight="1">
      <c r="A944"/>
      <c r="B944"/>
      <c r="C944"/>
      <c r="D944"/>
      <c r="E944"/>
      <c r="F944"/>
      <c r="G944"/>
      <c r="H944"/>
      <c r="I944"/>
      <c r="J944"/>
      <c r="K944"/>
      <c r="L944"/>
      <c r="M944"/>
      <c r="N944"/>
    </row>
    <row r="945" spans="1:14" ht="15" customHeight="1">
      <c r="A945"/>
      <c r="B945"/>
      <c r="C945"/>
      <c r="D945"/>
      <c r="E945"/>
      <c r="F945"/>
      <c r="G945"/>
      <c r="H945"/>
      <c r="I945"/>
      <c r="J945"/>
      <c r="K945"/>
      <c r="L945"/>
      <c r="M945"/>
      <c r="N945"/>
    </row>
    <row r="946" spans="1:14" ht="15" customHeight="1">
      <c r="A946"/>
      <c r="B946"/>
      <c r="C946"/>
      <c r="D946"/>
      <c r="E946"/>
      <c r="F946"/>
      <c r="G946"/>
      <c r="H946"/>
      <c r="I946"/>
      <c r="J946"/>
      <c r="K946"/>
      <c r="L946"/>
      <c r="M946"/>
      <c r="N946"/>
    </row>
    <row r="947" spans="1:14" ht="15" customHeight="1">
      <c r="A947"/>
      <c r="B947"/>
      <c r="C947"/>
      <c r="D947"/>
      <c r="E947"/>
      <c r="F947"/>
      <c r="G947"/>
      <c r="H947"/>
      <c r="I947"/>
      <c r="J947"/>
      <c r="K947"/>
      <c r="L947"/>
      <c r="M947"/>
      <c r="N947"/>
    </row>
    <row r="948" spans="1:14" ht="15" customHeight="1">
      <c r="A948"/>
      <c r="B948"/>
      <c r="C948"/>
      <c r="D948"/>
      <c r="E948"/>
      <c r="F948"/>
      <c r="G948"/>
      <c r="H948"/>
      <c r="I948"/>
      <c r="J948"/>
      <c r="K948"/>
      <c r="L948"/>
      <c r="M948"/>
      <c r="N948"/>
    </row>
    <row r="949" spans="1:14" ht="15" customHeight="1">
      <c r="A949"/>
      <c r="B949"/>
      <c r="C949"/>
      <c r="D949"/>
      <c r="E949"/>
      <c r="F949"/>
      <c r="G949"/>
      <c r="H949"/>
      <c r="I949"/>
      <c r="J949"/>
      <c r="K949"/>
      <c r="L949"/>
      <c r="M949"/>
      <c r="N949"/>
    </row>
    <row r="950" spans="1:14" ht="15" customHeight="1">
      <c r="A950"/>
      <c r="B950"/>
      <c r="C950"/>
      <c r="D950"/>
      <c r="E950"/>
      <c r="F950"/>
      <c r="G950"/>
      <c r="H950"/>
      <c r="I950"/>
      <c r="J950"/>
      <c r="K950"/>
      <c r="L950"/>
      <c r="M950"/>
      <c r="N950"/>
    </row>
    <row r="951" spans="1:14" ht="15" customHeight="1">
      <c r="A951"/>
      <c r="B951"/>
      <c r="C951"/>
      <c r="D951"/>
      <c r="E951"/>
      <c r="F951"/>
      <c r="G951"/>
      <c r="H951"/>
      <c r="I951"/>
      <c r="J951"/>
      <c r="K951"/>
      <c r="L951"/>
      <c r="M951"/>
      <c r="N951"/>
    </row>
    <row r="952" spans="1:14" ht="15" customHeight="1">
      <c r="A952"/>
      <c r="B952"/>
      <c r="C952"/>
      <c r="D952"/>
      <c r="E952"/>
      <c r="F952"/>
      <c r="G952"/>
      <c r="H952"/>
      <c r="I952"/>
      <c r="J952"/>
      <c r="K952"/>
      <c r="L952"/>
      <c r="M952"/>
      <c r="N952"/>
    </row>
    <row r="953" spans="1:14" ht="15" customHeight="1">
      <c r="A953"/>
      <c r="B953"/>
      <c r="C953"/>
      <c r="D953"/>
      <c r="E953"/>
      <c r="F953"/>
      <c r="G953"/>
      <c r="H953"/>
      <c r="I953"/>
      <c r="J953"/>
      <c r="K953"/>
      <c r="L953"/>
      <c r="M953"/>
      <c r="N953"/>
    </row>
    <row r="954" spans="1:14" ht="15" customHeight="1">
      <c r="A954"/>
      <c r="B954"/>
      <c r="C954"/>
      <c r="D954"/>
      <c r="E954"/>
      <c r="F954"/>
      <c r="G954"/>
      <c r="H954"/>
      <c r="I954"/>
      <c r="J954"/>
      <c r="K954"/>
      <c r="L954"/>
      <c r="M954"/>
      <c r="N954"/>
    </row>
    <row r="955" spans="1:14" ht="15" customHeight="1">
      <c r="A955"/>
      <c r="B955"/>
      <c r="C955"/>
      <c r="D955"/>
      <c r="E955"/>
      <c r="F955"/>
      <c r="G955"/>
      <c r="H955"/>
      <c r="I955"/>
      <c r="J955"/>
      <c r="K955"/>
      <c r="L955"/>
      <c r="M955"/>
      <c r="N955"/>
    </row>
    <row r="956" spans="1:14" ht="15" customHeight="1">
      <c r="A956"/>
      <c r="B956"/>
      <c r="C956"/>
      <c r="D956"/>
      <c r="E956"/>
      <c r="F956"/>
      <c r="G956"/>
      <c r="H956"/>
      <c r="I956"/>
      <c r="J956"/>
      <c r="K956"/>
      <c r="L956"/>
      <c r="M956"/>
      <c r="N956"/>
    </row>
    <row r="957" spans="1:14" ht="15" customHeight="1">
      <c r="A957"/>
      <c r="B957"/>
      <c r="C957"/>
      <c r="D957"/>
      <c r="E957"/>
      <c r="F957"/>
      <c r="G957"/>
      <c r="H957"/>
      <c r="I957"/>
      <c r="J957"/>
      <c r="K957"/>
      <c r="L957"/>
      <c r="M957"/>
      <c r="N957"/>
    </row>
    <row r="958" spans="1:14" ht="15" customHeight="1">
      <c r="A958"/>
      <c r="B958"/>
      <c r="C958"/>
      <c r="D958"/>
      <c r="E958"/>
      <c r="F958"/>
      <c r="G958"/>
      <c r="H958"/>
      <c r="I958"/>
      <c r="J958"/>
      <c r="K958"/>
      <c r="L958"/>
      <c r="M958"/>
      <c r="N958"/>
    </row>
    <row r="959" spans="1:14" ht="15" customHeight="1">
      <c r="A959"/>
      <c r="B959"/>
      <c r="C959"/>
      <c r="D959"/>
      <c r="E959"/>
      <c r="F959"/>
      <c r="G959"/>
      <c r="H959"/>
      <c r="I959"/>
      <c r="J959"/>
      <c r="K959"/>
      <c r="L959"/>
      <c r="M959"/>
      <c r="N959"/>
    </row>
    <row r="960" spans="1:14" ht="15" customHeight="1">
      <c r="A960"/>
      <c r="B960"/>
      <c r="C960"/>
      <c r="D960"/>
      <c r="E960"/>
      <c r="F960"/>
      <c r="G960"/>
      <c r="H960"/>
      <c r="I960"/>
      <c r="J960"/>
      <c r="K960"/>
      <c r="L960"/>
      <c r="M960"/>
      <c r="N960"/>
    </row>
    <row r="961" spans="1:14" ht="15" customHeight="1">
      <c r="A961"/>
      <c r="B961"/>
      <c r="C961"/>
      <c r="D961"/>
      <c r="E961"/>
      <c r="F961"/>
      <c r="G961"/>
      <c r="H961"/>
      <c r="I961"/>
      <c r="J961"/>
      <c r="K961"/>
      <c r="L961"/>
      <c r="M961"/>
      <c r="N961"/>
    </row>
    <row r="962" spans="1:14" ht="15" customHeight="1">
      <c r="A962"/>
      <c r="B962"/>
      <c r="C962"/>
      <c r="D962"/>
      <c r="E962"/>
      <c r="F962"/>
      <c r="G962"/>
      <c r="H962"/>
      <c r="I962"/>
      <c r="J962"/>
      <c r="K962"/>
      <c r="L962"/>
      <c r="M962"/>
      <c r="N962"/>
    </row>
    <row r="963" spans="1:14" ht="15" customHeight="1">
      <c r="A963"/>
      <c r="B963"/>
      <c r="C963"/>
      <c r="D963"/>
      <c r="E963"/>
      <c r="F963"/>
      <c r="G963"/>
      <c r="H963"/>
      <c r="I963"/>
      <c r="J963"/>
      <c r="K963"/>
      <c r="L963"/>
      <c r="M963"/>
      <c r="N963"/>
    </row>
    <row r="964" spans="1:14" ht="15" customHeight="1">
      <c r="A964"/>
      <c r="B964"/>
      <c r="C964"/>
      <c r="D964"/>
      <c r="E964"/>
      <c r="F964"/>
      <c r="G964"/>
      <c r="H964"/>
      <c r="I964"/>
      <c r="J964"/>
      <c r="K964"/>
      <c r="L964"/>
      <c r="M964"/>
      <c r="N964"/>
    </row>
    <row r="965" spans="1:14" ht="15" customHeight="1">
      <c r="A965"/>
      <c r="B965"/>
      <c r="C965"/>
      <c r="D965"/>
      <c r="E965"/>
      <c r="F965"/>
      <c r="G965"/>
      <c r="H965"/>
      <c r="I965"/>
      <c r="J965"/>
      <c r="K965"/>
      <c r="L965"/>
      <c r="M965"/>
      <c r="N965"/>
    </row>
    <row r="966" spans="1:14" ht="15" customHeight="1">
      <c r="A966"/>
      <c r="B966"/>
      <c r="C966"/>
      <c r="D966"/>
      <c r="E966"/>
      <c r="F966"/>
      <c r="G966"/>
      <c r="H966"/>
      <c r="I966"/>
      <c r="J966"/>
      <c r="K966"/>
      <c r="L966"/>
      <c r="M966"/>
      <c r="N966"/>
    </row>
    <row r="967" spans="1:14" ht="15" customHeight="1">
      <c r="A967"/>
      <c r="B967"/>
      <c r="C967"/>
      <c r="D967"/>
      <c r="E967"/>
      <c r="F967"/>
      <c r="G967"/>
      <c r="H967"/>
      <c r="I967"/>
      <c r="J967"/>
      <c r="K967"/>
      <c r="L967"/>
      <c r="M967"/>
      <c r="N967"/>
    </row>
    <row r="968" spans="1:14" ht="15" customHeight="1">
      <c r="A968"/>
      <c r="B968"/>
      <c r="C968"/>
      <c r="D968"/>
      <c r="E968"/>
      <c r="F968"/>
      <c r="G968"/>
      <c r="H968"/>
      <c r="I968"/>
      <c r="J968"/>
      <c r="K968"/>
      <c r="L968"/>
      <c r="M968"/>
      <c r="N968"/>
    </row>
    <row r="969" spans="1:14" customFormat="1" ht="15" customHeight="1"/>
    <row r="970" spans="1:14" customFormat="1" ht="15" customHeight="1"/>
    <row r="971" spans="1:14" ht="39" customHeight="1">
      <c r="A971"/>
      <c r="B971"/>
      <c r="C971"/>
      <c r="D971"/>
      <c r="E971"/>
      <c r="F971"/>
      <c r="G971"/>
      <c r="H971"/>
      <c r="I971"/>
      <c r="J971"/>
      <c r="K971"/>
      <c r="L971"/>
      <c r="M971"/>
      <c r="N971"/>
    </row>
    <row r="972" spans="1:14" ht="30" customHeight="1">
      <c r="A972"/>
      <c r="B972"/>
      <c r="C972"/>
      <c r="D972"/>
      <c r="E972"/>
      <c r="F972"/>
      <c r="G972"/>
      <c r="H972"/>
      <c r="I972"/>
      <c r="J972"/>
      <c r="K972"/>
      <c r="L972"/>
      <c r="M972"/>
      <c r="N972"/>
    </row>
    <row r="973" spans="1:14" s="263" customFormat="1" ht="24" customHeight="1">
      <c r="A973"/>
      <c r="B973"/>
      <c r="C973"/>
      <c r="D973"/>
      <c r="E973"/>
      <c r="F973"/>
      <c r="G973"/>
      <c r="H973"/>
      <c r="I973"/>
      <c r="J973"/>
      <c r="K973"/>
      <c r="L973"/>
      <c r="M973"/>
      <c r="N973"/>
    </row>
    <row r="974" spans="1:14" ht="15" customHeight="1">
      <c r="A974"/>
      <c r="B974"/>
      <c r="C974"/>
      <c r="D974"/>
      <c r="E974"/>
      <c r="F974"/>
      <c r="G974"/>
      <c r="H974"/>
      <c r="I974"/>
      <c r="J974"/>
      <c r="K974"/>
      <c r="L974"/>
      <c r="M974"/>
      <c r="N974"/>
    </row>
    <row r="975" spans="1:14">
      <c r="A975"/>
      <c r="B975"/>
      <c r="C975"/>
      <c r="D975"/>
      <c r="E975"/>
      <c r="F975"/>
      <c r="G975"/>
      <c r="H975"/>
      <c r="I975"/>
      <c r="J975"/>
      <c r="K975"/>
      <c r="L975"/>
      <c r="M975"/>
      <c r="N975"/>
    </row>
    <row r="976" spans="1:14" s="263" customFormat="1" ht="15" customHeight="1">
      <c r="A976"/>
      <c r="B976"/>
      <c r="C976"/>
      <c r="D976"/>
      <c r="E976"/>
      <c r="F976"/>
      <c r="G976"/>
      <c r="H976"/>
      <c r="I976"/>
      <c r="J976"/>
      <c r="K976"/>
      <c r="L976"/>
      <c r="M976"/>
      <c r="N976"/>
    </row>
    <row r="977" spans="1:14" ht="15" customHeight="1">
      <c r="A977"/>
      <c r="B977"/>
      <c r="C977"/>
      <c r="D977"/>
      <c r="E977"/>
      <c r="F977"/>
      <c r="G977"/>
      <c r="H977"/>
      <c r="I977"/>
      <c r="J977"/>
      <c r="K977"/>
      <c r="L977"/>
      <c r="M977"/>
      <c r="N977"/>
    </row>
    <row r="978" spans="1:14" ht="30" customHeight="1">
      <c r="A978"/>
      <c r="B978"/>
      <c r="C978"/>
      <c r="D978"/>
      <c r="E978"/>
      <c r="F978"/>
      <c r="G978"/>
      <c r="H978"/>
      <c r="I978"/>
      <c r="J978"/>
      <c r="K978"/>
      <c r="L978"/>
      <c r="M978"/>
      <c r="N978"/>
    </row>
    <row r="979" spans="1:14" s="263" customFormat="1" ht="15" customHeight="1">
      <c r="A979"/>
      <c r="B979"/>
      <c r="C979"/>
      <c r="D979"/>
      <c r="E979"/>
      <c r="F979"/>
      <c r="G979"/>
      <c r="H979"/>
      <c r="I979"/>
      <c r="J979"/>
      <c r="K979"/>
      <c r="L979"/>
      <c r="M979"/>
      <c r="N979"/>
    </row>
    <row r="980" spans="1:14" s="263" customFormat="1" ht="15" customHeight="1">
      <c r="A980"/>
      <c r="B980"/>
      <c r="C980"/>
      <c r="D980"/>
      <c r="E980"/>
      <c r="F980"/>
      <c r="G980"/>
      <c r="H980"/>
      <c r="I980"/>
      <c r="J980"/>
      <c r="K980"/>
      <c r="L980"/>
      <c r="M980"/>
      <c r="N980"/>
    </row>
    <row r="981" spans="1:14" ht="21.75" customHeight="1">
      <c r="A981"/>
      <c r="B981"/>
      <c r="C981"/>
      <c r="D981"/>
      <c r="E981"/>
      <c r="F981"/>
      <c r="G981"/>
      <c r="H981"/>
      <c r="I981"/>
      <c r="J981"/>
      <c r="K981"/>
      <c r="L981"/>
      <c r="M981"/>
      <c r="N981"/>
    </row>
    <row r="982" spans="1:14" ht="66.75" customHeight="1">
      <c r="A982"/>
      <c r="B982"/>
      <c r="C982"/>
      <c r="D982"/>
      <c r="E982"/>
      <c r="F982"/>
      <c r="G982"/>
      <c r="H982"/>
      <c r="I982"/>
      <c r="J982"/>
      <c r="K982"/>
      <c r="L982"/>
      <c r="M982"/>
      <c r="N982"/>
    </row>
    <row r="983" spans="1:14" ht="15" customHeight="1">
      <c r="A983"/>
      <c r="B983"/>
      <c r="C983"/>
      <c r="D983"/>
      <c r="E983"/>
      <c r="F983"/>
      <c r="G983"/>
      <c r="H983"/>
      <c r="I983"/>
      <c r="J983"/>
      <c r="K983"/>
      <c r="L983"/>
      <c r="M983"/>
      <c r="N983"/>
    </row>
    <row r="984" spans="1:14" ht="15" customHeight="1">
      <c r="A984"/>
      <c r="B984"/>
      <c r="C984"/>
      <c r="D984"/>
      <c r="E984"/>
      <c r="F984"/>
      <c r="G984"/>
      <c r="H984"/>
      <c r="I984"/>
      <c r="J984"/>
      <c r="K984"/>
      <c r="L984"/>
      <c r="M984"/>
      <c r="N984"/>
    </row>
    <row r="985" spans="1:14" ht="15" customHeight="1">
      <c r="A985"/>
      <c r="B985"/>
      <c r="C985"/>
      <c r="D985"/>
      <c r="E985"/>
      <c r="F985"/>
      <c r="G985"/>
      <c r="H985"/>
      <c r="I985"/>
      <c r="J985"/>
      <c r="K985"/>
      <c r="L985"/>
      <c r="M985"/>
      <c r="N985"/>
    </row>
    <row r="986" spans="1:14" ht="15" customHeight="1">
      <c r="A986"/>
      <c r="B986"/>
      <c r="C986"/>
      <c r="D986"/>
      <c r="E986"/>
      <c r="F986"/>
      <c r="G986"/>
      <c r="H986"/>
      <c r="I986"/>
      <c r="J986"/>
      <c r="K986"/>
      <c r="L986"/>
      <c r="M986"/>
      <c r="N986"/>
    </row>
    <row r="987" spans="1:14" ht="15" customHeight="1">
      <c r="A987"/>
      <c r="B987"/>
      <c r="C987"/>
      <c r="D987"/>
      <c r="E987"/>
      <c r="F987"/>
      <c r="G987"/>
      <c r="H987"/>
      <c r="I987"/>
      <c r="J987"/>
      <c r="K987"/>
      <c r="L987"/>
      <c r="M987"/>
      <c r="N987"/>
    </row>
    <row r="988" spans="1:14" ht="15" customHeight="1">
      <c r="A988"/>
      <c r="B988"/>
      <c r="C988"/>
      <c r="D988"/>
      <c r="E988"/>
      <c r="F988"/>
      <c r="G988"/>
      <c r="H988"/>
      <c r="I988"/>
      <c r="J988"/>
      <c r="K988"/>
      <c r="L988"/>
      <c r="M988"/>
      <c r="N988"/>
    </row>
    <row r="989" spans="1:14" ht="15" customHeight="1">
      <c r="A989"/>
      <c r="B989"/>
      <c r="C989"/>
      <c r="D989"/>
      <c r="E989"/>
      <c r="F989"/>
      <c r="G989"/>
      <c r="H989"/>
      <c r="I989"/>
      <c r="J989"/>
      <c r="K989"/>
      <c r="L989"/>
      <c r="M989"/>
      <c r="N989"/>
    </row>
    <row r="990" spans="1:14" ht="15" customHeight="1">
      <c r="A990"/>
      <c r="B990"/>
      <c r="C990"/>
      <c r="D990"/>
      <c r="E990"/>
      <c r="F990"/>
      <c r="G990"/>
      <c r="H990"/>
      <c r="I990"/>
      <c r="J990"/>
      <c r="K990"/>
      <c r="L990"/>
      <c r="M990"/>
      <c r="N990"/>
    </row>
    <row r="991" spans="1:14" ht="15" customHeight="1">
      <c r="A991"/>
      <c r="B991"/>
      <c r="C991"/>
      <c r="D991"/>
      <c r="E991"/>
      <c r="F991"/>
      <c r="G991"/>
      <c r="H991"/>
      <c r="I991"/>
      <c r="J991"/>
      <c r="K991"/>
      <c r="L991"/>
      <c r="M991"/>
      <c r="N991"/>
    </row>
    <row r="992" spans="1:14" ht="15" customHeight="1">
      <c r="A992"/>
      <c r="B992"/>
      <c r="C992"/>
      <c r="D992"/>
      <c r="E992"/>
      <c r="F992"/>
      <c r="G992"/>
      <c r="H992"/>
      <c r="I992"/>
      <c r="J992"/>
      <c r="K992"/>
      <c r="L992"/>
      <c r="M992"/>
      <c r="N992"/>
    </row>
    <row r="993" spans="1:14" ht="15" customHeight="1">
      <c r="A993"/>
      <c r="B993"/>
      <c r="C993"/>
      <c r="D993"/>
      <c r="E993"/>
      <c r="F993"/>
      <c r="G993"/>
      <c r="H993"/>
      <c r="I993"/>
      <c r="J993"/>
      <c r="K993"/>
      <c r="L993"/>
      <c r="M993"/>
      <c r="N993"/>
    </row>
    <row r="994" spans="1:14" ht="15" customHeight="1">
      <c r="A994"/>
      <c r="B994"/>
      <c r="C994"/>
      <c r="D994"/>
      <c r="E994"/>
      <c r="F994"/>
      <c r="G994"/>
      <c r="H994"/>
      <c r="I994"/>
      <c r="J994"/>
      <c r="K994"/>
      <c r="L994"/>
      <c r="M994"/>
      <c r="N994"/>
    </row>
    <row r="995" spans="1:14" ht="15" customHeight="1">
      <c r="A995"/>
      <c r="B995"/>
      <c r="C995"/>
      <c r="D995"/>
      <c r="E995"/>
      <c r="F995"/>
      <c r="G995"/>
      <c r="H995"/>
      <c r="I995"/>
      <c r="J995"/>
      <c r="K995"/>
      <c r="L995"/>
      <c r="M995"/>
      <c r="N995"/>
    </row>
    <row r="996" spans="1:14" ht="15" customHeight="1">
      <c r="A996"/>
      <c r="B996"/>
      <c r="C996"/>
      <c r="D996"/>
      <c r="E996"/>
      <c r="F996"/>
      <c r="G996"/>
      <c r="H996"/>
      <c r="I996"/>
      <c r="J996"/>
      <c r="K996"/>
      <c r="L996"/>
      <c r="M996"/>
      <c r="N996"/>
    </row>
    <row r="997" spans="1:14" ht="15" customHeight="1">
      <c r="A997"/>
      <c r="B997"/>
      <c r="C997"/>
      <c r="D997"/>
      <c r="E997"/>
      <c r="F997"/>
      <c r="G997"/>
      <c r="H997"/>
      <c r="I997"/>
      <c r="J997"/>
      <c r="K997"/>
      <c r="L997"/>
      <c r="M997"/>
      <c r="N997"/>
    </row>
    <row r="998" spans="1:14" ht="15" customHeight="1">
      <c r="A998"/>
      <c r="B998"/>
      <c r="C998"/>
      <c r="D998"/>
      <c r="E998"/>
      <c r="F998"/>
      <c r="G998"/>
      <c r="H998"/>
      <c r="I998"/>
      <c r="J998"/>
      <c r="K998"/>
      <c r="L998"/>
      <c r="M998"/>
      <c r="N998"/>
    </row>
    <row r="999" spans="1:14" ht="15" customHeight="1">
      <c r="A999"/>
      <c r="B999"/>
      <c r="C999"/>
      <c r="D999"/>
      <c r="E999"/>
      <c r="F999"/>
      <c r="G999"/>
      <c r="H999"/>
      <c r="I999"/>
      <c r="J999"/>
      <c r="K999"/>
      <c r="L999"/>
      <c r="M999"/>
      <c r="N999"/>
    </row>
    <row r="1000" spans="1:14" ht="15" customHeight="1">
      <c r="A1000"/>
      <c r="B1000"/>
      <c r="C1000"/>
      <c r="D1000"/>
      <c r="E1000"/>
      <c r="F1000"/>
      <c r="G1000"/>
      <c r="H1000"/>
      <c r="I1000"/>
      <c r="J1000"/>
      <c r="K1000"/>
      <c r="L1000"/>
      <c r="M1000"/>
      <c r="N1000"/>
    </row>
    <row r="1001" spans="1:14" ht="15" customHeight="1">
      <c r="A1001"/>
      <c r="B1001"/>
      <c r="C1001"/>
      <c r="D1001"/>
      <c r="E1001"/>
      <c r="F1001"/>
      <c r="G1001"/>
      <c r="H1001"/>
      <c r="I1001"/>
      <c r="J1001"/>
      <c r="K1001"/>
      <c r="L1001"/>
      <c r="M1001"/>
      <c r="N1001"/>
    </row>
    <row r="1002" spans="1:14" ht="15" customHeight="1">
      <c r="A1002"/>
      <c r="B1002"/>
      <c r="C1002"/>
      <c r="D1002"/>
      <c r="E1002"/>
      <c r="F1002"/>
      <c r="G1002"/>
      <c r="H1002"/>
      <c r="I1002"/>
      <c r="J1002"/>
      <c r="K1002"/>
      <c r="L1002"/>
      <c r="M1002"/>
      <c r="N1002"/>
    </row>
    <row r="1003" spans="1:14" ht="15" customHeight="1">
      <c r="A1003"/>
      <c r="B1003"/>
      <c r="C1003"/>
      <c r="D1003"/>
      <c r="E1003"/>
      <c r="F1003"/>
      <c r="G1003"/>
      <c r="H1003"/>
      <c r="I1003"/>
      <c r="J1003"/>
      <c r="K1003"/>
      <c r="L1003"/>
      <c r="M1003"/>
      <c r="N1003"/>
    </row>
    <row r="1004" spans="1:14" ht="15" customHeight="1">
      <c r="A1004"/>
      <c r="B1004"/>
      <c r="C1004"/>
      <c r="D1004"/>
      <c r="E1004"/>
      <c r="F1004"/>
      <c r="G1004"/>
      <c r="H1004"/>
      <c r="I1004"/>
      <c r="J1004"/>
      <c r="K1004"/>
      <c r="L1004"/>
      <c r="M1004"/>
      <c r="N1004"/>
    </row>
    <row r="1005" spans="1:14" ht="15" customHeight="1">
      <c r="A1005"/>
      <c r="B1005"/>
      <c r="C1005"/>
      <c r="D1005"/>
      <c r="E1005"/>
      <c r="F1005"/>
      <c r="G1005"/>
      <c r="H1005"/>
      <c r="I1005"/>
      <c r="J1005"/>
      <c r="K1005"/>
      <c r="L1005"/>
      <c r="M1005"/>
      <c r="N1005"/>
    </row>
    <row r="1006" spans="1:14" ht="15" customHeight="1">
      <c r="A1006"/>
      <c r="B1006"/>
      <c r="C1006"/>
      <c r="D1006"/>
      <c r="E1006"/>
      <c r="F1006"/>
      <c r="G1006"/>
      <c r="H1006"/>
      <c r="I1006"/>
      <c r="J1006"/>
      <c r="K1006"/>
      <c r="L1006"/>
      <c r="M1006"/>
      <c r="N1006"/>
    </row>
    <row r="1007" spans="1:14" ht="15" customHeight="1">
      <c r="A1007"/>
      <c r="B1007"/>
      <c r="C1007"/>
      <c r="D1007"/>
      <c r="E1007"/>
      <c r="F1007"/>
      <c r="G1007"/>
      <c r="H1007"/>
      <c r="I1007"/>
      <c r="J1007"/>
      <c r="K1007"/>
      <c r="L1007"/>
      <c r="M1007"/>
      <c r="N1007"/>
    </row>
    <row r="1008" spans="1:14" ht="15" customHeight="1">
      <c r="A1008"/>
      <c r="B1008"/>
      <c r="C1008"/>
      <c r="D1008"/>
      <c r="E1008"/>
      <c r="F1008"/>
      <c r="G1008"/>
      <c r="H1008"/>
      <c r="I1008"/>
      <c r="J1008"/>
      <c r="K1008"/>
      <c r="L1008"/>
      <c r="M1008"/>
      <c r="N1008"/>
    </row>
    <row r="1009" spans="1:14" ht="15" customHeight="1">
      <c r="A1009"/>
      <c r="B1009"/>
      <c r="C1009"/>
      <c r="D1009"/>
      <c r="E1009"/>
      <c r="F1009"/>
      <c r="G1009"/>
      <c r="H1009"/>
      <c r="I1009"/>
      <c r="J1009"/>
      <c r="K1009"/>
      <c r="L1009"/>
      <c r="M1009"/>
      <c r="N1009"/>
    </row>
    <row r="1010" spans="1:14" ht="15" customHeight="1">
      <c r="A1010"/>
      <c r="B1010"/>
      <c r="C1010"/>
      <c r="D1010"/>
      <c r="E1010"/>
      <c r="F1010"/>
      <c r="G1010"/>
      <c r="H1010"/>
      <c r="I1010"/>
      <c r="J1010"/>
      <c r="K1010"/>
      <c r="L1010"/>
      <c r="M1010"/>
      <c r="N1010"/>
    </row>
    <row r="1011" spans="1:14" customFormat="1" ht="15" customHeight="1"/>
    <row r="1012" spans="1:14" customFormat="1" ht="15" customHeight="1"/>
    <row r="1013" spans="1:14" ht="39" customHeight="1">
      <c r="A1013"/>
      <c r="B1013"/>
      <c r="C1013"/>
      <c r="D1013"/>
      <c r="E1013"/>
      <c r="F1013"/>
      <c r="G1013"/>
      <c r="H1013"/>
      <c r="I1013"/>
      <c r="J1013"/>
      <c r="K1013"/>
      <c r="L1013"/>
      <c r="M1013"/>
      <c r="N1013"/>
    </row>
    <row r="1014" spans="1:14" ht="30" customHeight="1">
      <c r="A1014"/>
      <c r="B1014"/>
      <c r="C1014"/>
      <c r="D1014"/>
      <c r="E1014"/>
      <c r="F1014"/>
      <c r="G1014"/>
      <c r="H1014"/>
      <c r="I1014"/>
      <c r="J1014"/>
      <c r="K1014"/>
      <c r="L1014"/>
      <c r="M1014"/>
      <c r="N1014"/>
    </row>
    <row r="1015" spans="1:14" s="263" customFormat="1" ht="24" customHeight="1">
      <c r="A1015"/>
      <c r="B1015"/>
      <c r="C1015"/>
      <c r="D1015"/>
      <c r="E1015"/>
      <c r="F1015"/>
      <c r="G1015"/>
      <c r="H1015"/>
      <c r="I1015"/>
      <c r="J1015"/>
      <c r="K1015"/>
      <c r="L1015"/>
      <c r="M1015"/>
      <c r="N1015"/>
    </row>
    <row r="1016" spans="1:14" ht="15" customHeight="1">
      <c r="A1016"/>
      <c r="B1016"/>
      <c r="C1016"/>
      <c r="D1016"/>
      <c r="E1016"/>
      <c r="F1016"/>
      <c r="G1016"/>
      <c r="H1016"/>
      <c r="I1016"/>
      <c r="J1016"/>
      <c r="K1016"/>
      <c r="L1016"/>
      <c r="M1016"/>
      <c r="N1016"/>
    </row>
    <row r="1017" spans="1:14">
      <c r="A1017"/>
      <c r="B1017"/>
      <c r="C1017"/>
      <c r="D1017"/>
      <c r="E1017"/>
      <c r="F1017"/>
      <c r="G1017"/>
      <c r="H1017"/>
      <c r="I1017"/>
      <c r="J1017"/>
      <c r="K1017"/>
      <c r="L1017"/>
      <c r="M1017"/>
      <c r="N1017"/>
    </row>
    <row r="1018" spans="1:14" s="263" customFormat="1" ht="15" customHeight="1">
      <c r="A1018"/>
      <c r="B1018"/>
      <c r="C1018"/>
      <c r="D1018"/>
      <c r="E1018"/>
      <c r="F1018"/>
      <c r="G1018"/>
      <c r="H1018"/>
      <c r="I1018"/>
      <c r="J1018"/>
      <c r="K1018"/>
      <c r="L1018"/>
      <c r="M1018"/>
      <c r="N1018"/>
    </row>
    <row r="1019" spans="1:14" ht="15" customHeight="1">
      <c r="A1019"/>
      <c r="B1019"/>
      <c r="C1019"/>
      <c r="D1019"/>
      <c r="E1019"/>
      <c r="F1019"/>
      <c r="G1019"/>
      <c r="H1019"/>
      <c r="I1019"/>
      <c r="J1019"/>
      <c r="K1019"/>
      <c r="L1019"/>
      <c r="M1019"/>
      <c r="N1019"/>
    </row>
    <row r="1020" spans="1:14" ht="30" customHeight="1">
      <c r="A1020"/>
      <c r="B1020"/>
      <c r="C1020"/>
      <c r="D1020"/>
      <c r="E1020"/>
      <c r="F1020"/>
      <c r="G1020"/>
      <c r="H1020"/>
      <c r="I1020"/>
      <c r="J1020"/>
      <c r="K1020"/>
      <c r="L1020"/>
      <c r="M1020"/>
      <c r="N1020"/>
    </row>
    <row r="1021" spans="1:14" s="263" customFormat="1" ht="15" customHeight="1">
      <c r="A1021"/>
      <c r="B1021"/>
      <c r="C1021"/>
      <c r="D1021"/>
      <c r="E1021"/>
      <c r="F1021"/>
      <c r="G1021"/>
      <c r="H1021"/>
      <c r="I1021"/>
      <c r="J1021"/>
      <c r="K1021"/>
      <c r="L1021"/>
      <c r="M1021"/>
      <c r="N1021"/>
    </row>
    <row r="1022" spans="1:14" s="263" customFormat="1" ht="15" customHeight="1">
      <c r="A1022"/>
      <c r="B1022"/>
      <c r="C1022"/>
      <c r="D1022"/>
      <c r="E1022"/>
      <c r="F1022"/>
      <c r="G1022"/>
      <c r="H1022"/>
      <c r="I1022"/>
      <c r="J1022"/>
      <c r="K1022"/>
      <c r="L1022"/>
      <c r="M1022"/>
      <c r="N1022"/>
    </row>
    <row r="1023" spans="1:14" ht="21.75" customHeight="1">
      <c r="A1023"/>
      <c r="B1023"/>
      <c r="C1023"/>
      <c r="D1023"/>
      <c r="E1023"/>
      <c r="F1023"/>
      <c r="G1023"/>
      <c r="H1023"/>
      <c r="I1023"/>
      <c r="J1023"/>
      <c r="K1023"/>
      <c r="L1023"/>
      <c r="M1023"/>
      <c r="N1023"/>
    </row>
    <row r="1024" spans="1:14" ht="66.75" customHeight="1">
      <c r="A1024"/>
      <c r="B1024"/>
      <c r="C1024"/>
      <c r="D1024"/>
      <c r="E1024"/>
      <c r="F1024"/>
      <c r="G1024"/>
      <c r="H1024"/>
      <c r="I1024"/>
      <c r="J1024"/>
      <c r="K1024"/>
      <c r="L1024"/>
      <c r="M1024"/>
      <c r="N1024"/>
    </row>
    <row r="1025" spans="1:14" ht="15" customHeight="1">
      <c r="A1025"/>
      <c r="B1025"/>
      <c r="C1025"/>
      <c r="D1025"/>
      <c r="E1025"/>
      <c r="F1025"/>
      <c r="G1025"/>
      <c r="H1025"/>
      <c r="I1025"/>
      <c r="J1025"/>
      <c r="K1025"/>
      <c r="L1025"/>
      <c r="M1025"/>
      <c r="N1025"/>
    </row>
    <row r="1026" spans="1:14" ht="15" customHeight="1">
      <c r="A1026"/>
      <c r="B1026"/>
      <c r="C1026"/>
      <c r="D1026"/>
      <c r="E1026"/>
      <c r="F1026"/>
      <c r="G1026"/>
      <c r="H1026"/>
      <c r="I1026"/>
      <c r="J1026"/>
      <c r="K1026"/>
      <c r="L1026"/>
      <c r="M1026"/>
      <c r="N1026"/>
    </row>
    <row r="1027" spans="1:14" ht="15" customHeight="1">
      <c r="A1027"/>
      <c r="B1027"/>
      <c r="C1027"/>
      <c r="D1027"/>
      <c r="E1027"/>
      <c r="F1027"/>
      <c r="G1027"/>
      <c r="H1027"/>
      <c r="I1027"/>
      <c r="J1027"/>
      <c r="K1027"/>
      <c r="L1027"/>
      <c r="M1027"/>
      <c r="N1027"/>
    </row>
    <row r="1028" spans="1:14" ht="15" customHeight="1">
      <c r="A1028"/>
      <c r="B1028"/>
      <c r="C1028"/>
      <c r="D1028"/>
      <c r="E1028"/>
      <c r="F1028"/>
      <c r="G1028"/>
      <c r="H1028"/>
      <c r="I1028"/>
      <c r="J1028"/>
      <c r="K1028"/>
      <c r="L1028"/>
      <c r="M1028"/>
      <c r="N1028"/>
    </row>
    <row r="1029" spans="1:14" ht="15" customHeight="1">
      <c r="A1029"/>
      <c r="B1029"/>
      <c r="C1029"/>
      <c r="D1029"/>
      <c r="E1029"/>
      <c r="F1029"/>
      <c r="G1029"/>
      <c r="H1029"/>
      <c r="I1029"/>
      <c r="J1029"/>
      <c r="K1029"/>
      <c r="L1029"/>
      <c r="M1029"/>
      <c r="N1029"/>
    </row>
    <row r="1030" spans="1:14" ht="15" customHeight="1">
      <c r="A1030"/>
      <c r="B1030"/>
      <c r="C1030"/>
      <c r="D1030"/>
      <c r="E1030"/>
      <c r="F1030"/>
      <c r="G1030"/>
      <c r="H1030"/>
      <c r="I1030"/>
      <c r="J1030"/>
      <c r="K1030"/>
      <c r="L1030"/>
      <c r="M1030"/>
      <c r="N1030"/>
    </row>
    <row r="1031" spans="1:14" ht="15" customHeight="1">
      <c r="A1031"/>
      <c r="B1031"/>
      <c r="C1031"/>
      <c r="D1031"/>
      <c r="E1031"/>
      <c r="F1031"/>
      <c r="G1031"/>
      <c r="H1031"/>
      <c r="I1031"/>
      <c r="J1031"/>
      <c r="K1031"/>
      <c r="L1031"/>
      <c r="M1031"/>
      <c r="N1031"/>
    </row>
    <row r="1032" spans="1:14" ht="15" customHeight="1">
      <c r="A1032"/>
      <c r="B1032"/>
      <c r="C1032"/>
      <c r="D1032"/>
      <c r="E1032"/>
      <c r="F1032"/>
      <c r="G1032"/>
      <c r="H1032"/>
      <c r="I1032"/>
      <c r="J1032"/>
      <c r="K1032"/>
      <c r="L1032"/>
      <c r="M1032"/>
      <c r="N1032"/>
    </row>
    <row r="1033" spans="1:14" ht="15" customHeight="1">
      <c r="A1033"/>
      <c r="B1033"/>
      <c r="C1033"/>
      <c r="D1033"/>
      <c r="E1033"/>
      <c r="F1033"/>
      <c r="G1033"/>
      <c r="H1033"/>
      <c r="I1033"/>
      <c r="J1033"/>
      <c r="K1033"/>
      <c r="L1033"/>
      <c r="M1033"/>
      <c r="N1033"/>
    </row>
    <row r="1034" spans="1:14" ht="15" customHeight="1">
      <c r="A1034"/>
      <c r="B1034"/>
      <c r="C1034"/>
      <c r="D1034"/>
      <c r="E1034"/>
      <c r="F1034"/>
      <c r="G1034"/>
      <c r="H1034"/>
      <c r="I1034"/>
      <c r="J1034"/>
      <c r="K1034"/>
      <c r="L1034"/>
      <c r="M1034"/>
      <c r="N1034"/>
    </row>
    <row r="1035" spans="1:14" ht="15" customHeight="1">
      <c r="A1035"/>
      <c r="B1035"/>
      <c r="C1035"/>
      <c r="D1035"/>
      <c r="E1035"/>
      <c r="F1035"/>
      <c r="G1035"/>
      <c r="H1035"/>
      <c r="I1035"/>
      <c r="J1035"/>
      <c r="K1035"/>
      <c r="L1035"/>
      <c r="M1035"/>
      <c r="N1035"/>
    </row>
    <row r="1036" spans="1:14" ht="15" customHeight="1">
      <c r="A1036"/>
      <c r="B1036"/>
      <c r="C1036"/>
      <c r="D1036"/>
      <c r="E1036"/>
      <c r="F1036"/>
      <c r="G1036"/>
      <c r="H1036"/>
      <c r="I1036"/>
      <c r="J1036"/>
      <c r="K1036"/>
      <c r="L1036"/>
      <c r="M1036"/>
      <c r="N1036"/>
    </row>
    <row r="1037" spans="1:14" ht="15" customHeight="1">
      <c r="A1037"/>
      <c r="B1037"/>
      <c r="C1037"/>
      <c r="D1037"/>
      <c r="E1037"/>
      <c r="F1037"/>
      <c r="G1037"/>
      <c r="H1037"/>
      <c r="I1037"/>
      <c r="J1037"/>
      <c r="K1037"/>
      <c r="L1037"/>
      <c r="M1037"/>
      <c r="N1037"/>
    </row>
    <row r="1038" spans="1:14" ht="15" customHeight="1">
      <c r="A1038"/>
      <c r="B1038"/>
      <c r="C1038"/>
      <c r="D1038"/>
      <c r="E1038"/>
      <c r="F1038"/>
      <c r="G1038"/>
      <c r="H1038"/>
      <c r="I1038"/>
      <c r="J1038"/>
      <c r="K1038"/>
      <c r="L1038"/>
      <c r="M1038"/>
      <c r="N1038"/>
    </row>
    <row r="1039" spans="1:14" ht="15" customHeight="1">
      <c r="A1039"/>
      <c r="B1039"/>
      <c r="C1039"/>
      <c r="D1039"/>
      <c r="E1039"/>
      <c r="F1039"/>
      <c r="G1039"/>
      <c r="H1039"/>
      <c r="I1039"/>
      <c r="J1039"/>
      <c r="K1039"/>
      <c r="L1039"/>
      <c r="M1039"/>
      <c r="N1039"/>
    </row>
    <row r="1040" spans="1:14" ht="15" customHeight="1">
      <c r="A1040"/>
      <c r="B1040"/>
      <c r="C1040"/>
      <c r="D1040"/>
      <c r="E1040"/>
      <c r="F1040"/>
      <c r="G1040"/>
      <c r="H1040"/>
      <c r="I1040"/>
      <c r="J1040"/>
      <c r="K1040"/>
      <c r="L1040"/>
      <c r="M1040"/>
      <c r="N1040"/>
    </row>
    <row r="1041" spans="1:14" ht="15" customHeight="1">
      <c r="A1041"/>
      <c r="B1041"/>
      <c r="C1041"/>
      <c r="D1041"/>
      <c r="E1041"/>
      <c r="F1041"/>
      <c r="G1041"/>
      <c r="H1041"/>
      <c r="I1041"/>
      <c r="J1041"/>
      <c r="K1041"/>
      <c r="L1041"/>
      <c r="M1041"/>
      <c r="N1041"/>
    </row>
    <row r="1042" spans="1:14" ht="15" customHeight="1">
      <c r="A1042"/>
      <c r="B1042"/>
      <c r="C1042"/>
      <c r="D1042"/>
      <c r="E1042"/>
      <c r="F1042"/>
      <c r="G1042"/>
      <c r="H1042"/>
      <c r="I1042"/>
      <c r="J1042"/>
      <c r="K1042"/>
      <c r="L1042"/>
      <c r="M1042"/>
      <c r="N1042"/>
    </row>
    <row r="1043" spans="1:14" ht="15" customHeight="1">
      <c r="A1043"/>
      <c r="B1043"/>
      <c r="C1043"/>
      <c r="D1043"/>
      <c r="E1043"/>
      <c r="F1043"/>
      <c r="G1043"/>
      <c r="H1043"/>
      <c r="I1043"/>
      <c r="J1043"/>
      <c r="K1043"/>
      <c r="L1043"/>
      <c r="M1043"/>
      <c r="N1043"/>
    </row>
    <row r="1044" spans="1:14" ht="15" customHeight="1">
      <c r="A1044"/>
      <c r="B1044"/>
      <c r="C1044"/>
      <c r="D1044"/>
      <c r="E1044"/>
      <c r="F1044"/>
      <c r="G1044"/>
      <c r="H1044"/>
      <c r="I1044"/>
      <c r="J1044"/>
      <c r="K1044"/>
      <c r="L1044"/>
      <c r="M1044"/>
      <c r="N1044"/>
    </row>
    <row r="1045" spans="1:14" ht="15" customHeight="1">
      <c r="A1045"/>
      <c r="B1045"/>
      <c r="C1045"/>
      <c r="D1045"/>
      <c r="E1045"/>
      <c r="F1045"/>
      <c r="G1045"/>
      <c r="H1045"/>
      <c r="I1045"/>
      <c r="J1045"/>
      <c r="K1045"/>
      <c r="L1045"/>
      <c r="M1045"/>
      <c r="N1045"/>
    </row>
    <row r="1046" spans="1:14" ht="15" customHeight="1">
      <c r="A1046"/>
      <c r="B1046"/>
      <c r="C1046"/>
      <c r="D1046"/>
      <c r="E1046"/>
      <c r="F1046"/>
      <c r="G1046"/>
      <c r="H1046"/>
      <c r="I1046"/>
      <c r="J1046"/>
      <c r="K1046"/>
      <c r="L1046"/>
      <c r="M1046"/>
      <c r="N1046"/>
    </row>
    <row r="1047" spans="1:14" ht="15" customHeight="1">
      <c r="A1047"/>
      <c r="B1047"/>
      <c r="C1047"/>
      <c r="D1047"/>
      <c r="E1047"/>
      <c r="F1047"/>
      <c r="G1047"/>
      <c r="H1047"/>
      <c r="I1047"/>
      <c r="J1047"/>
      <c r="K1047"/>
      <c r="L1047"/>
      <c r="M1047"/>
      <c r="N1047"/>
    </row>
    <row r="1048" spans="1:14" ht="15" customHeight="1">
      <c r="A1048"/>
      <c r="B1048"/>
      <c r="C1048"/>
      <c r="D1048"/>
      <c r="E1048"/>
      <c r="F1048"/>
      <c r="G1048"/>
      <c r="H1048"/>
      <c r="I1048"/>
      <c r="J1048"/>
      <c r="K1048"/>
      <c r="L1048"/>
      <c r="M1048"/>
      <c r="N1048"/>
    </row>
    <row r="1049" spans="1:14" ht="15" customHeight="1">
      <c r="A1049"/>
      <c r="B1049"/>
      <c r="C1049"/>
      <c r="D1049"/>
      <c r="E1049"/>
      <c r="F1049"/>
      <c r="G1049"/>
      <c r="H1049"/>
      <c r="I1049"/>
      <c r="J1049"/>
      <c r="K1049"/>
      <c r="L1049"/>
      <c r="M1049"/>
      <c r="N1049"/>
    </row>
    <row r="1050" spans="1:14" ht="15" customHeight="1">
      <c r="A1050"/>
      <c r="B1050"/>
      <c r="C1050"/>
      <c r="D1050"/>
      <c r="E1050"/>
      <c r="F1050"/>
      <c r="G1050"/>
      <c r="H1050"/>
      <c r="I1050"/>
      <c r="J1050"/>
      <c r="K1050"/>
      <c r="L1050"/>
      <c r="M1050"/>
      <c r="N1050"/>
    </row>
    <row r="1051" spans="1:14" ht="15" customHeight="1">
      <c r="A1051"/>
      <c r="B1051"/>
      <c r="C1051"/>
      <c r="D1051"/>
      <c r="E1051"/>
      <c r="F1051"/>
      <c r="G1051"/>
      <c r="H1051"/>
      <c r="I1051"/>
      <c r="J1051"/>
      <c r="K1051"/>
      <c r="L1051"/>
      <c r="M1051"/>
      <c r="N1051"/>
    </row>
    <row r="1052" spans="1:14" ht="15" customHeight="1">
      <c r="A1052"/>
      <c r="B1052"/>
      <c r="C1052"/>
      <c r="D1052"/>
      <c r="E1052"/>
      <c r="F1052"/>
      <c r="G1052"/>
      <c r="H1052"/>
      <c r="I1052"/>
      <c r="J1052"/>
      <c r="K1052"/>
      <c r="L1052"/>
      <c r="M1052"/>
      <c r="N1052"/>
    </row>
    <row r="1053" spans="1:14" customFormat="1" ht="15" customHeight="1"/>
    <row r="1054" spans="1:14" customFormat="1" ht="15" customHeight="1"/>
    <row r="1055" spans="1:14" ht="39" customHeight="1">
      <c r="A1055"/>
      <c r="B1055"/>
      <c r="C1055"/>
      <c r="D1055"/>
      <c r="E1055"/>
      <c r="F1055"/>
      <c r="G1055"/>
      <c r="H1055"/>
      <c r="I1055"/>
      <c r="J1055"/>
      <c r="K1055"/>
      <c r="L1055"/>
      <c r="M1055"/>
      <c r="N1055"/>
    </row>
    <row r="1056" spans="1:14" ht="30" customHeight="1">
      <c r="A1056"/>
      <c r="B1056"/>
      <c r="C1056"/>
      <c r="D1056"/>
      <c r="E1056"/>
      <c r="F1056"/>
      <c r="G1056"/>
      <c r="H1056"/>
      <c r="I1056"/>
      <c r="J1056"/>
      <c r="K1056"/>
      <c r="L1056"/>
      <c r="M1056"/>
      <c r="N1056"/>
    </row>
    <row r="1057" spans="1:14" s="263" customFormat="1" ht="24" customHeight="1">
      <c r="A1057"/>
      <c r="B1057"/>
      <c r="C1057"/>
      <c r="D1057"/>
      <c r="E1057"/>
      <c r="F1057"/>
      <c r="G1057"/>
      <c r="H1057"/>
      <c r="I1057"/>
      <c r="J1057"/>
      <c r="K1057"/>
      <c r="L1057"/>
      <c r="M1057"/>
      <c r="N1057"/>
    </row>
    <row r="1058" spans="1:14" ht="15" customHeight="1">
      <c r="A1058"/>
      <c r="B1058"/>
      <c r="C1058"/>
      <c r="D1058"/>
      <c r="E1058"/>
      <c r="F1058"/>
      <c r="G1058"/>
      <c r="H1058"/>
      <c r="I1058"/>
      <c r="J1058"/>
      <c r="K1058"/>
      <c r="L1058"/>
      <c r="M1058"/>
      <c r="N1058"/>
    </row>
    <row r="1059" spans="1:14">
      <c r="A1059"/>
      <c r="B1059"/>
      <c r="C1059"/>
      <c r="D1059"/>
      <c r="E1059"/>
      <c r="F1059"/>
      <c r="G1059"/>
      <c r="H1059"/>
      <c r="I1059"/>
      <c r="J1059"/>
      <c r="K1059"/>
      <c r="L1059"/>
      <c r="M1059"/>
      <c r="N1059"/>
    </row>
    <row r="1060" spans="1:14" s="263" customFormat="1" ht="15" customHeight="1">
      <c r="A1060"/>
      <c r="B1060"/>
      <c r="C1060"/>
      <c r="D1060"/>
      <c r="E1060"/>
      <c r="F1060"/>
      <c r="G1060"/>
      <c r="H1060"/>
      <c r="I1060"/>
      <c r="J1060"/>
      <c r="K1060"/>
      <c r="L1060"/>
      <c r="M1060"/>
      <c r="N1060"/>
    </row>
    <row r="1061" spans="1:14" ht="15" customHeight="1">
      <c r="A1061"/>
      <c r="B1061"/>
      <c r="C1061"/>
      <c r="D1061"/>
      <c r="E1061"/>
      <c r="F1061"/>
      <c r="G1061"/>
      <c r="H1061"/>
      <c r="I1061"/>
      <c r="J1061"/>
      <c r="K1061"/>
      <c r="L1061"/>
      <c r="M1061"/>
      <c r="N1061"/>
    </row>
    <row r="1062" spans="1:14" ht="30" customHeight="1">
      <c r="A1062"/>
      <c r="B1062"/>
      <c r="C1062"/>
      <c r="D1062"/>
      <c r="E1062"/>
      <c r="F1062"/>
      <c r="G1062"/>
      <c r="H1062"/>
      <c r="I1062"/>
      <c r="J1062"/>
      <c r="K1062"/>
      <c r="L1062"/>
      <c r="M1062"/>
      <c r="N1062"/>
    </row>
    <row r="1063" spans="1:14" s="263" customFormat="1" ht="15" customHeight="1">
      <c r="A1063"/>
      <c r="B1063"/>
      <c r="C1063"/>
      <c r="D1063"/>
      <c r="E1063"/>
      <c r="F1063"/>
      <c r="G1063"/>
      <c r="H1063"/>
      <c r="I1063"/>
      <c r="J1063"/>
      <c r="K1063"/>
      <c r="L1063"/>
      <c r="M1063"/>
      <c r="N1063"/>
    </row>
    <row r="1064" spans="1:14" s="263" customFormat="1" ht="15" customHeight="1">
      <c r="A1064"/>
      <c r="B1064"/>
      <c r="C1064"/>
      <c r="D1064"/>
      <c r="E1064"/>
      <c r="F1064"/>
      <c r="G1064"/>
      <c r="H1064"/>
      <c r="I1064"/>
      <c r="J1064"/>
      <c r="K1064"/>
      <c r="L1064"/>
      <c r="M1064"/>
      <c r="N1064"/>
    </row>
    <row r="1065" spans="1:14" ht="21.75" customHeight="1">
      <c r="A1065"/>
      <c r="B1065"/>
      <c r="C1065"/>
      <c r="D1065"/>
      <c r="E1065"/>
      <c r="F1065"/>
      <c r="G1065"/>
      <c r="H1065"/>
      <c r="I1065"/>
      <c r="J1065"/>
      <c r="K1065"/>
      <c r="L1065"/>
      <c r="M1065"/>
      <c r="N1065"/>
    </row>
    <row r="1066" spans="1:14" ht="66.75" customHeight="1">
      <c r="A1066"/>
      <c r="B1066"/>
      <c r="C1066"/>
      <c r="D1066"/>
      <c r="E1066"/>
      <c r="F1066"/>
      <c r="G1066"/>
      <c r="H1066"/>
      <c r="I1066"/>
      <c r="J1066"/>
      <c r="K1066"/>
      <c r="L1066"/>
      <c r="M1066"/>
      <c r="N1066"/>
    </row>
    <row r="1067" spans="1:14" ht="15" customHeight="1">
      <c r="A1067"/>
      <c r="B1067"/>
      <c r="C1067"/>
      <c r="D1067"/>
      <c r="E1067"/>
      <c r="F1067"/>
      <c r="G1067"/>
      <c r="H1067"/>
      <c r="I1067"/>
      <c r="J1067"/>
      <c r="K1067"/>
      <c r="L1067"/>
      <c r="M1067"/>
      <c r="N1067"/>
    </row>
    <row r="1068" spans="1:14" ht="15" customHeight="1">
      <c r="A1068"/>
      <c r="B1068"/>
      <c r="C1068"/>
      <c r="D1068"/>
      <c r="E1068"/>
      <c r="F1068"/>
      <c r="G1068"/>
      <c r="H1068"/>
      <c r="I1068"/>
      <c r="J1068"/>
      <c r="K1068"/>
      <c r="L1068"/>
      <c r="M1068"/>
      <c r="N1068"/>
    </row>
    <row r="1069" spans="1:14" ht="15" customHeight="1">
      <c r="A1069"/>
      <c r="B1069"/>
      <c r="C1069"/>
      <c r="D1069"/>
      <c r="E1069"/>
      <c r="F1069"/>
      <c r="G1069"/>
      <c r="H1069"/>
      <c r="I1069"/>
      <c r="J1069"/>
      <c r="K1069"/>
      <c r="L1069"/>
      <c r="M1069"/>
      <c r="N1069"/>
    </row>
    <row r="1070" spans="1:14" ht="15" customHeight="1">
      <c r="A1070"/>
      <c r="B1070"/>
      <c r="C1070"/>
      <c r="D1070"/>
      <c r="E1070"/>
      <c r="F1070"/>
      <c r="G1070"/>
      <c r="H1070"/>
      <c r="I1070"/>
      <c r="J1070"/>
      <c r="K1070"/>
      <c r="L1070"/>
      <c r="M1070"/>
      <c r="N1070"/>
    </row>
    <row r="1071" spans="1:14" ht="15" customHeight="1">
      <c r="A1071"/>
      <c r="B1071"/>
      <c r="C1071"/>
      <c r="D1071"/>
      <c r="E1071"/>
      <c r="F1071"/>
      <c r="G1071"/>
      <c r="H1071"/>
      <c r="I1071"/>
      <c r="J1071"/>
      <c r="K1071"/>
      <c r="L1071"/>
      <c r="M1071"/>
      <c r="N1071"/>
    </row>
    <row r="1072" spans="1:14" ht="15" customHeight="1">
      <c r="A1072"/>
      <c r="B1072"/>
      <c r="C1072"/>
      <c r="D1072"/>
      <c r="E1072"/>
      <c r="F1072"/>
      <c r="G1072"/>
      <c r="H1072"/>
      <c r="I1072"/>
      <c r="J1072"/>
      <c r="K1072"/>
      <c r="L1072"/>
      <c r="M1072"/>
      <c r="N1072"/>
    </row>
    <row r="1073" spans="1:14" ht="15" customHeight="1">
      <c r="A1073"/>
      <c r="B1073"/>
      <c r="C1073"/>
      <c r="D1073"/>
      <c r="E1073"/>
      <c r="F1073"/>
      <c r="G1073"/>
      <c r="H1073"/>
      <c r="I1073"/>
      <c r="J1073"/>
      <c r="K1073"/>
      <c r="L1073"/>
      <c r="M1073"/>
      <c r="N1073"/>
    </row>
    <row r="1074" spans="1:14" ht="15" customHeight="1">
      <c r="A1074"/>
      <c r="B1074"/>
      <c r="C1074"/>
      <c r="D1074"/>
      <c r="E1074"/>
      <c r="F1074"/>
      <c r="G1074"/>
      <c r="H1074"/>
      <c r="I1074"/>
      <c r="J1074"/>
      <c r="K1074"/>
      <c r="L1074"/>
      <c r="M1074"/>
      <c r="N1074"/>
    </row>
    <row r="1075" spans="1:14" ht="15" customHeight="1">
      <c r="A1075"/>
      <c r="B1075"/>
      <c r="C1075"/>
      <c r="D1075"/>
      <c r="E1075"/>
      <c r="F1075"/>
      <c r="G1075"/>
      <c r="H1075"/>
      <c r="I1075"/>
      <c r="J1075"/>
      <c r="K1075"/>
      <c r="L1075"/>
      <c r="M1075"/>
      <c r="N1075"/>
    </row>
    <row r="1076" spans="1:14" ht="15" customHeight="1">
      <c r="A1076"/>
      <c r="B1076"/>
      <c r="C1076"/>
      <c r="D1076"/>
      <c r="E1076"/>
      <c r="F1076"/>
      <c r="G1076"/>
      <c r="H1076"/>
      <c r="I1076"/>
      <c r="J1076"/>
      <c r="K1076"/>
      <c r="L1076"/>
      <c r="M1076"/>
      <c r="N1076"/>
    </row>
    <row r="1077" spans="1:14" ht="15" customHeight="1">
      <c r="A1077"/>
      <c r="B1077"/>
      <c r="C1077"/>
      <c r="D1077"/>
      <c r="E1077"/>
      <c r="F1077"/>
      <c r="G1077"/>
      <c r="H1077"/>
      <c r="I1077"/>
      <c r="J1077"/>
      <c r="K1077"/>
      <c r="L1077"/>
      <c r="M1077"/>
      <c r="N1077"/>
    </row>
    <row r="1078" spans="1:14" ht="15" customHeight="1">
      <c r="A1078"/>
      <c r="B1078"/>
      <c r="C1078"/>
      <c r="D1078"/>
      <c r="E1078"/>
      <c r="F1078"/>
      <c r="G1078"/>
      <c r="H1078"/>
      <c r="I1078"/>
      <c r="J1078"/>
      <c r="K1078"/>
      <c r="L1078"/>
      <c r="M1078"/>
      <c r="N1078"/>
    </row>
    <row r="1079" spans="1:14" ht="15" customHeight="1">
      <c r="A1079"/>
      <c r="B1079"/>
      <c r="C1079"/>
      <c r="D1079"/>
      <c r="E1079"/>
      <c r="F1079"/>
      <c r="G1079"/>
      <c r="H1079"/>
      <c r="I1079"/>
      <c r="J1079"/>
      <c r="K1079"/>
      <c r="L1079"/>
      <c r="M1079"/>
      <c r="N1079"/>
    </row>
    <row r="1080" spans="1:14" ht="15" customHeight="1">
      <c r="A1080"/>
      <c r="B1080"/>
      <c r="C1080"/>
      <c r="D1080"/>
      <c r="E1080"/>
      <c r="F1080"/>
      <c r="G1080"/>
      <c r="H1080"/>
      <c r="I1080"/>
      <c r="J1080"/>
      <c r="K1080"/>
      <c r="L1080"/>
      <c r="M1080"/>
      <c r="N1080"/>
    </row>
    <row r="1081" spans="1:14" ht="15" customHeight="1">
      <c r="A1081"/>
      <c r="B1081"/>
      <c r="C1081"/>
      <c r="D1081"/>
      <c r="E1081"/>
      <c r="F1081"/>
      <c r="G1081"/>
      <c r="H1081"/>
      <c r="I1081"/>
      <c r="J1081"/>
      <c r="K1081"/>
      <c r="L1081"/>
      <c r="M1081"/>
      <c r="N1081"/>
    </row>
    <row r="1082" spans="1:14" ht="15" customHeight="1">
      <c r="A1082"/>
      <c r="B1082"/>
      <c r="C1082"/>
      <c r="D1082"/>
      <c r="E1082"/>
      <c r="F1082"/>
      <c r="G1082"/>
      <c r="H1082"/>
      <c r="I1082"/>
      <c r="J1082"/>
      <c r="K1082"/>
      <c r="L1082"/>
      <c r="M1082"/>
      <c r="N1082"/>
    </row>
    <row r="1083" spans="1:14" ht="15" customHeight="1">
      <c r="A1083"/>
      <c r="B1083"/>
      <c r="C1083"/>
      <c r="D1083"/>
      <c r="E1083"/>
      <c r="F1083"/>
      <c r="G1083"/>
      <c r="H1083"/>
      <c r="I1083"/>
      <c r="J1083"/>
      <c r="K1083"/>
      <c r="L1083"/>
      <c r="M1083"/>
      <c r="N1083"/>
    </row>
    <row r="1084" spans="1:14" ht="15" customHeight="1">
      <c r="A1084"/>
      <c r="B1084"/>
      <c r="C1084"/>
      <c r="D1084"/>
      <c r="E1084"/>
      <c r="F1084"/>
      <c r="G1084"/>
      <c r="H1084"/>
      <c r="I1084"/>
      <c r="J1084"/>
      <c r="K1084"/>
      <c r="L1084"/>
      <c r="M1084"/>
      <c r="N1084"/>
    </row>
    <row r="1085" spans="1:14" ht="15" customHeight="1">
      <c r="A1085"/>
      <c r="B1085"/>
      <c r="C1085"/>
      <c r="D1085"/>
      <c r="E1085"/>
      <c r="F1085"/>
      <c r="G1085"/>
      <c r="H1085"/>
      <c r="I1085"/>
      <c r="J1085"/>
      <c r="K1085"/>
      <c r="L1085"/>
      <c r="M1085"/>
      <c r="N1085"/>
    </row>
    <row r="1086" spans="1:14" ht="15" customHeight="1">
      <c r="A1086"/>
      <c r="B1086"/>
      <c r="C1086"/>
      <c r="D1086"/>
      <c r="E1086"/>
      <c r="F1086"/>
      <c r="G1086"/>
      <c r="H1086"/>
      <c r="I1086"/>
      <c r="J1086"/>
      <c r="K1086"/>
      <c r="L1086"/>
      <c r="M1086"/>
      <c r="N1086"/>
    </row>
    <row r="1087" spans="1:14" ht="15" customHeight="1">
      <c r="A1087"/>
      <c r="B1087"/>
      <c r="C1087"/>
      <c r="D1087"/>
      <c r="E1087"/>
      <c r="F1087"/>
      <c r="G1087"/>
      <c r="H1087"/>
      <c r="I1087"/>
      <c r="J1087"/>
      <c r="K1087"/>
      <c r="L1087"/>
      <c r="M1087"/>
      <c r="N1087"/>
    </row>
    <row r="1088" spans="1:14" ht="15" customHeight="1">
      <c r="A1088"/>
      <c r="B1088"/>
      <c r="C1088"/>
      <c r="D1088"/>
      <c r="E1088"/>
      <c r="F1088"/>
      <c r="G1088"/>
      <c r="H1088"/>
      <c r="I1088"/>
      <c r="J1088"/>
      <c r="K1088"/>
      <c r="L1088"/>
      <c r="M1088"/>
      <c r="N1088"/>
    </row>
    <row r="1089" spans="1:14" ht="15" customHeight="1">
      <c r="A1089"/>
      <c r="B1089"/>
      <c r="C1089"/>
      <c r="D1089"/>
      <c r="E1089"/>
      <c r="F1089"/>
      <c r="G1089"/>
      <c r="H1089"/>
      <c r="I1089"/>
      <c r="J1089"/>
      <c r="K1089"/>
      <c r="L1089"/>
      <c r="M1089"/>
      <c r="N1089"/>
    </row>
    <row r="1090" spans="1:14" ht="15" customHeight="1">
      <c r="A1090"/>
      <c r="B1090"/>
      <c r="C1090"/>
      <c r="D1090"/>
      <c r="E1090"/>
      <c r="F1090"/>
      <c r="G1090"/>
      <c r="H1090"/>
      <c r="I1090"/>
      <c r="J1090"/>
      <c r="K1090"/>
      <c r="L1090"/>
      <c r="M1090"/>
      <c r="N1090"/>
    </row>
    <row r="1091" spans="1:14" ht="15" customHeight="1">
      <c r="A1091"/>
      <c r="B1091"/>
      <c r="C1091"/>
      <c r="D1091"/>
      <c r="E1091"/>
      <c r="F1091"/>
      <c r="G1091"/>
      <c r="H1091"/>
      <c r="I1091"/>
      <c r="J1091"/>
      <c r="K1091"/>
      <c r="L1091"/>
      <c r="M1091"/>
      <c r="N1091"/>
    </row>
    <row r="1092" spans="1:14" ht="15" customHeight="1">
      <c r="A1092"/>
      <c r="B1092"/>
      <c r="C1092"/>
      <c r="D1092"/>
      <c r="E1092"/>
      <c r="F1092"/>
      <c r="G1092"/>
      <c r="H1092"/>
      <c r="I1092"/>
      <c r="J1092"/>
      <c r="K1092"/>
      <c r="L1092"/>
      <c r="M1092"/>
      <c r="N1092"/>
    </row>
    <row r="1093" spans="1:14" ht="15" customHeight="1">
      <c r="A1093"/>
      <c r="B1093"/>
      <c r="C1093"/>
      <c r="D1093"/>
      <c r="E1093"/>
      <c r="F1093"/>
      <c r="G1093"/>
      <c r="H1093"/>
      <c r="I1093"/>
      <c r="J1093"/>
      <c r="K1093"/>
      <c r="L1093"/>
      <c r="M1093"/>
      <c r="N1093"/>
    </row>
    <row r="1094" spans="1:14" ht="15" customHeight="1">
      <c r="A1094"/>
      <c r="B1094"/>
      <c r="C1094"/>
      <c r="D1094"/>
      <c r="E1094"/>
      <c r="F1094"/>
      <c r="G1094"/>
      <c r="H1094"/>
      <c r="I1094"/>
      <c r="J1094"/>
      <c r="K1094"/>
      <c r="L1094"/>
      <c r="M1094"/>
      <c r="N1094"/>
    </row>
    <row r="1095" spans="1:14" customFormat="1" ht="15" customHeight="1"/>
    <row r="1096" spans="1:14" customFormat="1" ht="15" customHeight="1"/>
    <row r="1097" spans="1:14" ht="39" customHeight="1">
      <c r="A1097"/>
      <c r="B1097"/>
      <c r="C1097"/>
      <c r="D1097"/>
      <c r="E1097"/>
      <c r="F1097"/>
      <c r="G1097"/>
      <c r="H1097"/>
      <c r="I1097"/>
      <c r="J1097"/>
      <c r="K1097"/>
      <c r="L1097"/>
      <c r="M1097"/>
      <c r="N1097"/>
    </row>
    <row r="1098" spans="1:14" ht="30" customHeight="1">
      <c r="A1098"/>
      <c r="B1098"/>
      <c r="C1098"/>
      <c r="D1098"/>
      <c r="E1098"/>
      <c r="F1098"/>
      <c r="G1098"/>
      <c r="H1098"/>
      <c r="I1098"/>
      <c r="J1098"/>
      <c r="K1098"/>
      <c r="L1098"/>
      <c r="M1098"/>
      <c r="N1098"/>
    </row>
    <row r="1099" spans="1:14" s="263" customFormat="1" ht="24" customHeight="1">
      <c r="A1099"/>
      <c r="B1099"/>
      <c r="C1099"/>
      <c r="D1099"/>
      <c r="E1099"/>
      <c r="F1099"/>
      <c r="G1099"/>
      <c r="H1099"/>
      <c r="I1099"/>
      <c r="J1099"/>
      <c r="K1099"/>
      <c r="L1099"/>
      <c r="M1099"/>
      <c r="N1099"/>
    </row>
    <row r="1100" spans="1:14" ht="15" customHeight="1">
      <c r="A1100"/>
      <c r="B1100"/>
      <c r="C1100"/>
      <c r="D1100"/>
      <c r="E1100"/>
      <c r="F1100"/>
      <c r="G1100"/>
      <c r="H1100"/>
      <c r="I1100"/>
      <c r="J1100"/>
      <c r="K1100"/>
      <c r="L1100"/>
      <c r="M1100"/>
      <c r="N1100"/>
    </row>
    <row r="1101" spans="1:14">
      <c r="A1101"/>
      <c r="B1101"/>
      <c r="C1101"/>
      <c r="D1101"/>
      <c r="E1101"/>
      <c r="F1101"/>
      <c r="G1101"/>
      <c r="H1101"/>
      <c r="I1101"/>
      <c r="J1101"/>
      <c r="K1101"/>
      <c r="L1101"/>
      <c r="M1101"/>
      <c r="N1101"/>
    </row>
    <row r="1102" spans="1:14" s="263" customFormat="1" ht="15" customHeight="1">
      <c r="A1102"/>
      <c r="B1102"/>
      <c r="C1102"/>
      <c r="D1102"/>
      <c r="E1102"/>
      <c r="F1102"/>
      <c r="G1102"/>
      <c r="H1102"/>
      <c r="I1102"/>
      <c r="J1102"/>
      <c r="K1102"/>
      <c r="L1102"/>
      <c r="M1102"/>
      <c r="N1102"/>
    </row>
    <row r="1103" spans="1:14" ht="15" customHeight="1">
      <c r="A1103"/>
      <c r="B1103"/>
      <c r="C1103"/>
      <c r="D1103"/>
      <c r="E1103"/>
      <c r="F1103"/>
      <c r="G1103"/>
      <c r="H1103"/>
      <c r="I1103"/>
      <c r="J1103"/>
      <c r="K1103"/>
      <c r="L1103"/>
      <c r="M1103"/>
      <c r="N1103"/>
    </row>
    <row r="1104" spans="1:14" ht="30" customHeight="1">
      <c r="A1104"/>
      <c r="B1104"/>
      <c r="C1104"/>
      <c r="D1104"/>
      <c r="E1104"/>
      <c r="F1104"/>
      <c r="G1104"/>
      <c r="H1104"/>
      <c r="I1104"/>
      <c r="J1104"/>
      <c r="K1104"/>
      <c r="L1104"/>
      <c r="M1104"/>
      <c r="N1104"/>
    </row>
    <row r="1105" spans="1:14" s="263" customFormat="1" ht="15" customHeight="1">
      <c r="A1105"/>
      <c r="B1105"/>
      <c r="C1105"/>
      <c r="D1105"/>
      <c r="E1105"/>
      <c r="F1105"/>
      <c r="G1105"/>
      <c r="H1105"/>
      <c r="I1105"/>
      <c r="J1105"/>
      <c r="K1105"/>
      <c r="L1105"/>
      <c r="M1105"/>
      <c r="N1105"/>
    </row>
    <row r="1106" spans="1:14" s="263" customFormat="1" ht="15" customHeight="1">
      <c r="A1106"/>
      <c r="B1106"/>
      <c r="C1106"/>
      <c r="D1106"/>
      <c r="E1106"/>
      <c r="F1106"/>
      <c r="G1106"/>
      <c r="H1106"/>
      <c r="I1106"/>
      <c r="J1106"/>
      <c r="K1106"/>
      <c r="L1106"/>
      <c r="M1106"/>
      <c r="N1106"/>
    </row>
    <row r="1107" spans="1:14" ht="21.75" customHeight="1">
      <c r="A1107"/>
      <c r="B1107"/>
      <c r="C1107"/>
      <c r="D1107"/>
      <c r="E1107"/>
      <c r="F1107"/>
      <c r="G1107"/>
      <c r="H1107"/>
      <c r="I1107"/>
      <c r="J1107"/>
      <c r="K1107"/>
      <c r="L1107"/>
      <c r="M1107"/>
      <c r="N1107"/>
    </row>
    <row r="1108" spans="1:14" ht="66.75" customHeight="1">
      <c r="A1108"/>
      <c r="B1108"/>
      <c r="C1108"/>
      <c r="D1108"/>
      <c r="E1108"/>
      <c r="F1108"/>
      <c r="G1108"/>
      <c r="H1108"/>
      <c r="I1108"/>
      <c r="J1108"/>
      <c r="K1108"/>
      <c r="L1108"/>
      <c r="M1108"/>
      <c r="N1108"/>
    </row>
    <row r="1109" spans="1:14" ht="15" customHeight="1">
      <c r="A1109"/>
      <c r="B1109"/>
      <c r="C1109"/>
      <c r="D1109"/>
      <c r="E1109"/>
      <c r="F1109"/>
      <c r="G1109"/>
      <c r="H1109"/>
      <c r="I1109"/>
      <c r="J1109"/>
      <c r="K1109"/>
      <c r="L1109"/>
      <c r="M1109"/>
      <c r="N1109"/>
    </row>
    <row r="1110" spans="1:14" ht="15" customHeight="1">
      <c r="A1110"/>
      <c r="B1110"/>
      <c r="C1110"/>
      <c r="D1110"/>
      <c r="E1110"/>
      <c r="F1110"/>
      <c r="G1110"/>
      <c r="H1110"/>
      <c r="I1110"/>
      <c r="J1110"/>
      <c r="K1110"/>
      <c r="L1110"/>
      <c r="M1110"/>
      <c r="N1110"/>
    </row>
    <row r="1111" spans="1:14" ht="15" customHeight="1">
      <c r="A1111"/>
      <c r="B1111"/>
      <c r="C1111"/>
      <c r="D1111"/>
      <c r="E1111"/>
      <c r="F1111"/>
      <c r="G1111"/>
      <c r="H1111"/>
      <c r="I1111"/>
      <c r="J1111"/>
      <c r="K1111"/>
      <c r="L1111"/>
      <c r="M1111"/>
      <c r="N1111"/>
    </row>
    <row r="1112" spans="1:14" ht="15" customHeight="1">
      <c r="A1112"/>
      <c r="B1112"/>
      <c r="C1112"/>
      <c r="D1112"/>
      <c r="E1112"/>
      <c r="F1112"/>
      <c r="G1112"/>
      <c r="H1112"/>
      <c r="I1112"/>
      <c r="J1112"/>
      <c r="K1112"/>
      <c r="L1112"/>
      <c r="M1112"/>
      <c r="N1112"/>
    </row>
    <row r="1113" spans="1:14" ht="15" customHeight="1">
      <c r="A1113"/>
      <c r="B1113"/>
      <c r="C1113"/>
      <c r="D1113"/>
      <c r="E1113"/>
      <c r="F1113"/>
      <c r="G1113"/>
      <c r="H1113"/>
      <c r="I1113"/>
      <c r="J1113"/>
      <c r="K1113"/>
      <c r="L1113"/>
      <c r="M1113"/>
      <c r="N1113"/>
    </row>
    <row r="1114" spans="1:14" ht="15" customHeight="1">
      <c r="A1114"/>
      <c r="B1114"/>
      <c r="C1114"/>
      <c r="D1114"/>
      <c r="E1114"/>
      <c r="F1114"/>
      <c r="G1114"/>
      <c r="H1114"/>
      <c r="I1114"/>
      <c r="J1114"/>
      <c r="K1114"/>
      <c r="L1114"/>
      <c r="M1114"/>
      <c r="N1114"/>
    </row>
    <row r="1115" spans="1:14" ht="15" customHeight="1">
      <c r="A1115"/>
      <c r="B1115"/>
      <c r="C1115"/>
      <c r="D1115"/>
      <c r="E1115"/>
      <c r="F1115"/>
      <c r="G1115"/>
      <c r="H1115"/>
      <c r="I1115"/>
      <c r="J1115"/>
      <c r="K1115"/>
      <c r="L1115"/>
      <c r="M1115"/>
      <c r="N1115"/>
    </row>
    <row r="1116" spans="1:14" ht="15" customHeight="1">
      <c r="A1116"/>
      <c r="B1116"/>
      <c r="C1116"/>
      <c r="D1116"/>
      <c r="E1116"/>
      <c r="F1116"/>
      <c r="G1116"/>
      <c r="H1116"/>
      <c r="I1116"/>
      <c r="J1116"/>
      <c r="K1116"/>
      <c r="L1116"/>
      <c r="M1116"/>
      <c r="N1116"/>
    </row>
    <row r="1117" spans="1:14" ht="15" customHeight="1">
      <c r="A1117"/>
      <c r="B1117"/>
      <c r="C1117"/>
      <c r="D1117"/>
      <c r="E1117"/>
      <c r="F1117"/>
      <c r="G1117"/>
      <c r="H1117"/>
      <c r="I1117"/>
      <c r="J1117"/>
      <c r="K1117"/>
      <c r="L1117"/>
      <c r="M1117"/>
      <c r="N1117"/>
    </row>
    <row r="1118" spans="1:14" ht="15" customHeight="1">
      <c r="A1118"/>
      <c r="B1118"/>
      <c r="C1118"/>
      <c r="D1118"/>
      <c r="E1118"/>
      <c r="F1118"/>
      <c r="G1118"/>
      <c r="H1118"/>
      <c r="I1118"/>
      <c r="J1118"/>
      <c r="K1118"/>
      <c r="L1118"/>
      <c r="M1118"/>
      <c r="N1118"/>
    </row>
    <row r="1119" spans="1:14" ht="15" customHeight="1">
      <c r="A1119"/>
      <c r="B1119"/>
      <c r="C1119"/>
      <c r="D1119"/>
      <c r="E1119"/>
      <c r="F1119"/>
      <c r="G1119"/>
      <c r="H1119"/>
      <c r="I1119"/>
      <c r="J1119"/>
      <c r="K1119"/>
      <c r="L1119"/>
      <c r="M1119"/>
      <c r="N1119"/>
    </row>
    <row r="1120" spans="1:14" ht="15" customHeight="1">
      <c r="A1120"/>
      <c r="B1120"/>
      <c r="C1120"/>
      <c r="D1120"/>
      <c r="E1120"/>
      <c r="F1120"/>
      <c r="G1120"/>
      <c r="H1120"/>
      <c r="I1120"/>
      <c r="J1120"/>
      <c r="K1120"/>
      <c r="L1120"/>
      <c r="M1120"/>
      <c r="N1120"/>
    </row>
    <row r="1121" spans="1:14" ht="15" customHeight="1">
      <c r="A1121"/>
      <c r="B1121"/>
      <c r="C1121"/>
      <c r="D1121"/>
      <c r="E1121"/>
      <c r="F1121"/>
      <c r="G1121"/>
      <c r="H1121"/>
      <c r="I1121"/>
      <c r="J1121"/>
      <c r="K1121"/>
      <c r="L1121"/>
      <c r="M1121"/>
      <c r="N1121"/>
    </row>
    <row r="1122" spans="1:14" ht="15" customHeight="1">
      <c r="A1122"/>
      <c r="B1122"/>
      <c r="C1122"/>
      <c r="D1122"/>
      <c r="E1122"/>
      <c r="F1122"/>
      <c r="G1122"/>
      <c r="H1122"/>
      <c r="I1122"/>
      <c r="J1122"/>
      <c r="K1122"/>
      <c r="L1122"/>
      <c r="M1122"/>
      <c r="N1122"/>
    </row>
    <row r="1123" spans="1:14" ht="15" customHeight="1">
      <c r="A1123"/>
      <c r="B1123"/>
      <c r="C1123"/>
      <c r="D1123"/>
      <c r="E1123"/>
      <c r="F1123"/>
      <c r="G1123"/>
      <c r="H1123"/>
      <c r="I1123"/>
      <c r="J1123"/>
      <c r="K1123"/>
      <c r="L1123"/>
      <c r="M1123"/>
      <c r="N1123"/>
    </row>
    <row r="1124" spans="1:14" ht="15" customHeight="1">
      <c r="A1124"/>
      <c r="B1124"/>
      <c r="C1124"/>
      <c r="D1124"/>
      <c r="E1124"/>
      <c r="F1124"/>
      <c r="G1124"/>
      <c r="H1124"/>
      <c r="I1124"/>
      <c r="J1124"/>
      <c r="K1124"/>
      <c r="L1124"/>
      <c r="M1124"/>
      <c r="N1124"/>
    </row>
    <row r="1125" spans="1:14" ht="15" customHeight="1">
      <c r="A1125"/>
      <c r="B1125"/>
      <c r="C1125"/>
      <c r="D1125"/>
      <c r="E1125"/>
      <c r="F1125"/>
      <c r="G1125"/>
      <c r="H1125"/>
      <c r="I1125"/>
      <c r="J1125"/>
      <c r="K1125"/>
      <c r="L1125"/>
      <c r="M1125"/>
      <c r="N1125"/>
    </row>
    <row r="1126" spans="1:14" ht="15" customHeight="1">
      <c r="A1126"/>
      <c r="B1126"/>
      <c r="C1126"/>
      <c r="D1126"/>
      <c r="E1126"/>
      <c r="F1126"/>
      <c r="G1126"/>
      <c r="H1126"/>
      <c r="I1126"/>
      <c r="J1126"/>
      <c r="K1126"/>
      <c r="L1126"/>
      <c r="M1126"/>
      <c r="N1126"/>
    </row>
    <row r="1127" spans="1:14" ht="15" customHeight="1">
      <c r="A1127"/>
      <c r="B1127"/>
      <c r="C1127"/>
      <c r="D1127"/>
      <c r="E1127"/>
      <c r="F1127"/>
      <c r="G1127"/>
      <c r="H1127"/>
      <c r="I1127"/>
      <c r="J1127"/>
      <c r="K1127"/>
      <c r="L1127"/>
      <c r="M1127"/>
      <c r="N1127"/>
    </row>
    <row r="1128" spans="1:14" ht="15" customHeight="1">
      <c r="A1128"/>
      <c r="B1128"/>
      <c r="C1128"/>
      <c r="D1128"/>
      <c r="E1128"/>
      <c r="F1128"/>
      <c r="G1128"/>
      <c r="H1128"/>
      <c r="I1128"/>
      <c r="J1128"/>
      <c r="K1128"/>
      <c r="L1128"/>
      <c r="M1128"/>
      <c r="N1128"/>
    </row>
    <row r="1129" spans="1:14" ht="15" customHeight="1">
      <c r="A1129"/>
      <c r="B1129"/>
      <c r="C1129"/>
      <c r="D1129"/>
      <c r="E1129"/>
      <c r="F1129"/>
      <c r="G1129"/>
      <c r="H1129"/>
      <c r="I1129"/>
      <c r="J1129"/>
      <c r="K1129"/>
      <c r="L1129"/>
      <c r="M1129"/>
      <c r="N1129"/>
    </row>
    <row r="1130" spans="1:14" ht="15" customHeight="1">
      <c r="A1130"/>
      <c r="B1130"/>
      <c r="C1130"/>
      <c r="D1130"/>
      <c r="E1130"/>
      <c r="F1130"/>
      <c r="G1130"/>
      <c r="H1130"/>
      <c r="I1130"/>
      <c r="J1130"/>
      <c r="K1130"/>
      <c r="L1130"/>
      <c r="M1130"/>
      <c r="N1130"/>
    </row>
    <row r="1131" spans="1:14" ht="15" customHeight="1">
      <c r="A1131"/>
      <c r="B1131"/>
      <c r="C1131"/>
      <c r="D1131"/>
      <c r="E1131"/>
      <c r="F1131"/>
      <c r="G1131"/>
      <c r="H1131"/>
      <c r="I1131"/>
      <c r="J1131"/>
      <c r="K1131"/>
      <c r="L1131"/>
      <c r="M1131"/>
      <c r="N1131"/>
    </row>
    <row r="1132" spans="1:14" ht="15" customHeight="1">
      <c r="A1132"/>
      <c r="B1132"/>
      <c r="C1132"/>
      <c r="D1132"/>
      <c r="E1132"/>
      <c r="F1132"/>
      <c r="G1132"/>
      <c r="H1132"/>
      <c r="I1132"/>
      <c r="J1132"/>
      <c r="K1132"/>
      <c r="L1132"/>
      <c r="M1132"/>
      <c r="N1132"/>
    </row>
    <row r="1133" spans="1:14" ht="15" customHeight="1">
      <c r="A1133"/>
      <c r="B1133"/>
      <c r="C1133"/>
      <c r="D1133"/>
      <c r="E1133"/>
      <c r="F1133"/>
      <c r="G1133"/>
      <c r="H1133"/>
      <c r="I1133"/>
      <c r="J1133"/>
      <c r="K1133"/>
      <c r="L1133"/>
      <c r="M1133"/>
      <c r="N1133"/>
    </row>
    <row r="1134" spans="1:14" ht="15" customHeight="1">
      <c r="A1134"/>
      <c r="B1134"/>
      <c r="C1134"/>
      <c r="D1134"/>
      <c r="E1134"/>
      <c r="F1134"/>
      <c r="G1134"/>
      <c r="H1134"/>
      <c r="I1134"/>
      <c r="J1134"/>
      <c r="K1134"/>
      <c r="L1134"/>
      <c r="M1134"/>
      <c r="N1134"/>
    </row>
    <row r="1135" spans="1:14" ht="15" customHeight="1">
      <c r="A1135"/>
      <c r="B1135"/>
      <c r="C1135"/>
      <c r="D1135"/>
      <c r="E1135"/>
      <c r="F1135"/>
      <c r="G1135"/>
      <c r="H1135"/>
      <c r="I1135"/>
      <c r="J1135"/>
      <c r="K1135"/>
      <c r="L1135"/>
      <c r="M1135"/>
      <c r="N1135"/>
    </row>
    <row r="1136" spans="1:14" ht="15" customHeight="1">
      <c r="A1136"/>
      <c r="B1136"/>
      <c r="C1136"/>
      <c r="D1136"/>
      <c r="E1136"/>
      <c r="F1136"/>
      <c r="G1136"/>
      <c r="H1136"/>
      <c r="I1136"/>
      <c r="J1136"/>
      <c r="K1136"/>
      <c r="L1136"/>
      <c r="M1136"/>
      <c r="N1136"/>
    </row>
    <row r="1137" spans="1:14" customFormat="1" ht="15" customHeight="1"/>
    <row r="1138" spans="1:14" customFormat="1" ht="15" customHeight="1"/>
    <row r="1139" spans="1:14" ht="39" customHeight="1">
      <c r="A1139"/>
      <c r="B1139"/>
      <c r="C1139"/>
      <c r="D1139"/>
      <c r="E1139"/>
      <c r="F1139"/>
      <c r="G1139"/>
      <c r="H1139"/>
      <c r="I1139"/>
      <c r="J1139"/>
      <c r="K1139"/>
      <c r="L1139"/>
      <c r="M1139"/>
      <c r="N1139"/>
    </row>
    <row r="1140" spans="1:14" ht="30" customHeight="1">
      <c r="A1140"/>
      <c r="B1140"/>
      <c r="C1140"/>
      <c r="D1140"/>
      <c r="E1140"/>
      <c r="F1140"/>
      <c r="G1140"/>
      <c r="H1140"/>
      <c r="I1140"/>
      <c r="J1140"/>
      <c r="K1140"/>
      <c r="L1140"/>
      <c r="M1140"/>
      <c r="N1140"/>
    </row>
    <row r="1141" spans="1:14" s="263" customFormat="1" ht="24" customHeight="1">
      <c r="A1141"/>
      <c r="B1141"/>
      <c r="C1141"/>
      <c r="D1141"/>
      <c r="E1141"/>
      <c r="F1141"/>
      <c r="G1141"/>
      <c r="H1141"/>
      <c r="I1141"/>
      <c r="J1141"/>
      <c r="K1141"/>
      <c r="L1141"/>
      <c r="M1141"/>
      <c r="N1141"/>
    </row>
    <row r="1142" spans="1:14" ht="15" customHeight="1">
      <c r="A1142"/>
      <c r="B1142"/>
      <c r="C1142"/>
      <c r="D1142"/>
      <c r="E1142"/>
      <c r="F1142"/>
      <c r="G1142"/>
      <c r="H1142"/>
      <c r="I1142"/>
      <c r="J1142"/>
      <c r="K1142"/>
      <c r="L1142"/>
      <c r="M1142"/>
      <c r="N1142"/>
    </row>
    <row r="1143" spans="1:14">
      <c r="A1143"/>
      <c r="B1143"/>
      <c r="C1143"/>
      <c r="D1143"/>
      <c r="E1143"/>
      <c r="F1143"/>
      <c r="G1143"/>
      <c r="H1143"/>
      <c r="I1143"/>
      <c r="J1143"/>
      <c r="K1143"/>
      <c r="L1143"/>
      <c r="M1143"/>
      <c r="N1143"/>
    </row>
    <row r="1144" spans="1:14" s="263" customFormat="1" ht="15" customHeight="1">
      <c r="A1144"/>
      <c r="B1144"/>
      <c r="C1144"/>
      <c r="D1144"/>
      <c r="E1144"/>
      <c r="F1144"/>
      <c r="G1144"/>
      <c r="H1144"/>
      <c r="I1144"/>
      <c r="J1144"/>
      <c r="K1144"/>
      <c r="L1144"/>
      <c r="M1144"/>
      <c r="N1144"/>
    </row>
    <row r="1145" spans="1:14" ht="15" customHeight="1">
      <c r="A1145"/>
      <c r="B1145"/>
      <c r="C1145"/>
      <c r="D1145"/>
      <c r="E1145"/>
      <c r="F1145"/>
      <c r="G1145"/>
      <c r="H1145"/>
      <c r="I1145"/>
      <c r="J1145"/>
      <c r="K1145"/>
      <c r="L1145"/>
      <c r="M1145"/>
      <c r="N1145"/>
    </row>
    <row r="1146" spans="1:14" ht="30" customHeight="1">
      <c r="A1146"/>
      <c r="B1146"/>
      <c r="C1146"/>
      <c r="D1146"/>
      <c r="E1146"/>
      <c r="F1146"/>
      <c r="G1146"/>
      <c r="H1146"/>
      <c r="I1146"/>
      <c r="J1146"/>
      <c r="K1146"/>
      <c r="L1146"/>
      <c r="M1146"/>
      <c r="N1146"/>
    </row>
    <row r="1147" spans="1:14" s="263" customFormat="1" ht="15" customHeight="1">
      <c r="A1147"/>
      <c r="B1147"/>
      <c r="C1147"/>
      <c r="D1147"/>
      <c r="E1147"/>
      <c r="F1147"/>
      <c r="G1147"/>
      <c r="H1147"/>
      <c r="I1147"/>
      <c r="J1147"/>
      <c r="K1147"/>
      <c r="L1147"/>
      <c r="M1147"/>
      <c r="N1147"/>
    </row>
    <row r="1148" spans="1:14" s="263" customFormat="1" ht="15" customHeight="1">
      <c r="A1148"/>
      <c r="B1148"/>
      <c r="C1148"/>
      <c r="D1148"/>
      <c r="E1148"/>
      <c r="F1148"/>
      <c r="G1148"/>
      <c r="H1148"/>
      <c r="I1148"/>
      <c r="J1148"/>
      <c r="K1148"/>
      <c r="L1148"/>
      <c r="M1148"/>
      <c r="N1148"/>
    </row>
    <row r="1149" spans="1:14" ht="21.75" customHeight="1">
      <c r="A1149"/>
      <c r="B1149"/>
      <c r="C1149"/>
      <c r="D1149"/>
      <c r="E1149"/>
      <c r="F1149"/>
      <c r="G1149"/>
      <c r="H1149"/>
      <c r="I1149"/>
      <c r="J1149"/>
      <c r="K1149"/>
      <c r="L1149"/>
      <c r="M1149"/>
      <c r="N1149"/>
    </row>
    <row r="1150" spans="1:14" ht="66.75" customHeight="1">
      <c r="A1150"/>
      <c r="B1150"/>
      <c r="C1150"/>
      <c r="D1150"/>
      <c r="E1150"/>
      <c r="F1150"/>
      <c r="G1150"/>
      <c r="H1150"/>
      <c r="I1150"/>
      <c r="J1150"/>
      <c r="K1150"/>
      <c r="L1150"/>
      <c r="M1150"/>
      <c r="N1150"/>
    </row>
    <row r="1151" spans="1:14" ht="15" customHeight="1">
      <c r="A1151"/>
      <c r="B1151"/>
      <c r="C1151"/>
      <c r="D1151"/>
      <c r="E1151"/>
      <c r="F1151"/>
      <c r="G1151"/>
      <c r="H1151"/>
      <c r="I1151"/>
      <c r="J1151"/>
      <c r="K1151"/>
      <c r="L1151"/>
      <c r="M1151"/>
      <c r="N1151"/>
    </row>
    <row r="1152" spans="1:14" ht="15" customHeight="1">
      <c r="A1152"/>
      <c r="B1152"/>
      <c r="C1152"/>
      <c r="D1152"/>
      <c r="E1152"/>
      <c r="F1152"/>
      <c r="G1152"/>
      <c r="H1152"/>
      <c r="I1152"/>
      <c r="J1152"/>
      <c r="K1152"/>
      <c r="L1152"/>
      <c r="M1152"/>
      <c r="N1152"/>
    </row>
    <row r="1153" spans="1:14" ht="15" customHeight="1">
      <c r="A1153"/>
      <c r="B1153"/>
      <c r="C1153"/>
      <c r="D1153"/>
      <c r="E1153"/>
      <c r="F1153"/>
      <c r="G1153"/>
      <c r="H1153"/>
      <c r="I1153"/>
      <c r="J1153"/>
      <c r="K1153"/>
      <c r="L1153"/>
      <c r="M1153"/>
      <c r="N1153"/>
    </row>
    <row r="1154" spans="1:14" ht="15" customHeight="1">
      <c r="A1154"/>
      <c r="B1154"/>
      <c r="C1154"/>
      <c r="D1154"/>
      <c r="E1154"/>
      <c r="F1154"/>
      <c r="G1154"/>
      <c r="H1154"/>
      <c r="I1154"/>
      <c r="J1154"/>
      <c r="K1154"/>
      <c r="L1154"/>
      <c r="M1154"/>
      <c r="N1154"/>
    </row>
    <row r="1155" spans="1:14" ht="15" customHeight="1">
      <c r="A1155"/>
      <c r="B1155"/>
      <c r="C1155"/>
      <c r="D1155"/>
      <c r="E1155"/>
      <c r="F1155"/>
      <c r="G1155"/>
      <c r="H1155"/>
      <c r="I1155"/>
      <c r="J1155"/>
      <c r="K1155"/>
      <c r="L1155"/>
      <c r="M1155"/>
      <c r="N1155"/>
    </row>
    <row r="1156" spans="1:14" ht="15" customHeight="1">
      <c r="A1156"/>
      <c r="B1156"/>
      <c r="C1156"/>
      <c r="D1156"/>
      <c r="E1156"/>
      <c r="F1156"/>
      <c r="G1156"/>
      <c r="H1156"/>
      <c r="I1156"/>
      <c r="J1156"/>
      <c r="K1156"/>
      <c r="L1156"/>
      <c r="M1156"/>
      <c r="N1156"/>
    </row>
    <row r="1157" spans="1:14" ht="15" customHeight="1">
      <c r="A1157"/>
      <c r="B1157"/>
      <c r="C1157"/>
      <c r="D1157"/>
      <c r="E1157"/>
      <c r="F1157"/>
      <c r="G1157"/>
      <c r="H1157"/>
      <c r="I1157"/>
      <c r="J1157"/>
      <c r="K1157"/>
      <c r="L1157"/>
      <c r="M1157"/>
      <c r="N1157"/>
    </row>
    <row r="1158" spans="1:14" ht="15" customHeight="1">
      <c r="A1158"/>
      <c r="B1158"/>
      <c r="C1158"/>
      <c r="D1158"/>
      <c r="E1158"/>
      <c r="F1158"/>
      <c r="G1158"/>
      <c r="H1158"/>
      <c r="I1158"/>
      <c r="J1158"/>
      <c r="K1158"/>
      <c r="L1158"/>
      <c r="M1158"/>
      <c r="N1158"/>
    </row>
    <row r="1159" spans="1:14" ht="15" customHeight="1">
      <c r="A1159"/>
      <c r="B1159"/>
      <c r="C1159"/>
      <c r="D1159"/>
      <c r="E1159"/>
      <c r="F1159"/>
      <c r="G1159"/>
      <c r="H1159"/>
      <c r="I1159"/>
      <c r="J1159"/>
      <c r="K1159"/>
      <c r="L1159"/>
      <c r="M1159"/>
      <c r="N1159"/>
    </row>
    <row r="1160" spans="1:14" ht="15" customHeight="1">
      <c r="A1160"/>
      <c r="B1160"/>
      <c r="C1160"/>
      <c r="D1160"/>
      <c r="E1160"/>
      <c r="F1160"/>
      <c r="G1160"/>
      <c r="H1160"/>
      <c r="I1160"/>
      <c r="J1160"/>
      <c r="K1160"/>
      <c r="L1160"/>
      <c r="M1160"/>
      <c r="N1160"/>
    </row>
    <row r="1161" spans="1:14" ht="15" customHeight="1">
      <c r="A1161"/>
      <c r="B1161"/>
      <c r="C1161"/>
      <c r="D1161"/>
      <c r="E1161"/>
      <c r="F1161"/>
      <c r="G1161"/>
      <c r="H1161"/>
      <c r="I1161"/>
      <c r="J1161"/>
      <c r="K1161"/>
      <c r="L1161"/>
      <c r="M1161"/>
      <c r="N1161"/>
    </row>
    <row r="1162" spans="1:14" ht="15" customHeight="1">
      <c r="A1162"/>
      <c r="B1162"/>
      <c r="C1162"/>
      <c r="D1162"/>
      <c r="E1162"/>
      <c r="F1162"/>
      <c r="G1162"/>
      <c r="H1162"/>
      <c r="I1162"/>
      <c r="J1162"/>
      <c r="K1162"/>
      <c r="L1162"/>
      <c r="M1162"/>
      <c r="N1162"/>
    </row>
    <row r="1163" spans="1:14" ht="15" customHeight="1">
      <c r="A1163"/>
      <c r="B1163"/>
      <c r="C1163"/>
      <c r="D1163"/>
      <c r="E1163"/>
      <c r="F1163"/>
      <c r="G1163"/>
      <c r="H1163"/>
      <c r="I1163"/>
      <c r="J1163"/>
      <c r="K1163"/>
      <c r="L1163"/>
      <c r="M1163"/>
      <c r="N1163"/>
    </row>
    <row r="1164" spans="1:14" ht="15" customHeight="1">
      <c r="A1164"/>
      <c r="B1164"/>
      <c r="C1164"/>
      <c r="D1164"/>
      <c r="E1164"/>
      <c r="F1164"/>
      <c r="G1164"/>
      <c r="H1164"/>
      <c r="I1164"/>
      <c r="J1164"/>
      <c r="K1164"/>
      <c r="L1164"/>
      <c r="M1164"/>
      <c r="N1164"/>
    </row>
    <row r="1165" spans="1:14" ht="15" customHeight="1">
      <c r="A1165"/>
      <c r="B1165"/>
      <c r="C1165"/>
      <c r="D1165"/>
      <c r="E1165"/>
      <c r="F1165"/>
      <c r="G1165"/>
      <c r="H1165"/>
      <c r="I1165"/>
      <c r="J1165"/>
      <c r="K1165"/>
      <c r="L1165"/>
      <c r="M1165"/>
      <c r="N1165"/>
    </row>
    <row r="1166" spans="1:14" ht="15" customHeight="1">
      <c r="A1166"/>
      <c r="B1166"/>
      <c r="C1166"/>
      <c r="D1166"/>
      <c r="E1166"/>
      <c r="F1166"/>
      <c r="G1166"/>
      <c r="H1166"/>
      <c r="I1166"/>
      <c r="J1166"/>
      <c r="K1166"/>
      <c r="L1166"/>
      <c r="M1166"/>
      <c r="N1166"/>
    </row>
    <row r="1167" spans="1:14" ht="15" customHeight="1">
      <c r="A1167"/>
      <c r="B1167"/>
      <c r="C1167"/>
      <c r="D1167"/>
      <c r="E1167"/>
      <c r="F1167"/>
      <c r="G1167"/>
      <c r="H1167"/>
      <c r="I1167"/>
      <c r="J1167"/>
      <c r="K1167"/>
      <c r="L1167"/>
      <c r="M1167"/>
      <c r="N1167"/>
    </row>
    <row r="1168" spans="1:14" ht="15" customHeight="1">
      <c r="A1168"/>
      <c r="B1168"/>
      <c r="C1168"/>
      <c r="D1168"/>
      <c r="E1168"/>
      <c r="F1168"/>
      <c r="G1168"/>
      <c r="H1168"/>
      <c r="I1168"/>
      <c r="J1168"/>
      <c r="K1168"/>
      <c r="L1168"/>
      <c r="M1168"/>
      <c r="N1168"/>
    </row>
    <row r="1169" spans="1:14" ht="15" customHeight="1">
      <c r="A1169"/>
      <c r="B1169"/>
      <c r="C1169"/>
      <c r="D1169"/>
      <c r="E1169"/>
      <c r="F1169"/>
      <c r="G1169"/>
      <c r="H1169"/>
      <c r="I1169"/>
      <c r="J1169"/>
      <c r="K1169"/>
      <c r="L1169"/>
      <c r="M1169"/>
      <c r="N1169"/>
    </row>
    <row r="1170" spans="1:14" ht="15" customHeight="1">
      <c r="A1170"/>
      <c r="B1170"/>
      <c r="C1170"/>
      <c r="D1170"/>
      <c r="E1170"/>
      <c r="F1170"/>
      <c r="G1170"/>
      <c r="H1170"/>
      <c r="I1170"/>
      <c r="J1170"/>
      <c r="K1170"/>
      <c r="L1170"/>
      <c r="M1170"/>
      <c r="N1170"/>
    </row>
    <row r="1171" spans="1:14" ht="15" customHeight="1">
      <c r="A1171"/>
      <c r="B1171"/>
      <c r="C1171"/>
      <c r="D1171"/>
      <c r="E1171"/>
      <c r="F1171"/>
      <c r="G1171"/>
      <c r="H1171"/>
      <c r="I1171"/>
      <c r="J1171"/>
      <c r="K1171"/>
      <c r="L1171"/>
      <c r="M1171"/>
      <c r="N1171"/>
    </row>
    <row r="1172" spans="1:14" ht="15" customHeight="1">
      <c r="A1172"/>
      <c r="B1172"/>
      <c r="C1172"/>
      <c r="D1172"/>
      <c r="E1172"/>
      <c r="F1172"/>
      <c r="G1172"/>
      <c r="H1172"/>
      <c r="I1172"/>
      <c r="J1172"/>
      <c r="K1172"/>
      <c r="L1172"/>
      <c r="M1172"/>
      <c r="N1172"/>
    </row>
    <row r="1173" spans="1:14" ht="15" customHeight="1">
      <c r="A1173"/>
      <c r="B1173"/>
      <c r="C1173"/>
      <c r="D1173"/>
      <c r="E1173"/>
      <c r="F1173"/>
      <c r="G1173"/>
      <c r="H1173"/>
      <c r="I1173"/>
      <c r="J1173"/>
      <c r="K1173"/>
      <c r="L1173"/>
      <c r="M1173"/>
      <c r="N1173"/>
    </row>
    <row r="1174" spans="1:14" ht="15" customHeight="1">
      <c r="A1174"/>
      <c r="B1174"/>
      <c r="C1174"/>
      <c r="D1174"/>
      <c r="E1174"/>
      <c r="F1174"/>
      <c r="G1174"/>
      <c r="H1174"/>
      <c r="I1174"/>
      <c r="J1174"/>
      <c r="K1174"/>
      <c r="L1174"/>
      <c r="M1174"/>
      <c r="N1174"/>
    </row>
    <row r="1175" spans="1:14" ht="15" customHeight="1">
      <c r="A1175"/>
      <c r="B1175"/>
      <c r="C1175"/>
      <c r="D1175"/>
      <c r="E1175"/>
      <c r="F1175"/>
      <c r="G1175"/>
      <c r="H1175"/>
      <c r="I1175"/>
      <c r="J1175"/>
      <c r="K1175"/>
      <c r="L1175"/>
      <c r="M1175"/>
      <c r="N1175"/>
    </row>
    <row r="1176" spans="1:14" ht="15" customHeight="1">
      <c r="A1176"/>
      <c r="B1176"/>
      <c r="C1176"/>
      <c r="D1176"/>
      <c r="E1176"/>
      <c r="F1176"/>
      <c r="G1176"/>
      <c r="H1176"/>
      <c r="I1176"/>
      <c r="J1176"/>
      <c r="K1176"/>
      <c r="L1176"/>
      <c r="M1176"/>
      <c r="N1176"/>
    </row>
    <row r="1177" spans="1:14" ht="15" customHeight="1">
      <c r="A1177"/>
      <c r="B1177"/>
      <c r="C1177"/>
      <c r="D1177"/>
      <c r="E1177"/>
      <c r="F1177"/>
      <c r="G1177"/>
      <c r="H1177"/>
      <c r="I1177"/>
      <c r="J1177"/>
      <c r="K1177"/>
      <c r="L1177"/>
      <c r="M1177"/>
      <c r="N1177"/>
    </row>
    <row r="1178" spans="1:14" ht="15" customHeight="1">
      <c r="A1178"/>
      <c r="B1178"/>
      <c r="C1178"/>
      <c r="D1178"/>
      <c r="E1178"/>
      <c r="F1178"/>
      <c r="G1178"/>
      <c r="H1178"/>
      <c r="I1178"/>
      <c r="J1178"/>
      <c r="K1178"/>
      <c r="L1178"/>
      <c r="M1178"/>
      <c r="N1178"/>
    </row>
    <row r="1179" spans="1:14" customFormat="1" ht="15" customHeight="1"/>
    <row r="1180" spans="1:14" customFormat="1" ht="15" customHeight="1"/>
    <row r="1181" spans="1:14" ht="39" customHeight="1">
      <c r="A1181"/>
      <c r="B1181"/>
      <c r="C1181"/>
      <c r="D1181"/>
      <c r="E1181"/>
      <c r="F1181"/>
      <c r="G1181"/>
      <c r="H1181"/>
      <c r="I1181"/>
      <c r="J1181"/>
      <c r="K1181"/>
      <c r="L1181"/>
      <c r="M1181"/>
      <c r="N1181"/>
    </row>
    <row r="1182" spans="1:14" ht="30" customHeight="1">
      <c r="A1182"/>
      <c r="B1182"/>
      <c r="C1182"/>
      <c r="D1182"/>
      <c r="E1182"/>
      <c r="F1182"/>
      <c r="G1182"/>
      <c r="H1182"/>
      <c r="I1182"/>
      <c r="J1182"/>
      <c r="K1182"/>
      <c r="L1182"/>
      <c r="M1182"/>
      <c r="N1182"/>
    </row>
    <row r="1183" spans="1:14" s="263" customFormat="1" ht="24" customHeight="1">
      <c r="A1183"/>
      <c r="B1183"/>
      <c r="C1183"/>
      <c r="D1183"/>
      <c r="E1183"/>
      <c r="F1183"/>
      <c r="G1183"/>
      <c r="H1183"/>
      <c r="I1183"/>
      <c r="J1183"/>
      <c r="K1183"/>
      <c r="L1183"/>
      <c r="M1183"/>
      <c r="N1183"/>
    </row>
    <row r="1184" spans="1:14" ht="15" customHeight="1">
      <c r="A1184"/>
      <c r="B1184"/>
      <c r="C1184"/>
      <c r="D1184"/>
      <c r="E1184"/>
      <c r="F1184"/>
      <c r="G1184"/>
      <c r="H1184"/>
      <c r="I1184"/>
      <c r="J1184"/>
      <c r="K1184"/>
      <c r="L1184"/>
      <c r="M1184"/>
      <c r="N1184"/>
    </row>
    <row r="1185" spans="1:14">
      <c r="A1185"/>
      <c r="B1185"/>
      <c r="C1185"/>
      <c r="D1185"/>
      <c r="E1185"/>
      <c r="F1185"/>
      <c r="G1185"/>
      <c r="H1185"/>
      <c r="I1185"/>
      <c r="J1185"/>
      <c r="K1185"/>
      <c r="L1185"/>
      <c r="M1185"/>
      <c r="N1185"/>
    </row>
    <row r="1186" spans="1:14" s="263" customFormat="1" ht="15" customHeight="1">
      <c r="A1186"/>
      <c r="B1186"/>
      <c r="C1186"/>
      <c r="D1186"/>
      <c r="E1186"/>
      <c r="F1186"/>
      <c r="G1186"/>
      <c r="H1186"/>
      <c r="I1186"/>
      <c r="J1186"/>
      <c r="K1186"/>
      <c r="L1186"/>
      <c r="M1186"/>
      <c r="N1186"/>
    </row>
    <row r="1187" spans="1:14" ht="15" customHeight="1">
      <c r="A1187"/>
      <c r="B1187"/>
      <c r="C1187"/>
      <c r="D1187"/>
      <c r="E1187"/>
      <c r="F1187"/>
      <c r="G1187"/>
      <c r="H1187"/>
      <c r="I1187"/>
      <c r="J1187"/>
      <c r="K1187"/>
      <c r="L1187"/>
      <c r="M1187"/>
      <c r="N1187"/>
    </row>
    <row r="1188" spans="1:14" ht="30" customHeight="1">
      <c r="A1188"/>
      <c r="B1188"/>
      <c r="C1188"/>
      <c r="D1188"/>
      <c r="E1188"/>
      <c r="F1188"/>
      <c r="G1188"/>
      <c r="H1188"/>
      <c r="I1188"/>
      <c r="J1188"/>
      <c r="K1188"/>
      <c r="L1188"/>
      <c r="M1188"/>
      <c r="N1188"/>
    </row>
    <row r="1189" spans="1:14" s="263" customFormat="1" ht="15" customHeight="1">
      <c r="A1189"/>
      <c r="B1189"/>
      <c r="C1189"/>
      <c r="D1189"/>
      <c r="E1189"/>
      <c r="F1189"/>
      <c r="G1189"/>
      <c r="H1189"/>
      <c r="I1189"/>
      <c r="J1189"/>
      <c r="K1189"/>
      <c r="L1189"/>
      <c r="M1189"/>
      <c r="N1189"/>
    </row>
    <row r="1190" spans="1:14" s="263" customFormat="1" ht="15" customHeight="1">
      <c r="A1190"/>
      <c r="B1190"/>
      <c r="C1190"/>
      <c r="D1190"/>
      <c r="E1190"/>
      <c r="F1190"/>
      <c r="G1190"/>
      <c r="H1190"/>
      <c r="I1190"/>
      <c r="J1190"/>
      <c r="K1190"/>
      <c r="L1190"/>
      <c r="M1190"/>
      <c r="N1190"/>
    </row>
    <row r="1191" spans="1:14" ht="21.75" customHeight="1">
      <c r="A1191"/>
      <c r="B1191"/>
      <c r="C1191"/>
      <c r="D1191"/>
      <c r="E1191"/>
      <c r="F1191"/>
      <c r="G1191"/>
      <c r="H1191"/>
      <c r="I1191"/>
      <c r="J1191"/>
      <c r="K1191"/>
      <c r="L1191"/>
      <c r="M1191"/>
      <c r="N1191"/>
    </row>
    <row r="1192" spans="1:14" ht="66.75" customHeight="1">
      <c r="A1192"/>
      <c r="B1192"/>
      <c r="C1192"/>
      <c r="D1192"/>
      <c r="E1192"/>
      <c r="F1192"/>
      <c r="G1192"/>
      <c r="H1192"/>
      <c r="I1192"/>
      <c r="J1192"/>
      <c r="K1192"/>
      <c r="L1192"/>
      <c r="M1192"/>
      <c r="N1192"/>
    </row>
    <row r="1193" spans="1:14" ht="15" customHeight="1">
      <c r="A1193"/>
      <c r="B1193"/>
      <c r="C1193"/>
      <c r="D1193"/>
      <c r="E1193"/>
      <c r="F1193"/>
      <c r="G1193"/>
      <c r="H1193"/>
      <c r="I1193"/>
      <c r="J1193"/>
      <c r="K1193"/>
      <c r="L1193"/>
      <c r="M1193"/>
      <c r="N1193"/>
    </row>
    <row r="1194" spans="1:14" ht="15" customHeight="1">
      <c r="A1194"/>
      <c r="B1194"/>
      <c r="C1194"/>
      <c r="D1194"/>
      <c r="E1194"/>
      <c r="F1194"/>
      <c r="G1194"/>
      <c r="H1194"/>
      <c r="I1194"/>
      <c r="J1194"/>
      <c r="K1194"/>
      <c r="L1194"/>
      <c r="M1194"/>
      <c r="N1194"/>
    </row>
    <row r="1195" spans="1:14" ht="15" customHeight="1">
      <c r="A1195"/>
      <c r="B1195"/>
      <c r="C1195"/>
      <c r="D1195"/>
      <c r="E1195"/>
      <c r="F1195"/>
      <c r="G1195"/>
      <c r="H1195"/>
      <c r="I1195"/>
      <c r="J1195"/>
      <c r="K1195"/>
      <c r="L1195"/>
      <c r="M1195"/>
      <c r="N1195"/>
    </row>
    <row r="1196" spans="1:14" ht="15" customHeight="1">
      <c r="A1196"/>
      <c r="B1196"/>
      <c r="C1196"/>
      <c r="D1196"/>
      <c r="E1196"/>
      <c r="F1196"/>
      <c r="G1196"/>
      <c r="H1196"/>
      <c r="I1196"/>
      <c r="J1196"/>
      <c r="K1196"/>
      <c r="L1196"/>
      <c r="M1196"/>
      <c r="N1196"/>
    </row>
    <row r="1197" spans="1:14" ht="15" customHeight="1">
      <c r="A1197"/>
      <c r="B1197"/>
      <c r="C1197"/>
      <c r="D1197"/>
      <c r="E1197"/>
      <c r="F1197"/>
      <c r="G1197"/>
      <c r="H1197"/>
      <c r="I1197"/>
      <c r="J1197"/>
      <c r="K1197"/>
      <c r="L1197"/>
      <c r="M1197"/>
      <c r="N1197"/>
    </row>
    <row r="1198" spans="1:14" ht="15" customHeight="1">
      <c r="A1198"/>
      <c r="B1198"/>
      <c r="C1198"/>
      <c r="D1198"/>
      <c r="E1198"/>
      <c r="F1198"/>
      <c r="G1198"/>
      <c r="H1198"/>
      <c r="I1198"/>
      <c r="J1198"/>
      <c r="K1198"/>
      <c r="L1198"/>
      <c r="M1198"/>
      <c r="N1198"/>
    </row>
    <row r="1199" spans="1:14" ht="15" customHeight="1">
      <c r="A1199"/>
      <c r="B1199"/>
      <c r="C1199"/>
      <c r="D1199"/>
      <c r="E1199"/>
      <c r="F1199"/>
      <c r="G1199"/>
      <c r="H1199"/>
      <c r="I1199"/>
      <c r="J1199"/>
      <c r="K1199"/>
      <c r="L1199"/>
      <c r="M1199"/>
      <c r="N1199"/>
    </row>
    <row r="1200" spans="1:14" ht="15" customHeight="1">
      <c r="A1200"/>
      <c r="B1200"/>
      <c r="C1200"/>
      <c r="D1200"/>
      <c r="E1200"/>
      <c r="F1200"/>
      <c r="G1200"/>
      <c r="H1200"/>
      <c r="I1200"/>
      <c r="J1200"/>
      <c r="K1200"/>
      <c r="L1200"/>
      <c r="M1200"/>
      <c r="N1200"/>
    </row>
    <row r="1201" spans="1:14" ht="15" customHeight="1">
      <c r="A1201"/>
      <c r="B1201"/>
      <c r="C1201"/>
      <c r="D1201"/>
      <c r="E1201"/>
      <c r="F1201"/>
      <c r="G1201"/>
      <c r="H1201"/>
      <c r="I1201"/>
      <c r="J1201"/>
      <c r="K1201"/>
      <c r="L1201"/>
      <c r="M1201"/>
      <c r="N1201"/>
    </row>
    <row r="1202" spans="1:14" ht="15" customHeight="1">
      <c r="A1202"/>
      <c r="B1202"/>
      <c r="C1202"/>
      <c r="D1202"/>
      <c r="E1202"/>
      <c r="F1202"/>
      <c r="G1202"/>
      <c r="H1202"/>
      <c r="I1202"/>
      <c r="J1202"/>
      <c r="K1202"/>
      <c r="L1202"/>
      <c r="M1202"/>
      <c r="N1202"/>
    </row>
    <row r="1203" spans="1:14" ht="15" customHeight="1">
      <c r="A1203"/>
      <c r="B1203"/>
      <c r="C1203"/>
      <c r="D1203"/>
      <c r="E1203"/>
      <c r="F1203"/>
      <c r="G1203"/>
      <c r="H1203"/>
      <c r="I1203"/>
      <c r="J1203"/>
      <c r="K1203"/>
      <c r="L1203"/>
      <c r="M1203"/>
      <c r="N1203"/>
    </row>
    <row r="1204" spans="1:14" ht="15" customHeight="1">
      <c r="A1204"/>
      <c r="B1204"/>
      <c r="C1204"/>
      <c r="D1204"/>
      <c r="E1204"/>
      <c r="F1204"/>
      <c r="G1204"/>
      <c r="H1204"/>
      <c r="I1204"/>
      <c r="J1204"/>
      <c r="K1204"/>
      <c r="L1204"/>
      <c r="M1204"/>
      <c r="N1204"/>
    </row>
    <row r="1205" spans="1:14" ht="15" customHeight="1">
      <c r="A1205"/>
      <c r="B1205"/>
      <c r="C1205"/>
      <c r="D1205"/>
      <c r="E1205"/>
      <c r="F1205"/>
      <c r="G1205"/>
      <c r="H1205"/>
      <c r="I1205"/>
      <c r="J1205"/>
      <c r="K1205"/>
      <c r="L1205"/>
      <c r="M1205"/>
      <c r="N1205"/>
    </row>
    <row r="1206" spans="1:14" ht="15" customHeight="1">
      <c r="A1206"/>
      <c r="B1206"/>
      <c r="C1206"/>
      <c r="D1206"/>
      <c r="E1206"/>
      <c r="F1206"/>
      <c r="G1206"/>
      <c r="H1206"/>
      <c r="I1206"/>
      <c r="J1206"/>
      <c r="K1206"/>
      <c r="L1206"/>
      <c r="M1206"/>
      <c r="N1206"/>
    </row>
    <row r="1207" spans="1:14" ht="15" customHeight="1">
      <c r="A1207"/>
      <c r="B1207"/>
      <c r="C1207"/>
      <c r="D1207"/>
      <c r="E1207"/>
      <c r="F1207"/>
      <c r="G1207"/>
      <c r="H1207"/>
      <c r="I1207"/>
      <c r="J1207"/>
      <c r="K1207"/>
      <c r="L1207"/>
      <c r="M1207"/>
      <c r="N1207"/>
    </row>
    <row r="1208" spans="1:14" ht="15" customHeight="1">
      <c r="A1208"/>
      <c r="B1208"/>
      <c r="C1208"/>
      <c r="D1208"/>
      <c r="E1208"/>
      <c r="F1208"/>
      <c r="G1208"/>
      <c r="H1208"/>
      <c r="I1208"/>
      <c r="J1208"/>
      <c r="K1208"/>
      <c r="L1208"/>
      <c r="M1208"/>
      <c r="N1208"/>
    </row>
    <row r="1209" spans="1:14" ht="15" customHeight="1">
      <c r="A1209"/>
      <c r="B1209"/>
      <c r="C1209"/>
      <c r="D1209"/>
      <c r="E1209"/>
      <c r="F1209"/>
      <c r="G1209"/>
      <c r="H1209"/>
      <c r="I1209"/>
      <c r="J1209"/>
      <c r="K1209"/>
      <c r="L1209"/>
      <c r="M1209"/>
      <c r="N1209"/>
    </row>
    <row r="1210" spans="1:14" ht="15" customHeight="1">
      <c r="A1210"/>
      <c r="B1210"/>
      <c r="C1210"/>
      <c r="D1210"/>
      <c r="E1210"/>
      <c r="F1210"/>
      <c r="G1210"/>
      <c r="H1210"/>
      <c r="I1210"/>
      <c r="J1210"/>
      <c r="K1210"/>
      <c r="L1210"/>
      <c r="M1210"/>
      <c r="N1210"/>
    </row>
    <row r="1211" spans="1:14" ht="15" customHeight="1">
      <c r="A1211"/>
      <c r="B1211"/>
      <c r="C1211"/>
      <c r="D1211"/>
      <c r="E1211"/>
      <c r="F1211"/>
      <c r="G1211"/>
      <c r="H1211"/>
      <c r="I1211"/>
      <c r="J1211"/>
      <c r="K1211"/>
      <c r="L1211"/>
      <c r="M1211"/>
      <c r="N1211"/>
    </row>
    <row r="1212" spans="1:14" ht="15" customHeight="1">
      <c r="A1212"/>
      <c r="B1212"/>
      <c r="C1212"/>
      <c r="D1212"/>
      <c r="E1212"/>
      <c r="F1212"/>
      <c r="G1212"/>
      <c r="H1212"/>
      <c r="I1212"/>
      <c r="J1212"/>
      <c r="K1212"/>
      <c r="L1212"/>
      <c r="M1212"/>
      <c r="N1212"/>
    </row>
    <row r="1213" spans="1:14" ht="15" customHeight="1">
      <c r="A1213"/>
      <c r="B1213"/>
      <c r="C1213"/>
      <c r="D1213"/>
      <c r="E1213"/>
      <c r="F1213"/>
      <c r="G1213"/>
      <c r="H1213"/>
      <c r="I1213"/>
      <c r="J1213"/>
      <c r="K1213"/>
      <c r="L1213"/>
      <c r="M1213"/>
      <c r="N1213"/>
    </row>
    <row r="1214" spans="1:14" ht="15" customHeight="1">
      <c r="A1214"/>
      <c r="B1214"/>
      <c r="C1214"/>
      <c r="D1214"/>
      <c r="E1214"/>
      <c r="F1214"/>
      <c r="G1214"/>
      <c r="H1214"/>
      <c r="I1214"/>
      <c r="J1214"/>
      <c r="K1214"/>
      <c r="L1214"/>
      <c r="M1214"/>
      <c r="N1214"/>
    </row>
    <row r="1215" spans="1:14" ht="15" customHeight="1">
      <c r="A1215"/>
      <c r="B1215"/>
      <c r="C1215"/>
      <c r="D1215"/>
      <c r="E1215"/>
      <c r="F1215"/>
      <c r="G1215"/>
      <c r="H1215"/>
      <c r="I1215"/>
      <c r="J1215"/>
      <c r="K1215"/>
      <c r="L1215"/>
      <c r="M1215"/>
      <c r="N1215"/>
    </row>
    <row r="1216" spans="1:14" ht="15" customHeight="1">
      <c r="A1216"/>
      <c r="B1216"/>
      <c r="C1216"/>
      <c r="D1216"/>
      <c r="E1216"/>
      <c r="F1216"/>
      <c r="G1216"/>
      <c r="H1216"/>
      <c r="I1216"/>
      <c r="J1216"/>
      <c r="K1216"/>
      <c r="L1216"/>
      <c r="M1216"/>
      <c r="N1216"/>
    </row>
    <row r="1217" spans="1:14" ht="15" customHeight="1">
      <c r="A1217"/>
      <c r="B1217"/>
      <c r="C1217"/>
      <c r="D1217"/>
      <c r="E1217"/>
      <c r="F1217"/>
      <c r="G1217"/>
      <c r="H1217"/>
      <c r="I1217"/>
      <c r="J1217"/>
      <c r="K1217"/>
      <c r="L1217"/>
      <c r="M1217"/>
      <c r="N1217"/>
    </row>
    <row r="1218" spans="1:14" ht="15" customHeight="1">
      <c r="A1218"/>
      <c r="B1218"/>
      <c r="C1218"/>
      <c r="D1218"/>
      <c r="E1218"/>
      <c r="F1218"/>
      <c r="G1218"/>
      <c r="H1218"/>
      <c r="I1218"/>
      <c r="J1218"/>
      <c r="K1218"/>
      <c r="L1218"/>
      <c r="M1218"/>
      <c r="N1218"/>
    </row>
    <row r="1219" spans="1:14" ht="15" customHeight="1">
      <c r="A1219"/>
      <c r="B1219"/>
      <c r="C1219"/>
      <c r="D1219"/>
      <c r="E1219"/>
      <c r="F1219"/>
      <c r="G1219"/>
      <c r="H1219"/>
      <c r="I1219"/>
      <c r="J1219"/>
      <c r="K1219"/>
      <c r="L1219"/>
      <c r="M1219"/>
      <c r="N1219"/>
    </row>
    <row r="1220" spans="1:14" ht="15" customHeight="1">
      <c r="A1220"/>
      <c r="B1220"/>
      <c r="C1220"/>
      <c r="D1220"/>
      <c r="E1220"/>
      <c r="F1220"/>
      <c r="G1220"/>
      <c r="H1220"/>
      <c r="I1220"/>
      <c r="J1220"/>
      <c r="K1220"/>
      <c r="L1220"/>
      <c r="M1220"/>
      <c r="N1220"/>
    </row>
    <row r="1221" spans="1:14" customFormat="1" ht="15" customHeight="1"/>
    <row r="1222" spans="1:14" customFormat="1" ht="15" customHeight="1"/>
  </sheetData>
  <sheetProtection insertRows="0"/>
  <protectedRanges>
    <protectedRange sqref="G101:G130 G143:G172 G185:G214 G227:G256 A269:A298 G269:G298 A311:A340 G311:G340 A353:A382 G353:G382 G395:G424 G437:G466 G479:G508 G521:G550 A563:A592 G563:G592 G605:G634 G647:G676 G689:G718 G731:G760 G773:G802 G815:G844 G857:G886 D899:E928 G899:G928 G941:G970 G983:G1012 G1025:G1054 G1067:G1096 D731:E760 D773:E802 D857:E886 D101:E130 D143:E172 D185:E214 D227:E256 D269:E298 D311:E340 D353:E382 D395:E424 D437:E466 D563:E592 D605:E634 D647:E676 D689:E718 D479:E508 D815:E844 D941:E970 D983:E1012 D1025:E1054 D1067:E1096 A101:A130 A143:A172 A185:A214 A227:A256 A395:A424 A437:A466 A479:A508 A605:A634 A647:A676 A689:A718 A731:A760 A773:A802 A815:A844 A857:A886 A899:A928 A941:A970 A983:A1012 A1025:A1054 A1067:A1096 D521:E550 A521:A550 G1109:G1138 D1109:E1138 G1151:G1180 D1151:E1180 G1193:G1222 D1193:E1222 A1109:A1138 A1151:A1180 A1193:A1222 A15:A46 G15:G46 D15:E46 A59:A88 D59:E88 G59:G88" name="Range2"/>
    <protectedRange sqref="A5 A49 A91 A133 A175 A217 A259 A301 A889 A931 A973 A1015 A1057 A595 A637 A679 A721 A763 A805 A847 A511 A553 A343 A385 A427 A469 A1141 A1183 A1099" name="Range1"/>
  </protectedRanges>
  <phoneticPr fontId="10" type="noConversion"/>
  <printOptions horizontalCentered="1"/>
  <pageMargins left="0.9055118110236221" right="0.70866141732283472" top="0.74803149606299213" bottom="0.74803149606299213" header="0.31496062992125984" footer="0.31496062992125984"/>
  <pageSetup paperSize="9" scale="38" fitToHeight="0" orientation="portrait" errors="blank" r:id="rId1"/>
  <headerFooter>
    <oddFooter>&amp;L&amp;"-,Bold Italic"&amp;8&amp;K01+027Developed By: MAIUMAS Consulting
Hani Omar Skaik&amp;C&amp;A&amp;R&amp;D / &amp;T</oddFooter>
  </headerFooter>
  <drawing r:id="rId2"/>
  <legacyDrawingHF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9914D48F-A8E4-450A-B6CF-628A8FBF7CDD}">
          <x14:formula1>
            <xm:f>'Summary. Assumptions. Inputs'!$A$46:$A$75</xm:f>
          </x14:formula1>
          <xm:sqref>A5 A49 A91</xm:sqref>
        </x14:dataValidation>
        <x14:dataValidation type="list" allowBlank="1" showInputMessage="1" showErrorMessage="1" xr:uid="{913D88BE-32A9-478E-B727-185D5445640A}">
          <x14:formula1>
            <xm:f>'Summary. Assumptions. Inputs'!$A$79:$A$191</xm:f>
          </x14:formula1>
          <xm:sqref>A59:A86 A15:A44 A101:A128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81571-078B-4F9F-A586-B5F5F5D55922}">
  <sheetPr>
    <tabColor theme="1"/>
    <pageSetUpPr fitToPage="1"/>
  </sheetPr>
  <dimension ref="A1:L20"/>
  <sheetViews>
    <sheetView workbookViewId="0">
      <selection activeCell="T8" sqref="T8"/>
    </sheetView>
  </sheetViews>
  <sheetFormatPr defaultColWidth="7" defaultRowHeight="15"/>
  <cols>
    <col min="1" max="2" width="18.77734375" style="482" customWidth="1"/>
    <col min="3" max="3" width="9.77734375" style="482" customWidth="1"/>
    <col min="4" max="4" width="1.77734375" style="482" customWidth="1"/>
    <col min="5" max="6" width="18.77734375" style="482" hidden="1" customWidth="1"/>
    <col min="7" max="7" width="9.77734375" style="482" hidden="1" customWidth="1"/>
    <col min="8" max="8" width="1.77734375" style="482" hidden="1" customWidth="1"/>
    <col min="9" max="10" width="18.77734375" style="482" hidden="1" customWidth="1"/>
    <col min="11" max="11" width="9.77734375" style="482" hidden="1" customWidth="1"/>
    <col min="12" max="12" width="7" style="482" hidden="1" customWidth="1"/>
    <col min="13" max="16384" width="7" style="482"/>
  </cols>
  <sheetData>
    <row r="1" spans="1:11" ht="16.5">
      <c r="A1" s="483" t="s">
        <v>134</v>
      </c>
      <c r="B1" s="484"/>
      <c r="C1" s="484"/>
      <c r="E1" s="483" t="s">
        <v>134</v>
      </c>
      <c r="F1" s="484"/>
      <c r="G1" s="484"/>
      <c r="I1" s="483" t="s">
        <v>134</v>
      </c>
      <c r="J1" s="484"/>
      <c r="K1" s="484"/>
    </row>
    <row r="2" spans="1:11">
      <c r="A2" s="816" t="s">
        <v>135</v>
      </c>
      <c r="B2" s="816"/>
      <c r="C2" s="816"/>
      <c r="E2" s="816" t="s">
        <v>136</v>
      </c>
      <c r="F2" s="816"/>
      <c r="G2" s="816"/>
      <c r="I2" s="816" t="s">
        <v>137</v>
      </c>
      <c r="J2" s="816"/>
      <c r="K2" s="816"/>
    </row>
    <row r="3" spans="1:11">
      <c r="A3" s="491" t="s">
        <v>138</v>
      </c>
      <c r="B3" s="491"/>
      <c r="C3" s="486"/>
      <c r="E3" s="491" t="s">
        <v>138</v>
      </c>
      <c r="F3" s="491"/>
      <c r="G3" s="486"/>
      <c r="I3" s="491" t="s">
        <v>139</v>
      </c>
      <c r="J3" s="491"/>
      <c r="K3" s="486"/>
    </row>
    <row r="4" spans="1:11">
      <c r="A4" s="485" t="s">
        <v>140</v>
      </c>
      <c r="B4" s="485"/>
      <c r="C4" s="486">
        <f ca="1">'Scenario Analysis'!K4</f>
        <v>0.46398159182159832</v>
      </c>
      <c r="E4" s="485" t="s">
        <v>140</v>
      </c>
      <c r="F4" s="485"/>
      <c r="G4" s="486">
        <f>'Scenario Analysis'!K5</f>
        <v>0</v>
      </c>
      <c r="I4" s="485" t="s">
        <v>140</v>
      </c>
      <c r="J4" s="485"/>
      <c r="K4" s="486">
        <f>'Scenario Analysis'!K6</f>
        <v>0</v>
      </c>
    </row>
    <row r="5" spans="1:11">
      <c r="A5" s="485" t="s">
        <v>141</v>
      </c>
      <c r="B5" s="485"/>
      <c r="C5" s="486">
        <f ca="1">'Scenario Analysis'!J4</f>
        <v>0.53601840817840163</v>
      </c>
      <c r="E5" s="485" t="s">
        <v>141</v>
      </c>
      <c r="F5" s="485"/>
      <c r="G5" s="486">
        <v>0.7</v>
      </c>
      <c r="I5" s="485" t="s">
        <v>141</v>
      </c>
      <c r="J5" s="485"/>
      <c r="K5" s="486">
        <f>'Scenario Analysis'!J6</f>
        <v>1</v>
      </c>
    </row>
    <row r="6" spans="1:11">
      <c r="A6" s="485" t="s">
        <v>142</v>
      </c>
      <c r="B6" s="485"/>
      <c r="C6" s="486">
        <f ca="1">'Scenario Analysis'!L4+'Scenario Analysis'!M4</f>
        <v>0</v>
      </c>
      <c r="E6" s="485" t="s">
        <v>142</v>
      </c>
      <c r="F6" s="485"/>
      <c r="G6" s="486">
        <v>0.3</v>
      </c>
      <c r="I6" s="485" t="s">
        <v>142</v>
      </c>
      <c r="J6" s="485"/>
      <c r="K6" s="486">
        <f>'Scenario Analysis'!L6+'Scenario Analysis'!M6</f>
        <v>0</v>
      </c>
    </row>
    <row r="7" spans="1:11" ht="15.75" thickBot="1">
      <c r="A7" s="633" t="s">
        <v>143</v>
      </c>
      <c r="B7" s="633"/>
      <c r="C7" s="634">
        <f ca="1">C4/(C5+C6)</f>
        <v>0.86560757008026579</v>
      </c>
      <c r="E7" s="633" t="s">
        <v>143</v>
      </c>
      <c r="F7" s="633"/>
      <c r="G7" s="634">
        <f>G4/(G5+G6)</f>
        <v>0</v>
      </c>
      <c r="I7" s="633" t="s">
        <v>143</v>
      </c>
      <c r="J7" s="633"/>
      <c r="K7" s="634">
        <f>K4/(K5+K6)</f>
        <v>0</v>
      </c>
    </row>
    <row r="8" spans="1:11" ht="15.75" thickTop="1">
      <c r="A8" s="491" t="s">
        <v>144</v>
      </c>
      <c r="B8" s="491"/>
      <c r="C8" s="490"/>
      <c r="E8" s="491" t="s">
        <v>144</v>
      </c>
      <c r="F8" s="491"/>
      <c r="G8" s="490"/>
      <c r="I8" s="491" t="s">
        <v>144</v>
      </c>
      <c r="J8" s="491"/>
      <c r="K8" s="490"/>
    </row>
    <row r="9" spans="1:11">
      <c r="A9" s="485" t="s">
        <v>145</v>
      </c>
      <c r="B9" s="485" t="s">
        <v>146</v>
      </c>
      <c r="C9" s="486">
        <f>2%+0.016</f>
        <v>3.6000000000000004E-2</v>
      </c>
      <c r="E9" s="485" t="s">
        <v>145</v>
      </c>
      <c r="F9" s="485" t="s">
        <v>146</v>
      </c>
      <c r="G9" s="486">
        <v>0.02</v>
      </c>
      <c r="I9" s="485" t="s">
        <v>145</v>
      </c>
      <c r="J9" s="485" t="s">
        <v>146</v>
      </c>
      <c r="K9" s="486">
        <v>0.02</v>
      </c>
    </row>
    <row r="10" spans="1:11">
      <c r="A10" s="485" t="s">
        <v>147</v>
      </c>
      <c r="B10" s="507" t="str">
        <f>'Summary. Assumptions. Inputs'!$F$34</f>
        <v>Palestinian Authority</v>
      </c>
      <c r="C10" s="486">
        <f>'Country Risk Premium'!E134</f>
        <v>5.8400000000000001E-2</v>
      </c>
      <c r="E10" s="485" t="s">
        <v>147</v>
      </c>
      <c r="F10" s="507" t="str">
        <f>'Summary. Assumptions. Inputs'!$F$34</f>
        <v>Palestinian Authority</v>
      </c>
      <c r="G10" s="486">
        <f>C10</f>
        <v>5.8400000000000001E-2</v>
      </c>
      <c r="I10" s="485" t="s">
        <v>147</v>
      </c>
      <c r="J10" s="507" t="str">
        <f>'Summary. Assumptions. Inputs'!$F$34</f>
        <v>Palestinian Authority</v>
      </c>
      <c r="K10" s="486">
        <f>G10</f>
        <v>5.8400000000000001E-2</v>
      </c>
    </row>
    <row r="11" spans="1:11" ht="30">
      <c r="A11" s="507" t="s">
        <v>148</v>
      </c>
      <c r="B11" s="507" t="str">
        <f>'Summary. Assumptions. Inputs'!F33</f>
        <v>Farming/Agriculture</v>
      </c>
      <c r="C11" s="508">
        <f>VLOOKUP(B11,Beta!$A$1:$P$97,8,0)</f>
        <v>0.85</v>
      </c>
      <c r="E11" s="485" t="s">
        <v>148</v>
      </c>
      <c r="F11" s="507" t="str">
        <f>'Summary. Assumptions. Inputs'!$F$34</f>
        <v>Palestinian Authority</v>
      </c>
      <c r="G11" s="486">
        <f>C11</f>
        <v>0.85</v>
      </c>
      <c r="I11" s="485" t="s">
        <v>148</v>
      </c>
      <c r="J11" s="507" t="str">
        <f>'Summary. Assumptions. Inputs'!$F$34</f>
        <v>Palestinian Authority</v>
      </c>
      <c r="K11" s="486">
        <f>G11</f>
        <v>0.85</v>
      </c>
    </row>
    <row r="12" spans="1:11">
      <c r="A12" s="487" t="s">
        <v>149</v>
      </c>
      <c r="B12" s="487" t="str">
        <f>'Summary. Assumptions. Inputs'!$F$34</f>
        <v>Palestinian Authority</v>
      </c>
      <c r="C12" s="492">
        <f ca="1">C11*(1+(1-C16)*C7)</f>
        <v>1.4754014693829918</v>
      </c>
      <c r="E12" s="487" t="s">
        <v>149</v>
      </c>
      <c r="F12" s="487" t="str">
        <f>'Summary. Assumptions. Inputs'!$F$34</f>
        <v>Palestinian Authority</v>
      </c>
      <c r="G12" s="492">
        <f>G11*(1+(1-G16)*G7)</f>
        <v>0.85</v>
      </c>
      <c r="I12" s="487" t="s">
        <v>149</v>
      </c>
      <c r="J12" s="487" t="str">
        <f>'Summary. Assumptions. Inputs'!$F$34</f>
        <v>Palestinian Authority</v>
      </c>
      <c r="K12" s="492">
        <f>K11*(1+(1-K16)*K7)</f>
        <v>0.85</v>
      </c>
    </row>
    <row r="13" spans="1:11" ht="15.75" thickBot="1">
      <c r="A13" s="633" t="s">
        <v>144</v>
      </c>
      <c r="B13" s="633"/>
      <c r="C13" s="634">
        <f ca="1">C9+C10*C12</f>
        <v>0.12216344581196673</v>
      </c>
      <c r="E13" s="633" t="s">
        <v>144</v>
      </c>
      <c r="F13" s="633"/>
      <c r="G13" s="634">
        <f ca="1">C13</f>
        <v>0.12216344581196673</v>
      </c>
      <c r="I13" s="633" t="s">
        <v>144</v>
      </c>
      <c r="J13" s="633"/>
      <c r="K13" s="634">
        <f>K9+K10*K12</f>
        <v>6.9639999999999994E-2</v>
      </c>
    </row>
    <row r="14" spans="1:11" ht="15.75" thickTop="1">
      <c r="A14" s="491" t="s">
        <v>150</v>
      </c>
      <c r="B14" s="491"/>
      <c r="C14" s="490"/>
      <c r="E14" s="491" t="s">
        <v>150</v>
      </c>
      <c r="F14" s="491"/>
      <c r="G14" s="490"/>
      <c r="I14" s="491" t="s">
        <v>150</v>
      </c>
      <c r="J14" s="491"/>
      <c r="K14" s="490"/>
    </row>
    <row r="15" spans="1:11">
      <c r="A15" s="485" t="s">
        <v>150</v>
      </c>
      <c r="B15" s="485"/>
      <c r="C15" s="486">
        <f>'Summary. Assumptions. Inputs'!I33</f>
        <v>7.0000000000000007E-2</v>
      </c>
      <c r="E15" s="485" t="s">
        <v>150</v>
      </c>
      <c r="F15" s="485"/>
      <c r="G15" s="486">
        <f>C15</f>
        <v>7.0000000000000007E-2</v>
      </c>
      <c r="I15" s="485" t="s">
        <v>150</v>
      </c>
      <c r="J15" s="485"/>
      <c r="K15" s="486">
        <f>G15</f>
        <v>7.0000000000000007E-2</v>
      </c>
    </row>
    <row r="16" spans="1:11">
      <c r="A16" s="487" t="s">
        <v>151</v>
      </c>
      <c r="B16" s="487"/>
      <c r="C16" s="486">
        <v>0.15</v>
      </c>
      <c r="E16" s="487" t="s">
        <v>151</v>
      </c>
      <c r="F16" s="487"/>
      <c r="G16" s="486">
        <f>C16</f>
        <v>0.15</v>
      </c>
      <c r="I16" s="487" t="s">
        <v>151</v>
      </c>
      <c r="J16" s="487"/>
      <c r="K16" s="486">
        <f>G16</f>
        <v>0.15</v>
      </c>
    </row>
    <row r="17" spans="1:11">
      <c r="A17" s="488" t="s">
        <v>152</v>
      </c>
      <c r="B17" s="488"/>
      <c r="C17" s="489">
        <f>C15*(1-C16)</f>
        <v>5.9500000000000004E-2</v>
      </c>
      <c r="E17" s="488" t="s">
        <v>152</v>
      </c>
      <c r="F17" s="488"/>
      <c r="G17" s="489">
        <f>G15*(1-G16)</f>
        <v>5.9500000000000004E-2</v>
      </c>
      <c r="I17" s="488" t="s">
        <v>152</v>
      </c>
      <c r="J17" s="488"/>
      <c r="K17" s="489">
        <f>K15*(1-K16)</f>
        <v>5.9500000000000004E-2</v>
      </c>
    </row>
    <row r="18" spans="1:11" ht="15.75" thickBot="1">
      <c r="A18" s="633" t="s">
        <v>153</v>
      </c>
      <c r="B18" s="633"/>
      <c r="C18" s="634">
        <v>0</v>
      </c>
      <c r="E18" s="633" t="s">
        <v>153</v>
      </c>
      <c r="F18" s="633"/>
      <c r="G18" s="634">
        <f>C18</f>
        <v>0</v>
      </c>
      <c r="I18" s="633" t="s">
        <v>153</v>
      </c>
      <c r="J18" s="633"/>
      <c r="K18" s="634">
        <f>G18</f>
        <v>0</v>
      </c>
    </row>
    <row r="19" spans="1:11" ht="16.5" thickTop="1" thickBot="1">
      <c r="A19" s="635" t="s">
        <v>154</v>
      </c>
      <c r="B19" s="635"/>
      <c r="C19" s="636">
        <f ca="1">(C13*C5)+(C17*C4)+(C18*C6)</f>
        <v>9.3088760475103935E-2</v>
      </c>
      <c r="E19" s="635" t="s">
        <v>155</v>
      </c>
      <c r="F19" s="635"/>
      <c r="G19" s="636">
        <f ca="1">(G13*G5)+(G17*G4)+(G18*G6)</f>
        <v>8.5514412068376705E-2</v>
      </c>
      <c r="I19" s="635" t="s">
        <v>156</v>
      </c>
      <c r="J19" s="635"/>
      <c r="K19" s="636">
        <f>(K13*K5)+(K17*K4)+(K18*K6)</f>
        <v>6.9639999999999994E-2</v>
      </c>
    </row>
    <row r="20" spans="1:11" ht="15.75" thickTop="1"/>
  </sheetData>
  <mergeCells count="3">
    <mergeCell ref="I2:K2"/>
    <mergeCell ref="A2:C2"/>
    <mergeCell ref="E2:G2"/>
  </mergeCells>
  <pageMargins left="0.7" right="0.7" top="0.75" bottom="0.75" header="0.3" footer="0.3"/>
  <pageSetup paperSize="9" scale="7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E82D2-7066-4E93-B96C-9A2CD1E18B53}">
  <sheetPr>
    <tabColor theme="1"/>
  </sheetPr>
  <dimension ref="A1:F191"/>
  <sheetViews>
    <sheetView workbookViewId="0">
      <selection activeCell="E134" sqref="E134"/>
    </sheetView>
  </sheetViews>
  <sheetFormatPr defaultRowHeight="15"/>
  <cols>
    <col min="1" max="1" width="23.5546875" customWidth="1"/>
    <col min="2" max="2" width="7.88671875" bestFit="1" customWidth="1"/>
    <col min="3" max="3" width="7.77734375" bestFit="1" customWidth="1"/>
    <col min="4" max="6" width="8.5546875" bestFit="1" customWidth="1"/>
  </cols>
  <sheetData>
    <row r="1" spans="1:6" ht="45">
      <c r="A1" s="480" t="s">
        <v>68</v>
      </c>
      <c r="B1" s="480" t="s">
        <v>652</v>
      </c>
      <c r="C1" s="480" t="s">
        <v>653</v>
      </c>
      <c r="D1" s="480" t="s">
        <v>654</v>
      </c>
      <c r="E1" s="480" t="s">
        <v>147</v>
      </c>
      <c r="F1" s="480" t="s">
        <v>654</v>
      </c>
    </row>
    <row r="2" spans="1:6">
      <c r="A2" s="480" t="s">
        <v>655</v>
      </c>
      <c r="B2" s="480" t="s">
        <v>656</v>
      </c>
      <c r="C2" s="480">
        <v>4.1999999999999997E-3</v>
      </c>
      <c r="D2" s="480">
        <v>4.8999999999999998E-3</v>
      </c>
      <c r="E2" s="480">
        <v>4.7300000000000002E-2</v>
      </c>
      <c r="F2" s="480">
        <v>4.8999999999999998E-3</v>
      </c>
    </row>
    <row r="3" spans="1:6">
      <c r="A3" s="480" t="s">
        <v>657</v>
      </c>
      <c r="B3" s="480" t="s">
        <v>658</v>
      </c>
      <c r="C3" s="480">
        <v>3.8300000000000001E-2</v>
      </c>
      <c r="D3" s="480">
        <v>4.4499999999999998E-2</v>
      </c>
      <c r="E3" s="480">
        <v>8.6900000000000005E-2</v>
      </c>
      <c r="F3" s="480">
        <v>4.4499999999999998E-2</v>
      </c>
    </row>
    <row r="4" spans="1:6">
      <c r="A4" s="480" t="s">
        <v>659</v>
      </c>
      <c r="B4" s="480" t="s">
        <v>660</v>
      </c>
      <c r="C4" s="480">
        <v>5.5300000000000002E-2</v>
      </c>
      <c r="D4" s="480">
        <v>6.4299999999999996E-2</v>
      </c>
      <c r="E4" s="480">
        <v>0.1067</v>
      </c>
      <c r="F4" s="480">
        <v>6.4299999999999996E-2</v>
      </c>
    </row>
    <row r="5" spans="1:6">
      <c r="A5" s="480" t="s">
        <v>661</v>
      </c>
      <c r="B5" s="480" t="s">
        <v>662</v>
      </c>
      <c r="C5" s="480">
        <v>1.6199999999999999E-2</v>
      </c>
      <c r="D5" s="480">
        <v>1.8800000000000001E-2</v>
      </c>
      <c r="E5" s="480">
        <v>6.1199999999999997E-2</v>
      </c>
      <c r="F5" s="480">
        <v>1.8800000000000001E-2</v>
      </c>
    </row>
    <row r="6" spans="1:6">
      <c r="A6" s="480" t="s">
        <v>663</v>
      </c>
      <c r="B6" s="480" t="s">
        <v>664</v>
      </c>
      <c r="C6" s="480">
        <v>5.5300000000000002E-2</v>
      </c>
      <c r="D6" s="480">
        <v>6.4299999999999996E-2</v>
      </c>
      <c r="E6" s="480">
        <v>0.1067</v>
      </c>
      <c r="F6" s="480">
        <v>6.4299999999999996E-2</v>
      </c>
    </row>
    <row r="7" spans="1:6">
      <c r="A7" s="480" t="s">
        <v>665</v>
      </c>
      <c r="B7" s="480" t="s">
        <v>660</v>
      </c>
      <c r="C7" s="480">
        <v>5.8799999999999998E-2</v>
      </c>
      <c r="D7" s="480">
        <v>6.83E-2</v>
      </c>
      <c r="E7" s="480">
        <v>0.11070000000000001</v>
      </c>
      <c r="F7" s="480">
        <v>6.83E-2</v>
      </c>
    </row>
    <row r="8" spans="1:6">
      <c r="A8" s="480" t="s">
        <v>666</v>
      </c>
      <c r="B8" s="480" t="s">
        <v>660</v>
      </c>
      <c r="C8" s="480">
        <v>5.8799999999999998E-2</v>
      </c>
      <c r="D8" s="480">
        <v>6.83E-2</v>
      </c>
      <c r="E8" s="480">
        <v>0.11070000000000001</v>
      </c>
      <c r="F8" s="480">
        <v>6.83E-2</v>
      </c>
    </row>
    <row r="9" spans="1:6">
      <c r="A9" s="480" t="s">
        <v>667</v>
      </c>
      <c r="B9" s="480" t="s">
        <v>668</v>
      </c>
      <c r="C9" s="480">
        <v>0.1021</v>
      </c>
      <c r="D9" s="480">
        <v>0.1187</v>
      </c>
      <c r="E9" s="480">
        <v>0.16109999999999999</v>
      </c>
      <c r="F9" s="480">
        <v>0.1187</v>
      </c>
    </row>
    <row r="10" spans="1:6">
      <c r="A10" s="480" t="s">
        <v>669</v>
      </c>
      <c r="B10" s="480" t="s">
        <v>670</v>
      </c>
      <c r="C10" s="480">
        <v>3.0599999999999999E-2</v>
      </c>
      <c r="D10" s="480">
        <v>3.56E-2</v>
      </c>
      <c r="E10" s="480">
        <v>7.8E-2</v>
      </c>
      <c r="F10" s="480">
        <v>3.56E-2</v>
      </c>
    </row>
    <row r="11" spans="1:6">
      <c r="A11" s="480" t="s">
        <v>671</v>
      </c>
      <c r="B11" s="480" t="s">
        <v>662</v>
      </c>
      <c r="C11" s="480">
        <v>1.6199999999999999E-2</v>
      </c>
      <c r="D11" s="480">
        <v>1.8800000000000001E-2</v>
      </c>
      <c r="E11" s="480">
        <v>6.1199999999999997E-2</v>
      </c>
      <c r="F11" s="480">
        <v>1.8800000000000001E-2</v>
      </c>
    </row>
    <row r="12" spans="1:6">
      <c r="A12" s="480" t="s">
        <v>672</v>
      </c>
      <c r="B12" s="480" t="s">
        <v>673</v>
      </c>
      <c r="C12" s="480">
        <v>0</v>
      </c>
      <c r="D12" s="480">
        <v>0</v>
      </c>
      <c r="E12" s="480">
        <v>4.24E-2</v>
      </c>
      <c r="F12" s="480">
        <v>0</v>
      </c>
    </row>
    <row r="13" spans="1:6">
      <c r="A13" s="480" t="s">
        <v>674</v>
      </c>
      <c r="B13" s="480" t="s">
        <v>675</v>
      </c>
      <c r="C13" s="480">
        <v>3.3999999999999998E-3</v>
      </c>
      <c r="D13" s="480">
        <v>3.8999999999999998E-3</v>
      </c>
      <c r="E13" s="480">
        <v>4.6300000000000001E-2</v>
      </c>
      <c r="F13" s="480">
        <v>3.8999999999999998E-3</v>
      </c>
    </row>
    <row r="14" spans="1:6">
      <c r="A14" s="480" t="s">
        <v>676</v>
      </c>
      <c r="B14" s="480" t="s">
        <v>677</v>
      </c>
      <c r="C14" s="480">
        <v>2.5600000000000001E-2</v>
      </c>
      <c r="D14" s="480">
        <v>2.9700000000000001E-2</v>
      </c>
      <c r="E14" s="480">
        <v>7.2099999999999997E-2</v>
      </c>
      <c r="F14" s="480">
        <v>2.9700000000000001E-2</v>
      </c>
    </row>
    <row r="15" spans="1:6">
      <c r="A15" s="480" t="s">
        <v>678</v>
      </c>
      <c r="B15" s="480" t="s">
        <v>670</v>
      </c>
      <c r="C15" s="480">
        <v>3.0599999999999999E-2</v>
      </c>
      <c r="D15" s="480">
        <v>3.56E-2</v>
      </c>
      <c r="E15" s="480">
        <v>7.8E-2</v>
      </c>
      <c r="F15" s="480">
        <v>3.56E-2</v>
      </c>
    </row>
    <row r="16" spans="1:6">
      <c r="A16" s="480" t="s">
        <v>679</v>
      </c>
      <c r="B16" s="480" t="s">
        <v>680</v>
      </c>
      <c r="C16" s="480">
        <v>4.6800000000000001E-2</v>
      </c>
      <c r="D16" s="480">
        <v>5.4399999999999997E-2</v>
      </c>
      <c r="E16" s="480">
        <v>9.6799999999999997E-2</v>
      </c>
      <c r="F16" s="480">
        <v>5.4399999999999997E-2</v>
      </c>
    </row>
    <row r="17" spans="1:6">
      <c r="A17" s="480" t="s">
        <v>681</v>
      </c>
      <c r="B17" s="480" t="s">
        <v>670</v>
      </c>
      <c r="C17" s="480">
        <v>3.0599999999999999E-2</v>
      </c>
      <c r="D17" s="480">
        <v>3.56E-2</v>
      </c>
      <c r="E17" s="480">
        <v>7.8E-2</v>
      </c>
      <c r="F17" s="480">
        <v>3.56E-2</v>
      </c>
    </row>
    <row r="18" spans="1:6">
      <c r="A18" s="480" t="s">
        <v>682</v>
      </c>
      <c r="B18" s="480" t="s">
        <v>683</v>
      </c>
      <c r="C18" s="480">
        <v>6.3799999999999996E-2</v>
      </c>
      <c r="D18" s="480">
        <v>7.4099999999999999E-2</v>
      </c>
      <c r="E18" s="480">
        <v>0.11650000000000001</v>
      </c>
      <c r="F18" s="480">
        <v>7.4099999999999999E-2</v>
      </c>
    </row>
    <row r="19" spans="1:6">
      <c r="A19" s="480" t="s">
        <v>684</v>
      </c>
      <c r="B19" s="480" t="s">
        <v>664</v>
      </c>
      <c r="C19" s="480">
        <v>5.5300000000000002E-2</v>
      </c>
      <c r="D19" s="480">
        <v>6.4299999999999996E-2</v>
      </c>
      <c r="E19" s="480">
        <v>0.1067</v>
      </c>
      <c r="F19" s="480">
        <v>6.4299999999999996E-2</v>
      </c>
    </row>
    <row r="20" spans="1:6">
      <c r="A20" s="480" t="s">
        <v>685</v>
      </c>
      <c r="B20" s="480" t="s">
        <v>686</v>
      </c>
      <c r="C20" s="480">
        <v>5.1000000000000004E-3</v>
      </c>
      <c r="D20" s="480">
        <v>6.0000000000000001E-3</v>
      </c>
      <c r="E20" s="480">
        <v>4.8399999999999999E-2</v>
      </c>
      <c r="F20" s="480">
        <v>6.0000000000000001E-3</v>
      </c>
    </row>
    <row r="21" spans="1:6">
      <c r="A21" s="480" t="s">
        <v>687</v>
      </c>
      <c r="B21" s="480" t="s">
        <v>688</v>
      </c>
      <c r="C21" s="480">
        <v>8.5099999999999995E-2</v>
      </c>
      <c r="D21" s="480">
        <v>9.8900000000000002E-2</v>
      </c>
      <c r="E21" s="480">
        <v>0.14130000000000001</v>
      </c>
      <c r="F21" s="480">
        <v>9.8900000000000002E-2</v>
      </c>
    </row>
    <row r="22" spans="1:6">
      <c r="A22" s="480" t="s">
        <v>689</v>
      </c>
      <c r="B22" s="480" t="s">
        <v>658</v>
      </c>
      <c r="C22" s="480">
        <v>3.8300000000000001E-2</v>
      </c>
      <c r="D22" s="480">
        <v>4.4499999999999998E-2</v>
      </c>
      <c r="E22" s="480">
        <v>8.6900000000000005E-2</v>
      </c>
      <c r="F22" s="480">
        <v>4.4499999999999998E-2</v>
      </c>
    </row>
    <row r="23" spans="1:6">
      <c r="A23" s="480" t="s">
        <v>690</v>
      </c>
      <c r="B23" s="480" t="s">
        <v>691</v>
      </c>
      <c r="C23" s="480">
        <v>7.1999999999999998E-3</v>
      </c>
      <c r="D23" s="480">
        <v>8.3999999999999995E-3</v>
      </c>
      <c r="E23" s="480">
        <v>5.0799999999999998E-2</v>
      </c>
      <c r="F23" s="480">
        <v>8.3999999999999995E-3</v>
      </c>
    </row>
    <row r="24" spans="1:6">
      <c r="A24" s="480" t="s">
        <v>692</v>
      </c>
      <c r="B24" s="480" t="s">
        <v>680</v>
      </c>
      <c r="C24" s="480">
        <v>4.6800000000000001E-2</v>
      </c>
      <c r="D24" s="480">
        <v>5.4399999999999997E-2</v>
      </c>
      <c r="E24" s="480">
        <v>9.6799999999999997E-2</v>
      </c>
      <c r="F24" s="480">
        <v>5.4399999999999997E-2</v>
      </c>
    </row>
    <row r="25" spans="1:6">
      <c r="A25" s="480" t="s">
        <v>693</v>
      </c>
      <c r="B25" s="480" t="s">
        <v>664</v>
      </c>
      <c r="C25" s="480">
        <v>5.5300000000000002E-2</v>
      </c>
      <c r="D25" s="480">
        <v>6.4299999999999996E-2</v>
      </c>
      <c r="E25" s="480">
        <v>0.1067</v>
      </c>
      <c r="F25" s="480">
        <v>6.4299999999999996E-2</v>
      </c>
    </row>
    <row r="26" spans="1:6">
      <c r="A26" s="480" t="s">
        <v>694</v>
      </c>
      <c r="B26" s="480" t="s">
        <v>695</v>
      </c>
      <c r="C26" s="480">
        <v>1.0200000000000001E-2</v>
      </c>
      <c r="D26" s="480">
        <v>1.1900000000000001E-2</v>
      </c>
      <c r="E26" s="480">
        <v>5.4300000000000001E-2</v>
      </c>
      <c r="F26" s="480">
        <v>1.1900000000000001E-2</v>
      </c>
    </row>
    <row r="27" spans="1:6">
      <c r="A27" s="480" t="s">
        <v>696</v>
      </c>
      <c r="B27" s="480" t="s">
        <v>677</v>
      </c>
      <c r="C27" s="480">
        <v>2.5600000000000001E-2</v>
      </c>
      <c r="D27" s="480">
        <v>2.9700000000000001E-2</v>
      </c>
      <c r="E27" s="480">
        <v>7.2099999999999997E-2</v>
      </c>
      <c r="F27" s="480">
        <v>2.9700000000000001E-2</v>
      </c>
    </row>
    <row r="28" spans="1:6">
      <c r="A28" s="480" t="s">
        <v>697</v>
      </c>
      <c r="B28" s="480" t="s">
        <v>660</v>
      </c>
      <c r="C28" s="480">
        <v>5.8799999999999998E-2</v>
      </c>
      <c r="D28" s="480">
        <v>6.83E-2</v>
      </c>
      <c r="E28" s="480">
        <v>0.11070000000000001</v>
      </c>
      <c r="F28" s="480">
        <v>6.83E-2</v>
      </c>
    </row>
    <row r="29" spans="1:6">
      <c r="A29" s="480" t="s">
        <v>698</v>
      </c>
      <c r="B29" s="480" t="s">
        <v>660</v>
      </c>
      <c r="C29" s="480">
        <v>7.1999999999999998E-3</v>
      </c>
      <c r="D29" s="480">
        <v>8.3999999999999995E-3</v>
      </c>
      <c r="E29" s="480">
        <v>5.0799999999999998E-2</v>
      </c>
      <c r="F29" s="480">
        <v>8.3999999999999995E-3</v>
      </c>
    </row>
    <row r="30" spans="1:6">
      <c r="A30" s="480" t="s">
        <v>699</v>
      </c>
      <c r="B30" s="480" t="s">
        <v>700</v>
      </c>
      <c r="C30" s="480">
        <v>1.3599999999999999E-2</v>
      </c>
      <c r="D30" s="480">
        <v>1.5800000000000002E-2</v>
      </c>
      <c r="E30" s="480">
        <v>5.8200000000000002E-2</v>
      </c>
      <c r="F30" s="480">
        <v>1.5800000000000002E-2</v>
      </c>
    </row>
    <row r="31" spans="1:6">
      <c r="A31" s="480" t="s">
        <v>701</v>
      </c>
      <c r="B31" s="480" t="s">
        <v>680</v>
      </c>
      <c r="C31" s="480">
        <v>4.6800000000000001E-2</v>
      </c>
      <c r="D31" s="480">
        <v>5.4399999999999997E-2</v>
      </c>
      <c r="E31" s="480">
        <v>9.6799999999999997E-2</v>
      </c>
      <c r="F31" s="480">
        <v>5.4399999999999997E-2</v>
      </c>
    </row>
    <row r="32" spans="1:6">
      <c r="A32" s="480" t="s">
        <v>702</v>
      </c>
      <c r="B32" s="480" t="s">
        <v>680</v>
      </c>
      <c r="C32" s="480">
        <v>4.6800000000000001E-2</v>
      </c>
      <c r="D32" s="480">
        <v>5.4399999999999997E-2</v>
      </c>
      <c r="E32" s="480">
        <v>9.6799999999999997E-2</v>
      </c>
      <c r="F32" s="480">
        <v>5.4399999999999997E-2</v>
      </c>
    </row>
    <row r="33" spans="1:6">
      <c r="A33" s="480" t="s">
        <v>703</v>
      </c>
      <c r="B33" s="480" t="s">
        <v>680</v>
      </c>
      <c r="C33" s="480">
        <v>4.6800000000000001E-2</v>
      </c>
      <c r="D33" s="480">
        <v>5.4399999999999997E-2</v>
      </c>
      <c r="E33" s="480">
        <v>9.6799999999999997E-2</v>
      </c>
      <c r="F33" s="480">
        <v>5.4399999999999997E-2</v>
      </c>
    </row>
    <row r="34" spans="1:6">
      <c r="A34" s="480" t="s">
        <v>704</v>
      </c>
      <c r="B34" s="480" t="s">
        <v>673</v>
      </c>
      <c r="C34" s="480">
        <v>0</v>
      </c>
      <c r="D34" s="480">
        <v>0</v>
      </c>
      <c r="E34" s="480">
        <v>4.24E-2</v>
      </c>
      <c r="F34" s="480">
        <v>0</v>
      </c>
    </row>
    <row r="35" spans="1:6">
      <c r="A35" s="480" t="s">
        <v>705</v>
      </c>
      <c r="B35" s="480" t="s">
        <v>664</v>
      </c>
      <c r="C35" s="480">
        <v>5.5300000000000002E-2</v>
      </c>
      <c r="D35" s="480">
        <v>6.4299999999999996E-2</v>
      </c>
      <c r="E35" s="480">
        <v>0.1067</v>
      </c>
      <c r="F35" s="480">
        <v>6.4299999999999996E-2</v>
      </c>
    </row>
    <row r="36" spans="1:6">
      <c r="A36" s="480" t="s">
        <v>706</v>
      </c>
      <c r="B36" s="480" t="s">
        <v>686</v>
      </c>
      <c r="C36" s="480">
        <v>5.1000000000000004E-3</v>
      </c>
      <c r="D36" s="480">
        <v>6.0000000000000001E-3</v>
      </c>
      <c r="E36" s="480">
        <v>4.8399999999999999E-2</v>
      </c>
      <c r="F36" s="480">
        <v>6.0000000000000001E-3</v>
      </c>
    </row>
    <row r="37" spans="1:6">
      <c r="A37" s="480" t="s">
        <v>707</v>
      </c>
      <c r="B37" s="480" t="s">
        <v>660</v>
      </c>
      <c r="C37" s="480">
        <v>7.1999999999999998E-3</v>
      </c>
      <c r="D37" s="480">
        <v>8.3000000000000001E-3</v>
      </c>
      <c r="E37" s="480">
        <v>5.0700000000000002E-2</v>
      </c>
      <c r="F37" s="480">
        <v>8.3000000000000001E-3</v>
      </c>
    </row>
    <row r="38" spans="1:6">
      <c r="A38" s="480" t="s">
        <v>708</v>
      </c>
      <c r="B38" s="480" t="s">
        <v>709</v>
      </c>
      <c r="C38" s="480">
        <v>6.0000000000000001E-3</v>
      </c>
      <c r="D38" s="480">
        <v>7.0000000000000001E-3</v>
      </c>
      <c r="E38" s="480">
        <v>4.9399999999999999E-2</v>
      </c>
      <c r="F38" s="480">
        <v>7.0000000000000001E-3</v>
      </c>
    </row>
    <row r="39" spans="1:6">
      <c r="A39" s="480" t="s">
        <v>710</v>
      </c>
      <c r="B39" s="480" t="s">
        <v>709</v>
      </c>
      <c r="C39" s="480">
        <v>6.0000000000000001E-3</v>
      </c>
      <c r="D39" s="480">
        <v>7.0000000000000001E-3</v>
      </c>
      <c r="E39" s="480">
        <v>4.9399999999999999E-2</v>
      </c>
      <c r="F39" s="480">
        <v>7.0000000000000001E-3</v>
      </c>
    </row>
    <row r="40" spans="1:6">
      <c r="A40" s="480" t="s">
        <v>711</v>
      </c>
      <c r="B40" s="480" t="s">
        <v>662</v>
      </c>
      <c r="C40" s="480">
        <v>1.6199999999999999E-2</v>
      </c>
      <c r="D40" s="480">
        <v>1.8800000000000001E-2</v>
      </c>
      <c r="E40" s="480">
        <v>6.1199999999999997E-2</v>
      </c>
      <c r="F40" s="480">
        <v>1.8800000000000001E-2</v>
      </c>
    </row>
    <row r="41" spans="1:6" ht="30">
      <c r="A41" s="480" t="s">
        <v>712</v>
      </c>
      <c r="B41" s="480" t="s">
        <v>683</v>
      </c>
      <c r="C41" s="480">
        <v>6.3799999999999996E-2</v>
      </c>
      <c r="D41" s="480">
        <v>7.4099999999999999E-2</v>
      </c>
      <c r="E41" s="480">
        <v>0.11650000000000001</v>
      </c>
      <c r="F41" s="480">
        <v>7.4099999999999999E-2</v>
      </c>
    </row>
    <row r="42" spans="1:6">
      <c r="A42" s="480" t="s">
        <v>713</v>
      </c>
      <c r="B42" s="480" t="s">
        <v>714</v>
      </c>
      <c r="C42" s="480">
        <v>7.6600000000000001E-2</v>
      </c>
      <c r="D42" s="480">
        <v>8.8999999999999996E-2</v>
      </c>
      <c r="E42" s="480">
        <v>0.13139999999999999</v>
      </c>
      <c r="F42" s="480">
        <v>8.8999999999999996E-2</v>
      </c>
    </row>
    <row r="43" spans="1:6">
      <c r="A43" s="480" t="s">
        <v>715</v>
      </c>
      <c r="B43" s="480" t="s">
        <v>658</v>
      </c>
      <c r="C43" s="480">
        <v>3.8300000000000001E-2</v>
      </c>
      <c r="D43" s="480">
        <v>4.4499999999999998E-2</v>
      </c>
      <c r="E43" s="480">
        <v>8.6900000000000005E-2</v>
      </c>
      <c r="F43" s="480">
        <v>4.4499999999999998E-2</v>
      </c>
    </row>
    <row r="44" spans="1:6">
      <c r="A44" s="480" t="s">
        <v>716</v>
      </c>
      <c r="B44" s="480" t="s">
        <v>680</v>
      </c>
      <c r="C44" s="480">
        <v>4.6800000000000001E-2</v>
      </c>
      <c r="D44" s="480">
        <v>5.4399999999999997E-2</v>
      </c>
      <c r="E44" s="480">
        <v>9.6799999999999997E-2</v>
      </c>
      <c r="F44" s="480">
        <v>5.4399999999999997E-2</v>
      </c>
    </row>
    <row r="45" spans="1:6">
      <c r="A45" s="480" t="s">
        <v>717</v>
      </c>
      <c r="B45" s="480" t="s">
        <v>718</v>
      </c>
      <c r="C45" s="480">
        <v>2.1299999999999999E-2</v>
      </c>
      <c r="D45" s="480">
        <v>2.47E-2</v>
      </c>
      <c r="E45" s="480">
        <v>6.7100000000000007E-2</v>
      </c>
      <c r="F45" s="480">
        <v>2.47E-2</v>
      </c>
    </row>
    <row r="46" spans="1:6">
      <c r="A46" s="480" t="s">
        <v>719</v>
      </c>
      <c r="B46" s="480" t="s">
        <v>668</v>
      </c>
      <c r="C46" s="480">
        <v>0.1021</v>
      </c>
      <c r="D46" s="480">
        <v>0.1187</v>
      </c>
      <c r="E46" s="480">
        <v>0.16109999999999999</v>
      </c>
      <c r="F46" s="480">
        <v>0.1187</v>
      </c>
    </row>
    <row r="47" spans="1:6">
      <c r="A47" s="480" t="s">
        <v>720</v>
      </c>
      <c r="B47" s="480" t="s">
        <v>662</v>
      </c>
      <c r="C47" s="480">
        <v>1.6199999999999999E-2</v>
      </c>
      <c r="D47" s="480">
        <v>1.8800000000000001E-2</v>
      </c>
      <c r="E47" s="480">
        <v>6.1199999999999997E-2</v>
      </c>
      <c r="F47" s="480">
        <v>1.8800000000000001E-2</v>
      </c>
    </row>
    <row r="48" spans="1:6">
      <c r="A48" s="480" t="s">
        <v>721</v>
      </c>
      <c r="B48" s="480" t="s">
        <v>718</v>
      </c>
      <c r="C48" s="480">
        <v>2.1299999999999999E-2</v>
      </c>
      <c r="D48" s="480">
        <v>2.47E-2</v>
      </c>
      <c r="E48" s="480">
        <v>6.7100000000000007E-2</v>
      </c>
      <c r="F48" s="480">
        <v>2.47E-2</v>
      </c>
    </row>
    <row r="49" spans="1:6">
      <c r="A49" s="480" t="s">
        <v>722</v>
      </c>
      <c r="B49" s="480" t="s">
        <v>686</v>
      </c>
      <c r="C49" s="480">
        <v>5.1000000000000004E-3</v>
      </c>
      <c r="D49" s="480">
        <v>6.0000000000000001E-3</v>
      </c>
      <c r="E49" s="480">
        <v>4.8399999999999999E-2</v>
      </c>
      <c r="F49" s="480">
        <v>6.0000000000000001E-3</v>
      </c>
    </row>
    <row r="50" spans="1:6">
      <c r="A50" s="480" t="s">
        <v>723</v>
      </c>
      <c r="B50" s="480" t="s">
        <v>673</v>
      </c>
      <c r="C50" s="480">
        <v>0</v>
      </c>
      <c r="D50" s="480">
        <v>0</v>
      </c>
      <c r="E50" s="480">
        <v>4.24E-2</v>
      </c>
      <c r="F50" s="480">
        <v>0</v>
      </c>
    </row>
    <row r="51" spans="1:6">
      <c r="A51" s="480" t="s">
        <v>724</v>
      </c>
      <c r="B51" s="480" t="s">
        <v>670</v>
      </c>
      <c r="C51" s="480">
        <v>3.0599999999999999E-2</v>
      </c>
      <c r="D51" s="480">
        <v>3.56E-2</v>
      </c>
      <c r="E51" s="480">
        <v>7.8E-2</v>
      </c>
      <c r="F51" s="480">
        <v>3.56E-2</v>
      </c>
    </row>
    <row r="52" spans="1:6">
      <c r="A52" s="480" t="s">
        <v>725</v>
      </c>
      <c r="B52" s="480" t="s">
        <v>688</v>
      </c>
      <c r="C52" s="480">
        <v>8.5099999999999995E-2</v>
      </c>
      <c r="D52" s="480">
        <v>9.8900000000000002E-2</v>
      </c>
      <c r="E52" s="480">
        <v>0.14130000000000001</v>
      </c>
      <c r="F52" s="480">
        <v>9.8900000000000002E-2</v>
      </c>
    </row>
    <row r="53" spans="1:6">
      <c r="A53" s="480" t="s">
        <v>726</v>
      </c>
      <c r="B53" s="480" t="s">
        <v>680</v>
      </c>
      <c r="C53" s="480">
        <v>4.6800000000000001E-2</v>
      </c>
      <c r="D53" s="480">
        <v>5.4399999999999997E-2</v>
      </c>
      <c r="E53" s="480">
        <v>9.6799999999999997E-2</v>
      </c>
      <c r="F53" s="480">
        <v>5.4399999999999997E-2</v>
      </c>
    </row>
    <row r="54" spans="1:6">
      <c r="A54" s="480" t="s">
        <v>727</v>
      </c>
      <c r="B54" s="480" t="s">
        <v>683</v>
      </c>
      <c r="C54" s="480">
        <v>6.3799999999999996E-2</v>
      </c>
      <c r="D54" s="480">
        <v>7.4099999999999999E-2</v>
      </c>
      <c r="E54" s="480">
        <v>0.11650000000000001</v>
      </c>
      <c r="F54" s="480">
        <v>7.4099999999999999E-2</v>
      </c>
    </row>
    <row r="55" spans="1:6">
      <c r="A55" s="480" t="s">
        <v>728</v>
      </c>
      <c r="B55" s="480" t="s">
        <v>709</v>
      </c>
      <c r="C55" s="480">
        <v>6.0000000000000001E-3</v>
      </c>
      <c r="D55" s="480">
        <v>7.0000000000000001E-3</v>
      </c>
      <c r="E55" s="480">
        <v>4.9399999999999999E-2</v>
      </c>
      <c r="F55" s="480">
        <v>7.0000000000000001E-3</v>
      </c>
    </row>
    <row r="56" spans="1:6">
      <c r="A56" s="480" t="s">
        <v>729</v>
      </c>
      <c r="B56" s="480" t="s">
        <v>714</v>
      </c>
      <c r="C56" s="480">
        <v>7.6600000000000001E-2</v>
      </c>
      <c r="D56" s="480">
        <v>8.8999999999999996E-2</v>
      </c>
      <c r="E56" s="480">
        <v>0.13139999999999999</v>
      </c>
      <c r="F56" s="480">
        <v>8.8999999999999996E-2</v>
      </c>
    </row>
    <row r="57" spans="1:6">
      <c r="A57" s="480" t="s">
        <v>730</v>
      </c>
      <c r="B57" s="480" t="s">
        <v>660</v>
      </c>
      <c r="C57" s="480">
        <v>5.8799999999999998E-2</v>
      </c>
      <c r="D57" s="480">
        <v>6.83E-2</v>
      </c>
      <c r="E57" s="480">
        <v>0.11070000000000001</v>
      </c>
      <c r="F57" s="480">
        <v>6.83E-2</v>
      </c>
    </row>
    <row r="58" spans="1:6">
      <c r="A58" s="480" t="s">
        <v>731</v>
      </c>
      <c r="B58" s="480" t="s">
        <v>658</v>
      </c>
      <c r="C58" s="480">
        <v>3.8300000000000001E-2</v>
      </c>
      <c r="D58" s="480">
        <v>4.4499999999999998E-2</v>
      </c>
      <c r="E58" s="480">
        <v>8.6900000000000005E-2</v>
      </c>
      <c r="F58" s="480">
        <v>4.4499999999999998E-2</v>
      </c>
    </row>
    <row r="59" spans="1:6">
      <c r="A59" s="480" t="s">
        <v>732</v>
      </c>
      <c r="B59" s="480" t="s">
        <v>675</v>
      </c>
      <c r="C59" s="480">
        <v>3.3999999999999998E-3</v>
      </c>
      <c r="D59" s="480">
        <v>3.8999999999999998E-3</v>
      </c>
      <c r="E59" s="480">
        <v>4.6300000000000001E-2</v>
      </c>
      <c r="F59" s="480">
        <v>3.8999999999999998E-3</v>
      </c>
    </row>
    <row r="60" spans="1:6">
      <c r="A60" s="480" t="s">
        <v>733</v>
      </c>
      <c r="B60" s="480" t="s">
        <v>656</v>
      </c>
      <c r="C60" s="480">
        <v>4.1999999999999997E-3</v>
      </c>
      <c r="D60" s="480">
        <v>4.8999999999999998E-3</v>
      </c>
      <c r="E60" s="480">
        <v>4.7300000000000002E-2</v>
      </c>
      <c r="F60" s="480">
        <v>4.8999999999999998E-3</v>
      </c>
    </row>
    <row r="61" spans="1:6">
      <c r="A61" s="480" t="s">
        <v>734</v>
      </c>
      <c r="B61" s="480" t="s">
        <v>660</v>
      </c>
      <c r="C61" s="480">
        <v>3.2599999999999997E-2</v>
      </c>
      <c r="D61" s="480">
        <v>3.7900000000000003E-2</v>
      </c>
      <c r="E61" s="480">
        <v>8.0299999999999996E-2</v>
      </c>
      <c r="F61" s="480">
        <v>3.7900000000000003E-2</v>
      </c>
    </row>
    <row r="62" spans="1:6">
      <c r="A62" s="480" t="s">
        <v>735</v>
      </c>
      <c r="B62" s="480" t="s">
        <v>683</v>
      </c>
      <c r="C62" s="480">
        <v>6.3799999999999996E-2</v>
      </c>
      <c r="D62" s="480">
        <v>7.4099999999999999E-2</v>
      </c>
      <c r="E62" s="480">
        <v>0.11650000000000001</v>
      </c>
      <c r="F62" s="480">
        <v>7.4099999999999999E-2</v>
      </c>
    </row>
    <row r="63" spans="1:6">
      <c r="A63" s="480" t="s">
        <v>736</v>
      </c>
      <c r="B63" s="480" t="s">
        <v>660</v>
      </c>
      <c r="C63" s="480">
        <v>4.6800000000000001E-2</v>
      </c>
      <c r="D63" s="480">
        <v>5.4399999999999997E-2</v>
      </c>
      <c r="E63" s="480">
        <v>9.6799999999999997E-2</v>
      </c>
      <c r="F63" s="480">
        <v>5.4399999999999997E-2</v>
      </c>
    </row>
    <row r="64" spans="1:6">
      <c r="A64" s="480" t="s">
        <v>737</v>
      </c>
      <c r="B64" s="480" t="s">
        <v>677</v>
      </c>
      <c r="C64" s="480">
        <v>2.5600000000000001E-2</v>
      </c>
      <c r="D64" s="480">
        <v>2.9700000000000001E-2</v>
      </c>
      <c r="E64" s="480">
        <v>7.2099999999999997E-2</v>
      </c>
      <c r="F64" s="480">
        <v>2.9700000000000001E-2</v>
      </c>
    </row>
    <row r="65" spans="1:6">
      <c r="A65" s="480" t="s">
        <v>738</v>
      </c>
      <c r="B65" s="480" t="s">
        <v>673</v>
      </c>
      <c r="C65" s="480">
        <v>0</v>
      </c>
      <c r="D65" s="480">
        <v>0</v>
      </c>
      <c r="E65" s="480">
        <v>4.24E-2</v>
      </c>
      <c r="F65" s="480">
        <v>0</v>
      </c>
    </row>
    <row r="66" spans="1:6">
      <c r="A66" s="480" t="s">
        <v>739</v>
      </c>
      <c r="B66" s="480" t="s">
        <v>664</v>
      </c>
      <c r="C66" s="480">
        <v>5.5300000000000002E-2</v>
      </c>
      <c r="D66" s="480">
        <v>6.4299999999999996E-2</v>
      </c>
      <c r="E66" s="480">
        <v>0.1067</v>
      </c>
      <c r="F66" s="480">
        <v>6.4299999999999996E-2</v>
      </c>
    </row>
    <row r="67" spans="1:6">
      <c r="A67" s="480" t="s">
        <v>740</v>
      </c>
      <c r="B67" s="480" t="s">
        <v>660</v>
      </c>
      <c r="C67" s="480">
        <v>7.1999999999999998E-3</v>
      </c>
      <c r="D67" s="480">
        <v>8.3000000000000001E-3</v>
      </c>
      <c r="E67" s="480">
        <v>5.0700000000000002E-2</v>
      </c>
      <c r="F67" s="480">
        <v>8.3000000000000001E-3</v>
      </c>
    </row>
    <row r="68" spans="1:6">
      <c r="A68" s="480" t="s">
        <v>741</v>
      </c>
      <c r="B68" s="480" t="s">
        <v>670</v>
      </c>
      <c r="C68" s="480">
        <v>3.0599999999999999E-2</v>
      </c>
      <c r="D68" s="480">
        <v>3.56E-2</v>
      </c>
      <c r="E68" s="480">
        <v>7.8E-2</v>
      </c>
      <c r="F68" s="480">
        <v>3.56E-2</v>
      </c>
    </row>
    <row r="69" spans="1:6">
      <c r="A69" s="480" t="s">
        <v>742</v>
      </c>
      <c r="B69" s="480" t="s">
        <v>660</v>
      </c>
      <c r="C69" s="480">
        <v>7.1999999999999998E-3</v>
      </c>
      <c r="D69" s="480">
        <v>8.3000000000000001E-3</v>
      </c>
      <c r="E69" s="480">
        <v>5.0700000000000002E-2</v>
      </c>
      <c r="F69" s="480">
        <v>8.3000000000000001E-3</v>
      </c>
    </row>
    <row r="70" spans="1:6">
      <c r="A70" s="480" t="s">
        <v>743</v>
      </c>
      <c r="B70" s="480" t="s">
        <v>718</v>
      </c>
      <c r="C70" s="480">
        <v>2.1299999999999999E-2</v>
      </c>
      <c r="D70" s="480">
        <v>2.47E-2</v>
      </c>
      <c r="E70" s="480">
        <v>6.7100000000000007E-2</v>
      </c>
      <c r="F70" s="480">
        <v>2.47E-2</v>
      </c>
    </row>
    <row r="71" spans="1:6">
      <c r="A71" s="480" t="s">
        <v>744</v>
      </c>
      <c r="B71" s="480" t="s">
        <v>686</v>
      </c>
      <c r="C71" s="480">
        <v>5.1000000000000004E-3</v>
      </c>
      <c r="D71" s="480">
        <v>6.0000000000000001E-3</v>
      </c>
      <c r="E71" s="480">
        <v>4.8399999999999999E-2</v>
      </c>
      <c r="F71" s="480">
        <v>6.0000000000000001E-3</v>
      </c>
    </row>
    <row r="72" spans="1:6">
      <c r="A72" s="480" t="s">
        <v>745</v>
      </c>
      <c r="B72" s="480" t="s">
        <v>660</v>
      </c>
      <c r="C72" s="480">
        <v>7.6600000000000001E-2</v>
      </c>
      <c r="D72" s="480">
        <v>8.8999999999999996E-2</v>
      </c>
      <c r="E72" s="480">
        <v>0.13139999999999999</v>
      </c>
      <c r="F72" s="480">
        <v>8.8999999999999996E-2</v>
      </c>
    </row>
    <row r="73" spans="1:6">
      <c r="A73" s="480" t="s">
        <v>746</v>
      </c>
      <c r="B73" s="480" t="s">
        <v>660</v>
      </c>
      <c r="C73" s="480">
        <v>5.5300000000000002E-2</v>
      </c>
      <c r="D73" s="480">
        <v>6.4299999999999996E-2</v>
      </c>
      <c r="E73" s="480">
        <v>0.1067</v>
      </c>
      <c r="F73" s="480">
        <v>6.4299999999999996E-2</v>
      </c>
    </row>
    <row r="74" spans="1:6">
      <c r="A74" s="480" t="s">
        <v>747</v>
      </c>
      <c r="B74" s="480" t="s">
        <v>660</v>
      </c>
      <c r="C74" s="480">
        <v>3.8300000000000001E-2</v>
      </c>
      <c r="D74" s="480">
        <v>4.4499999999999998E-2</v>
      </c>
      <c r="E74" s="480">
        <v>8.6900000000000005E-2</v>
      </c>
      <c r="F74" s="480">
        <v>4.4499999999999998E-2</v>
      </c>
    </row>
    <row r="75" spans="1:6">
      <c r="A75" s="480" t="s">
        <v>748</v>
      </c>
      <c r="B75" s="480" t="s">
        <v>660</v>
      </c>
      <c r="C75" s="480">
        <v>8.5099999999999995E-2</v>
      </c>
      <c r="D75" s="480">
        <v>9.8900000000000002E-2</v>
      </c>
      <c r="E75" s="480">
        <v>0.14130000000000001</v>
      </c>
      <c r="F75" s="480">
        <v>9.8900000000000002E-2</v>
      </c>
    </row>
    <row r="76" spans="1:6">
      <c r="A76" s="480" t="s">
        <v>749</v>
      </c>
      <c r="B76" s="480" t="s">
        <v>658</v>
      </c>
      <c r="C76" s="480">
        <v>3.8300000000000001E-2</v>
      </c>
      <c r="D76" s="480">
        <v>4.4499999999999998E-2</v>
      </c>
      <c r="E76" s="480">
        <v>8.6900000000000005E-2</v>
      </c>
      <c r="F76" s="480">
        <v>4.4499999999999998E-2</v>
      </c>
    </row>
    <row r="77" spans="1:6">
      <c r="A77" s="480" t="s">
        <v>750</v>
      </c>
      <c r="B77" s="480" t="s">
        <v>686</v>
      </c>
      <c r="C77" s="480">
        <v>5.1000000000000004E-3</v>
      </c>
      <c r="D77" s="480">
        <v>6.0000000000000001E-3</v>
      </c>
      <c r="E77" s="480">
        <v>4.8399999999999999E-2</v>
      </c>
      <c r="F77" s="480">
        <v>6.0000000000000001E-3</v>
      </c>
    </row>
    <row r="78" spans="1:6">
      <c r="A78" s="480" t="s">
        <v>751</v>
      </c>
      <c r="B78" s="480" t="s">
        <v>662</v>
      </c>
      <c r="C78" s="480">
        <v>1.6199999999999999E-2</v>
      </c>
      <c r="D78" s="480">
        <v>1.8800000000000001E-2</v>
      </c>
      <c r="E78" s="480">
        <v>6.1199999999999997E-2</v>
      </c>
      <c r="F78" s="480">
        <v>1.8800000000000001E-2</v>
      </c>
    </row>
    <row r="79" spans="1:6">
      <c r="A79" s="480" t="s">
        <v>752</v>
      </c>
      <c r="B79" s="480" t="s">
        <v>691</v>
      </c>
      <c r="C79" s="480">
        <v>7.1999999999999998E-3</v>
      </c>
      <c r="D79" s="480">
        <v>8.3999999999999995E-3</v>
      </c>
      <c r="E79" s="480">
        <v>5.0799999999999998E-2</v>
      </c>
      <c r="F79" s="480">
        <v>8.3999999999999995E-3</v>
      </c>
    </row>
    <row r="80" spans="1:6">
      <c r="A80" s="480" t="s">
        <v>753</v>
      </c>
      <c r="B80" s="480" t="s">
        <v>754</v>
      </c>
      <c r="C80" s="480">
        <v>1.8700000000000001E-2</v>
      </c>
      <c r="D80" s="480">
        <v>2.18E-2</v>
      </c>
      <c r="E80" s="480">
        <v>6.4199999999999993E-2</v>
      </c>
      <c r="F80" s="480">
        <v>2.18E-2</v>
      </c>
    </row>
    <row r="81" spans="1:6">
      <c r="A81" s="480" t="s">
        <v>755</v>
      </c>
      <c r="B81" s="480" t="s">
        <v>662</v>
      </c>
      <c r="C81" s="480">
        <v>1.6199999999999999E-2</v>
      </c>
      <c r="D81" s="480">
        <v>1.8800000000000001E-2</v>
      </c>
      <c r="E81" s="480">
        <v>6.1199999999999997E-2</v>
      </c>
      <c r="F81" s="480">
        <v>1.8800000000000001E-2</v>
      </c>
    </row>
    <row r="82" spans="1:6">
      <c r="A82" s="480" t="s">
        <v>756</v>
      </c>
      <c r="B82" s="480" t="s">
        <v>660</v>
      </c>
      <c r="C82" s="480">
        <v>5.5300000000000002E-2</v>
      </c>
      <c r="D82" s="480">
        <v>6.4299999999999996E-2</v>
      </c>
      <c r="E82" s="480">
        <v>0.1067</v>
      </c>
      <c r="F82" s="480">
        <v>6.4299999999999996E-2</v>
      </c>
    </row>
    <row r="83" spans="1:6">
      <c r="A83" s="480" t="s">
        <v>757</v>
      </c>
      <c r="B83" s="480" t="s">
        <v>683</v>
      </c>
      <c r="C83" s="480">
        <v>6.3799999999999996E-2</v>
      </c>
      <c r="D83" s="480">
        <v>7.4099999999999999E-2</v>
      </c>
      <c r="E83" s="480">
        <v>0.11650000000000001</v>
      </c>
      <c r="F83" s="480">
        <v>7.4099999999999999E-2</v>
      </c>
    </row>
    <row r="84" spans="1:6">
      <c r="A84" s="480" t="s">
        <v>758</v>
      </c>
      <c r="B84" s="480" t="s">
        <v>691</v>
      </c>
      <c r="C84" s="480">
        <v>7.1999999999999998E-3</v>
      </c>
      <c r="D84" s="480">
        <v>8.3999999999999995E-3</v>
      </c>
      <c r="E84" s="480">
        <v>5.0799999999999998E-2</v>
      </c>
      <c r="F84" s="480">
        <v>8.3999999999999995E-3</v>
      </c>
    </row>
    <row r="85" spans="1:6">
      <c r="A85" s="480" t="s">
        <v>759</v>
      </c>
      <c r="B85" s="480" t="s">
        <v>686</v>
      </c>
      <c r="C85" s="480">
        <v>5.1000000000000004E-3</v>
      </c>
      <c r="D85" s="480">
        <v>6.0000000000000001E-3</v>
      </c>
      <c r="E85" s="480">
        <v>4.8399999999999999E-2</v>
      </c>
      <c r="F85" s="480">
        <v>6.0000000000000001E-3</v>
      </c>
    </row>
    <row r="86" spans="1:6">
      <c r="A86" s="480" t="s">
        <v>760</v>
      </c>
      <c r="B86" s="480" t="s">
        <v>709</v>
      </c>
      <c r="C86" s="480">
        <v>6.0000000000000001E-3</v>
      </c>
      <c r="D86" s="480">
        <v>7.0000000000000001E-3</v>
      </c>
      <c r="E86" s="480">
        <v>4.9399999999999999E-2</v>
      </c>
      <c r="F86" s="480">
        <v>7.0000000000000001E-3</v>
      </c>
    </row>
    <row r="87" spans="1:6">
      <c r="A87" s="480" t="s">
        <v>761</v>
      </c>
      <c r="B87" s="480" t="s">
        <v>754</v>
      </c>
      <c r="C87" s="480">
        <v>1.8700000000000001E-2</v>
      </c>
      <c r="D87" s="480">
        <v>2.18E-2</v>
      </c>
      <c r="E87" s="480">
        <v>6.4199999999999993E-2</v>
      </c>
      <c r="F87" s="480">
        <v>2.18E-2</v>
      </c>
    </row>
    <row r="88" spans="1:6">
      <c r="A88" s="480" t="s">
        <v>762</v>
      </c>
      <c r="B88" s="480" t="s">
        <v>670</v>
      </c>
      <c r="C88" s="480">
        <v>3.0599999999999999E-2</v>
      </c>
      <c r="D88" s="480">
        <v>3.56E-2</v>
      </c>
      <c r="E88" s="480">
        <v>7.8E-2</v>
      </c>
      <c r="F88" s="480">
        <v>3.56E-2</v>
      </c>
    </row>
    <row r="89" spans="1:6">
      <c r="A89" s="480" t="s">
        <v>763</v>
      </c>
      <c r="B89" s="480" t="s">
        <v>680</v>
      </c>
      <c r="C89" s="480">
        <v>4.6800000000000001E-2</v>
      </c>
      <c r="D89" s="480">
        <v>5.4399999999999997E-2</v>
      </c>
      <c r="E89" s="480">
        <v>9.6799999999999997E-2</v>
      </c>
      <c r="F89" s="480">
        <v>5.4399999999999997E-2</v>
      </c>
    </row>
    <row r="90" spans="1:6">
      <c r="A90" s="480" t="s">
        <v>764</v>
      </c>
      <c r="B90" s="480" t="s">
        <v>709</v>
      </c>
      <c r="C90" s="480">
        <v>6.0000000000000001E-3</v>
      </c>
      <c r="D90" s="480">
        <v>7.0000000000000001E-3</v>
      </c>
      <c r="E90" s="480">
        <v>4.9399999999999999E-2</v>
      </c>
      <c r="F90" s="480">
        <v>7.0000000000000001E-3</v>
      </c>
    </row>
    <row r="91" spans="1:6">
      <c r="A91" s="480" t="s">
        <v>765</v>
      </c>
      <c r="B91" s="480" t="s">
        <v>673</v>
      </c>
      <c r="C91" s="480">
        <v>0</v>
      </c>
      <c r="D91" s="480">
        <v>0</v>
      </c>
      <c r="E91" s="480">
        <v>4.24E-2</v>
      </c>
      <c r="F91" s="480">
        <v>0</v>
      </c>
    </row>
    <row r="92" spans="1:6">
      <c r="A92" s="480" t="s">
        <v>766</v>
      </c>
      <c r="B92" s="480" t="s">
        <v>658</v>
      </c>
      <c r="C92" s="480">
        <v>3.8300000000000001E-2</v>
      </c>
      <c r="D92" s="480">
        <v>4.4499999999999998E-2</v>
      </c>
      <c r="E92" s="480">
        <v>8.6900000000000005E-2</v>
      </c>
      <c r="F92" s="480">
        <v>4.4499999999999998E-2</v>
      </c>
    </row>
    <row r="93" spans="1:6">
      <c r="A93" s="480" t="s">
        <v>767</v>
      </c>
      <c r="B93" s="480" t="s">
        <v>662</v>
      </c>
      <c r="C93" s="480">
        <v>1.6199999999999999E-2</v>
      </c>
      <c r="D93" s="480">
        <v>1.8800000000000001E-2</v>
      </c>
      <c r="E93" s="480">
        <v>6.1199999999999997E-2</v>
      </c>
      <c r="F93" s="480">
        <v>1.8800000000000001E-2</v>
      </c>
    </row>
    <row r="94" spans="1:6">
      <c r="A94" s="480" t="s">
        <v>768</v>
      </c>
      <c r="B94" s="480" t="s">
        <v>680</v>
      </c>
      <c r="C94" s="480">
        <v>4.6800000000000001E-2</v>
      </c>
      <c r="D94" s="480">
        <v>5.4399999999999997E-2</v>
      </c>
      <c r="E94" s="480">
        <v>9.6799999999999997E-2</v>
      </c>
      <c r="F94" s="480">
        <v>5.4399999999999997E-2</v>
      </c>
    </row>
    <row r="95" spans="1:6">
      <c r="A95" s="480" t="s">
        <v>769</v>
      </c>
      <c r="B95" s="480" t="s">
        <v>660</v>
      </c>
      <c r="C95" s="480">
        <v>0.1021</v>
      </c>
      <c r="D95" s="480">
        <v>0.1187</v>
      </c>
      <c r="E95" s="480">
        <v>0.16109999999999999</v>
      </c>
      <c r="F95" s="480">
        <v>0.1187</v>
      </c>
    </row>
    <row r="96" spans="1:6">
      <c r="A96" s="480" t="s">
        <v>770</v>
      </c>
      <c r="B96" s="480" t="s">
        <v>709</v>
      </c>
      <c r="C96" s="480">
        <v>6.0000000000000001E-3</v>
      </c>
      <c r="D96" s="480">
        <v>7.0000000000000001E-3</v>
      </c>
      <c r="E96" s="480">
        <v>4.9399999999999999E-2</v>
      </c>
      <c r="F96" s="480">
        <v>7.0000000000000001E-3</v>
      </c>
    </row>
    <row r="97" spans="1:6">
      <c r="A97" s="480" t="s">
        <v>771</v>
      </c>
      <c r="B97" s="480" t="s">
        <v>680</v>
      </c>
      <c r="C97" s="480">
        <v>4.6800000000000001E-2</v>
      </c>
      <c r="D97" s="480">
        <v>5.4399999999999997E-2</v>
      </c>
      <c r="E97" s="480">
        <v>9.6799999999999997E-2</v>
      </c>
      <c r="F97" s="480">
        <v>5.4399999999999997E-2</v>
      </c>
    </row>
    <row r="98" spans="1:6">
      <c r="A98" s="480" t="s">
        <v>772</v>
      </c>
      <c r="B98" s="480" t="s">
        <v>714</v>
      </c>
      <c r="C98" s="480">
        <v>7.6600000000000001E-2</v>
      </c>
      <c r="D98" s="480">
        <v>8.8999999999999996E-2</v>
      </c>
      <c r="E98" s="480">
        <v>0.13139999999999999</v>
      </c>
      <c r="F98" s="480">
        <v>8.8999999999999996E-2</v>
      </c>
    </row>
    <row r="99" spans="1:6">
      <c r="A99" s="480" t="s">
        <v>773</v>
      </c>
      <c r="B99" s="480" t="s">
        <v>695</v>
      </c>
      <c r="C99" s="480">
        <v>1.0200000000000001E-2</v>
      </c>
      <c r="D99" s="480">
        <v>1.1900000000000001E-2</v>
      </c>
      <c r="E99" s="480">
        <v>5.4300000000000001E-2</v>
      </c>
      <c r="F99" s="480">
        <v>1.1900000000000001E-2</v>
      </c>
    </row>
    <row r="100" spans="1:6">
      <c r="A100" s="480" t="s">
        <v>774</v>
      </c>
      <c r="B100" s="480" t="s">
        <v>775</v>
      </c>
      <c r="C100" s="480">
        <v>0.17499999999999999</v>
      </c>
      <c r="D100" s="480">
        <v>0.2034</v>
      </c>
      <c r="E100" s="480">
        <v>0.24579999999999999</v>
      </c>
      <c r="F100" s="480">
        <v>0.2034</v>
      </c>
    </row>
    <row r="101" spans="1:6">
      <c r="A101" s="480" t="s">
        <v>776</v>
      </c>
      <c r="B101" s="480" t="s">
        <v>660</v>
      </c>
      <c r="C101" s="480">
        <v>7.6600000000000001E-2</v>
      </c>
      <c r="D101" s="480">
        <v>8.8999999999999996E-2</v>
      </c>
      <c r="E101" s="480">
        <v>0.13139999999999999</v>
      </c>
      <c r="F101" s="480">
        <v>8.8999999999999996E-2</v>
      </c>
    </row>
    <row r="102" spans="1:6">
      <c r="A102" s="480" t="s">
        <v>777</v>
      </c>
      <c r="B102" s="480" t="s">
        <v>660</v>
      </c>
      <c r="C102" s="480">
        <v>3.8300000000000001E-2</v>
      </c>
      <c r="D102" s="480">
        <v>4.4499999999999998E-2</v>
      </c>
      <c r="E102" s="480">
        <v>8.6900000000000005E-2</v>
      </c>
      <c r="F102" s="480">
        <v>4.4499999999999998E-2</v>
      </c>
    </row>
    <row r="103" spans="1:6">
      <c r="A103" s="480" t="s">
        <v>778</v>
      </c>
      <c r="B103" s="480" t="s">
        <v>673</v>
      </c>
      <c r="C103" s="480">
        <v>0</v>
      </c>
      <c r="D103" s="480">
        <v>0</v>
      </c>
      <c r="E103" s="480">
        <v>4.24E-2</v>
      </c>
      <c r="F103" s="480">
        <v>0</v>
      </c>
    </row>
    <row r="104" spans="1:6">
      <c r="A104" s="480" t="s">
        <v>779</v>
      </c>
      <c r="B104" s="480" t="s">
        <v>691</v>
      </c>
      <c r="C104" s="480">
        <v>7.1999999999999998E-3</v>
      </c>
      <c r="D104" s="480">
        <v>8.3999999999999995E-3</v>
      </c>
      <c r="E104" s="480">
        <v>5.0799999999999998E-2</v>
      </c>
      <c r="F104" s="480">
        <v>8.3999999999999995E-3</v>
      </c>
    </row>
    <row r="105" spans="1:6">
      <c r="A105" s="480" t="s">
        <v>780</v>
      </c>
      <c r="B105" s="480" t="s">
        <v>673</v>
      </c>
      <c r="C105" s="480">
        <v>0</v>
      </c>
      <c r="D105" s="480">
        <v>0</v>
      </c>
      <c r="E105" s="480">
        <v>4.24E-2</v>
      </c>
      <c r="F105" s="480">
        <v>0</v>
      </c>
    </row>
    <row r="106" spans="1:6">
      <c r="A106" s="480" t="s">
        <v>781</v>
      </c>
      <c r="B106" s="480" t="s">
        <v>686</v>
      </c>
      <c r="C106" s="480">
        <v>5.1000000000000004E-3</v>
      </c>
      <c r="D106" s="480">
        <v>6.0000000000000001E-3</v>
      </c>
      <c r="E106" s="480">
        <v>4.8399999999999999E-2</v>
      </c>
      <c r="F106" s="480">
        <v>6.0000000000000001E-3</v>
      </c>
    </row>
    <row r="107" spans="1:6">
      <c r="A107" s="480" t="s">
        <v>782</v>
      </c>
      <c r="B107" s="480" t="s">
        <v>670</v>
      </c>
      <c r="C107" s="480">
        <v>3.0599999999999999E-2</v>
      </c>
      <c r="D107" s="480">
        <v>3.56E-2</v>
      </c>
      <c r="E107" s="480">
        <v>7.8E-2</v>
      </c>
      <c r="F107" s="480">
        <v>3.56E-2</v>
      </c>
    </row>
    <row r="108" spans="1:6">
      <c r="A108" s="480" t="s">
        <v>783</v>
      </c>
      <c r="B108" s="480" t="s">
        <v>660</v>
      </c>
      <c r="C108" s="480">
        <v>5.5300000000000002E-2</v>
      </c>
      <c r="D108" s="480">
        <v>6.4299999999999996E-2</v>
      </c>
      <c r="E108" s="480">
        <v>0.1067</v>
      </c>
      <c r="F108" s="480">
        <v>6.4299999999999996E-2</v>
      </c>
    </row>
    <row r="109" spans="1:6">
      <c r="A109" s="480" t="s">
        <v>784</v>
      </c>
      <c r="B109" s="480" t="s">
        <v>660</v>
      </c>
      <c r="C109" s="480">
        <v>7.6600000000000001E-2</v>
      </c>
      <c r="D109" s="480">
        <v>8.8999999999999996E-2</v>
      </c>
      <c r="E109" s="480">
        <v>0.13139999999999999</v>
      </c>
      <c r="F109" s="480">
        <v>8.8999999999999996E-2</v>
      </c>
    </row>
    <row r="110" spans="1:6">
      <c r="A110" s="480" t="s">
        <v>785</v>
      </c>
      <c r="B110" s="480" t="s">
        <v>695</v>
      </c>
      <c r="C110" s="480">
        <v>1.0200000000000001E-2</v>
      </c>
      <c r="D110" s="480">
        <v>1.1900000000000001E-2</v>
      </c>
      <c r="E110" s="480">
        <v>5.4300000000000001E-2</v>
      </c>
      <c r="F110" s="480">
        <v>1.1900000000000001E-2</v>
      </c>
    </row>
    <row r="111" spans="1:6">
      <c r="A111" s="480" t="s">
        <v>786</v>
      </c>
      <c r="B111" s="480" t="s">
        <v>683</v>
      </c>
      <c r="C111" s="480">
        <v>6.3799999999999996E-2</v>
      </c>
      <c r="D111" s="480">
        <v>7.4099999999999999E-2</v>
      </c>
      <c r="E111" s="480">
        <v>0.11650000000000001</v>
      </c>
      <c r="F111" s="480">
        <v>7.4099999999999999E-2</v>
      </c>
    </row>
    <row r="112" spans="1:6">
      <c r="A112" s="480" t="s">
        <v>787</v>
      </c>
      <c r="B112" s="480" t="s">
        <v>683</v>
      </c>
      <c r="C112" s="480">
        <v>6.3799999999999996E-2</v>
      </c>
      <c r="D112" s="480">
        <v>7.4099999999999999E-2</v>
      </c>
      <c r="E112" s="480">
        <v>0.11650000000000001</v>
      </c>
      <c r="F112" s="480">
        <v>7.4099999999999999E-2</v>
      </c>
    </row>
    <row r="113" spans="1:6">
      <c r="A113" s="480" t="s">
        <v>788</v>
      </c>
      <c r="B113" s="480" t="s">
        <v>691</v>
      </c>
      <c r="C113" s="480">
        <v>7.1999999999999998E-3</v>
      </c>
      <c r="D113" s="480">
        <v>8.3999999999999995E-3</v>
      </c>
      <c r="E113" s="480">
        <v>5.0799999999999998E-2</v>
      </c>
      <c r="F113" s="480">
        <v>8.3999999999999995E-3</v>
      </c>
    </row>
    <row r="114" spans="1:6">
      <c r="A114" s="480" t="s">
        <v>789</v>
      </c>
      <c r="B114" s="480" t="s">
        <v>660</v>
      </c>
      <c r="C114" s="480">
        <v>3.2599999999999997E-2</v>
      </c>
      <c r="D114" s="480">
        <v>3.7900000000000003E-2</v>
      </c>
      <c r="E114" s="480">
        <v>8.0299999999999996E-2</v>
      </c>
      <c r="F114" s="480">
        <v>3.7900000000000003E-2</v>
      </c>
    </row>
    <row r="115" spans="1:6">
      <c r="A115" s="480" t="s">
        <v>790</v>
      </c>
      <c r="B115" s="480" t="s">
        <v>662</v>
      </c>
      <c r="C115" s="480">
        <v>1.6199999999999999E-2</v>
      </c>
      <c r="D115" s="480">
        <v>1.8800000000000001E-2</v>
      </c>
      <c r="E115" s="480">
        <v>6.1199999999999997E-2</v>
      </c>
      <c r="F115" s="480">
        <v>1.8800000000000001E-2</v>
      </c>
    </row>
    <row r="116" spans="1:6">
      <c r="A116" s="480" t="s">
        <v>791</v>
      </c>
      <c r="B116" s="480" t="s">
        <v>700</v>
      </c>
      <c r="C116" s="480">
        <v>1.3599999999999999E-2</v>
      </c>
      <c r="D116" s="480">
        <v>1.5800000000000002E-2</v>
      </c>
      <c r="E116" s="480">
        <v>5.8200000000000002E-2</v>
      </c>
      <c r="F116" s="480">
        <v>1.5800000000000002E-2</v>
      </c>
    </row>
    <row r="117" spans="1:6">
      <c r="A117" s="480" t="s">
        <v>792</v>
      </c>
      <c r="B117" s="480" t="s">
        <v>664</v>
      </c>
      <c r="C117" s="480">
        <v>5.5300000000000002E-2</v>
      </c>
      <c r="D117" s="480">
        <v>6.4299999999999996E-2</v>
      </c>
      <c r="E117" s="480">
        <v>0.1067</v>
      </c>
      <c r="F117" s="480">
        <v>6.4299999999999996E-2</v>
      </c>
    </row>
    <row r="118" spans="1:6">
      <c r="A118" s="480" t="s">
        <v>793</v>
      </c>
      <c r="B118" s="480" t="s">
        <v>664</v>
      </c>
      <c r="C118" s="480">
        <v>5.5300000000000002E-2</v>
      </c>
      <c r="D118" s="480">
        <v>6.4299999999999996E-2</v>
      </c>
      <c r="E118" s="480">
        <v>0.1067</v>
      </c>
      <c r="F118" s="480">
        <v>6.4299999999999996E-2</v>
      </c>
    </row>
    <row r="119" spans="1:6">
      <c r="A119" s="480" t="s">
        <v>794</v>
      </c>
      <c r="B119" s="480" t="s">
        <v>658</v>
      </c>
      <c r="C119" s="480">
        <v>3.8300000000000001E-2</v>
      </c>
      <c r="D119" s="480">
        <v>4.4499999999999998E-2</v>
      </c>
      <c r="E119" s="480">
        <v>8.6900000000000005E-2</v>
      </c>
      <c r="F119" s="480">
        <v>4.4499999999999998E-2</v>
      </c>
    </row>
    <row r="120" spans="1:6">
      <c r="A120" s="480" t="s">
        <v>795</v>
      </c>
      <c r="B120" s="480" t="s">
        <v>754</v>
      </c>
      <c r="C120" s="480">
        <v>1.8700000000000001E-2</v>
      </c>
      <c r="D120" s="480">
        <v>2.18E-2</v>
      </c>
      <c r="E120" s="480">
        <v>6.4199999999999993E-2</v>
      </c>
      <c r="F120" s="480">
        <v>2.18E-2</v>
      </c>
    </row>
    <row r="121" spans="1:6">
      <c r="A121" s="480" t="s">
        <v>796</v>
      </c>
      <c r="B121" s="480" t="s">
        <v>718</v>
      </c>
      <c r="C121" s="480">
        <v>2.1299999999999999E-2</v>
      </c>
      <c r="D121" s="480">
        <v>2.47E-2</v>
      </c>
      <c r="E121" s="480">
        <v>6.7100000000000007E-2</v>
      </c>
      <c r="F121" s="480">
        <v>2.47E-2</v>
      </c>
    </row>
    <row r="122" spans="1:6">
      <c r="A122" s="480" t="s">
        <v>797</v>
      </c>
      <c r="B122" s="480" t="s">
        <v>714</v>
      </c>
      <c r="C122" s="480">
        <v>7.6600000000000001E-2</v>
      </c>
      <c r="D122" s="480">
        <v>8.8999999999999996E-2</v>
      </c>
      <c r="E122" s="480">
        <v>0.13139999999999999</v>
      </c>
      <c r="F122" s="480">
        <v>8.8999999999999996E-2</v>
      </c>
    </row>
    <row r="123" spans="1:6">
      <c r="A123" s="480" t="s">
        <v>798</v>
      </c>
      <c r="B123" s="480" t="s">
        <v>660</v>
      </c>
      <c r="C123" s="480">
        <v>0.1021</v>
      </c>
      <c r="D123" s="480">
        <v>0.1187</v>
      </c>
      <c r="E123" s="480">
        <v>0.16109999999999999</v>
      </c>
      <c r="F123" s="480">
        <v>0.1187</v>
      </c>
    </row>
    <row r="124" spans="1:6">
      <c r="A124" s="480" t="s">
        <v>799</v>
      </c>
      <c r="B124" s="480" t="s">
        <v>670</v>
      </c>
      <c r="C124" s="480">
        <v>3.0599999999999999E-2</v>
      </c>
      <c r="D124" s="480">
        <v>3.56E-2</v>
      </c>
      <c r="E124" s="480">
        <v>7.8E-2</v>
      </c>
      <c r="F124" s="480">
        <v>3.56E-2</v>
      </c>
    </row>
    <row r="125" spans="1:6">
      <c r="A125" s="480" t="s">
        <v>800</v>
      </c>
      <c r="B125" s="480" t="s">
        <v>673</v>
      </c>
      <c r="C125" s="480">
        <v>0</v>
      </c>
      <c r="D125" s="480">
        <v>0</v>
      </c>
      <c r="E125" s="480">
        <v>4.24E-2</v>
      </c>
      <c r="F125" s="480">
        <v>0</v>
      </c>
    </row>
    <row r="126" spans="1:6">
      <c r="A126" s="480" t="s">
        <v>801</v>
      </c>
      <c r="B126" s="480" t="s">
        <v>660</v>
      </c>
      <c r="C126" s="480">
        <v>5.8799999999999998E-2</v>
      </c>
      <c r="D126" s="480">
        <v>6.83E-2</v>
      </c>
      <c r="E126" s="480">
        <v>0.11070000000000001</v>
      </c>
      <c r="F126" s="480">
        <v>6.83E-2</v>
      </c>
    </row>
    <row r="127" spans="1:6">
      <c r="A127" s="480" t="s">
        <v>802</v>
      </c>
      <c r="B127" s="480" t="s">
        <v>673</v>
      </c>
      <c r="C127" s="480">
        <v>0</v>
      </c>
      <c r="D127" s="480">
        <v>0</v>
      </c>
      <c r="E127" s="480">
        <v>4.24E-2</v>
      </c>
      <c r="F127" s="480">
        <v>0</v>
      </c>
    </row>
    <row r="128" spans="1:6">
      <c r="A128" s="480" t="s">
        <v>803</v>
      </c>
      <c r="B128" s="480" t="s">
        <v>664</v>
      </c>
      <c r="C128" s="480">
        <v>5.5300000000000002E-2</v>
      </c>
      <c r="D128" s="480">
        <v>6.4299999999999996E-2</v>
      </c>
      <c r="E128" s="480">
        <v>0.1067</v>
      </c>
      <c r="F128" s="480">
        <v>6.4299999999999996E-2</v>
      </c>
    </row>
    <row r="129" spans="1:6">
      <c r="A129" s="480" t="s">
        <v>804</v>
      </c>
      <c r="B129" s="480" t="s">
        <v>664</v>
      </c>
      <c r="C129" s="480">
        <v>5.5300000000000002E-2</v>
      </c>
      <c r="D129" s="480">
        <v>6.4299999999999996E-2</v>
      </c>
      <c r="E129" s="480">
        <v>0.1067</v>
      </c>
      <c r="F129" s="480">
        <v>6.4299999999999996E-2</v>
      </c>
    </row>
    <row r="130" spans="1:6">
      <c r="A130" s="480" t="s">
        <v>805</v>
      </c>
      <c r="B130" s="480" t="s">
        <v>680</v>
      </c>
      <c r="C130" s="480">
        <v>4.6800000000000001E-2</v>
      </c>
      <c r="D130" s="480">
        <v>5.4399999999999997E-2</v>
      </c>
      <c r="E130" s="480">
        <v>9.6799999999999997E-2</v>
      </c>
      <c r="F130" s="480">
        <v>5.4399999999999997E-2</v>
      </c>
    </row>
    <row r="131" spans="1:6">
      <c r="A131" s="480" t="s">
        <v>806</v>
      </c>
      <c r="B131" s="480" t="s">
        <v>673</v>
      </c>
      <c r="C131" s="480">
        <v>0</v>
      </c>
      <c r="D131" s="480">
        <v>0</v>
      </c>
      <c r="E131" s="480">
        <v>4.24E-2</v>
      </c>
      <c r="F131" s="480">
        <v>0</v>
      </c>
    </row>
    <row r="132" spans="1:6">
      <c r="A132" s="480" t="s">
        <v>807</v>
      </c>
      <c r="B132" s="480" t="s">
        <v>670</v>
      </c>
      <c r="C132" s="480">
        <v>3.0599999999999999E-2</v>
      </c>
      <c r="D132" s="480">
        <v>3.56E-2</v>
      </c>
      <c r="E132" s="480">
        <v>7.8E-2</v>
      </c>
      <c r="F132" s="480">
        <v>3.56E-2</v>
      </c>
    </row>
    <row r="133" spans="1:6">
      <c r="A133" s="480" t="s">
        <v>808</v>
      </c>
      <c r="B133" s="480" t="s">
        <v>664</v>
      </c>
      <c r="C133" s="480">
        <v>5.5300000000000002E-2</v>
      </c>
      <c r="D133" s="480">
        <v>6.4299999999999996E-2</v>
      </c>
      <c r="E133" s="480">
        <v>0.1067</v>
      </c>
      <c r="F133" s="480">
        <v>6.4299999999999996E-2</v>
      </c>
    </row>
    <row r="134" spans="1:6">
      <c r="A134" s="481" t="s">
        <v>69</v>
      </c>
      <c r="B134" s="481" t="s">
        <v>660</v>
      </c>
      <c r="C134" s="481">
        <v>1.38E-2</v>
      </c>
      <c r="D134" s="481">
        <v>1.6E-2</v>
      </c>
      <c r="E134" s="481">
        <v>5.8400000000000001E-2</v>
      </c>
      <c r="F134" s="481">
        <v>1.6E-2</v>
      </c>
    </row>
    <row r="135" spans="1:6">
      <c r="A135" s="480" t="s">
        <v>809</v>
      </c>
      <c r="B135" s="480" t="s">
        <v>662</v>
      </c>
      <c r="C135" s="480">
        <v>1.6199999999999999E-2</v>
      </c>
      <c r="D135" s="480">
        <v>1.8800000000000001E-2</v>
      </c>
      <c r="E135" s="480">
        <v>6.1199999999999997E-2</v>
      </c>
      <c r="F135" s="480">
        <v>1.8800000000000001E-2</v>
      </c>
    </row>
    <row r="136" spans="1:6">
      <c r="A136" s="480" t="s">
        <v>810</v>
      </c>
      <c r="B136" s="480" t="s">
        <v>680</v>
      </c>
      <c r="C136" s="480">
        <v>4.6800000000000001E-2</v>
      </c>
      <c r="D136" s="480">
        <v>5.4399999999999997E-2</v>
      </c>
      <c r="E136" s="480">
        <v>9.6799999999999997E-2</v>
      </c>
      <c r="F136" s="480">
        <v>5.4399999999999997E-2</v>
      </c>
    </row>
    <row r="137" spans="1:6">
      <c r="A137" s="480" t="s">
        <v>811</v>
      </c>
      <c r="B137" s="480" t="s">
        <v>718</v>
      </c>
      <c r="C137" s="480">
        <v>2.1299999999999999E-2</v>
      </c>
      <c r="D137" s="480">
        <v>2.47E-2</v>
      </c>
      <c r="E137" s="480">
        <v>6.7100000000000007E-2</v>
      </c>
      <c r="F137" s="480">
        <v>2.47E-2</v>
      </c>
    </row>
    <row r="138" spans="1:6">
      <c r="A138" s="480" t="s">
        <v>812</v>
      </c>
      <c r="B138" s="480" t="s">
        <v>700</v>
      </c>
      <c r="C138" s="480">
        <v>1.3599999999999999E-2</v>
      </c>
      <c r="D138" s="480">
        <v>1.5800000000000002E-2</v>
      </c>
      <c r="E138" s="480">
        <v>5.8200000000000002E-2</v>
      </c>
      <c r="F138" s="480">
        <v>1.5800000000000002E-2</v>
      </c>
    </row>
    <row r="139" spans="1:6">
      <c r="A139" s="480" t="s">
        <v>813</v>
      </c>
      <c r="B139" s="480" t="s">
        <v>662</v>
      </c>
      <c r="C139" s="480">
        <v>1.6199999999999999E-2</v>
      </c>
      <c r="D139" s="480">
        <v>1.8800000000000001E-2</v>
      </c>
      <c r="E139" s="480">
        <v>6.1199999999999997E-2</v>
      </c>
      <c r="F139" s="480">
        <v>1.8800000000000001E-2</v>
      </c>
    </row>
    <row r="140" spans="1:6">
      <c r="A140" s="480" t="s">
        <v>814</v>
      </c>
      <c r="B140" s="480" t="s">
        <v>691</v>
      </c>
      <c r="C140" s="480">
        <v>7.1999999999999998E-3</v>
      </c>
      <c r="D140" s="480">
        <v>8.3999999999999995E-3</v>
      </c>
      <c r="E140" s="480">
        <v>5.0799999999999998E-2</v>
      </c>
      <c r="F140" s="480">
        <v>8.3999999999999995E-3</v>
      </c>
    </row>
    <row r="141" spans="1:6">
      <c r="A141" s="480" t="s">
        <v>815</v>
      </c>
      <c r="B141" s="480" t="s">
        <v>662</v>
      </c>
      <c r="C141" s="480">
        <v>1.6199999999999999E-2</v>
      </c>
      <c r="D141" s="480">
        <v>1.8800000000000001E-2</v>
      </c>
      <c r="E141" s="480">
        <v>6.1199999999999997E-2</v>
      </c>
      <c r="F141" s="480">
        <v>1.8800000000000001E-2</v>
      </c>
    </row>
    <row r="142" spans="1:6">
      <c r="A142" s="480" t="s">
        <v>816</v>
      </c>
      <c r="B142" s="480" t="s">
        <v>686</v>
      </c>
      <c r="C142" s="480">
        <v>5.1000000000000004E-3</v>
      </c>
      <c r="D142" s="480">
        <v>6.0000000000000001E-3</v>
      </c>
      <c r="E142" s="480">
        <v>4.8399999999999999E-2</v>
      </c>
      <c r="F142" s="480">
        <v>6.0000000000000001E-3</v>
      </c>
    </row>
    <row r="143" spans="1:6" ht="30">
      <c r="A143" s="480" t="s">
        <v>817</v>
      </c>
      <c r="B143" s="480" t="s">
        <v>695</v>
      </c>
      <c r="C143" s="480">
        <v>1.0200000000000001E-2</v>
      </c>
      <c r="D143" s="480">
        <v>1.1900000000000001E-2</v>
      </c>
      <c r="E143" s="480">
        <v>5.4300000000000001E-2</v>
      </c>
      <c r="F143" s="480">
        <v>1.1900000000000001E-2</v>
      </c>
    </row>
    <row r="144" spans="1:6">
      <c r="A144" s="480" t="s">
        <v>818</v>
      </c>
      <c r="B144" s="480" t="s">
        <v>660</v>
      </c>
      <c r="C144" s="480">
        <v>4.5100000000000001E-2</v>
      </c>
      <c r="D144" s="480">
        <v>5.2499999999999998E-2</v>
      </c>
      <c r="E144" s="480">
        <v>9.4899999999999998E-2</v>
      </c>
      <c r="F144" s="480">
        <v>5.2499999999999998E-2</v>
      </c>
    </row>
    <row r="145" spans="1:6">
      <c r="A145" s="480" t="s">
        <v>819</v>
      </c>
      <c r="B145" s="480" t="s">
        <v>754</v>
      </c>
      <c r="C145" s="480">
        <v>1.8700000000000001E-2</v>
      </c>
      <c r="D145" s="480">
        <v>2.18E-2</v>
      </c>
      <c r="E145" s="480">
        <v>6.4199999999999993E-2</v>
      </c>
      <c r="F145" s="480">
        <v>2.18E-2</v>
      </c>
    </row>
    <row r="146" spans="1:6">
      <c r="A146" s="480" t="s">
        <v>820</v>
      </c>
      <c r="B146" s="480" t="s">
        <v>754</v>
      </c>
      <c r="C146" s="480">
        <v>1.8700000000000001E-2</v>
      </c>
      <c r="D146" s="480">
        <v>2.18E-2</v>
      </c>
      <c r="E146" s="480">
        <v>6.4199999999999993E-2</v>
      </c>
      <c r="F146" s="480">
        <v>2.18E-2</v>
      </c>
    </row>
    <row r="147" spans="1:6">
      <c r="A147" s="480" t="s">
        <v>821</v>
      </c>
      <c r="B147" s="480" t="s">
        <v>680</v>
      </c>
      <c r="C147" s="480">
        <v>4.6800000000000001E-2</v>
      </c>
      <c r="D147" s="480">
        <v>5.4399999999999997E-2</v>
      </c>
      <c r="E147" s="480">
        <v>9.6799999999999997E-2</v>
      </c>
      <c r="F147" s="480">
        <v>5.4399999999999997E-2</v>
      </c>
    </row>
    <row r="148" spans="1:6">
      <c r="A148" s="480" t="s">
        <v>822</v>
      </c>
      <c r="B148" s="480" t="s">
        <v>660</v>
      </c>
      <c r="C148" s="480">
        <v>5.8799999999999998E-2</v>
      </c>
      <c r="D148" s="480">
        <v>6.83E-2</v>
      </c>
      <c r="E148" s="480">
        <v>0.11070000000000001</v>
      </c>
      <c r="F148" s="480">
        <v>6.83E-2</v>
      </c>
    </row>
    <row r="149" spans="1:6">
      <c r="A149" s="480" t="s">
        <v>823</v>
      </c>
      <c r="B149" s="480" t="s">
        <v>709</v>
      </c>
      <c r="C149" s="480">
        <v>6.0000000000000001E-3</v>
      </c>
      <c r="D149" s="480">
        <v>7.0000000000000001E-3</v>
      </c>
      <c r="E149" s="480">
        <v>4.9399999999999999E-2</v>
      </c>
      <c r="F149" s="480">
        <v>7.0000000000000001E-3</v>
      </c>
    </row>
    <row r="150" spans="1:6">
      <c r="A150" s="480" t="s">
        <v>824</v>
      </c>
      <c r="B150" s="480" t="s">
        <v>670</v>
      </c>
      <c r="C150" s="480">
        <v>3.0599999999999999E-2</v>
      </c>
      <c r="D150" s="480">
        <v>3.56E-2</v>
      </c>
      <c r="E150" s="480">
        <v>7.8E-2</v>
      </c>
      <c r="F150" s="480">
        <v>3.56E-2</v>
      </c>
    </row>
    <row r="151" spans="1:6">
      <c r="A151" s="480" t="s">
        <v>825</v>
      </c>
      <c r="B151" s="480" t="s">
        <v>677</v>
      </c>
      <c r="C151" s="480">
        <v>2.5600000000000001E-2</v>
      </c>
      <c r="D151" s="480">
        <v>2.9700000000000001E-2</v>
      </c>
      <c r="E151" s="480">
        <v>7.2099999999999997E-2</v>
      </c>
      <c r="F151" s="480">
        <v>2.9700000000000001E-2</v>
      </c>
    </row>
    <row r="152" spans="1:6">
      <c r="A152" s="480" t="s">
        <v>826</v>
      </c>
      <c r="B152" s="480" t="s">
        <v>754</v>
      </c>
      <c r="C152" s="480">
        <v>1.8700000000000001E-2</v>
      </c>
      <c r="D152" s="480">
        <v>2.18E-2</v>
      </c>
      <c r="E152" s="480">
        <v>6.4199999999999993E-2</v>
      </c>
      <c r="F152" s="480">
        <v>2.18E-2</v>
      </c>
    </row>
    <row r="153" spans="1:6">
      <c r="A153" s="480" t="s">
        <v>827</v>
      </c>
      <c r="B153" s="480" t="s">
        <v>660</v>
      </c>
      <c r="C153" s="480">
        <v>8.5099999999999995E-2</v>
      </c>
      <c r="D153" s="480">
        <v>9.8900000000000002E-2</v>
      </c>
      <c r="E153" s="480">
        <v>0.14130000000000001</v>
      </c>
      <c r="F153" s="480">
        <v>9.8900000000000002E-2</v>
      </c>
    </row>
    <row r="154" spans="1:6">
      <c r="A154" s="480" t="s">
        <v>828</v>
      </c>
      <c r="B154" s="480" t="s">
        <v>673</v>
      </c>
      <c r="C154" s="480">
        <v>0</v>
      </c>
      <c r="D154" s="480">
        <v>0</v>
      </c>
      <c r="E154" s="480">
        <v>4.24E-2</v>
      </c>
      <c r="F154" s="480">
        <v>0</v>
      </c>
    </row>
    <row r="155" spans="1:6">
      <c r="A155" s="480" t="s">
        <v>829</v>
      </c>
      <c r="B155" s="480" t="s">
        <v>691</v>
      </c>
      <c r="C155" s="480">
        <v>7.1999999999999998E-3</v>
      </c>
      <c r="D155" s="480">
        <v>8.3999999999999995E-3</v>
      </c>
      <c r="E155" s="480">
        <v>5.0799999999999998E-2</v>
      </c>
      <c r="F155" s="480">
        <v>8.3999999999999995E-3</v>
      </c>
    </row>
    <row r="156" spans="1:6">
      <c r="A156" s="480" t="s">
        <v>830</v>
      </c>
      <c r="B156" s="480" t="s">
        <v>695</v>
      </c>
      <c r="C156" s="480">
        <v>1.0200000000000001E-2</v>
      </c>
      <c r="D156" s="480">
        <v>1.1900000000000001E-2</v>
      </c>
      <c r="E156" s="480">
        <v>5.4300000000000001E-2</v>
      </c>
      <c r="F156" s="480">
        <v>1.1900000000000001E-2</v>
      </c>
    </row>
    <row r="157" spans="1:6">
      <c r="A157" s="480" t="s">
        <v>831</v>
      </c>
      <c r="B157" s="480" t="s">
        <v>683</v>
      </c>
      <c r="C157" s="480">
        <v>6.3799999999999996E-2</v>
      </c>
      <c r="D157" s="480">
        <v>7.4099999999999999E-2</v>
      </c>
      <c r="E157" s="480">
        <v>0.11650000000000001</v>
      </c>
      <c r="F157" s="480">
        <v>7.4099999999999999E-2</v>
      </c>
    </row>
    <row r="158" spans="1:6">
      <c r="A158" s="480" t="s">
        <v>832</v>
      </c>
      <c r="B158" s="480" t="s">
        <v>660</v>
      </c>
      <c r="C158" s="480">
        <v>0.1021</v>
      </c>
      <c r="D158" s="480">
        <v>0.1187</v>
      </c>
      <c r="E158" s="480">
        <v>0.16109999999999999</v>
      </c>
      <c r="F158" s="480">
        <v>0.1187</v>
      </c>
    </row>
    <row r="159" spans="1:6">
      <c r="A159" s="480" t="s">
        <v>833</v>
      </c>
      <c r="B159" s="480" t="s">
        <v>677</v>
      </c>
      <c r="C159" s="480">
        <v>2.5600000000000001E-2</v>
      </c>
      <c r="D159" s="480">
        <v>2.9700000000000001E-2</v>
      </c>
      <c r="E159" s="480">
        <v>7.2099999999999997E-2</v>
      </c>
      <c r="F159" s="480">
        <v>2.9700000000000001E-2</v>
      </c>
    </row>
    <row r="160" spans="1:6">
      <c r="A160" s="480" t="s">
        <v>834</v>
      </c>
      <c r="B160" s="480" t="s">
        <v>656</v>
      </c>
      <c r="C160" s="480">
        <v>4.1999999999999997E-3</v>
      </c>
      <c r="D160" s="480">
        <v>4.8999999999999998E-3</v>
      </c>
      <c r="E160" s="480">
        <v>4.7300000000000002E-2</v>
      </c>
      <c r="F160" s="480">
        <v>4.8999999999999998E-3</v>
      </c>
    </row>
    <row r="161" spans="1:6">
      <c r="A161" s="480" t="s">
        <v>835</v>
      </c>
      <c r="B161" s="480" t="s">
        <v>700</v>
      </c>
      <c r="C161" s="480">
        <v>1.3599999999999999E-2</v>
      </c>
      <c r="D161" s="480">
        <v>1.5800000000000002E-2</v>
      </c>
      <c r="E161" s="480">
        <v>5.8200000000000002E-2</v>
      </c>
      <c r="F161" s="480">
        <v>1.5800000000000002E-2</v>
      </c>
    </row>
    <row r="162" spans="1:6">
      <c r="A162" s="480" t="s">
        <v>836</v>
      </c>
      <c r="B162" s="480" t="s">
        <v>714</v>
      </c>
      <c r="C162" s="480">
        <v>7.6600000000000001E-2</v>
      </c>
      <c r="D162" s="480">
        <v>8.8999999999999996E-2</v>
      </c>
      <c r="E162" s="480">
        <v>0.13139999999999999</v>
      </c>
      <c r="F162" s="480">
        <v>8.8999999999999996E-2</v>
      </c>
    </row>
    <row r="163" spans="1:6">
      <c r="A163" s="480" t="s">
        <v>837</v>
      </c>
      <c r="B163" s="480" t="s">
        <v>677</v>
      </c>
      <c r="C163" s="480">
        <v>2.5600000000000001E-2</v>
      </c>
      <c r="D163" s="480">
        <v>2.9700000000000001E-2</v>
      </c>
      <c r="E163" s="480">
        <v>7.2099999999999997E-2</v>
      </c>
      <c r="F163" s="480">
        <v>2.9700000000000001E-2</v>
      </c>
    </row>
    <row r="164" spans="1:6" ht="30">
      <c r="A164" s="480" t="s">
        <v>838</v>
      </c>
      <c r="B164" s="480" t="s">
        <v>664</v>
      </c>
      <c r="C164" s="480">
        <v>5.5300000000000002E-2</v>
      </c>
      <c r="D164" s="480">
        <v>6.4299999999999996E-2</v>
      </c>
      <c r="E164" s="480">
        <v>0.1067</v>
      </c>
      <c r="F164" s="480">
        <v>6.4299999999999996E-2</v>
      </c>
    </row>
    <row r="165" spans="1:6">
      <c r="A165" s="480" t="s">
        <v>839</v>
      </c>
      <c r="B165" s="480" t="s">
        <v>660</v>
      </c>
      <c r="C165" s="480">
        <v>0.17499999999999999</v>
      </c>
      <c r="D165" s="480">
        <v>0.2034</v>
      </c>
      <c r="E165" s="480">
        <v>0.24579999999999999</v>
      </c>
      <c r="F165" s="480">
        <v>0.2034</v>
      </c>
    </row>
    <row r="166" spans="1:6">
      <c r="A166" s="480" t="s">
        <v>840</v>
      </c>
      <c r="B166" s="480" t="s">
        <v>688</v>
      </c>
      <c r="C166" s="480">
        <v>8.5099999999999995E-2</v>
      </c>
      <c r="D166" s="480">
        <v>9.8900000000000002E-2</v>
      </c>
      <c r="E166" s="480">
        <v>0.14130000000000001</v>
      </c>
      <c r="F166" s="480">
        <v>9.8900000000000002E-2</v>
      </c>
    </row>
    <row r="167" spans="1:6">
      <c r="A167" s="480" t="s">
        <v>841</v>
      </c>
      <c r="B167" s="480" t="s">
        <v>664</v>
      </c>
      <c r="C167" s="480">
        <v>5.5300000000000002E-2</v>
      </c>
      <c r="D167" s="480">
        <v>6.4299999999999996E-2</v>
      </c>
      <c r="E167" s="480">
        <v>0.1067</v>
      </c>
      <c r="F167" s="480">
        <v>6.4299999999999996E-2</v>
      </c>
    </row>
    <row r="168" spans="1:6">
      <c r="A168" s="480" t="s">
        <v>842</v>
      </c>
      <c r="B168" s="480" t="s">
        <v>673</v>
      </c>
      <c r="C168" s="480">
        <v>0</v>
      </c>
      <c r="D168" s="480">
        <v>0</v>
      </c>
      <c r="E168" s="480">
        <v>4.24E-2</v>
      </c>
      <c r="F168" s="480">
        <v>0</v>
      </c>
    </row>
    <row r="169" spans="1:6">
      <c r="A169" s="480" t="s">
        <v>843</v>
      </c>
      <c r="B169" s="480" t="s">
        <v>673</v>
      </c>
      <c r="C169" s="480">
        <v>0</v>
      </c>
      <c r="D169" s="480">
        <v>0</v>
      </c>
      <c r="E169" s="480">
        <v>4.24E-2</v>
      </c>
      <c r="F169" s="480">
        <v>0</v>
      </c>
    </row>
    <row r="170" spans="1:6">
      <c r="A170" s="480" t="s">
        <v>844</v>
      </c>
      <c r="B170" s="480" t="s">
        <v>660</v>
      </c>
      <c r="C170" s="480">
        <v>0.17499999999999999</v>
      </c>
      <c r="D170" s="480">
        <v>0.2034</v>
      </c>
      <c r="E170" s="480">
        <v>0.24579999999999999</v>
      </c>
      <c r="F170" s="480">
        <v>0.2034</v>
      </c>
    </row>
    <row r="171" spans="1:6">
      <c r="A171" s="480" t="s">
        <v>845</v>
      </c>
      <c r="B171" s="480" t="s">
        <v>686</v>
      </c>
      <c r="C171" s="480">
        <v>5.1000000000000004E-3</v>
      </c>
      <c r="D171" s="480">
        <v>6.0000000000000001E-3</v>
      </c>
      <c r="E171" s="480">
        <v>4.8399999999999999E-2</v>
      </c>
      <c r="F171" s="480">
        <v>6.0000000000000001E-3</v>
      </c>
    </row>
    <row r="172" spans="1:6">
      <c r="A172" s="480" t="s">
        <v>846</v>
      </c>
      <c r="B172" s="480" t="s">
        <v>664</v>
      </c>
      <c r="C172" s="480">
        <v>5.5300000000000002E-2</v>
      </c>
      <c r="D172" s="480">
        <v>6.4299999999999996E-2</v>
      </c>
      <c r="E172" s="480">
        <v>0.1067</v>
      </c>
      <c r="F172" s="480">
        <v>6.4299999999999996E-2</v>
      </c>
    </row>
    <row r="173" spans="1:6">
      <c r="A173" s="480" t="s">
        <v>847</v>
      </c>
      <c r="B173" s="480" t="s">
        <v>680</v>
      </c>
      <c r="C173" s="480">
        <v>4.6800000000000001E-2</v>
      </c>
      <c r="D173" s="480">
        <v>5.4399999999999997E-2</v>
      </c>
      <c r="E173" s="480">
        <v>9.6799999999999997E-2</v>
      </c>
      <c r="F173" s="480">
        <v>5.4399999999999997E-2</v>
      </c>
    </row>
    <row r="174" spans="1:6">
      <c r="A174" s="480" t="s">
        <v>848</v>
      </c>
      <c r="B174" s="480" t="s">
        <v>700</v>
      </c>
      <c r="C174" s="480">
        <v>1.3599999999999999E-2</v>
      </c>
      <c r="D174" s="480">
        <v>1.5800000000000002E-2</v>
      </c>
      <c r="E174" s="480">
        <v>5.8200000000000002E-2</v>
      </c>
      <c r="F174" s="480">
        <v>1.5800000000000002E-2</v>
      </c>
    </row>
    <row r="175" spans="1:6">
      <c r="A175" s="480" t="s">
        <v>849</v>
      </c>
      <c r="B175" s="480" t="s">
        <v>664</v>
      </c>
      <c r="C175" s="480">
        <v>5.5300000000000002E-2</v>
      </c>
      <c r="D175" s="480">
        <v>6.4299999999999996E-2</v>
      </c>
      <c r="E175" s="480">
        <v>0.1067</v>
      </c>
      <c r="F175" s="480">
        <v>6.4299999999999996E-2</v>
      </c>
    </row>
    <row r="176" spans="1:6">
      <c r="A176" s="480" t="s">
        <v>850</v>
      </c>
      <c r="B176" s="480" t="s">
        <v>677</v>
      </c>
      <c r="C176" s="480">
        <v>2.5600000000000001E-2</v>
      </c>
      <c r="D176" s="480">
        <v>2.9700000000000001E-2</v>
      </c>
      <c r="E176" s="480">
        <v>7.2099999999999997E-2</v>
      </c>
      <c r="F176" s="480">
        <v>2.9700000000000001E-2</v>
      </c>
    </row>
    <row r="177" spans="1:6">
      <c r="A177" s="480" t="s">
        <v>851</v>
      </c>
      <c r="B177" s="480" t="s">
        <v>683</v>
      </c>
      <c r="C177" s="480">
        <v>6.3799999999999996E-2</v>
      </c>
      <c r="D177" s="480">
        <v>7.4099999999999999E-2</v>
      </c>
      <c r="E177" s="480">
        <v>0.11650000000000001</v>
      </c>
      <c r="F177" s="480">
        <v>7.4099999999999999E-2</v>
      </c>
    </row>
    <row r="178" spans="1:6">
      <c r="A178" s="480" t="s">
        <v>852</v>
      </c>
      <c r="B178" s="480" t="s">
        <v>680</v>
      </c>
      <c r="C178" s="480">
        <v>4.6800000000000001E-2</v>
      </c>
      <c r="D178" s="480">
        <v>5.4399999999999997E-2</v>
      </c>
      <c r="E178" s="480">
        <v>9.6799999999999997E-2</v>
      </c>
      <c r="F178" s="480">
        <v>5.4399999999999997E-2</v>
      </c>
    </row>
    <row r="179" spans="1:6">
      <c r="A179" s="480" t="s">
        <v>853</v>
      </c>
      <c r="B179" s="480" t="s">
        <v>700</v>
      </c>
      <c r="C179" s="480">
        <v>1.3599999999999999E-2</v>
      </c>
      <c r="D179" s="480">
        <v>1.5800000000000002E-2</v>
      </c>
      <c r="E179" s="480">
        <v>5.8200000000000002E-2</v>
      </c>
      <c r="F179" s="480">
        <v>1.5800000000000002E-2</v>
      </c>
    </row>
    <row r="180" spans="1:6">
      <c r="A180" s="480" t="s">
        <v>854</v>
      </c>
      <c r="B180" s="480" t="s">
        <v>680</v>
      </c>
      <c r="C180" s="480">
        <v>4.6800000000000001E-2</v>
      </c>
      <c r="D180" s="480">
        <v>5.4399999999999997E-2</v>
      </c>
      <c r="E180" s="480">
        <v>9.6799999999999997E-2</v>
      </c>
      <c r="F180" s="480">
        <v>5.4399999999999997E-2</v>
      </c>
    </row>
    <row r="181" spans="1:6">
      <c r="A181" s="480" t="s">
        <v>855</v>
      </c>
      <c r="B181" s="480" t="s">
        <v>664</v>
      </c>
      <c r="C181" s="480">
        <v>5.5300000000000002E-2</v>
      </c>
      <c r="D181" s="480">
        <v>6.4299999999999996E-2</v>
      </c>
      <c r="E181" s="480">
        <v>0.1067</v>
      </c>
      <c r="F181" s="480">
        <v>6.4299999999999996E-2</v>
      </c>
    </row>
    <row r="182" spans="1:6">
      <c r="A182" s="480" t="s">
        <v>856</v>
      </c>
      <c r="B182" s="480" t="s">
        <v>656</v>
      </c>
      <c r="C182" s="480">
        <v>4.1999999999999997E-3</v>
      </c>
      <c r="D182" s="480">
        <v>4.8999999999999998E-3</v>
      </c>
      <c r="E182" s="480">
        <v>4.7300000000000002E-2</v>
      </c>
      <c r="F182" s="480">
        <v>4.8999999999999998E-3</v>
      </c>
    </row>
    <row r="183" spans="1:6">
      <c r="A183" s="480" t="s">
        <v>857</v>
      </c>
      <c r="B183" s="480" t="s">
        <v>686</v>
      </c>
      <c r="C183" s="480">
        <v>5.1000000000000004E-3</v>
      </c>
      <c r="D183" s="480">
        <v>6.0000000000000001E-3</v>
      </c>
      <c r="E183" s="480">
        <v>4.8399999999999999E-2</v>
      </c>
      <c r="F183" s="480">
        <v>6.0000000000000001E-3</v>
      </c>
    </row>
    <row r="184" spans="1:6">
      <c r="A184" s="480" t="s">
        <v>858</v>
      </c>
      <c r="B184" s="480" t="s">
        <v>673</v>
      </c>
      <c r="C184" s="480">
        <v>0</v>
      </c>
      <c r="D184" s="480">
        <v>0</v>
      </c>
      <c r="E184" s="480">
        <v>4.24E-2</v>
      </c>
      <c r="F184" s="480">
        <v>0</v>
      </c>
    </row>
    <row r="185" spans="1:6">
      <c r="A185" s="480" t="s">
        <v>859</v>
      </c>
      <c r="B185" s="480" t="s">
        <v>662</v>
      </c>
      <c r="C185" s="480">
        <v>1.6199999999999999E-2</v>
      </c>
      <c r="D185" s="480">
        <v>1.8800000000000001E-2</v>
      </c>
      <c r="E185" s="480">
        <v>6.1199999999999997E-2</v>
      </c>
      <c r="F185" s="480">
        <v>1.8800000000000001E-2</v>
      </c>
    </row>
    <row r="186" spans="1:6">
      <c r="A186" s="480" t="s">
        <v>860</v>
      </c>
      <c r="B186" s="480" t="s">
        <v>658</v>
      </c>
      <c r="C186" s="480">
        <v>3.8300000000000001E-2</v>
      </c>
      <c r="D186" s="480">
        <v>4.4499999999999998E-2</v>
      </c>
      <c r="E186" s="480">
        <v>8.6900000000000005E-2</v>
      </c>
      <c r="F186" s="480">
        <v>4.4499999999999998E-2</v>
      </c>
    </row>
    <row r="187" spans="1:6">
      <c r="A187" s="480" t="s">
        <v>861</v>
      </c>
      <c r="B187" s="480" t="s">
        <v>775</v>
      </c>
      <c r="C187" s="480">
        <v>0.17499999999999999</v>
      </c>
      <c r="D187" s="480">
        <v>0.2034</v>
      </c>
      <c r="E187" s="480">
        <v>0.24579999999999999</v>
      </c>
      <c r="F187" s="480">
        <v>0.2034</v>
      </c>
    </row>
    <row r="188" spans="1:6">
      <c r="A188" s="480" t="s">
        <v>862</v>
      </c>
      <c r="B188" s="480" t="s">
        <v>670</v>
      </c>
      <c r="C188" s="480">
        <v>3.0599999999999999E-2</v>
      </c>
      <c r="D188" s="480">
        <v>3.56E-2</v>
      </c>
      <c r="E188" s="480">
        <v>7.8E-2</v>
      </c>
      <c r="F188" s="480">
        <v>3.56E-2</v>
      </c>
    </row>
    <row r="189" spans="1:6">
      <c r="A189" s="480" t="s">
        <v>863</v>
      </c>
      <c r="B189" s="480" t="s">
        <v>660</v>
      </c>
      <c r="C189" s="480">
        <v>0.1021</v>
      </c>
      <c r="D189" s="480">
        <v>0.1187</v>
      </c>
      <c r="E189" s="480">
        <v>0.16109999999999999</v>
      </c>
      <c r="F189" s="480">
        <v>0.1187</v>
      </c>
    </row>
    <row r="190" spans="1:6">
      <c r="A190" s="480" t="s">
        <v>864</v>
      </c>
      <c r="B190" s="480" t="s">
        <v>668</v>
      </c>
      <c r="C190" s="480">
        <v>0.1021</v>
      </c>
      <c r="D190" s="480">
        <v>0.1187</v>
      </c>
      <c r="E190" s="480">
        <v>0.16109999999999999</v>
      </c>
      <c r="F190" s="480">
        <v>0.1187</v>
      </c>
    </row>
    <row r="191" spans="1:6">
      <c r="A191" s="480" t="s">
        <v>865</v>
      </c>
      <c r="B191" s="480" t="s">
        <v>660</v>
      </c>
      <c r="C191" s="480">
        <v>6.3799999999999996E-2</v>
      </c>
      <c r="D191" s="480">
        <v>7.4099999999999999E-2</v>
      </c>
      <c r="E191" s="480">
        <v>0.11650000000000001</v>
      </c>
      <c r="F191" s="480">
        <v>7.4099999999999999E-2</v>
      </c>
    </row>
  </sheetData>
  <autoFilter ref="A1:F1" xr:uid="{4F1E82D2-7066-4E93-B96C-9A2CD1E18B53}">
    <sortState xmlns:xlrd2="http://schemas.microsoft.com/office/spreadsheetml/2017/richdata2" ref="A2:F191">
      <sortCondition ref="A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3C37-68C8-406A-BEA7-BA3835EDFEE3}">
  <sheetPr>
    <tabColor theme="1"/>
  </sheetPr>
  <dimension ref="A1:P97"/>
  <sheetViews>
    <sheetView workbookViewId="0">
      <pane ySplit="1" topLeftCell="A86" activePane="bottomLeft" state="frozen"/>
      <selection activeCell="A14" sqref="A1:CP86 A66:CP86"/>
      <selection pane="bottomLeft" activeCell="E88" sqref="E88"/>
    </sheetView>
  </sheetViews>
  <sheetFormatPr defaultRowHeight="15"/>
  <cols>
    <col min="1" max="1" width="21.109375" customWidth="1"/>
  </cols>
  <sheetData>
    <row r="1" spans="1:16" ht="89.25">
      <c r="A1" s="493" t="s">
        <v>866</v>
      </c>
      <c r="B1" s="493" t="s">
        <v>867</v>
      </c>
      <c r="C1" s="493" t="s">
        <v>868</v>
      </c>
      <c r="D1" s="493" t="s">
        <v>869</v>
      </c>
      <c r="E1" s="493" t="s">
        <v>870</v>
      </c>
      <c r="F1" s="493" t="s">
        <v>871</v>
      </c>
      <c r="G1" s="493" t="s">
        <v>872</v>
      </c>
      <c r="H1" s="493" t="s">
        <v>873</v>
      </c>
      <c r="I1" s="493" t="s">
        <v>874</v>
      </c>
      <c r="J1" s="493" t="s">
        <v>875</v>
      </c>
      <c r="K1" s="493" t="s">
        <v>876</v>
      </c>
      <c r="L1" s="506">
        <v>2018</v>
      </c>
      <c r="M1" s="506">
        <v>2019</v>
      </c>
      <c r="N1" s="506">
        <v>2020</v>
      </c>
      <c r="O1" s="506">
        <v>2021</v>
      </c>
      <c r="P1" s="493" t="s">
        <v>877</v>
      </c>
    </row>
    <row r="2" spans="1:16" ht="15.75">
      <c r="A2" s="494" t="s">
        <v>878</v>
      </c>
      <c r="B2" s="494">
        <v>49</v>
      </c>
      <c r="C2" s="494">
        <v>1.34</v>
      </c>
      <c r="D2" s="494">
        <v>0.51470000000000005</v>
      </c>
      <c r="E2" s="494">
        <v>5.7599999999999998E-2</v>
      </c>
      <c r="F2" s="494">
        <v>0.97</v>
      </c>
      <c r="G2" s="494">
        <v>0.1157</v>
      </c>
      <c r="H2" s="494">
        <v>1.1000000000000001</v>
      </c>
      <c r="I2" s="494">
        <v>0.66739999999999999</v>
      </c>
      <c r="J2" s="494">
        <v>0.56699999999999995</v>
      </c>
      <c r="K2" s="494">
        <v>0.13519999999999999</v>
      </c>
      <c r="L2" s="494">
        <v>0.78</v>
      </c>
      <c r="M2" s="494">
        <v>0.87</v>
      </c>
      <c r="N2" s="494">
        <v>0.93</v>
      </c>
      <c r="O2" s="495">
        <v>0.77</v>
      </c>
      <c r="P2" s="496">
        <v>0.89</v>
      </c>
    </row>
    <row r="3" spans="1:16" ht="15.75">
      <c r="A3" s="497" t="s">
        <v>879</v>
      </c>
      <c r="B3" s="497">
        <v>73</v>
      </c>
      <c r="C3" s="497">
        <v>1.28</v>
      </c>
      <c r="D3" s="497">
        <v>0.29449999999999998</v>
      </c>
      <c r="E3" s="497">
        <v>6.83E-2</v>
      </c>
      <c r="F3" s="497">
        <v>1.05</v>
      </c>
      <c r="G3" s="497">
        <v>5.0500000000000003E-2</v>
      </c>
      <c r="H3" s="497">
        <v>1.1100000000000001</v>
      </c>
      <c r="I3" s="497">
        <v>0.47649999999999998</v>
      </c>
      <c r="J3" s="497">
        <v>0.38229999999999997</v>
      </c>
      <c r="K3" s="497">
        <v>0.1961</v>
      </c>
      <c r="L3" s="497">
        <v>0.99</v>
      </c>
      <c r="M3" s="497">
        <v>1.0900000000000001</v>
      </c>
      <c r="N3" s="497">
        <v>1.08</v>
      </c>
      <c r="O3" s="498">
        <v>0.91</v>
      </c>
      <c r="P3" s="499">
        <v>1.04</v>
      </c>
    </row>
    <row r="4" spans="1:16" ht="15.75">
      <c r="A4" s="494" t="s">
        <v>880</v>
      </c>
      <c r="B4" s="494">
        <v>21</v>
      </c>
      <c r="C4" s="494">
        <v>1.58</v>
      </c>
      <c r="D4" s="494">
        <v>1.5333000000000001</v>
      </c>
      <c r="E4" s="494">
        <v>5.3199999999999997E-2</v>
      </c>
      <c r="F4" s="494">
        <v>0.75</v>
      </c>
      <c r="G4" s="494">
        <v>0.183</v>
      </c>
      <c r="H4" s="494">
        <v>0.91</v>
      </c>
      <c r="I4" s="494">
        <v>0.40200000000000002</v>
      </c>
      <c r="J4" s="494">
        <v>0.40189999999999998</v>
      </c>
      <c r="K4" s="494">
        <v>1.6240000000000001</v>
      </c>
      <c r="L4" s="494">
        <v>0.67</v>
      </c>
      <c r="M4" s="494">
        <v>0.63</v>
      </c>
      <c r="N4" s="494">
        <v>0.84</v>
      </c>
      <c r="O4" s="495">
        <v>0.91</v>
      </c>
      <c r="P4" s="496">
        <v>0.8</v>
      </c>
    </row>
    <row r="5" spans="1:16" ht="15.75">
      <c r="A5" s="497" t="s">
        <v>881</v>
      </c>
      <c r="B5" s="497">
        <v>39</v>
      </c>
      <c r="C5" s="497">
        <v>1.23</v>
      </c>
      <c r="D5" s="497">
        <v>0.316</v>
      </c>
      <c r="E5" s="497">
        <v>0.1206</v>
      </c>
      <c r="F5" s="497">
        <v>1</v>
      </c>
      <c r="G5" s="497">
        <v>9.2600000000000002E-2</v>
      </c>
      <c r="H5" s="497">
        <v>1.1000000000000001</v>
      </c>
      <c r="I5" s="497">
        <v>0.48959999999999998</v>
      </c>
      <c r="J5" s="497">
        <v>0.43490000000000001</v>
      </c>
      <c r="K5" s="497">
        <v>0.2142</v>
      </c>
      <c r="L5" s="497">
        <v>0.85</v>
      </c>
      <c r="M5" s="497">
        <v>0.76</v>
      </c>
      <c r="N5" s="497">
        <v>0.83</v>
      </c>
      <c r="O5" s="498">
        <v>0.94</v>
      </c>
      <c r="P5" s="499">
        <v>0.9</v>
      </c>
    </row>
    <row r="6" spans="1:16" ht="15.75">
      <c r="A6" s="494" t="s">
        <v>882</v>
      </c>
      <c r="B6" s="494">
        <v>26</v>
      </c>
      <c r="C6" s="494">
        <v>1.1299999999999999</v>
      </c>
      <c r="D6" s="494">
        <v>0.1986</v>
      </c>
      <c r="E6" s="494">
        <v>3.8800000000000001E-2</v>
      </c>
      <c r="F6" s="494">
        <v>0.99</v>
      </c>
      <c r="G6" s="494">
        <v>3.3799999999999997E-2</v>
      </c>
      <c r="H6" s="494">
        <v>1.02</v>
      </c>
      <c r="I6" s="494">
        <v>0.59550000000000003</v>
      </c>
      <c r="J6" s="494">
        <v>0.54779999999999995</v>
      </c>
      <c r="K6" s="494">
        <v>0.35299999999999998</v>
      </c>
      <c r="L6" s="494">
        <v>0.59</v>
      </c>
      <c r="M6" s="494">
        <v>0.34</v>
      </c>
      <c r="N6" s="494">
        <v>0.53</v>
      </c>
      <c r="O6" s="495">
        <v>1.05</v>
      </c>
      <c r="P6" s="496">
        <v>0.71</v>
      </c>
    </row>
    <row r="7" spans="1:16" ht="15.75">
      <c r="A7" s="497" t="s">
        <v>883</v>
      </c>
      <c r="B7" s="497">
        <v>38</v>
      </c>
      <c r="C7" s="497">
        <v>1.4</v>
      </c>
      <c r="D7" s="497">
        <v>0.31680000000000003</v>
      </c>
      <c r="E7" s="497">
        <v>0.13619999999999999</v>
      </c>
      <c r="F7" s="497">
        <v>1.1399999999999999</v>
      </c>
      <c r="G7" s="497">
        <v>6.3600000000000004E-2</v>
      </c>
      <c r="H7" s="497">
        <v>1.21</v>
      </c>
      <c r="I7" s="497">
        <v>0.47589999999999999</v>
      </c>
      <c r="J7" s="497">
        <v>0.37140000000000001</v>
      </c>
      <c r="K7" s="497">
        <v>0.26800000000000002</v>
      </c>
      <c r="L7" s="497">
        <v>0.92</v>
      </c>
      <c r="M7" s="497">
        <v>0.97</v>
      </c>
      <c r="N7" s="497">
        <v>0.95</v>
      </c>
      <c r="O7" s="498">
        <v>1.0900000000000001</v>
      </c>
      <c r="P7" s="499">
        <v>1.03</v>
      </c>
    </row>
    <row r="8" spans="1:16" ht="15.75">
      <c r="A8" s="494" t="s">
        <v>884</v>
      </c>
      <c r="B8" s="494">
        <v>7</v>
      </c>
      <c r="C8" s="494">
        <v>1.1200000000000001</v>
      </c>
      <c r="D8" s="494">
        <v>1.7039</v>
      </c>
      <c r="E8" s="494">
        <v>0.1469</v>
      </c>
      <c r="F8" s="494">
        <v>0.5</v>
      </c>
      <c r="G8" s="494">
        <v>0.51780000000000004</v>
      </c>
      <c r="H8" s="494">
        <v>1.03</v>
      </c>
      <c r="I8" s="494">
        <v>0.23810000000000001</v>
      </c>
      <c r="J8" s="494">
        <v>0.2223</v>
      </c>
      <c r="K8" s="494" t="s">
        <v>885</v>
      </c>
      <c r="L8" s="494">
        <v>0.32</v>
      </c>
      <c r="M8" s="494">
        <v>0.43</v>
      </c>
      <c r="N8" s="494">
        <v>0.56000000000000005</v>
      </c>
      <c r="O8" s="495">
        <v>0.59</v>
      </c>
      <c r="P8" s="496">
        <v>0.59</v>
      </c>
    </row>
    <row r="9" spans="1:16" ht="15.75">
      <c r="A9" s="497" t="s">
        <v>886</v>
      </c>
      <c r="B9" s="497">
        <v>563</v>
      </c>
      <c r="C9" s="497">
        <v>0.7</v>
      </c>
      <c r="D9" s="497">
        <v>0.34570000000000001</v>
      </c>
      <c r="E9" s="497">
        <v>0.19289999999999999</v>
      </c>
      <c r="F9" s="497">
        <v>0.56000000000000005</v>
      </c>
      <c r="G9" s="497">
        <v>0.33750000000000002</v>
      </c>
      <c r="H9" s="497">
        <v>0.84</v>
      </c>
      <c r="I9" s="497">
        <v>0.20780000000000001</v>
      </c>
      <c r="J9" s="497">
        <v>0.1968</v>
      </c>
      <c r="K9" s="497">
        <v>1.1921999999999999</v>
      </c>
      <c r="L9" s="497">
        <v>0.39</v>
      </c>
      <c r="M9" s="497">
        <v>0.4</v>
      </c>
      <c r="N9" s="497">
        <v>0.43</v>
      </c>
      <c r="O9" s="498">
        <v>0.6</v>
      </c>
      <c r="P9" s="499">
        <v>0.53</v>
      </c>
    </row>
    <row r="10" spans="1:16" ht="15.75">
      <c r="A10" s="494" t="s">
        <v>887</v>
      </c>
      <c r="B10" s="494">
        <v>21</v>
      </c>
      <c r="C10" s="494">
        <v>0.82</v>
      </c>
      <c r="D10" s="494">
        <v>0.2142</v>
      </c>
      <c r="E10" s="494">
        <v>7.9299999999999995E-2</v>
      </c>
      <c r="F10" s="494">
        <v>0.71</v>
      </c>
      <c r="G10" s="494">
        <v>1.66E-2</v>
      </c>
      <c r="H10" s="494">
        <v>0.72</v>
      </c>
      <c r="I10" s="494">
        <v>0.55679999999999996</v>
      </c>
      <c r="J10" s="494">
        <v>0.37869999999999998</v>
      </c>
      <c r="K10" s="494">
        <v>0.39410000000000001</v>
      </c>
      <c r="L10" s="494">
        <v>1.1200000000000001</v>
      </c>
      <c r="M10" s="494">
        <v>1.05</v>
      </c>
      <c r="N10" s="494">
        <v>0.92</v>
      </c>
      <c r="O10" s="495">
        <v>0.67</v>
      </c>
      <c r="P10" s="496">
        <v>0.9</v>
      </c>
    </row>
    <row r="11" spans="1:16" ht="15.75">
      <c r="A11" s="497" t="s">
        <v>888</v>
      </c>
      <c r="B11" s="497">
        <v>32</v>
      </c>
      <c r="C11" s="497">
        <v>1.22</v>
      </c>
      <c r="D11" s="497">
        <v>0.16650000000000001</v>
      </c>
      <c r="E11" s="497">
        <v>4.53E-2</v>
      </c>
      <c r="F11" s="497">
        <v>1.08</v>
      </c>
      <c r="G11" s="497">
        <v>2.8299999999999999E-2</v>
      </c>
      <c r="H11" s="497">
        <v>1.1200000000000001</v>
      </c>
      <c r="I11" s="497">
        <v>0.71789999999999998</v>
      </c>
      <c r="J11" s="497">
        <v>0.48270000000000002</v>
      </c>
      <c r="K11" s="497">
        <v>6.0900000000000003E-2</v>
      </c>
      <c r="L11" s="497">
        <v>0.63</v>
      </c>
      <c r="M11" s="497">
        <v>1.04</v>
      </c>
      <c r="N11" s="497">
        <v>1.0900000000000001</v>
      </c>
      <c r="O11" s="498">
        <v>0.71</v>
      </c>
      <c r="P11" s="499">
        <v>0.92</v>
      </c>
    </row>
    <row r="12" spans="1:16" ht="15.75">
      <c r="A12" s="494" t="s">
        <v>889</v>
      </c>
      <c r="B12" s="494">
        <v>28</v>
      </c>
      <c r="C12" s="494">
        <v>1.35</v>
      </c>
      <c r="D12" s="494">
        <v>1.1681999999999999</v>
      </c>
      <c r="E12" s="494">
        <v>0.1154</v>
      </c>
      <c r="F12" s="494">
        <v>0.73</v>
      </c>
      <c r="G12" s="494">
        <v>0.10050000000000001</v>
      </c>
      <c r="H12" s="494">
        <v>0.81</v>
      </c>
      <c r="I12" s="494">
        <v>0.53949999999999998</v>
      </c>
      <c r="J12" s="494">
        <v>0.48770000000000002</v>
      </c>
      <c r="K12" s="494">
        <v>0.31180000000000002</v>
      </c>
      <c r="L12" s="494">
        <v>0.65</v>
      </c>
      <c r="M12" s="494">
        <v>0.51</v>
      </c>
      <c r="N12" s="494">
        <v>0.73</v>
      </c>
      <c r="O12" s="495">
        <v>0.65</v>
      </c>
      <c r="P12" s="496">
        <v>0.67</v>
      </c>
    </row>
    <row r="13" spans="1:16" ht="31.5">
      <c r="A13" s="497" t="s">
        <v>890</v>
      </c>
      <c r="B13" s="497">
        <v>31</v>
      </c>
      <c r="C13" s="497">
        <v>1.17</v>
      </c>
      <c r="D13" s="497">
        <v>1.8248</v>
      </c>
      <c r="E13" s="497">
        <v>0.14760000000000001</v>
      </c>
      <c r="F13" s="497">
        <v>0.5</v>
      </c>
      <c r="G13" s="497">
        <v>0.24809999999999999</v>
      </c>
      <c r="H13" s="497">
        <v>0.67</v>
      </c>
      <c r="I13" s="497">
        <v>0.43930000000000002</v>
      </c>
      <c r="J13" s="497">
        <v>0.31740000000000002</v>
      </c>
      <c r="K13" s="497">
        <v>0.4844</v>
      </c>
      <c r="L13" s="497">
        <v>0.54</v>
      </c>
      <c r="M13" s="497">
        <v>0.46</v>
      </c>
      <c r="N13" s="497">
        <v>0.56999999999999995</v>
      </c>
      <c r="O13" s="498">
        <v>0.56999999999999995</v>
      </c>
      <c r="P13" s="499">
        <v>0.56000000000000005</v>
      </c>
    </row>
    <row r="14" spans="1:16" ht="15.75">
      <c r="A14" s="494" t="s">
        <v>891</v>
      </c>
      <c r="B14" s="494">
        <v>44</v>
      </c>
      <c r="C14" s="494">
        <v>1.19</v>
      </c>
      <c r="D14" s="494">
        <v>0.1875</v>
      </c>
      <c r="E14" s="494">
        <v>0.17030000000000001</v>
      </c>
      <c r="F14" s="494">
        <v>1.04</v>
      </c>
      <c r="G14" s="494">
        <v>3.95E-2</v>
      </c>
      <c r="H14" s="494">
        <v>1.0900000000000001</v>
      </c>
      <c r="I14" s="494">
        <v>0.36</v>
      </c>
      <c r="J14" s="494">
        <v>0.34539999999999998</v>
      </c>
      <c r="K14" s="494">
        <v>0.52700000000000002</v>
      </c>
      <c r="L14" s="494">
        <v>0.99</v>
      </c>
      <c r="M14" s="494">
        <v>0.91</v>
      </c>
      <c r="N14" s="494">
        <v>1.02</v>
      </c>
      <c r="O14" s="495">
        <v>0.97</v>
      </c>
      <c r="P14" s="496">
        <v>1</v>
      </c>
    </row>
    <row r="15" spans="1:16" ht="31.5">
      <c r="A15" s="497" t="s">
        <v>892</v>
      </c>
      <c r="B15" s="497">
        <v>160</v>
      </c>
      <c r="C15" s="497">
        <v>1.0900000000000001</v>
      </c>
      <c r="D15" s="497">
        <v>0.22389999999999999</v>
      </c>
      <c r="E15" s="497">
        <v>0.1017</v>
      </c>
      <c r="F15" s="497">
        <v>0.94</v>
      </c>
      <c r="G15" s="497">
        <v>5.0599999999999999E-2</v>
      </c>
      <c r="H15" s="497">
        <v>0.99</v>
      </c>
      <c r="I15" s="497">
        <v>0.51959999999999995</v>
      </c>
      <c r="J15" s="497">
        <v>0.41170000000000001</v>
      </c>
      <c r="K15" s="497">
        <v>0.13750000000000001</v>
      </c>
      <c r="L15" s="497">
        <v>1.01</v>
      </c>
      <c r="M15" s="497">
        <v>1</v>
      </c>
      <c r="N15" s="497">
        <v>0.89</v>
      </c>
      <c r="O15" s="498">
        <v>0.83</v>
      </c>
      <c r="P15" s="499">
        <v>0.94</v>
      </c>
    </row>
    <row r="16" spans="1:16" ht="15.75">
      <c r="A16" s="494" t="s">
        <v>893</v>
      </c>
      <c r="B16" s="494">
        <v>11</v>
      </c>
      <c r="C16" s="494">
        <v>0.93</v>
      </c>
      <c r="D16" s="494">
        <v>0.60119999999999996</v>
      </c>
      <c r="E16" s="494">
        <v>0.18079999999999999</v>
      </c>
      <c r="F16" s="494">
        <v>0.65</v>
      </c>
      <c r="G16" s="494">
        <v>2.2499999999999999E-2</v>
      </c>
      <c r="H16" s="494">
        <v>0.66</v>
      </c>
      <c r="I16" s="494">
        <v>0.35610000000000003</v>
      </c>
      <c r="J16" s="494">
        <v>0.20069999999999999</v>
      </c>
      <c r="K16" s="494">
        <v>0.27910000000000001</v>
      </c>
      <c r="L16" s="494">
        <v>0.67</v>
      </c>
      <c r="M16" s="494">
        <v>0.76</v>
      </c>
      <c r="N16" s="494">
        <v>0.78</v>
      </c>
      <c r="O16" s="495">
        <v>0.7</v>
      </c>
      <c r="P16" s="496">
        <v>0.71</v>
      </c>
    </row>
    <row r="17" spans="1:16" ht="15.75">
      <c r="A17" s="497" t="s">
        <v>894</v>
      </c>
      <c r="B17" s="497">
        <v>35</v>
      </c>
      <c r="C17" s="497">
        <v>1.1599999999999999</v>
      </c>
      <c r="D17" s="497">
        <v>0.4476</v>
      </c>
      <c r="E17" s="497">
        <v>0.1002</v>
      </c>
      <c r="F17" s="497">
        <v>0.88</v>
      </c>
      <c r="G17" s="497">
        <v>6.5100000000000005E-2</v>
      </c>
      <c r="H17" s="497">
        <v>0.94</v>
      </c>
      <c r="I17" s="497">
        <v>0.52769999999999995</v>
      </c>
      <c r="J17" s="497">
        <v>0.45019999999999999</v>
      </c>
      <c r="K17" s="497">
        <v>0.3206</v>
      </c>
      <c r="L17" s="497">
        <v>0.96</v>
      </c>
      <c r="M17" s="497">
        <v>1.1200000000000001</v>
      </c>
      <c r="N17" s="497">
        <v>0.99</v>
      </c>
      <c r="O17" s="498">
        <v>0.76</v>
      </c>
      <c r="P17" s="499">
        <v>0.96</v>
      </c>
    </row>
    <row r="18" spans="1:16" ht="15.75">
      <c r="A18" s="494" t="s">
        <v>895</v>
      </c>
      <c r="B18" s="494">
        <v>4</v>
      </c>
      <c r="C18" s="494">
        <v>1.5</v>
      </c>
      <c r="D18" s="494">
        <v>0.47399999999999998</v>
      </c>
      <c r="E18" s="494">
        <v>3.9E-2</v>
      </c>
      <c r="F18" s="494">
        <v>1.1200000000000001</v>
      </c>
      <c r="G18" s="494">
        <v>7.5700000000000003E-2</v>
      </c>
      <c r="H18" s="494">
        <v>1.21</v>
      </c>
      <c r="I18" s="494">
        <v>0.37809999999999999</v>
      </c>
      <c r="J18" s="494">
        <v>0.37290000000000001</v>
      </c>
      <c r="K18" s="494">
        <v>0.46</v>
      </c>
      <c r="L18" s="494">
        <v>1.79</v>
      </c>
      <c r="M18" s="494">
        <v>1.49</v>
      </c>
      <c r="N18" s="494">
        <v>1.21</v>
      </c>
      <c r="O18" s="495">
        <v>1.03</v>
      </c>
      <c r="P18" s="496">
        <v>1.35</v>
      </c>
    </row>
    <row r="19" spans="1:16" ht="15.75">
      <c r="A19" s="497" t="s">
        <v>896</v>
      </c>
      <c r="B19" s="497">
        <v>81</v>
      </c>
      <c r="C19" s="497">
        <v>1.1000000000000001</v>
      </c>
      <c r="D19" s="497">
        <v>0.19470000000000001</v>
      </c>
      <c r="E19" s="497">
        <v>0.1012</v>
      </c>
      <c r="F19" s="497">
        <v>0.97</v>
      </c>
      <c r="G19" s="497">
        <v>3.2300000000000002E-2</v>
      </c>
      <c r="H19" s="497">
        <v>1</v>
      </c>
      <c r="I19" s="497">
        <v>0.48649999999999999</v>
      </c>
      <c r="J19" s="497">
        <v>0.40720000000000001</v>
      </c>
      <c r="K19" s="497">
        <v>7.8899999999999998E-2</v>
      </c>
      <c r="L19" s="497">
        <v>0.95</v>
      </c>
      <c r="M19" s="497">
        <v>0.99</v>
      </c>
      <c r="N19" s="497">
        <v>0.96</v>
      </c>
      <c r="O19" s="498">
        <v>0.82</v>
      </c>
      <c r="P19" s="499">
        <v>0.94</v>
      </c>
    </row>
    <row r="20" spans="1:16" ht="15.75">
      <c r="A20" s="494" t="s">
        <v>897</v>
      </c>
      <c r="B20" s="494">
        <v>18</v>
      </c>
      <c r="C20" s="494">
        <v>0.92</v>
      </c>
      <c r="D20" s="494">
        <v>0.41649999999999998</v>
      </c>
      <c r="E20" s="494">
        <v>7.4000000000000003E-3</v>
      </c>
      <c r="F20" s="494">
        <v>0.7</v>
      </c>
      <c r="G20" s="494">
        <v>0.1434</v>
      </c>
      <c r="H20" s="494">
        <v>0.82</v>
      </c>
      <c r="I20" s="494">
        <v>0.66200000000000003</v>
      </c>
      <c r="J20" s="494">
        <v>0.5857</v>
      </c>
      <c r="K20" s="494" t="s">
        <v>885</v>
      </c>
      <c r="L20" s="494">
        <v>1.04</v>
      </c>
      <c r="M20" s="494">
        <v>0.97</v>
      </c>
      <c r="N20" s="494">
        <v>1.05</v>
      </c>
      <c r="O20" s="495">
        <v>0.56000000000000005</v>
      </c>
      <c r="P20" s="496">
        <v>0.89</v>
      </c>
    </row>
    <row r="21" spans="1:16" ht="15.75">
      <c r="A21" s="497" t="s">
        <v>898</v>
      </c>
      <c r="B21" s="497">
        <v>83</v>
      </c>
      <c r="C21" s="497">
        <v>1.2</v>
      </c>
      <c r="D21" s="497">
        <v>0.26939999999999997</v>
      </c>
      <c r="E21" s="497">
        <v>8.1900000000000001E-2</v>
      </c>
      <c r="F21" s="497">
        <v>1</v>
      </c>
      <c r="G21" s="497">
        <v>5.28E-2</v>
      </c>
      <c r="H21" s="497">
        <v>1.06</v>
      </c>
      <c r="I21" s="497">
        <v>0.60980000000000001</v>
      </c>
      <c r="J21" s="497">
        <v>0.4844</v>
      </c>
      <c r="K21" s="497">
        <v>0.1862</v>
      </c>
      <c r="L21" s="497">
        <v>0.94</v>
      </c>
      <c r="M21" s="497">
        <v>1.05</v>
      </c>
      <c r="N21" s="497">
        <v>0.95</v>
      </c>
      <c r="O21" s="498">
        <v>0.94</v>
      </c>
      <c r="P21" s="499">
        <v>0.99</v>
      </c>
    </row>
    <row r="22" spans="1:16" ht="15.75">
      <c r="A22" s="494" t="s">
        <v>899</v>
      </c>
      <c r="B22" s="494">
        <v>46</v>
      </c>
      <c r="C22" s="494">
        <v>1.29</v>
      </c>
      <c r="D22" s="494">
        <v>7.5800000000000006E-2</v>
      </c>
      <c r="E22" s="494">
        <v>4.9599999999999998E-2</v>
      </c>
      <c r="F22" s="494">
        <v>1.22</v>
      </c>
      <c r="G22" s="494">
        <v>2.3599999999999999E-2</v>
      </c>
      <c r="H22" s="494">
        <v>1.25</v>
      </c>
      <c r="I22" s="494">
        <v>0.54700000000000004</v>
      </c>
      <c r="J22" s="494">
        <v>0.51270000000000004</v>
      </c>
      <c r="K22" s="494">
        <v>0.1166</v>
      </c>
      <c r="L22" s="494">
        <v>0.93</v>
      </c>
      <c r="M22" s="494">
        <v>1.5</v>
      </c>
      <c r="N22" s="494">
        <v>1.64</v>
      </c>
      <c r="O22" s="495">
        <v>1.1399999999999999</v>
      </c>
      <c r="P22" s="496">
        <v>1.29</v>
      </c>
    </row>
    <row r="23" spans="1:16" ht="15.75">
      <c r="A23" s="497" t="s">
        <v>900</v>
      </c>
      <c r="B23" s="497">
        <v>48</v>
      </c>
      <c r="C23" s="497">
        <v>1.1100000000000001</v>
      </c>
      <c r="D23" s="497">
        <v>0.27939999999999998</v>
      </c>
      <c r="E23" s="497">
        <v>0.13</v>
      </c>
      <c r="F23" s="497">
        <v>0.92</v>
      </c>
      <c r="G23" s="497">
        <v>6.0100000000000001E-2</v>
      </c>
      <c r="H23" s="497">
        <v>0.98</v>
      </c>
      <c r="I23" s="497">
        <v>0.40899999999999997</v>
      </c>
      <c r="J23" s="497">
        <v>0.40010000000000001</v>
      </c>
      <c r="K23" s="497">
        <v>0.1993</v>
      </c>
      <c r="L23" s="497">
        <v>0.95</v>
      </c>
      <c r="M23" s="497">
        <v>1.1499999999999999</v>
      </c>
      <c r="N23" s="497">
        <v>1.1000000000000001</v>
      </c>
      <c r="O23" s="498">
        <v>0.87</v>
      </c>
      <c r="P23" s="499">
        <v>1.01</v>
      </c>
    </row>
    <row r="24" spans="1:16" ht="15.75">
      <c r="A24" s="494" t="s">
        <v>901</v>
      </c>
      <c r="B24" s="494">
        <v>22</v>
      </c>
      <c r="C24" s="494">
        <v>0.75</v>
      </c>
      <c r="D24" s="494">
        <v>0.22620000000000001</v>
      </c>
      <c r="E24" s="494">
        <v>7.2400000000000006E-2</v>
      </c>
      <c r="F24" s="494">
        <v>0.65</v>
      </c>
      <c r="G24" s="494">
        <v>7.7899999999999997E-2</v>
      </c>
      <c r="H24" s="494">
        <v>0.7</v>
      </c>
      <c r="I24" s="494">
        <v>0.59040000000000004</v>
      </c>
      <c r="J24" s="494">
        <v>0.30109999999999998</v>
      </c>
      <c r="K24" s="494">
        <v>0.43130000000000002</v>
      </c>
      <c r="L24" s="494">
        <v>1.01</v>
      </c>
      <c r="M24" s="494">
        <v>1.1399999999999999</v>
      </c>
      <c r="N24" s="494">
        <v>1.25</v>
      </c>
      <c r="O24" s="495">
        <v>0.89</v>
      </c>
      <c r="P24" s="496">
        <v>1</v>
      </c>
    </row>
    <row r="25" spans="1:16" ht="15.75">
      <c r="A25" s="497" t="s">
        <v>902</v>
      </c>
      <c r="B25" s="497">
        <v>581</v>
      </c>
      <c r="C25" s="497">
        <v>0.99</v>
      </c>
      <c r="D25" s="497">
        <v>0.153</v>
      </c>
      <c r="E25" s="497">
        <v>5.3E-3</v>
      </c>
      <c r="F25" s="497">
        <v>0.89</v>
      </c>
      <c r="G25" s="497">
        <v>8.1299999999999997E-2</v>
      </c>
      <c r="H25" s="497">
        <v>0.97</v>
      </c>
      <c r="I25" s="497">
        <v>0.58620000000000005</v>
      </c>
      <c r="J25" s="497">
        <v>0.50800000000000001</v>
      </c>
      <c r="K25" s="497">
        <v>0.35020000000000001</v>
      </c>
      <c r="L25" s="497">
        <v>1.36</v>
      </c>
      <c r="M25" s="497">
        <v>1.43</v>
      </c>
      <c r="N25" s="497">
        <v>1.39</v>
      </c>
      <c r="O25" s="498">
        <v>0.85</v>
      </c>
      <c r="P25" s="499">
        <v>1.2</v>
      </c>
    </row>
    <row r="26" spans="1:16" ht="15.75">
      <c r="A26" s="494" t="s">
        <v>903</v>
      </c>
      <c r="B26" s="494">
        <v>298</v>
      </c>
      <c r="C26" s="494">
        <v>1.08</v>
      </c>
      <c r="D26" s="494">
        <v>0.1469</v>
      </c>
      <c r="E26" s="494">
        <v>2.18E-2</v>
      </c>
      <c r="F26" s="494">
        <v>0.97</v>
      </c>
      <c r="G26" s="494">
        <v>3.7400000000000003E-2</v>
      </c>
      <c r="H26" s="494">
        <v>1.01</v>
      </c>
      <c r="I26" s="494">
        <v>0.65769999999999995</v>
      </c>
      <c r="J26" s="494">
        <v>0.56169999999999998</v>
      </c>
      <c r="K26" s="494">
        <v>6.5299999999999997E-2</v>
      </c>
      <c r="L26" s="494">
        <v>1.1299999999999999</v>
      </c>
      <c r="M26" s="494">
        <v>1.38</v>
      </c>
      <c r="N26" s="494">
        <v>1.29</v>
      </c>
      <c r="O26" s="495">
        <v>0.84</v>
      </c>
      <c r="P26" s="496">
        <v>1.1299999999999999</v>
      </c>
    </row>
    <row r="27" spans="1:16" ht="15.75">
      <c r="A27" s="497" t="s">
        <v>904</v>
      </c>
      <c r="B27" s="497">
        <v>35</v>
      </c>
      <c r="C27" s="497">
        <v>1.1299999999999999</v>
      </c>
      <c r="D27" s="497">
        <v>0.25700000000000001</v>
      </c>
      <c r="E27" s="497">
        <v>7.6399999999999996E-2</v>
      </c>
      <c r="F27" s="497">
        <v>0.95</v>
      </c>
      <c r="G27" s="497">
        <v>0.1406</v>
      </c>
      <c r="H27" s="497">
        <v>1.1000000000000001</v>
      </c>
      <c r="I27" s="497">
        <v>0.5554</v>
      </c>
      <c r="J27" s="497">
        <v>0.41499999999999998</v>
      </c>
      <c r="K27" s="497">
        <v>0.15279999999999999</v>
      </c>
      <c r="L27" s="497">
        <v>0.96</v>
      </c>
      <c r="M27" s="497">
        <v>1.1100000000000001</v>
      </c>
      <c r="N27" s="497">
        <v>1.36</v>
      </c>
      <c r="O27" s="498">
        <v>1.07</v>
      </c>
      <c r="P27" s="499">
        <v>1.1200000000000001</v>
      </c>
    </row>
    <row r="28" spans="1:16" ht="15.75">
      <c r="A28" s="494" t="s">
        <v>905</v>
      </c>
      <c r="B28" s="494">
        <v>104</v>
      </c>
      <c r="C28" s="494">
        <v>1.25</v>
      </c>
      <c r="D28" s="494">
        <v>0.13689999999999999</v>
      </c>
      <c r="E28" s="494">
        <v>4.9799999999999997E-2</v>
      </c>
      <c r="F28" s="494">
        <v>1.1299999999999999</v>
      </c>
      <c r="G28" s="494">
        <v>5.1999999999999998E-2</v>
      </c>
      <c r="H28" s="494">
        <v>1.19</v>
      </c>
      <c r="I28" s="494">
        <v>0.63049999999999995</v>
      </c>
      <c r="J28" s="494">
        <v>0.5766</v>
      </c>
      <c r="K28" s="494">
        <v>0.1187</v>
      </c>
      <c r="L28" s="494">
        <v>1.02</v>
      </c>
      <c r="M28" s="494">
        <v>1.18</v>
      </c>
      <c r="N28" s="494">
        <v>1.31</v>
      </c>
      <c r="O28" s="495">
        <v>1</v>
      </c>
      <c r="P28" s="496">
        <v>1.1399999999999999</v>
      </c>
    </row>
    <row r="29" spans="1:16" ht="31.5">
      <c r="A29" s="497" t="s">
        <v>906</v>
      </c>
      <c r="B29" s="497">
        <v>16</v>
      </c>
      <c r="C29" s="497">
        <v>0.98</v>
      </c>
      <c r="D29" s="497">
        <v>7.6200000000000004E-2</v>
      </c>
      <c r="E29" s="497">
        <v>4.87E-2</v>
      </c>
      <c r="F29" s="497">
        <v>0.92</v>
      </c>
      <c r="G29" s="497">
        <v>0.12540000000000001</v>
      </c>
      <c r="H29" s="497">
        <v>1.06</v>
      </c>
      <c r="I29" s="497">
        <v>0.62719999999999998</v>
      </c>
      <c r="J29" s="497">
        <v>0.52539999999999998</v>
      </c>
      <c r="K29" s="497">
        <v>4.0193000000000003</v>
      </c>
      <c r="L29" s="497">
        <v>1.08</v>
      </c>
      <c r="M29" s="497">
        <v>1.22</v>
      </c>
      <c r="N29" s="497">
        <v>1.25</v>
      </c>
      <c r="O29" s="498">
        <v>1.01</v>
      </c>
      <c r="P29" s="499">
        <v>1.1200000000000001</v>
      </c>
    </row>
    <row r="30" spans="1:16" ht="15.75">
      <c r="A30" s="494" t="s">
        <v>907</v>
      </c>
      <c r="B30" s="494">
        <v>137</v>
      </c>
      <c r="C30" s="494">
        <v>1.0900000000000001</v>
      </c>
      <c r="D30" s="494">
        <v>0.1275</v>
      </c>
      <c r="E30" s="494">
        <v>6.6600000000000006E-2</v>
      </c>
      <c r="F30" s="494">
        <v>0.99</v>
      </c>
      <c r="G30" s="494">
        <v>5.5300000000000002E-2</v>
      </c>
      <c r="H30" s="494">
        <v>1.05</v>
      </c>
      <c r="I30" s="494">
        <v>0.50470000000000004</v>
      </c>
      <c r="J30" s="494">
        <v>0.4345</v>
      </c>
      <c r="K30" s="494">
        <v>0.21640000000000001</v>
      </c>
      <c r="L30" s="494">
        <v>0.91</v>
      </c>
      <c r="M30" s="494">
        <v>0.96</v>
      </c>
      <c r="N30" s="494">
        <v>1.07</v>
      </c>
      <c r="O30" s="495">
        <v>0.86</v>
      </c>
      <c r="P30" s="496">
        <v>0.97</v>
      </c>
    </row>
    <row r="31" spans="1:16" ht="15.75">
      <c r="A31" s="497" t="s">
        <v>908</v>
      </c>
      <c r="B31" s="497">
        <v>48</v>
      </c>
      <c r="C31" s="497">
        <v>1.06</v>
      </c>
      <c r="D31" s="497">
        <v>0.25590000000000002</v>
      </c>
      <c r="E31" s="497">
        <v>0.1353</v>
      </c>
      <c r="F31" s="497">
        <v>0.89</v>
      </c>
      <c r="G31" s="497">
        <v>8.4599999999999995E-2</v>
      </c>
      <c r="H31" s="497">
        <v>0.97</v>
      </c>
      <c r="I31" s="497">
        <v>0.44919999999999999</v>
      </c>
      <c r="J31" s="497">
        <v>0.36359999999999998</v>
      </c>
      <c r="K31" s="497">
        <v>0.1331</v>
      </c>
      <c r="L31" s="497">
        <v>1.1299999999999999</v>
      </c>
      <c r="M31" s="497">
        <v>0.81</v>
      </c>
      <c r="N31" s="497">
        <v>1.33</v>
      </c>
      <c r="O31" s="498">
        <v>0.95</v>
      </c>
      <c r="P31" s="499">
        <v>1.04</v>
      </c>
    </row>
    <row r="32" spans="1:16" ht="15.75">
      <c r="A32" s="494" t="s">
        <v>909</v>
      </c>
      <c r="B32" s="494">
        <v>108</v>
      </c>
      <c r="C32" s="494">
        <v>1.01</v>
      </c>
      <c r="D32" s="494">
        <v>0.15229999999999999</v>
      </c>
      <c r="E32" s="494">
        <v>2.64E-2</v>
      </c>
      <c r="F32" s="494">
        <v>0.91</v>
      </c>
      <c r="G32" s="494">
        <v>5.5199999999999999E-2</v>
      </c>
      <c r="H32" s="494">
        <v>0.96</v>
      </c>
      <c r="I32" s="494">
        <v>0.71</v>
      </c>
      <c r="J32" s="494">
        <v>0.59630000000000005</v>
      </c>
      <c r="K32" s="494">
        <v>0.32969999999999999</v>
      </c>
      <c r="L32" s="494">
        <v>0.96</v>
      </c>
      <c r="M32" s="494">
        <v>1.21</v>
      </c>
      <c r="N32" s="494">
        <v>1.2</v>
      </c>
      <c r="O32" s="495">
        <v>0.84</v>
      </c>
      <c r="P32" s="496">
        <v>1.04</v>
      </c>
    </row>
    <row r="33" spans="1:16" ht="31.5">
      <c r="A33" s="497" t="s">
        <v>910</v>
      </c>
      <c r="B33" s="497">
        <v>58</v>
      </c>
      <c r="C33" s="497">
        <v>1.24</v>
      </c>
      <c r="D33" s="497">
        <v>0.2087</v>
      </c>
      <c r="E33" s="497">
        <v>5.8999999999999997E-2</v>
      </c>
      <c r="F33" s="497">
        <v>1.08</v>
      </c>
      <c r="G33" s="497">
        <v>8.9999999999999993E-3</v>
      </c>
      <c r="H33" s="497">
        <v>1.0900000000000001</v>
      </c>
      <c r="I33" s="497">
        <v>0.61780000000000002</v>
      </c>
      <c r="J33" s="497">
        <v>0.43009999999999998</v>
      </c>
      <c r="K33" s="497">
        <v>0.1052</v>
      </c>
      <c r="L33" s="497">
        <v>0.7</v>
      </c>
      <c r="M33" s="497">
        <v>0.96</v>
      </c>
      <c r="N33" s="497">
        <v>1.05</v>
      </c>
      <c r="O33" s="498">
        <v>0.82</v>
      </c>
      <c r="P33" s="499">
        <v>0.92</v>
      </c>
    </row>
    <row r="34" spans="1:16" ht="15.75">
      <c r="A34" s="494" t="s">
        <v>65</v>
      </c>
      <c r="B34" s="494">
        <v>36</v>
      </c>
      <c r="C34" s="494">
        <v>1.03</v>
      </c>
      <c r="D34" s="494">
        <v>0.36820000000000003</v>
      </c>
      <c r="E34" s="494">
        <v>7.6499999999999999E-2</v>
      </c>
      <c r="F34" s="494">
        <v>0.81</v>
      </c>
      <c r="G34" s="494">
        <v>4.2200000000000001E-2</v>
      </c>
      <c r="H34" s="494">
        <v>0.85</v>
      </c>
      <c r="I34" s="494">
        <v>0.56420000000000003</v>
      </c>
      <c r="J34" s="494">
        <v>0.46450000000000002</v>
      </c>
      <c r="K34" s="494">
        <v>0.1794</v>
      </c>
      <c r="L34" s="494">
        <v>0.56000000000000005</v>
      </c>
      <c r="M34" s="494">
        <v>0.5</v>
      </c>
      <c r="N34" s="494">
        <v>0.63</v>
      </c>
      <c r="O34" s="495">
        <v>0.68</v>
      </c>
      <c r="P34" s="496">
        <v>0.64</v>
      </c>
    </row>
    <row r="35" spans="1:16" ht="31.5">
      <c r="A35" s="497" t="s">
        <v>911</v>
      </c>
      <c r="B35" s="497">
        <v>223</v>
      </c>
      <c r="C35" s="497">
        <v>0.93</v>
      </c>
      <c r="D35" s="497">
        <v>7.2637</v>
      </c>
      <c r="E35" s="497">
        <v>0.156</v>
      </c>
      <c r="F35" s="497">
        <v>0.15</v>
      </c>
      <c r="G35" s="497">
        <v>3.0599999999999999E-2</v>
      </c>
      <c r="H35" s="497">
        <v>0.15</v>
      </c>
      <c r="I35" s="497">
        <v>0.34060000000000001</v>
      </c>
      <c r="J35" s="497">
        <v>0.28520000000000001</v>
      </c>
      <c r="K35" s="497">
        <v>0.42270000000000002</v>
      </c>
      <c r="L35" s="497">
        <v>7.0000000000000007E-2</v>
      </c>
      <c r="M35" s="497">
        <v>0.08</v>
      </c>
      <c r="N35" s="497">
        <v>0.1</v>
      </c>
      <c r="O35" s="498">
        <v>0.11</v>
      </c>
      <c r="P35" s="499">
        <v>0.1</v>
      </c>
    </row>
    <row r="36" spans="1:16" ht="15.75">
      <c r="A36" s="494" t="s">
        <v>912</v>
      </c>
      <c r="B36" s="494">
        <v>92</v>
      </c>
      <c r="C36" s="494">
        <v>0.75</v>
      </c>
      <c r="D36" s="494">
        <v>0.30520000000000003</v>
      </c>
      <c r="E36" s="494">
        <v>0.10539999999999999</v>
      </c>
      <c r="F36" s="494">
        <v>0.61</v>
      </c>
      <c r="G36" s="494">
        <v>2.9000000000000001E-2</v>
      </c>
      <c r="H36" s="494">
        <v>0.63</v>
      </c>
      <c r="I36" s="494">
        <v>0.46679999999999999</v>
      </c>
      <c r="J36" s="494">
        <v>0.27689999999999998</v>
      </c>
      <c r="K36" s="494">
        <v>0.1923</v>
      </c>
      <c r="L36" s="494">
        <v>0.56000000000000005</v>
      </c>
      <c r="M36" s="494">
        <v>0.61</v>
      </c>
      <c r="N36" s="494">
        <v>0.7</v>
      </c>
      <c r="O36" s="495">
        <v>0.53</v>
      </c>
      <c r="P36" s="496">
        <v>0.61</v>
      </c>
    </row>
    <row r="37" spans="1:16" ht="15.75">
      <c r="A37" s="497" t="s">
        <v>913</v>
      </c>
      <c r="B37" s="497">
        <v>15</v>
      </c>
      <c r="C37" s="497">
        <v>1.4</v>
      </c>
      <c r="D37" s="497">
        <v>0.46920000000000001</v>
      </c>
      <c r="E37" s="497">
        <v>8.5999999999999993E-2</v>
      </c>
      <c r="F37" s="497">
        <v>1.04</v>
      </c>
      <c r="G37" s="497">
        <v>3.6499999999999998E-2</v>
      </c>
      <c r="H37" s="497">
        <v>1.08</v>
      </c>
      <c r="I37" s="497">
        <v>0.4713</v>
      </c>
      <c r="J37" s="497">
        <v>0.54010000000000002</v>
      </c>
      <c r="K37" s="497">
        <v>0.27979999999999999</v>
      </c>
      <c r="L37" s="497">
        <v>1.41</v>
      </c>
      <c r="M37" s="497">
        <v>1.23</v>
      </c>
      <c r="N37" s="497">
        <v>0.66</v>
      </c>
      <c r="O37" s="498">
        <v>0.8</v>
      </c>
      <c r="P37" s="499">
        <v>1.04</v>
      </c>
    </row>
    <row r="38" spans="1:16" ht="15.75">
      <c r="A38" s="494" t="s">
        <v>914</v>
      </c>
      <c r="B38" s="494">
        <v>32</v>
      </c>
      <c r="C38" s="494">
        <v>1.1100000000000001</v>
      </c>
      <c r="D38" s="494">
        <v>0.28649999999999998</v>
      </c>
      <c r="E38" s="494">
        <v>0.1174</v>
      </c>
      <c r="F38" s="494">
        <v>0.92</v>
      </c>
      <c r="G38" s="494">
        <v>7.6600000000000001E-2</v>
      </c>
      <c r="H38" s="494">
        <v>0.99</v>
      </c>
      <c r="I38" s="494">
        <v>0.51680000000000004</v>
      </c>
      <c r="J38" s="494">
        <v>0.44769999999999999</v>
      </c>
      <c r="K38" s="494">
        <v>0.22939999999999999</v>
      </c>
      <c r="L38" s="494">
        <v>0.67</v>
      </c>
      <c r="M38" s="494">
        <v>0.67</v>
      </c>
      <c r="N38" s="494">
        <v>0.82</v>
      </c>
      <c r="O38" s="495">
        <v>0.78</v>
      </c>
      <c r="P38" s="496">
        <v>0.79</v>
      </c>
    </row>
    <row r="39" spans="1:16" ht="15.75">
      <c r="A39" s="497" t="s">
        <v>915</v>
      </c>
      <c r="B39" s="497">
        <v>20</v>
      </c>
      <c r="C39" s="497">
        <v>1.59</v>
      </c>
      <c r="D39" s="497">
        <v>0.6663</v>
      </c>
      <c r="E39" s="497">
        <v>1.43E-2</v>
      </c>
      <c r="F39" s="497">
        <v>1.07</v>
      </c>
      <c r="G39" s="497">
        <v>2.4500000000000001E-2</v>
      </c>
      <c r="H39" s="497">
        <v>1.1000000000000001</v>
      </c>
      <c r="I39" s="497">
        <v>0.70169999999999999</v>
      </c>
      <c r="J39" s="497">
        <v>0.81759999999999999</v>
      </c>
      <c r="K39" s="497">
        <v>1.0184</v>
      </c>
      <c r="L39" s="497">
        <v>0.72</v>
      </c>
      <c r="M39" s="497">
        <v>0.8</v>
      </c>
      <c r="N39" s="497">
        <v>0.59</v>
      </c>
      <c r="O39" s="498">
        <v>0.68</v>
      </c>
      <c r="P39" s="499">
        <v>0.78</v>
      </c>
    </row>
    <row r="40" spans="1:16" ht="15.75">
      <c r="A40" s="494" t="s">
        <v>916</v>
      </c>
      <c r="B40" s="494">
        <v>244</v>
      </c>
      <c r="C40" s="494">
        <v>0.94</v>
      </c>
      <c r="D40" s="494">
        <v>8.6099999999999996E-2</v>
      </c>
      <c r="E40" s="494">
        <v>4.1500000000000002E-2</v>
      </c>
      <c r="F40" s="494">
        <v>0.88</v>
      </c>
      <c r="G40" s="494">
        <v>3.2599999999999997E-2</v>
      </c>
      <c r="H40" s="494">
        <v>0.91</v>
      </c>
      <c r="I40" s="494">
        <v>0.51919999999999999</v>
      </c>
      <c r="J40" s="494">
        <v>0.43809999999999999</v>
      </c>
      <c r="K40" s="494">
        <v>0.22600000000000001</v>
      </c>
      <c r="L40" s="494">
        <v>0.89</v>
      </c>
      <c r="M40" s="494">
        <v>1.04</v>
      </c>
      <c r="N40" s="494">
        <v>0.98</v>
      </c>
      <c r="O40" s="495">
        <v>0.8</v>
      </c>
      <c r="P40" s="496">
        <v>0.92</v>
      </c>
    </row>
    <row r="41" spans="1:16" ht="31.5">
      <c r="A41" s="497" t="s">
        <v>917</v>
      </c>
      <c r="B41" s="497">
        <v>131</v>
      </c>
      <c r="C41" s="497">
        <v>1.06</v>
      </c>
      <c r="D41" s="497">
        <v>0.2455</v>
      </c>
      <c r="E41" s="497">
        <v>7.7200000000000005E-2</v>
      </c>
      <c r="F41" s="497">
        <v>0.9</v>
      </c>
      <c r="G41" s="497">
        <v>5.5599999999999997E-2</v>
      </c>
      <c r="H41" s="497">
        <v>0.95</v>
      </c>
      <c r="I41" s="497">
        <v>0.55149999999999999</v>
      </c>
      <c r="J41" s="497">
        <v>0.46860000000000002</v>
      </c>
      <c r="K41" s="497">
        <v>0.27439999999999998</v>
      </c>
      <c r="L41" s="497">
        <v>0.82</v>
      </c>
      <c r="M41" s="497">
        <v>1.03</v>
      </c>
      <c r="N41" s="497">
        <v>0.95</v>
      </c>
      <c r="O41" s="498">
        <v>0.74</v>
      </c>
      <c r="P41" s="499">
        <v>0.9</v>
      </c>
    </row>
    <row r="42" spans="1:16" ht="31.5">
      <c r="A42" s="494" t="s">
        <v>918</v>
      </c>
      <c r="B42" s="494">
        <v>142</v>
      </c>
      <c r="C42" s="494">
        <v>0.94</v>
      </c>
      <c r="D42" s="494">
        <v>9.7299999999999998E-2</v>
      </c>
      <c r="E42" s="494">
        <v>3.5700000000000003E-2</v>
      </c>
      <c r="F42" s="494">
        <v>0.88</v>
      </c>
      <c r="G42" s="494">
        <v>3.2599999999999997E-2</v>
      </c>
      <c r="H42" s="494">
        <v>0.91</v>
      </c>
      <c r="I42" s="494">
        <v>0.53600000000000003</v>
      </c>
      <c r="J42" s="494">
        <v>0.46279999999999999</v>
      </c>
      <c r="K42" s="494">
        <v>0.3029</v>
      </c>
      <c r="L42" s="494">
        <v>0.88</v>
      </c>
      <c r="M42" s="494">
        <v>1.18</v>
      </c>
      <c r="N42" s="494">
        <v>1.1499999999999999</v>
      </c>
      <c r="O42" s="495">
        <v>0.75</v>
      </c>
      <c r="P42" s="496">
        <v>0.97</v>
      </c>
    </row>
    <row r="43" spans="1:16" ht="15.75">
      <c r="A43" s="497" t="s">
        <v>919</v>
      </c>
      <c r="B43" s="497">
        <v>29</v>
      </c>
      <c r="C43" s="497">
        <v>1.69</v>
      </c>
      <c r="D43" s="497">
        <v>0.21970000000000001</v>
      </c>
      <c r="E43" s="497">
        <v>0.18629999999999999</v>
      </c>
      <c r="F43" s="497">
        <v>1.45</v>
      </c>
      <c r="G43" s="497">
        <v>8.4099999999999994E-2</v>
      </c>
      <c r="H43" s="497">
        <v>1.59</v>
      </c>
      <c r="I43" s="497">
        <v>0.3841</v>
      </c>
      <c r="J43" s="497">
        <v>0.3947</v>
      </c>
      <c r="K43" s="497">
        <v>0.64080000000000004</v>
      </c>
      <c r="L43" s="497">
        <v>0.89</v>
      </c>
      <c r="M43" s="497">
        <v>0.72</v>
      </c>
      <c r="N43" s="497">
        <v>0.66</v>
      </c>
      <c r="O43" s="498">
        <v>1.33</v>
      </c>
      <c r="P43" s="499">
        <v>1.04</v>
      </c>
    </row>
    <row r="44" spans="1:16" ht="31.5">
      <c r="A44" s="494" t="s">
        <v>920</v>
      </c>
      <c r="B44" s="494">
        <v>31</v>
      </c>
      <c r="C44" s="494">
        <v>1.41</v>
      </c>
      <c r="D44" s="494">
        <v>0.70979999999999999</v>
      </c>
      <c r="E44" s="494">
        <v>8.9899999999999994E-2</v>
      </c>
      <c r="F44" s="494">
        <v>0.93</v>
      </c>
      <c r="G44" s="494">
        <v>3.3700000000000001E-2</v>
      </c>
      <c r="H44" s="494">
        <v>0.96</v>
      </c>
      <c r="I44" s="494">
        <v>0.51400000000000001</v>
      </c>
      <c r="J44" s="494">
        <v>0.52310000000000001</v>
      </c>
      <c r="K44" s="494">
        <v>0.15379999999999999</v>
      </c>
      <c r="L44" s="494">
        <v>0.51</v>
      </c>
      <c r="M44" s="494">
        <v>0.55000000000000004</v>
      </c>
      <c r="N44" s="494">
        <v>0.63</v>
      </c>
      <c r="O44" s="495">
        <v>0.8</v>
      </c>
      <c r="P44" s="496">
        <v>0.69</v>
      </c>
    </row>
    <row r="45" spans="1:16" ht="15.75">
      <c r="A45" s="497" t="s">
        <v>921</v>
      </c>
      <c r="B45" s="497">
        <v>66</v>
      </c>
      <c r="C45" s="497">
        <v>1.79</v>
      </c>
      <c r="D45" s="497">
        <v>0.46010000000000001</v>
      </c>
      <c r="E45" s="497">
        <v>6.0199999999999997E-2</v>
      </c>
      <c r="F45" s="497">
        <v>1.34</v>
      </c>
      <c r="G45" s="497">
        <v>6.5500000000000003E-2</v>
      </c>
      <c r="H45" s="497">
        <v>1.44</v>
      </c>
      <c r="I45" s="497">
        <v>0.4652</v>
      </c>
      <c r="J45" s="497">
        <v>0.43869999999999998</v>
      </c>
      <c r="K45" s="497">
        <v>0.81769999999999998</v>
      </c>
      <c r="L45" s="497">
        <v>0.74</v>
      </c>
      <c r="M45" s="497">
        <v>0.71</v>
      </c>
      <c r="N45" s="497">
        <v>0.91</v>
      </c>
      <c r="O45" s="498">
        <v>1.19</v>
      </c>
      <c r="P45" s="499">
        <v>1</v>
      </c>
    </row>
    <row r="46" spans="1:16" ht="15.75">
      <c r="A46" s="494" t="s">
        <v>922</v>
      </c>
      <c r="B46" s="494">
        <v>118</v>
      </c>
      <c r="C46" s="494">
        <v>0.98</v>
      </c>
      <c r="D46" s="494">
        <v>0.1258</v>
      </c>
      <c r="E46" s="494">
        <v>5.8700000000000002E-2</v>
      </c>
      <c r="F46" s="494">
        <v>0.9</v>
      </c>
      <c r="G46" s="494">
        <v>2.4799999999999999E-2</v>
      </c>
      <c r="H46" s="494">
        <v>0.92</v>
      </c>
      <c r="I46" s="494">
        <v>0.6421</v>
      </c>
      <c r="J46" s="494">
        <v>0.5857</v>
      </c>
      <c r="K46" s="494">
        <v>6.0400000000000002E-2</v>
      </c>
      <c r="L46" s="494">
        <v>0.88</v>
      </c>
      <c r="M46" s="494">
        <v>1</v>
      </c>
      <c r="N46" s="494">
        <v>0.94</v>
      </c>
      <c r="O46" s="495">
        <v>0.68</v>
      </c>
      <c r="P46" s="496">
        <v>0.88</v>
      </c>
    </row>
    <row r="47" spans="1:16" ht="15.75">
      <c r="A47" s="497" t="s">
        <v>923</v>
      </c>
      <c r="B47" s="497">
        <v>79</v>
      </c>
      <c r="C47" s="497">
        <v>1.25</v>
      </c>
      <c r="D47" s="497">
        <v>0.1037</v>
      </c>
      <c r="E47" s="497">
        <v>0.11219999999999999</v>
      </c>
      <c r="F47" s="497">
        <v>1.1599999999999999</v>
      </c>
      <c r="G47" s="497">
        <v>3.44E-2</v>
      </c>
      <c r="H47" s="497">
        <v>1.2</v>
      </c>
      <c r="I47" s="497">
        <v>0.48449999999999999</v>
      </c>
      <c r="J47" s="497">
        <v>0.46439999999999998</v>
      </c>
      <c r="K47" s="497">
        <v>0.28560000000000002</v>
      </c>
      <c r="L47" s="497">
        <v>0.82</v>
      </c>
      <c r="M47" s="497">
        <v>1.05</v>
      </c>
      <c r="N47" s="497">
        <v>1.03</v>
      </c>
      <c r="O47" s="498">
        <v>0.97</v>
      </c>
      <c r="P47" s="499">
        <v>1.01</v>
      </c>
    </row>
    <row r="48" spans="1:16" ht="15.75">
      <c r="A48" s="494" t="s">
        <v>924</v>
      </c>
      <c r="B48" s="494">
        <v>23</v>
      </c>
      <c r="C48" s="494">
        <v>0.92</v>
      </c>
      <c r="D48" s="494">
        <v>0.26640000000000003</v>
      </c>
      <c r="E48" s="494">
        <v>0.1143</v>
      </c>
      <c r="F48" s="494">
        <v>0.77</v>
      </c>
      <c r="G48" s="494">
        <v>4.8000000000000001E-2</v>
      </c>
      <c r="H48" s="494">
        <v>0.81</v>
      </c>
      <c r="I48" s="494">
        <v>0.42670000000000002</v>
      </c>
      <c r="J48" s="494">
        <v>0.3715</v>
      </c>
      <c r="K48" s="494">
        <v>0.33960000000000001</v>
      </c>
      <c r="L48" s="494">
        <v>0.63</v>
      </c>
      <c r="M48" s="494">
        <v>0.67</v>
      </c>
      <c r="N48" s="494">
        <v>0.59</v>
      </c>
      <c r="O48" s="495">
        <v>0.56000000000000005</v>
      </c>
      <c r="P48" s="496">
        <v>0.65</v>
      </c>
    </row>
    <row r="49" spans="1:16" ht="15.75">
      <c r="A49" s="497" t="s">
        <v>925</v>
      </c>
      <c r="B49" s="497">
        <v>24</v>
      </c>
      <c r="C49" s="497">
        <v>1.22</v>
      </c>
      <c r="D49" s="497">
        <v>0.92600000000000005</v>
      </c>
      <c r="E49" s="497">
        <v>0.14280000000000001</v>
      </c>
      <c r="F49" s="497">
        <v>0.73</v>
      </c>
      <c r="G49" s="497">
        <v>0.17269999999999999</v>
      </c>
      <c r="H49" s="497">
        <v>0.88</v>
      </c>
      <c r="I49" s="497">
        <v>0.30530000000000002</v>
      </c>
      <c r="J49" s="497">
        <v>0.31809999999999999</v>
      </c>
      <c r="K49" s="497">
        <v>0.15340000000000001</v>
      </c>
      <c r="L49" s="497">
        <v>0.81</v>
      </c>
      <c r="M49" s="497">
        <v>0.7</v>
      </c>
      <c r="N49" s="497">
        <v>0.73</v>
      </c>
      <c r="O49" s="498">
        <v>0.64</v>
      </c>
      <c r="P49" s="499">
        <v>0.75</v>
      </c>
    </row>
    <row r="50" spans="1:16" ht="15.75">
      <c r="A50" s="494" t="s">
        <v>926</v>
      </c>
      <c r="B50" s="494">
        <v>52</v>
      </c>
      <c r="C50" s="494">
        <v>0.86</v>
      </c>
      <c r="D50" s="494">
        <v>0.23480000000000001</v>
      </c>
      <c r="E50" s="494">
        <v>0.13370000000000001</v>
      </c>
      <c r="F50" s="494">
        <v>0.74</v>
      </c>
      <c r="G50" s="494">
        <v>6.2899999999999998E-2</v>
      </c>
      <c r="H50" s="494">
        <v>0.78</v>
      </c>
      <c r="I50" s="494">
        <v>0.29980000000000001</v>
      </c>
      <c r="J50" s="494">
        <v>0.29239999999999999</v>
      </c>
      <c r="K50" s="494">
        <v>0.30070000000000002</v>
      </c>
      <c r="L50" s="494">
        <v>0.73</v>
      </c>
      <c r="M50" s="494">
        <v>0.65</v>
      </c>
      <c r="N50" s="494">
        <v>0.59</v>
      </c>
      <c r="O50" s="495">
        <v>0.57999999999999996</v>
      </c>
      <c r="P50" s="496">
        <v>0.67</v>
      </c>
    </row>
    <row r="51" spans="1:16" ht="31.5">
      <c r="A51" s="497" t="s">
        <v>927</v>
      </c>
      <c r="B51" s="497">
        <v>687</v>
      </c>
      <c r="C51" s="497">
        <v>1.05</v>
      </c>
      <c r="D51" s="497">
        <v>0.27929999999999999</v>
      </c>
      <c r="E51" s="497">
        <v>1.4200000000000001E-2</v>
      </c>
      <c r="F51" s="497">
        <v>0.87</v>
      </c>
      <c r="G51" s="497">
        <v>9.7799999999999998E-2</v>
      </c>
      <c r="H51" s="497">
        <v>0.97</v>
      </c>
      <c r="I51" s="497">
        <v>0.1469</v>
      </c>
      <c r="J51" s="497">
        <v>0.31969999999999998</v>
      </c>
      <c r="K51" s="497">
        <v>0.1186</v>
      </c>
      <c r="L51" s="497">
        <v>0.87</v>
      </c>
      <c r="M51" s="497">
        <v>0.87</v>
      </c>
      <c r="N51" s="497">
        <v>0.86</v>
      </c>
      <c r="O51" s="498">
        <v>0.78</v>
      </c>
      <c r="P51" s="499">
        <v>0.87</v>
      </c>
    </row>
    <row r="52" spans="1:16" ht="15.75">
      <c r="A52" s="494" t="s">
        <v>928</v>
      </c>
      <c r="B52" s="494">
        <v>111</v>
      </c>
      <c r="C52" s="494">
        <v>1.25</v>
      </c>
      <c r="D52" s="494">
        <v>0.1411</v>
      </c>
      <c r="E52" s="494">
        <v>0.10580000000000001</v>
      </c>
      <c r="F52" s="494">
        <v>1.1299999999999999</v>
      </c>
      <c r="G52" s="494">
        <v>4.0399999999999998E-2</v>
      </c>
      <c r="H52" s="494">
        <v>1.18</v>
      </c>
      <c r="I52" s="494">
        <v>0.4395</v>
      </c>
      <c r="J52" s="494">
        <v>0.34749999999999998</v>
      </c>
      <c r="K52" s="494">
        <v>0.152</v>
      </c>
      <c r="L52" s="494">
        <v>1.04</v>
      </c>
      <c r="M52" s="494">
        <v>1.01</v>
      </c>
      <c r="N52" s="494">
        <v>1.1000000000000001</v>
      </c>
      <c r="O52" s="495">
        <v>0.96</v>
      </c>
      <c r="P52" s="496">
        <v>1.06</v>
      </c>
    </row>
    <row r="53" spans="1:16" ht="15.75">
      <c r="A53" s="497" t="s">
        <v>929</v>
      </c>
      <c r="B53" s="497">
        <v>74</v>
      </c>
      <c r="C53" s="497">
        <v>1.17</v>
      </c>
      <c r="D53" s="497">
        <v>0.1817</v>
      </c>
      <c r="E53" s="497">
        <v>2.07E-2</v>
      </c>
      <c r="F53" s="497">
        <v>1.04</v>
      </c>
      <c r="G53" s="497">
        <v>8.2000000000000003E-2</v>
      </c>
      <c r="H53" s="497">
        <v>1.1299999999999999</v>
      </c>
      <c r="I53" s="497">
        <v>0.69120000000000004</v>
      </c>
      <c r="J53" s="497">
        <v>0.68079999999999996</v>
      </c>
      <c r="K53" s="497">
        <v>0.43459999999999999</v>
      </c>
      <c r="L53" s="497">
        <v>0.96</v>
      </c>
      <c r="M53" s="497">
        <v>1.1100000000000001</v>
      </c>
      <c r="N53" s="497">
        <v>1.0900000000000001</v>
      </c>
      <c r="O53" s="498">
        <v>0.82</v>
      </c>
      <c r="P53" s="499">
        <v>1.02</v>
      </c>
    </row>
    <row r="54" spans="1:16" ht="31.5">
      <c r="A54" s="494" t="s">
        <v>930</v>
      </c>
      <c r="B54" s="494">
        <v>18</v>
      </c>
      <c r="C54" s="494">
        <v>1.38</v>
      </c>
      <c r="D54" s="494">
        <v>0.48259999999999997</v>
      </c>
      <c r="E54" s="494">
        <v>8.9599999999999999E-2</v>
      </c>
      <c r="F54" s="494">
        <v>1.02</v>
      </c>
      <c r="G54" s="494">
        <v>7.9600000000000004E-2</v>
      </c>
      <c r="H54" s="494">
        <v>1.1100000000000001</v>
      </c>
      <c r="I54" s="494">
        <v>0.43880000000000002</v>
      </c>
      <c r="J54" s="494">
        <v>0.31009999999999999</v>
      </c>
      <c r="K54" s="494">
        <v>0.1227</v>
      </c>
      <c r="L54" s="494">
        <v>1.1000000000000001</v>
      </c>
      <c r="M54" s="494">
        <v>1.33</v>
      </c>
      <c r="N54" s="494">
        <v>1.24</v>
      </c>
      <c r="O54" s="495">
        <v>0.83</v>
      </c>
      <c r="P54" s="496">
        <v>1.1200000000000001</v>
      </c>
    </row>
    <row r="55" spans="1:16" ht="15.75">
      <c r="A55" s="497" t="s">
        <v>931</v>
      </c>
      <c r="B55" s="497">
        <v>4</v>
      </c>
      <c r="C55" s="497">
        <v>1.47</v>
      </c>
      <c r="D55" s="497">
        <v>0.26729999999999998</v>
      </c>
      <c r="E55" s="497">
        <v>0.19339999999999999</v>
      </c>
      <c r="F55" s="497">
        <v>1.23</v>
      </c>
      <c r="G55" s="497">
        <v>1.9800000000000002E-2</v>
      </c>
      <c r="H55" s="497">
        <v>1.25</v>
      </c>
      <c r="I55" s="497">
        <v>0.36409999999999998</v>
      </c>
      <c r="J55" s="497">
        <v>0.28710000000000002</v>
      </c>
      <c r="K55" s="497">
        <v>0.99790000000000001</v>
      </c>
      <c r="L55" s="497">
        <v>1.25</v>
      </c>
      <c r="M55" s="497">
        <v>1.06</v>
      </c>
      <c r="N55" s="497">
        <v>1.1200000000000001</v>
      </c>
      <c r="O55" s="498">
        <v>0.98</v>
      </c>
      <c r="P55" s="499">
        <v>1.1299999999999999</v>
      </c>
    </row>
    <row r="56" spans="1:16" ht="31.5">
      <c r="A56" s="494" t="s">
        <v>932</v>
      </c>
      <c r="B56" s="494">
        <v>183</v>
      </c>
      <c r="C56" s="494">
        <v>1.32</v>
      </c>
      <c r="D56" s="494">
        <v>0.31130000000000002</v>
      </c>
      <c r="E56" s="494">
        <v>2.0400000000000001E-2</v>
      </c>
      <c r="F56" s="494">
        <v>1.08</v>
      </c>
      <c r="G56" s="494">
        <v>4.6600000000000003E-2</v>
      </c>
      <c r="H56" s="494">
        <v>1.1299999999999999</v>
      </c>
      <c r="I56" s="494">
        <v>0.67079999999999995</v>
      </c>
      <c r="J56" s="494">
        <v>0.55479999999999996</v>
      </c>
      <c r="K56" s="494">
        <v>2.2132000000000001</v>
      </c>
      <c r="L56" s="494">
        <v>1</v>
      </c>
      <c r="M56" s="494">
        <v>1.07</v>
      </c>
      <c r="N56" s="494">
        <v>1.08</v>
      </c>
      <c r="O56" s="495">
        <v>0.81</v>
      </c>
      <c r="P56" s="496">
        <v>1.02</v>
      </c>
    </row>
    <row r="57" spans="1:16" ht="15.75">
      <c r="A57" s="497" t="s">
        <v>933</v>
      </c>
      <c r="B57" s="497">
        <v>21</v>
      </c>
      <c r="C57" s="497">
        <v>1.4</v>
      </c>
      <c r="D57" s="497">
        <v>0.87160000000000004</v>
      </c>
      <c r="E57" s="497">
        <v>9.7600000000000006E-2</v>
      </c>
      <c r="F57" s="497">
        <v>0.85</v>
      </c>
      <c r="G57" s="497">
        <v>1.34E-2</v>
      </c>
      <c r="H57" s="497">
        <v>0.86</v>
      </c>
      <c r="I57" s="497">
        <v>0.40739999999999998</v>
      </c>
      <c r="J57" s="497">
        <v>0.44979999999999998</v>
      </c>
      <c r="K57" s="497">
        <v>0.3851</v>
      </c>
      <c r="L57" s="497">
        <v>0.72</v>
      </c>
      <c r="M57" s="497">
        <v>0.62</v>
      </c>
      <c r="N57" s="497">
        <v>0.62</v>
      </c>
      <c r="O57" s="498">
        <v>0.6</v>
      </c>
      <c r="P57" s="499">
        <v>0.68</v>
      </c>
    </row>
    <row r="58" spans="1:16" ht="15.75">
      <c r="A58" s="494" t="s">
        <v>934</v>
      </c>
      <c r="B58" s="494">
        <v>100</v>
      </c>
      <c r="C58" s="494">
        <v>1.5</v>
      </c>
      <c r="D58" s="494">
        <v>0.5413</v>
      </c>
      <c r="E58" s="494">
        <v>3.8899999999999997E-2</v>
      </c>
      <c r="F58" s="494">
        <v>1.07</v>
      </c>
      <c r="G58" s="494">
        <v>9.0800000000000006E-2</v>
      </c>
      <c r="H58" s="494">
        <v>1.18</v>
      </c>
      <c r="I58" s="494">
        <v>0.55179999999999996</v>
      </c>
      <c r="J58" s="494">
        <v>0.49630000000000002</v>
      </c>
      <c r="K58" s="494">
        <v>0.61609999999999998</v>
      </c>
      <c r="L58" s="494">
        <v>1.06</v>
      </c>
      <c r="M58" s="494">
        <v>1.07</v>
      </c>
      <c r="N58" s="494">
        <v>1.22</v>
      </c>
      <c r="O58" s="495">
        <v>0.83</v>
      </c>
      <c r="P58" s="496">
        <v>1.07</v>
      </c>
    </row>
    <row r="59" spans="1:16" ht="15.75">
      <c r="A59" s="509" t="s">
        <v>935</v>
      </c>
      <c r="B59" s="509">
        <v>26</v>
      </c>
      <c r="C59" s="509">
        <v>1.01</v>
      </c>
      <c r="D59" s="509">
        <v>0.49680000000000002</v>
      </c>
      <c r="E59" s="509">
        <v>0.1709</v>
      </c>
      <c r="F59" s="509">
        <v>0.74</v>
      </c>
      <c r="G59" s="509">
        <v>4.8000000000000001E-2</v>
      </c>
      <c r="H59" s="509">
        <v>0.78</v>
      </c>
      <c r="I59" s="509">
        <v>0.35120000000000001</v>
      </c>
      <c r="J59" s="509">
        <v>0.26379999999999998</v>
      </c>
      <c r="K59" s="509">
        <v>0.1074</v>
      </c>
      <c r="L59" s="509">
        <v>0.55000000000000004</v>
      </c>
      <c r="M59" s="509">
        <v>0.74</v>
      </c>
      <c r="N59" s="509">
        <v>0.68</v>
      </c>
      <c r="O59" s="510">
        <v>0.68</v>
      </c>
      <c r="P59" s="511">
        <v>0.68</v>
      </c>
    </row>
    <row r="60" spans="1:16" ht="15.75">
      <c r="A60" s="494" t="s">
        <v>936</v>
      </c>
      <c r="B60" s="494">
        <v>11</v>
      </c>
      <c r="C60" s="494">
        <v>1.21</v>
      </c>
      <c r="D60" s="494">
        <v>0.41320000000000001</v>
      </c>
      <c r="E60" s="494">
        <v>0.1201</v>
      </c>
      <c r="F60" s="494">
        <v>0.93</v>
      </c>
      <c r="G60" s="494">
        <v>6.6299999999999998E-2</v>
      </c>
      <c r="H60" s="494">
        <v>1</v>
      </c>
      <c r="I60" s="494">
        <v>0.46050000000000002</v>
      </c>
      <c r="J60" s="494">
        <v>0.30609999999999998</v>
      </c>
      <c r="K60" s="494">
        <v>0.52829999999999999</v>
      </c>
      <c r="L60" s="494">
        <v>0.98</v>
      </c>
      <c r="M60" s="494">
        <v>1.17</v>
      </c>
      <c r="N60" s="494">
        <v>1.25</v>
      </c>
      <c r="O60" s="495">
        <v>0.96</v>
      </c>
      <c r="P60" s="496">
        <v>1.07</v>
      </c>
    </row>
    <row r="61" spans="1:16" ht="15.75">
      <c r="A61" s="497" t="s">
        <v>937</v>
      </c>
      <c r="B61" s="497">
        <v>50</v>
      </c>
      <c r="C61" s="497">
        <v>0.83</v>
      </c>
      <c r="D61" s="497">
        <v>0.71540000000000004</v>
      </c>
      <c r="E61" s="497">
        <v>0.15609999999999999</v>
      </c>
      <c r="F61" s="497">
        <v>0.55000000000000004</v>
      </c>
      <c r="G61" s="497">
        <v>1.83E-2</v>
      </c>
      <c r="H61" s="497">
        <v>0.56000000000000005</v>
      </c>
      <c r="I61" s="497">
        <v>0.2382</v>
      </c>
      <c r="J61" s="497">
        <v>0.19489999999999999</v>
      </c>
      <c r="K61" s="497">
        <v>9.4700000000000006E-2</v>
      </c>
      <c r="L61" s="497">
        <v>0.32</v>
      </c>
      <c r="M61" s="497">
        <v>0.35</v>
      </c>
      <c r="N61" s="497">
        <v>0.38</v>
      </c>
      <c r="O61" s="498">
        <v>0.43</v>
      </c>
      <c r="P61" s="499">
        <v>0.41</v>
      </c>
    </row>
    <row r="62" spans="1:16" ht="15.75">
      <c r="A62" s="494" t="s">
        <v>938</v>
      </c>
      <c r="B62" s="494">
        <v>76</v>
      </c>
      <c r="C62" s="494">
        <v>0.99</v>
      </c>
      <c r="D62" s="494">
        <v>0.1201</v>
      </c>
      <c r="E62" s="494">
        <v>3.1099999999999999E-2</v>
      </c>
      <c r="F62" s="494">
        <v>0.91</v>
      </c>
      <c r="G62" s="494">
        <v>7.8700000000000006E-2</v>
      </c>
      <c r="H62" s="494">
        <v>0.99</v>
      </c>
      <c r="I62" s="494">
        <v>0.749</v>
      </c>
      <c r="J62" s="494">
        <v>0.56289999999999996</v>
      </c>
      <c r="K62" s="494">
        <v>0.7429</v>
      </c>
      <c r="L62" s="494">
        <v>0.95</v>
      </c>
      <c r="M62" s="494">
        <v>1.1499999999999999</v>
      </c>
      <c r="N62" s="494">
        <v>1.33</v>
      </c>
      <c r="O62" s="495">
        <v>0.75</v>
      </c>
      <c r="P62" s="496">
        <v>1.03</v>
      </c>
    </row>
    <row r="63" spans="1:16" ht="15.75">
      <c r="A63" s="497" t="s">
        <v>939</v>
      </c>
      <c r="B63" s="497">
        <v>21</v>
      </c>
      <c r="C63" s="497">
        <v>1.69</v>
      </c>
      <c r="D63" s="497">
        <v>0.36809999999999998</v>
      </c>
      <c r="E63" s="497">
        <v>0.1164</v>
      </c>
      <c r="F63" s="497">
        <v>1.34</v>
      </c>
      <c r="G63" s="497">
        <v>8.8300000000000003E-2</v>
      </c>
      <c r="H63" s="497">
        <v>1.46</v>
      </c>
      <c r="I63" s="497">
        <v>0.4536</v>
      </c>
      <c r="J63" s="497">
        <v>0.308</v>
      </c>
      <c r="K63" s="497">
        <v>0.12740000000000001</v>
      </c>
      <c r="L63" s="497">
        <v>0.83</v>
      </c>
      <c r="M63" s="497">
        <v>0.9</v>
      </c>
      <c r="N63" s="497">
        <v>0.76</v>
      </c>
      <c r="O63" s="498">
        <v>1.1000000000000001</v>
      </c>
      <c r="P63" s="499">
        <v>1.01</v>
      </c>
    </row>
    <row r="64" spans="1:16" ht="15.75">
      <c r="A64" s="494" t="s">
        <v>940</v>
      </c>
      <c r="B64" s="494">
        <v>238</v>
      </c>
      <c r="C64" s="494">
        <v>1.35</v>
      </c>
      <c r="D64" s="494">
        <v>0.53800000000000003</v>
      </c>
      <c r="E64" s="494">
        <v>1.9400000000000001E-2</v>
      </c>
      <c r="F64" s="494">
        <v>0.97</v>
      </c>
      <c r="G64" s="494">
        <v>0.02</v>
      </c>
      <c r="H64" s="494">
        <v>0.99</v>
      </c>
      <c r="I64" s="494">
        <v>0.25159999999999999</v>
      </c>
      <c r="J64" s="494">
        <v>0.32650000000000001</v>
      </c>
      <c r="K64" s="494">
        <v>0.24379999999999999</v>
      </c>
      <c r="L64" s="494">
        <v>0.42</v>
      </c>
      <c r="M64" s="494">
        <v>0.41</v>
      </c>
      <c r="N64" s="494">
        <v>0.43</v>
      </c>
      <c r="O64" s="495">
        <v>0.79</v>
      </c>
      <c r="P64" s="496">
        <v>0.61</v>
      </c>
    </row>
    <row r="65" spans="1:16" ht="15.75">
      <c r="A65" s="497" t="s">
        <v>941</v>
      </c>
      <c r="B65" s="497">
        <v>19</v>
      </c>
      <c r="C65" s="497">
        <v>1.06</v>
      </c>
      <c r="D65" s="497">
        <v>0.7994</v>
      </c>
      <c r="E65" s="497">
        <v>2.5999999999999999E-2</v>
      </c>
      <c r="F65" s="497">
        <v>0.67</v>
      </c>
      <c r="G65" s="497">
        <v>9.6199999999999994E-2</v>
      </c>
      <c r="H65" s="497">
        <v>0.74</v>
      </c>
      <c r="I65" s="497">
        <v>0.6845</v>
      </c>
      <c r="J65" s="497">
        <v>0.51319999999999999</v>
      </c>
      <c r="K65" s="497">
        <v>0.76659999999999995</v>
      </c>
      <c r="L65" s="497">
        <v>0.61</v>
      </c>
      <c r="M65" s="497">
        <v>0.87</v>
      </c>
      <c r="N65" s="497">
        <v>0.89</v>
      </c>
      <c r="O65" s="498">
        <v>0.56000000000000005</v>
      </c>
      <c r="P65" s="499">
        <v>0.74</v>
      </c>
    </row>
    <row r="66" spans="1:16" ht="31.5">
      <c r="A66" s="494" t="s">
        <v>942</v>
      </c>
      <c r="B66" s="494">
        <v>10</v>
      </c>
      <c r="C66" s="494">
        <v>0.91</v>
      </c>
      <c r="D66" s="494">
        <v>0.2641</v>
      </c>
      <c r="E66" s="494">
        <v>9.9400000000000002E-2</v>
      </c>
      <c r="F66" s="494">
        <v>0.76</v>
      </c>
      <c r="G66" s="494">
        <v>8.7999999999999995E-2</v>
      </c>
      <c r="H66" s="494">
        <v>0.83</v>
      </c>
      <c r="I66" s="494">
        <v>0.55149999999999999</v>
      </c>
      <c r="J66" s="494">
        <v>0.307</v>
      </c>
      <c r="K66" s="494">
        <v>1.3716999999999999</v>
      </c>
      <c r="L66" s="494">
        <v>0.73</v>
      </c>
      <c r="M66" s="494">
        <v>1.33</v>
      </c>
      <c r="N66" s="494">
        <v>1.5</v>
      </c>
      <c r="O66" s="495">
        <v>0.76</v>
      </c>
      <c r="P66" s="496">
        <v>1.03</v>
      </c>
    </row>
    <row r="67" spans="1:16" ht="31.5">
      <c r="A67" s="497" t="s">
        <v>943</v>
      </c>
      <c r="B67" s="497">
        <v>51</v>
      </c>
      <c r="C67" s="497">
        <v>1.1499999999999999</v>
      </c>
      <c r="D67" s="497">
        <v>0.56359999999999999</v>
      </c>
      <c r="E67" s="497">
        <v>6.54E-2</v>
      </c>
      <c r="F67" s="497">
        <v>0.81</v>
      </c>
      <c r="G67" s="497">
        <v>6.8500000000000005E-2</v>
      </c>
      <c r="H67" s="497">
        <v>0.87</v>
      </c>
      <c r="I67" s="497">
        <v>0.53580000000000005</v>
      </c>
      <c r="J67" s="497">
        <v>0.4143</v>
      </c>
      <c r="K67" s="497">
        <v>1.0281</v>
      </c>
      <c r="L67" s="497">
        <v>0.8</v>
      </c>
      <c r="M67" s="497">
        <v>0.95</v>
      </c>
      <c r="N67" s="497">
        <v>0.68</v>
      </c>
      <c r="O67" s="498">
        <v>0.75</v>
      </c>
      <c r="P67" s="499">
        <v>0.81</v>
      </c>
    </row>
    <row r="68" spans="1:16" ht="15.75">
      <c r="A68" s="494" t="s">
        <v>944</v>
      </c>
      <c r="B68" s="494">
        <v>60</v>
      </c>
      <c r="C68" s="494">
        <v>1.23</v>
      </c>
      <c r="D68" s="494">
        <v>0.29580000000000001</v>
      </c>
      <c r="E68" s="494">
        <v>7.7499999999999999E-2</v>
      </c>
      <c r="F68" s="494">
        <v>1.01</v>
      </c>
      <c r="G68" s="494">
        <v>5.96E-2</v>
      </c>
      <c r="H68" s="494">
        <v>1.07</v>
      </c>
      <c r="I68" s="494">
        <v>0.53749999999999998</v>
      </c>
      <c r="J68" s="494">
        <v>0.50349999999999995</v>
      </c>
      <c r="K68" s="494">
        <v>0.1246</v>
      </c>
      <c r="L68" s="494">
        <v>0.73</v>
      </c>
      <c r="M68" s="494">
        <v>0.81</v>
      </c>
      <c r="N68" s="494">
        <v>0.75</v>
      </c>
      <c r="O68" s="495">
        <v>0.77</v>
      </c>
      <c r="P68" s="496">
        <v>0.83</v>
      </c>
    </row>
    <row r="69" spans="1:16" ht="15.75">
      <c r="A69" s="497" t="s">
        <v>945</v>
      </c>
      <c r="B69" s="497">
        <v>2</v>
      </c>
      <c r="C69" s="497">
        <v>1.37</v>
      </c>
      <c r="D69" s="497">
        <v>0.38850000000000001</v>
      </c>
      <c r="E69" s="497">
        <v>0.2296</v>
      </c>
      <c r="F69" s="497">
        <v>1.07</v>
      </c>
      <c r="G69" s="497">
        <v>0.17510000000000001</v>
      </c>
      <c r="H69" s="497">
        <v>1.3</v>
      </c>
      <c r="I69" s="497">
        <v>0.15559999999999999</v>
      </c>
      <c r="J69" s="497">
        <v>0.25950000000000001</v>
      </c>
      <c r="K69" s="497">
        <v>0.31859999999999999</v>
      </c>
      <c r="L69" s="497">
        <v>0.47</v>
      </c>
      <c r="M69" s="497">
        <v>0.88</v>
      </c>
      <c r="N69" s="497">
        <v>0.77</v>
      </c>
      <c r="O69" s="498">
        <v>1.1299999999999999</v>
      </c>
      <c r="P69" s="499">
        <v>0.91</v>
      </c>
    </row>
    <row r="70" spans="1:16" ht="15.75">
      <c r="A70" s="494" t="s">
        <v>946</v>
      </c>
      <c r="B70" s="494">
        <v>70</v>
      </c>
      <c r="C70" s="494">
        <v>1.56</v>
      </c>
      <c r="D70" s="494">
        <v>0.27350000000000002</v>
      </c>
      <c r="E70" s="494">
        <v>7.1099999999999997E-2</v>
      </c>
      <c r="F70" s="494">
        <v>1.3</v>
      </c>
      <c r="G70" s="494">
        <v>2.5499999999999998E-2</v>
      </c>
      <c r="H70" s="494">
        <v>1.33</v>
      </c>
      <c r="I70" s="494">
        <v>0.46779999999999999</v>
      </c>
      <c r="J70" s="494">
        <v>0.42759999999999998</v>
      </c>
      <c r="K70" s="494">
        <v>0.1434</v>
      </c>
      <c r="L70" s="494">
        <v>0.7</v>
      </c>
      <c r="M70" s="494">
        <v>0.65</v>
      </c>
      <c r="N70" s="494">
        <v>0.75</v>
      </c>
      <c r="O70" s="495">
        <v>1.1100000000000001</v>
      </c>
      <c r="P70" s="496">
        <v>0.91</v>
      </c>
    </row>
    <row r="71" spans="1:16" ht="15.75">
      <c r="A71" s="497" t="s">
        <v>947</v>
      </c>
      <c r="B71" s="497">
        <v>32</v>
      </c>
      <c r="C71" s="497">
        <v>1.4</v>
      </c>
      <c r="D71" s="497">
        <v>0.38600000000000001</v>
      </c>
      <c r="E71" s="497">
        <v>0.14199999999999999</v>
      </c>
      <c r="F71" s="497">
        <v>1.0900000000000001</v>
      </c>
      <c r="G71" s="497">
        <v>2.75E-2</v>
      </c>
      <c r="H71" s="497">
        <v>1.1200000000000001</v>
      </c>
      <c r="I71" s="497">
        <v>0.49840000000000001</v>
      </c>
      <c r="J71" s="497">
        <v>0.44490000000000002</v>
      </c>
      <c r="K71" s="497">
        <v>0.19289999999999999</v>
      </c>
      <c r="L71" s="497">
        <v>0.65</v>
      </c>
      <c r="M71" s="497">
        <v>0.76</v>
      </c>
      <c r="N71" s="497">
        <v>0.87</v>
      </c>
      <c r="O71" s="498">
        <v>0.99</v>
      </c>
      <c r="P71" s="499">
        <v>0.88</v>
      </c>
    </row>
    <row r="72" spans="1:16" ht="15.75">
      <c r="A72" s="494" t="s">
        <v>948</v>
      </c>
      <c r="B72" s="494">
        <v>16</v>
      </c>
      <c r="C72" s="494">
        <v>1.52</v>
      </c>
      <c r="D72" s="494">
        <v>0.13439999999999999</v>
      </c>
      <c r="E72" s="494">
        <v>0.155</v>
      </c>
      <c r="F72" s="494">
        <v>1.39</v>
      </c>
      <c r="G72" s="494">
        <v>2.1600000000000001E-2</v>
      </c>
      <c r="H72" s="494">
        <v>1.42</v>
      </c>
      <c r="I72" s="494">
        <v>0.44469999999999998</v>
      </c>
      <c r="J72" s="494">
        <v>0.44729999999999998</v>
      </c>
      <c r="K72" s="494">
        <v>0.29759999999999998</v>
      </c>
      <c r="L72" s="494">
        <v>0.76</v>
      </c>
      <c r="M72" s="494">
        <v>0.97</v>
      </c>
      <c r="N72" s="494">
        <v>1.1499999999999999</v>
      </c>
      <c r="O72" s="495">
        <v>1.43</v>
      </c>
      <c r="P72" s="496">
        <v>1.1499999999999999</v>
      </c>
    </row>
    <row r="73" spans="1:16" ht="15.75">
      <c r="A73" s="497" t="s">
        <v>949</v>
      </c>
      <c r="B73" s="497">
        <v>68</v>
      </c>
      <c r="C73" s="497">
        <v>1.28</v>
      </c>
      <c r="D73" s="497">
        <v>0.32379999999999998</v>
      </c>
      <c r="E73" s="497">
        <v>0.11700000000000001</v>
      </c>
      <c r="F73" s="497">
        <v>1.04</v>
      </c>
      <c r="G73" s="497">
        <v>2.6599999999999999E-2</v>
      </c>
      <c r="H73" s="497">
        <v>1.06</v>
      </c>
      <c r="I73" s="497">
        <v>0.51229999999999998</v>
      </c>
      <c r="J73" s="497">
        <v>0.43099999999999999</v>
      </c>
      <c r="K73" s="497">
        <v>0.2054</v>
      </c>
      <c r="L73" s="497">
        <v>0.87</v>
      </c>
      <c r="M73" s="497">
        <v>0.99</v>
      </c>
      <c r="N73" s="497">
        <v>0.89</v>
      </c>
      <c r="O73" s="498">
        <v>0.75</v>
      </c>
      <c r="P73" s="499">
        <v>0.91</v>
      </c>
    </row>
    <row r="74" spans="1:16" ht="15.75">
      <c r="A74" s="494" t="s">
        <v>950</v>
      </c>
      <c r="B74" s="494">
        <v>16</v>
      </c>
      <c r="C74" s="494">
        <v>1.1200000000000001</v>
      </c>
      <c r="D74" s="494">
        <v>0.1605</v>
      </c>
      <c r="E74" s="494">
        <v>0.1845</v>
      </c>
      <c r="F74" s="494">
        <v>1</v>
      </c>
      <c r="G74" s="494">
        <v>3.8300000000000001E-2</v>
      </c>
      <c r="H74" s="494">
        <v>1.04</v>
      </c>
      <c r="I74" s="494">
        <v>0.39140000000000003</v>
      </c>
      <c r="J74" s="494">
        <v>0.33879999999999999</v>
      </c>
      <c r="K74" s="494">
        <v>6.5799999999999997E-2</v>
      </c>
      <c r="L74" s="494">
        <v>0.87</v>
      </c>
      <c r="M74" s="494">
        <v>0.75</v>
      </c>
      <c r="N74" s="494">
        <v>0.95</v>
      </c>
      <c r="O74" s="495">
        <v>0.81</v>
      </c>
      <c r="P74" s="496">
        <v>0.88</v>
      </c>
    </row>
    <row r="75" spans="1:16" ht="15.75">
      <c r="A75" s="497" t="s">
        <v>951</v>
      </c>
      <c r="B75" s="497">
        <v>15</v>
      </c>
      <c r="C75" s="497">
        <v>0.3</v>
      </c>
      <c r="D75" s="497">
        <v>0.68240000000000001</v>
      </c>
      <c r="E75" s="497">
        <v>0.1331</v>
      </c>
      <c r="F75" s="497">
        <v>0.2</v>
      </c>
      <c r="G75" s="497">
        <v>5.6500000000000002E-2</v>
      </c>
      <c r="H75" s="497">
        <v>0.21</v>
      </c>
      <c r="I75" s="497">
        <v>0.40799999999999997</v>
      </c>
      <c r="J75" s="497">
        <v>0.3427</v>
      </c>
      <c r="K75" s="497">
        <v>0.32250000000000001</v>
      </c>
      <c r="L75" s="497">
        <v>0.44</v>
      </c>
      <c r="M75" s="497">
        <v>0.28000000000000003</v>
      </c>
      <c r="N75" s="497">
        <v>0.35</v>
      </c>
      <c r="O75" s="498">
        <v>0.15</v>
      </c>
      <c r="P75" s="499">
        <v>0.28999999999999998</v>
      </c>
    </row>
    <row r="76" spans="1:16" ht="15.75">
      <c r="A76" s="494" t="s">
        <v>952</v>
      </c>
      <c r="B76" s="494">
        <v>60</v>
      </c>
      <c r="C76" s="494">
        <v>1.1000000000000001</v>
      </c>
      <c r="D76" s="494">
        <v>8.1600000000000006E-2</v>
      </c>
      <c r="E76" s="494">
        <v>4.7600000000000003E-2</v>
      </c>
      <c r="F76" s="494">
        <v>1.04</v>
      </c>
      <c r="G76" s="494">
        <v>2.18E-2</v>
      </c>
      <c r="H76" s="494">
        <v>1.07</v>
      </c>
      <c r="I76" s="494">
        <v>0.55820000000000003</v>
      </c>
      <c r="J76" s="494">
        <v>0.58819999999999995</v>
      </c>
      <c r="K76" s="494">
        <v>0.76490000000000002</v>
      </c>
      <c r="L76" s="494">
        <v>1.1200000000000001</v>
      </c>
      <c r="M76" s="494">
        <v>1.34</v>
      </c>
      <c r="N76" s="494">
        <v>1.1599999999999999</v>
      </c>
      <c r="O76" s="495">
        <v>1.1399999999999999</v>
      </c>
      <c r="P76" s="496">
        <v>1.17</v>
      </c>
    </row>
    <row r="77" spans="1:16" ht="15.75">
      <c r="A77" s="497" t="s">
        <v>953</v>
      </c>
      <c r="B77" s="497">
        <v>76</v>
      </c>
      <c r="C77" s="497">
        <v>1.44</v>
      </c>
      <c r="D77" s="497">
        <v>0.34749999999999998</v>
      </c>
      <c r="E77" s="497">
        <v>0.1467</v>
      </c>
      <c r="F77" s="497">
        <v>1.1499999999999999</v>
      </c>
      <c r="G77" s="497">
        <v>6.3200000000000006E-2</v>
      </c>
      <c r="H77" s="497">
        <v>1.23</v>
      </c>
      <c r="I77" s="497">
        <v>0.47970000000000002</v>
      </c>
      <c r="J77" s="497">
        <v>0.45569999999999999</v>
      </c>
      <c r="K77" s="497">
        <v>0.19800000000000001</v>
      </c>
      <c r="L77" s="497">
        <v>0.82</v>
      </c>
      <c r="M77" s="497">
        <v>0.8</v>
      </c>
      <c r="N77" s="497">
        <v>0.69</v>
      </c>
      <c r="O77" s="498">
        <v>1.03</v>
      </c>
      <c r="P77" s="499">
        <v>0.91</v>
      </c>
    </row>
    <row r="78" spans="1:16" ht="15.75">
      <c r="A78" s="494" t="s">
        <v>954</v>
      </c>
      <c r="B78" s="494">
        <v>2</v>
      </c>
      <c r="C78" s="494">
        <v>1.1599999999999999</v>
      </c>
      <c r="D78" s="494">
        <v>1.5455000000000001</v>
      </c>
      <c r="E78" s="494">
        <v>0.17419999999999999</v>
      </c>
      <c r="F78" s="494">
        <v>0.54</v>
      </c>
      <c r="G78" s="494">
        <v>7.7700000000000005E-2</v>
      </c>
      <c r="H78" s="494">
        <v>0.59</v>
      </c>
      <c r="I78" s="494">
        <v>0.56020000000000003</v>
      </c>
      <c r="J78" s="494">
        <v>0.47060000000000002</v>
      </c>
      <c r="K78" s="494">
        <v>0.50209999999999999</v>
      </c>
      <c r="L78" s="494">
        <v>0.64</v>
      </c>
      <c r="M78" s="494">
        <v>0.24</v>
      </c>
      <c r="N78" s="494">
        <v>0.45</v>
      </c>
      <c r="O78" s="495">
        <v>0.54</v>
      </c>
      <c r="P78" s="496">
        <v>0.49</v>
      </c>
    </row>
    <row r="79" spans="1:16" ht="15.75">
      <c r="A79" s="497" t="s">
        <v>955</v>
      </c>
      <c r="B79" s="497">
        <v>67</v>
      </c>
      <c r="C79" s="497">
        <v>1.1599999999999999</v>
      </c>
      <c r="D79" s="497">
        <v>6.7799999999999999E-2</v>
      </c>
      <c r="E79" s="497">
        <v>6.8000000000000005E-2</v>
      </c>
      <c r="F79" s="497">
        <v>1.1100000000000001</v>
      </c>
      <c r="G79" s="497">
        <v>2.4799999999999999E-2</v>
      </c>
      <c r="H79" s="497">
        <v>1.1399999999999999</v>
      </c>
      <c r="I79" s="497">
        <v>0.45879999999999999</v>
      </c>
      <c r="J79" s="497">
        <v>0.37459999999999999</v>
      </c>
      <c r="K79" s="497">
        <v>0.307</v>
      </c>
      <c r="L79" s="497">
        <v>1.1599999999999999</v>
      </c>
      <c r="M79" s="497">
        <v>1.26</v>
      </c>
      <c r="N79" s="497">
        <v>1.24</v>
      </c>
      <c r="O79" s="498">
        <v>0.96</v>
      </c>
      <c r="P79" s="499">
        <v>1.1499999999999999</v>
      </c>
    </row>
    <row r="80" spans="1:16" ht="15.75">
      <c r="A80" s="494" t="s">
        <v>956</v>
      </c>
      <c r="B80" s="494">
        <v>34</v>
      </c>
      <c r="C80" s="494">
        <v>1.34</v>
      </c>
      <c r="D80" s="494">
        <v>5.04E-2</v>
      </c>
      <c r="E80" s="494">
        <v>9.1899999999999996E-2</v>
      </c>
      <c r="F80" s="494">
        <v>1.29</v>
      </c>
      <c r="G80" s="494">
        <v>3.7199999999999997E-2</v>
      </c>
      <c r="H80" s="494">
        <v>1.34</v>
      </c>
      <c r="I80" s="494">
        <v>0.42859999999999998</v>
      </c>
      <c r="J80" s="494">
        <v>0.3322</v>
      </c>
      <c r="K80" s="494">
        <v>0.55700000000000005</v>
      </c>
      <c r="L80" s="494">
        <v>0.99</v>
      </c>
      <c r="M80" s="494">
        <v>1.39</v>
      </c>
      <c r="N80" s="494">
        <v>1.25</v>
      </c>
      <c r="O80" s="495">
        <v>1.07</v>
      </c>
      <c r="P80" s="496">
        <v>1.21</v>
      </c>
    </row>
    <row r="81" spans="1:16" ht="15.75">
      <c r="A81" s="497" t="s">
        <v>957</v>
      </c>
      <c r="B81" s="497">
        <v>8</v>
      </c>
      <c r="C81" s="497">
        <v>0.99</v>
      </c>
      <c r="D81" s="497">
        <v>0.37959999999999999</v>
      </c>
      <c r="E81" s="497">
        <v>3.1899999999999998E-2</v>
      </c>
      <c r="F81" s="497">
        <v>0.78</v>
      </c>
      <c r="G81" s="497">
        <v>3.2800000000000003E-2</v>
      </c>
      <c r="H81" s="497">
        <v>0.8</v>
      </c>
      <c r="I81" s="497">
        <v>0.52400000000000002</v>
      </c>
      <c r="J81" s="497">
        <v>0.51039999999999996</v>
      </c>
      <c r="K81" s="497">
        <v>0.2382</v>
      </c>
      <c r="L81" s="497">
        <v>1.01</v>
      </c>
      <c r="M81" s="497">
        <v>0.78</v>
      </c>
      <c r="N81" s="497">
        <v>1.57</v>
      </c>
      <c r="O81" s="498">
        <v>0.74</v>
      </c>
      <c r="P81" s="499">
        <v>0.98</v>
      </c>
    </row>
    <row r="82" spans="1:16" ht="15.75">
      <c r="A82" s="494" t="s">
        <v>958</v>
      </c>
      <c r="B82" s="494">
        <v>12</v>
      </c>
      <c r="C82" s="494">
        <v>1.19</v>
      </c>
      <c r="D82" s="494">
        <v>5.7799999999999997E-2</v>
      </c>
      <c r="E82" s="494">
        <v>9.8599999999999993E-2</v>
      </c>
      <c r="F82" s="494">
        <v>1.1399999999999999</v>
      </c>
      <c r="G82" s="494">
        <v>4.2599999999999999E-2</v>
      </c>
      <c r="H82" s="494">
        <v>1.19</v>
      </c>
      <c r="I82" s="494">
        <v>0.45069999999999999</v>
      </c>
      <c r="J82" s="494">
        <v>0.34710000000000002</v>
      </c>
      <c r="K82" s="494">
        <v>0.18310000000000001</v>
      </c>
      <c r="L82" s="494">
        <v>0.86</v>
      </c>
      <c r="M82" s="494">
        <v>0.74</v>
      </c>
      <c r="N82" s="494">
        <v>0.83</v>
      </c>
      <c r="O82" s="495">
        <v>0.98</v>
      </c>
      <c r="P82" s="496">
        <v>0.92</v>
      </c>
    </row>
    <row r="83" spans="1:16" ht="15.75">
      <c r="A83" s="497" t="s">
        <v>959</v>
      </c>
      <c r="B83" s="497">
        <v>88</v>
      </c>
      <c r="C83" s="497">
        <v>1.2</v>
      </c>
      <c r="D83" s="497">
        <v>2.0400000000000001E-2</v>
      </c>
      <c r="E83" s="497">
        <v>2.2100000000000002E-2</v>
      </c>
      <c r="F83" s="497">
        <v>1.19</v>
      </c>
      <c r="G83" s="497">
        <v>1.7500000000000002E-2</v>
      </c>
      <c r="H83" s="497">
        <v>1.21</v>
      </c>
      <c r="I83" s="497">
        <v>0.69910000000000005</v>
      </c>
      <c r="J83" s="497">
        <v>0.54610000000000003</v>
      </c>
      <c r="K83" s="497">
        <v>0.58020000000000005</v>
      </c>
      <c r="L83" s="497">
        <v>0.91</v>
      </c>
      <c r="M83" s="497">
        <v>1.27</v>
      </c>
      <c r="N83" s="497">
        <v>1.29</v>
      </c>
      <c r="O83" s="498">
        <v>0.96</v>
      </c>
      <c r="P83" s="499">
        <v>1.1299999999999999</v>
      </c>
    </row>
    <row r="84" spans="1:16" ht="15.75">
      <c r="A84" s="494" t="s">
        <v>960</v>
      </c>
      <c r="B84" s="494">
        <v>36</v>
      </c>
      <c r="C84" s="494">
        <v>1</v>
      </c>
      <c r="D84" s="494">
        <v>7.6700000000000004E-2</v>
      </c>
      <c r="E84" s="494">
        <v>1.29E-2</v>
      </c>
      <c r="F84" s="494">
        <v>0.95</v>
      </c>
      <c r="G84" s="494">
        <v>2.46E-2</v>
      </c>
      <c r="H84" s="494">
        <v>0.98</v>
      </c>
      <c r="I84" s="494">
        <v>0.60750000000000004</v>
      </c>
      <c r="J84" s="494">
        <v>0.38090000000000002</v>
      </c>
      <c r="K84" s="494">
        <v>0.26279999999999998</v>
      </c>
      <c r="L84" s="494">
        <v>1.2</v>
      </c>
      <c r="M84" s="494">
        <v>1.31</v>
      </c>
      <c r="N84" s="494">
        <v>1.5</v>
      </c>
      <c r="O84" s="495">
        <v>0.75</v>
      </c>
      <c r="P84" s="496">
        <v>1.1499999999999999</v>
      </c>
    </row>
    <row r="85" spans="1:16" ht="31.5">
      <c r="A85" s="497" t="s">
        <v>961</v>
      </c>
      <c r="B85" s="497">
        <v>375</v>
      </c>
      <c r="C85" s="497">
        <v>1.1399999999999999</v>
      </c>
      <c r="D85" s="497">
        <v>5.6800000000000003E-2</v>
      </c>
      <c r="E85" s="497">
        <v>3.3599999999999998E-2</v>
      </c>
      <c r="F85" s="497">
        <v>1.1000000000000001</v>
      </c>
      <c r="G85" s="497">
        <v>2.35E-2</v>
      </c>
      <c r="H85" s="497">
        <v>1.1200000000000001</v>
      </c>
      <c r="I85" s="497">
        <v>0.55659999999999998</v>
      </c>
      <c r="J85" s="497">
        <v>0.45739999999999997</v>
      </c>
      <c r="K85" s="497">
        <v>0.2452</v>
      </c>
      <c r="L85" s="497">
        <v>1.02</v>
      </c>
      <c r="M85" s="497">
        <v>1.1599999999999999</v>
      </c>
      <c r="N85" s="497">
        <v>1.1499999999999999</v>
      </c>
      <c r="O85" s="498">
        <v>0.89</v>
      </c>
      <c r="P85" s="499">
        <v>1.07</v>
      </c>
    </row>
    <row r="86" spans="1:16" ht="15.75">
      <c r="A86" s="494" t="s">
        <v>962</v>
      </c>
      <c r="B86" s="494">
        <v>28</v>
      </c>
      <c r="C86" s="494">
        <v>1.1299999999999999</v>
      </c>
      <c r="D86" s="494">
        <v>0.32869999999999999</v>
      </c>
      <c r="E86" s="494">
        <v>0.13300000000000001</v>
      </c>
      <c r="F86" s="494">
        <v>0.91</v>
      </c>
      <c r="G86" s="494">
        <v>6.9900000000000004E-2</v>
      </c>
      <c r="H86" s="494">
        <v>0.98</v>
      </c>
      <c r="I86" s="494">
        <v>0.44240000000000002</v>
      </c>
      <c r="J86" s="494">
        <v>0.33129999999999998</v>
      </c>
      <c r="K86" s="494">
        <v>0.46710000000000002</v>
      </c>
      <c r="L86" s="494">
        <v>1.53</v>
      </c>
      <c r="M86" s="494">
        <v>1.29</v>
      </c>
      <c r="N86" s="494">
        <v>1.29</v>
      </c>
      <c r="O86" s="495">
        <v>0.78</v>
      </c>
      <c r="P86" s="496">
        <v>1.18</v>
      </c>
    </row>
    <row r="87" spans="1:16" ht="15.75">
      <c r="A87" s="497" t="s">
        <v>963</v>
      </c>
      <c r="B87" s="497">
        <v>17</v>
      </c>
      <c r="C87" s="497">
        <v>0.96</v>
      </c>
      <c r="D87" s="497">
        <v>0.78310000000000002</v>
      </c>
      <c r="E87" s="497">
        <v>3.2599999999999997E-2</v>
      </c>
      <c r="F87" s="497">
        <v>0.61</v>
      </c>
      <c r="G87" s="497">
        <v>2.1299999999999999E-2</v>
      </c>
      <c r="H87" s="497">
        <v>0.63</v>
      </c>
      <c r="I87" s="497">
        <v>0.60370000000000001</v>
      </c>
      <c r="J87" s="497">
        <v>0.48159999999999997</v>
      </c>
      <c r="K87" s="497">
        <v>0.67459999999999998</v>
      </c>
      <c r="L87" s="497">
        <v>0.71</v>
      </c>
      <c r="M87" s="497">
        <v>0.71</v>
      </c>
      <c r="N87" s="497">
        <v>0.6</v>
      </c>
      <c r="O87" s="498">
        <v>0.39</v>
      </c>
      <c r="P87" s="499">
        <v>0.61</v>
      </c>
    </row>
    <row r="88" spans="1:16" ht="15.75">
      <c r="A88" s="494" t="s">
        <v>964</v>
      </c>
      <c r="B88" s="494">
        <v>82</v>
      </c>
      <c r="C88" s="494">
        <v>1.08</v>
      </c>
      <c r="D88" s="494">
        <v>8.7300000000000003E-2</v>
      </c>
      <c r="E88" s="494">
        <v>5.2900000000000003E-2</v>
      </c>
      <c r="F88" s="494">
        <v>1.02</v>
      </c>
      <c r="G88" s="494">
        <v>3.6499999999999998E-2</v>
      </c>
      <c r="H88" s="494">
        <v>1.06</v>
      </c>
      <c r="I88" s="494">
        <v>0.55020000000000002</v>
      </c>
      <c r="J88" s="494">
        <v>0.40529999999999999</v>
      </c>
      <c r="K88" s="494">
        <v>0.1484</v>
      </c>
      <c r="L88" s="494">
        <v>0.96</v>
      </c>
      <c r="M88" s="494">
        <v>1.02</v>
      </c>
      <c r="N88" s="494">
        <v>0.84</v>
      </c>
      <c r="O88" s="495">
        <v>0.83</v>
      </c>
      <c r="P88" s="496">
        <v>0.94</v>
      </c>
    </row>
    <row r="89" spans="1:16" ht="15.75">
      <c r="A89" s="497" t="s">
        <v>965</v>
      </c>
      <c r="B89" s="497">
        <v>42</v>
      </c>
      <c r="C89" s="497">
        <v>0.85</v>
      </c>
      <c r="D89" s="497">
        <v>1.0047999999999999</v>
      </c>
      <c r="E89" s="497">
        <v>5.8599999999999999E-2</v>
      </c>
      <c r="F89" s="497">
        <v>0.49</v>
      </c>
      <c r="G89" s="497">
        <v>4.1500000000000002E-2</v>
      </c>
      <c r="H89" s="497">
        <v>0.51</v>
      </c>
      <c r="I89" s="497">
        <v>0.59760000000000002</v>
      </c>
      <c r="J89" s="497">
        <v>0.38669999999999999</v>
      </c>
      <c r="K89" s="497">
        <v>0.2621</v>
      </c>
      <c r="L89" s="497">
        <v>0.72</v>
      </c>
      <c r="M89" s="497">
        <v>0.74</v>
      </c>
      <c r="N89" s="497">
        <v>0.67</v>
      </c>
      <c r="O89" s="498">
        <v>0.42</v>
      </c>
      <c r="P89" s="499">
        <v>0.61</v>
      </c>
    </row>
    <row r="90" spans="1:16" ht="15.75">
      <c r="A90" s="494" t="s">
        <v>966</v>
      </c>
      <c r="B90" s="494">
        <v>16</v>
      </c>
      <c r="C90" s="494">
        <v>1</v>
      </c>
      <c r="D90" s="494">
        <v>0.25979999999999998</v>
      </c>
      <c r="E90" s="494">
        <v>8.2299999999999998E-2</v>
      </c>
      <c r="F90" s="494">
        <v>0.84</v>
      </c>
      <c r="G90" s="494">
        <v>2.7699999999999999E-2</v>
      </c>
      <c r="H90" s="494">
        <v>0.86</v>
      </c>
      <c r="I90" s="494">
        <v>0.66320000000000001</v>
      </c>
      <c r="J90" s="494">
        <v>0.24879999999999999</v>
      </c>
      <c r="K90" s="494">
        <v>5.57E-2</v>
      </c>
      <c r="L90" s="494">
        <v>1.1499999999999999</v>
      </c>
      <c r="M90" s="494">
        <v>1.1299999999999999</v>
      </c>
      <c r="N90" s="494">
        <v>1.43</v>
      </c>
      <c r="O90" s="495">
        <v>0.61</v>
      </c>
      <c r="P90" s="496">
        <v>1.04</v>
      </c>
    </row>
    <row r="91" spans="1:16" ht="15.75">
      <c r="A91" s="497" t="s">
        <v>967</v>
      </c>
      <c r="B91" s="497">
        <v>17</v>
      </c>
      <c r="C91" s="497">
        <v>0.79</v>
      </c>
      <c r="D91" s="497">
        <v>0.22900000000000001</v>
      </c>
      <c r="E91" s="497">
        <v>0.14399999999999999</v>
      </c>
      <c r="F91" s="497">
        <v>0.68</v>
      </c>
      <c r="G91" s="497">
        <v>5.3100000000000001E-2</v>
      </c>
      <c r="H91" s="497">
        <v>0.72</v>
      </c>
      <c r="I91" s="497">
        <v>0.47310000000000002</v>
      </c>
      <c r="J91" s="497">
        <v>0.28339999999999999</v>
      </c>
      <c r="K91" s="497">
        <v>0.2364</v>
      </c>
      <c r="L91" s="497">
        <v>0.8</v>
      </c>
      <c r="M91" s="497">
        <v>0.9</v>
      </c>
      <c r="N91" s="497">
        <v>0.96</v>
      </c>
      <c r="O91" s="498">
        <v>0.79</v>
      </c>
      <c r="P91" s="499">
        <v>0.83</v>
      </c>
    </row>
    <row r="92" spans="1:16" ht="15.75">
      <c r="A92" s="494" t="s">
        <v>968</v>
      </c>
      <c r="B92" s="494">
        <v>4</v>
      </c>
      <c r="C92" s="494">
        <v>0.73</v>
      </c>
      <c r="D92" s="494">
        <v>0.19939999999999999</v>
      </c>
      <c r="E92" s="494">
        <v>0.1734</v>
      </c>
      <c r="F92" s="494">
        <v>0.64</v>
      </c>
      <c r="G92" s="494">
        <v>1.2699999999999999E-2</v>
      </c>
      <c r="H92" s="494">
        <v>0.65</v>
      </c>
      <c r="I92" s="494">
        <v>0.35370000000000001</v>
      </c>
      <c r="J92" s="494">
        <v>0.16389999999999999</v>
      </c>
      <c r="K92" s="494">
        <v>0.1154</v>
      </c>
      <c r="L92" s="494">
        <v>0.87</v>
      </c>
      <c r="M92" s="494">
        <v>2.08</v>
      </c>
      <c r="N92" s="494">
        <v>1.89</v>
      </c>
      <c r="O92" s="495">
        <v>0.74</v>
      </c>
      <c r="P92" s="496">
        <v>1.25</v>
      </c>
    </row>
    <row r="93" spans="1:16" ht="15.75">
      <c r="A93" s="497" t="s">
        <v>969</v>
      </c>
      <c r="B93" s="497">
        <v>34</v>
      </c>
      <c r="C93" s="497">
        <v>1.44</v>
      </c>
      <c r="D93" s="497">
        <v>0.2626</v>
      </c>
      <c r="E93" s="497">
        <v>0.16039999999999999</v>
      </c>
      <c r="F93" s="497">
        <v>1.21</v>
      </c>
      <c r="G93" s="497">
        <v>5.57E-2</v>
      </c>
      <c r="H93" s="497">
        <v>1.28</v>
      </c>
      <c r="I93" s="497">
        <v>0.45739999999999997</v>
      </c>
      <c r="J93" s="497">
        <v>0.32990000000000003</v>
      </c>
      <c r="K93" s="497">
        <v>1.488</v>
      </c>
      <c r="L93" s="497">
        <v>0.81</v>
      </c>
      <c r="M93" s="497">
        <v>0.71</v>
      </c>
      <c r="N93" s="497">
        <v>1.04</v>
      </c>
      <c r="O93" s="498">
        <v>0.94</v>
      </c>
      <c r="P93" s="499">
        <v>0.96</v>
      </c>
    </row>
    <row r="94" spans="1:16" ht="15.75">
      <c r="A94" s="494" t="s">
        <v>970</v>
      </c>
      <c r="B94" s="494">
        <v>16</v>
      </c>
      <c r="C94" s="494">
        <v>0.89</v>
      </c>
      <c r="D94" s="494">
        <v>0.69220000000000004</v>
      </c>
      <c r="E94" s="494">
        <v>9.7500000000000003E-2</v>
      </c>
      <c r="F94" s="494">
        <v>0.59</v>
      </c>
      <c r="G94" s="494">
        <v>6.3E-3</v>
      </c>
      <c r="H94" s="494">
        <v>0.6</v>
      </c>
      <c r="I94" s="494">
        <v>0.13950000000000001</v>
      </c>
      <c r="J94" s="494">
        <v>0.1883</v>
      </c>
      <c r="K94" s="494">
        <v>8.8599999999999998E-2</v>
      </c>
      <c r="L94" s="494">
        <v>0.2</v>
      </c>
      <c r="M94" s="494">
        <v>0.17</v>
      </c>
      <c r="N94" s="494">
        <v>0.19</v>
      </c>
      <c r="O94" s="495">
        <v>0.48</v>
      </c>
      <c r="P94" s="496">
        <v>0.33</v>
      </c>
    </row>
    <row r="95" spans="1:16" ht="15.75">
      <c r="A95" s="497" t="s">
        <v>971</v>
      </c>
      <c r="B95" s="497">
        <v>14</v>
      </c>
      <c r="C95" s="497">
        <v>0.77</v>
      </c>
      <c r="D95" s="497">
        <v>0.34339999999999998</v>
      </c>
      <c r="E95" s="497">
        <v>0.10009999999999999</v>
      </c>
      <c r="F95" s="497">
        <v>0.61</v>
      </c>
      <c r="G95" s="497">
        <v>3.7000000000000002E-3</v>
      </c>
      <c r="H95" s="497">
        <v>0.61</v>
      </c>
      <c r="I95" s="497">
        <v>0.31519999999999998</v>
      </c>
      <c r="J95" s="497">
        <v>0.41010000000000002</v>
      </c>
      <c r="K95" s="497">
        <v>0.13969999999999999</v>
      </c>
      <c r="L95" s="497">
        <v>0.27</v>
      </c>
      <c r="M95" s="497">
        <v>0.32</v>
      </c>
      <c r="N95" s="497">
        <v>0.56999999999999995</v>
      </c>
      <c r="O95" s="498">
        <v>0.56999999999999995</v>
      </c>
      <c r="P95" s="499">
        <v>0.47</v>
      </c>
    </row>
    <row r="96" spans="1:16" ht="15.75">
      <c r="A96" s="500" t="s">
        <v>972</v>
      </c>
      <c r="B96" s="500">
        <v>7229</v>
      </c>
      <c r="C96" s="500">
        <v>1.0900000000000001</v>
      </c>
      <c r="D96" s="500">
        <v>0.40089999999999998</v>
      </c>
      <c r="E96" s="500">
        <v>7.0499999999999993E-2</v>
      </c>
      <c r="F96" s="500">
        <v>0.85</v>
      </c>
      <c r="G96" s="500">
        <v>6.8699999999999997E-2</v>
      </c>
      <c r="H96" s="500">
        <v>0.91</v>
      </c>
      <c r="I96" s="500">
        <v>0.46589999999999998</v>
      </c>
      <c r="J96" s="500">
        <v>0.41010000000000002</v>
      </c>
      <c r="K96" s="500">
        <v>0.1028</v>
      </c>
      <c r="L96" s="500">
        <v>0.72</v>
      </c>
      <c r="M96" s="500">
        <v>0.8</v>
      </c>
      <c r="N96" s="500">
        <v>0.83</v>
      </c>
      <c r="O96" s="501">
        <v>0.75</v>
      </c>
      <c r="P96" s="502">
        <v>0.8</v>
      </c>
    </row>
    <row r="97" spans="1:16" ht="31.5">
      <c r="A97" s="503" t="s">
        <v>973</v>
      </c>
      <c r="B97" s="503">
        <v>5619</v>
      </c>
      <c r="C97" s="503">
        <v>1.1499999999999999</v>
      </c>
      <c r="D97" s="503">
        <v>0.19989999999999999</v>
      </c>
      <c r="E97" s="503">
        <v>6.0100000000000001E-2</v>
      </c>
      <c r="F97" s="503">
        <v>1</v>
      </c>
      <c r="G97" s="503">
        <v>3.6499999999999998E-2</v>
      </c>
      <c r="H97" s="503">
        <v>1.04</v>
      </c>
      <c r="I97" s="503">
        <v>0.53849999999999998</v>
      </c>
      <c r="J97" s="503">
        <v>0.44990000000000002</v>
      </c>
      <c r="K97" s="503">
        <v>0.1031</v>
      </c>
      <c r="L97" s="503">
        <v>0.9</v>
      </c>
      <c r="M97" s="503">
        <v>1</v>
      </c>
      <c r="N97" s="503">
        <v>1.01</v>
      </c>
      <c r="O97" s="504">
        <v>0.86</v>
      </c>
      <c r="P97" s="505">
        <v>0.96</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DED4D-76A9-4FBD-8628-517D98A3D445}">
  <sheetPr codeName="Sheet14">
    <tabColor theme="1"/>
    <pageSetUpPr fitToPage="1"/>
  </sheetPr>
  <dimension ref="A1:N377"/>
  <sheetViews>
    <sheetView showGridLines="0" workbookViewId="0">
      <selection activeCell="E7" sqref="E7"/>
    </sheetView>
  </sheetViews>
  <sheetFormatPr defaultColWidth="8.88671875" defaultRowHeight="15"/>
  <cols>
    <col min="1" max="1" width="8.77734375" customWidth="1"/>
    <col min="2" max="2" width="7.5546875" style="155" customWidth="1"/>
    <col min="3" max="3" width="13.109375" bestFit="1" customWidth="1"/>
    <col min="4" max="4" width="13.109375" style="155" bestFit="1" customWidth="1"/>
    <col min="5" max="5" width="13.109375" style="182" bestFit="1" customWidth="1"/>
    <col min="6" max="6" width="15.88671875" style="149" customWidth="1"/>
    <col min="7" max="7" width="16.6640625" style="149" customWidth="1"/>
    <col min="8" max="8" width="13.88671875" style="149" customWidth="1"/>
    <col min="9" max="9" width="12.6640625" style="149" customWidth="1"/>
    <col min="10" max="10" width="11" style="149" customWidth="1"/>
    <col min="11" max="11" width="10.5546875" style="149" customWidth="1"/>
    <col min="12" max="12" width="13.5546875" style="149" customWidth="1"/>
    <col min="13" max="13" width="16.109375" style="149" customWidth="1"/>
    <col min="14" max="14" width="4.77734375" style="149" customWidth="1"/>
    <col min="15" max="15" width="8.88671875" style="150"/>
    <col min="16" max="16" width="11.88671875" style="150" customWidth="1"/>
    <col min="17" max="16384" width="8.88671875" style="150"/>
  </cols>
  <sheetData>
    <row r="1" spans="1:14" ht="24" customHeight="1">
      <c r="A1" s="147" t="s">
        <v>974</v>
      </c>
      <c r="B1" s="147"/>
      <c r="C1" s="148"/>
      <c r="D1" s="148"/>
      <c r="E1" s="148"/>
      <c r="F1" s="148"/>
      <c r="G1" s="148"/>
      <c r="H1" s="148"/>
      <c r="I1" s="148"/>
      <c r="J1" s="148"/>
      <c r="K1" s="148"/>
      <c r="M1" s="150"/>
      <c r="N1" s="150"/>
    </row>
    <row r="2" spans="1:14" ht="12.75" customHeight="1">
      <c r="A2" s="148"/>
      <c r="B2" s="148"/>
      <c r="C2" s="151"/>
      <c r="D2" s="151"/>
      <c r="E2" s="151"/>
      <c r="F2" s="151"/>
      <c r="G2" s="151"/>
      <c r="H2" s="151"/>
      <c r="I2" s="151"/>
      <c r="J2" s="151"/>
      <c r="K2" s="151"/>
      <c r="M2" s="150"/>
      <c r="N2" s="150"/>
    </row>
    <row r="3" spans="1:14" ht="3" customHeight="1">
      <c r="A3" s="152"/>
      <c r="B3" s="152"/>
      <c r="C3" s="153"/>
      <c r="D3" s="153"/>
      <c r="E3" s="153"/>
      <c r="F3" s="153"/>
      <c r="G3" s="153"/>
      <c r="H3" s="153"/>
      <c r="I3" s="153"/>
      <c r="J3" s="153"/>
      <c r="K3" s="153"/>
      <c r="M3" s="150"/>
      <c r="N3" s="150"/>
    </row>
    <row r="4" spans="1:14" ht="6.75" customHeight="1">
      <c r="A4" s="148"/>
      <c r="B4" s="148"/>
      <c r="C4" s="151"/>
      <c r="D4" s="151"/>
      <c r="E4" s="151"/>
      <c r="F4" s="151"/>
      <c r="G4" s="151"/>
      <c r="H4" s="151"/>
      <c r="I4" s="151"/>
      <c r="J4" s="151"/>
      <c r="K4" s="151"/>
      <c r="M4" s="150"/>
      <c r="N4" s="150"/>
    </row>
    <row r="5" spans="1:14" ht="14.25" customHeight="1">
      <c r="A5" s="148"/>
      <c r="B5" s="148"/>
      <c r="C5" s="817" t="s">
        <v>975</v>
      </c>
      <c r="D5" s="818"/>
      <c r="E5" s="819"/>
      <c r="F5" s="148"/>
      <c r="G5" s="817" t="s">
        <v>976</v>
      </c>
      <c r="H5" s="818"/>
      <c r="I5" s="819"/>
      <c r="J5" s="154"/>
      <c r="K5" s="148"/>
      <c r="L5" s="155"/>
      <c r="M5" s="150"/>
      <c r="N5" s="150"/>
    </row>
    <row r="6" spans="1:14" ht="12.75">
      <c r="A6" s="148"/>
      <c r="B6" s="148"/>
      <c r="C6" s="156"/>
      <c r="D6" s="157" t="s">
        <v>977</v>
      </c>
      <c r="E6" s="183">
        <f>'Summary. Assumptions. Inputs'!J31</f>
        <v>4588320</v>
      </c>
      <c r="F6" s="148"/>
      <c r="G6" s="156"/>
      <c r="H6" s="157" t="s">
        <v>978</v>
      </c>
      <c r="I6" s="184">
        <f>IF(Values_Entered,-PMT(Interest_Rate/Num_Pmt_Per_Year,Loan_Years*Num_Pmt_Per_Year,Loan_Amount),"")</f>
        <v>53274.285736839716</v>
      </c>
      <c r="J6" s="158"/>
      <c r="K6" s="148"/>
      <c r="L6" s="155"/>
      <c r="M6" s="150"/>
      <c r="N6" s="150"/>
    </row>
    <row r="7" spans="1:14" ht="12.75">
      <c r="A7" s="148"/>
      <c r="B7" s="148"/>
      <c r="C7" s="156"/>
      <c r="D7" s="157" t="s">
        <v>66</v>
      </c>
      <c r="E7" s="187">
        <f>'Summary. Assumptions. Inputs'!I33</f>
        <v>7.0000000000000007E-2</v>
      </c>
      <c r="F7" s="148"/>
      <c r="G7" s="156"/>
      <c r="H7" s="157" t="s">
        <v>979</v>
      </c>
      <c r="I7" s="160">
        <f>IF(Values_Entered,Loan_Years*Num_Pmt_Per_Year,"")</f>
        <v>120</v>
      </c>
      <c r="J7" s="161"/>
      <c r="K7" s="148"/>
      <c r="L7" s="155"/>
      <c r="M7" s="150"/>
      <c r="N7" s="150"/>
    </row>
    <row r="8" spans="1:14" ht="12.75">
      <c r="A8" s="148"/>
      <c r="B8" s="148"/>
      <c r="C8" s="156"/>
      <c r="D8" s="157" t="s">
        <v>70</v>
      </c>
      <c r="E8" s="186">
        <f>'Summary. Assumptions. Inputs'!I34</f>
        <v>10</v>
      </c>
      <c r="F8" s="148"/>
      <c r="G8" s="156"/>
      <c r="H8" s="157" t="s">
        <v>980</v>
      </c>
      <c r="I8" s="160">
        <f>IF(Values_Entered,Number_of_Payments,"")</f>
        <v>120</v>
      </c>
      <c r="J8" s="161"/>
      <c r="K8" s="148"/>
      <c r="L8" s="155"/>
      <c r="M8" s="150"/>
      <c r="N8" s="150"/>
    </row>
    <row r="9" spans="1:14" ht="12.75">
      <c r="A9" s="148"/>
      <c r="B9" s="148"/>
      <c r="C9" s="156"/>
      <c r="D9" s="157" t="s">
        <v>981</v>
      </c>
      <c r="E9" s="186">
        <f>'Summary. Assumptions. Inputs'!I35</f>
        <v>12</v>
      </c>
      <c r="F9" s="148"/>
      <c r="G9" s="156"/>
      <c r="H9" s="157" t="s">
        <v>982</v>
      </c>
      <c r="I9" s="184">
        <f>IF(Values_Entered,SUMIF(Beg_Bal,"&gt;0",Extra_Pay),"")</f>
        <v>0</v>
      </c>
      <c r="J9" s="158"/>
      <c r="K9" s="148"/>
      <c r="L9" s="155"/>
      <c r="M9" s="150"/>
      <c r="N9" s="150"/>
    </row>
    <row r="10" spans="1:14" ht="12.75">
      <c r="A10" s="148"/>
      <c r="B10" s="148"/>
      <c r="C10" s="156"/>
      <c r="D10" s="157" t="s">
        <v>79</v>
      </c>
      <c r="E10" s="162">
        <f>'Summary. Assumptions. Inputs'!I37</f>
        <v>44713</v>
      </c>
      <c r="F10" s="148"/>
      <c r="G10" s="156"/>
      <c r="H10" s="157" t="s">
        <v>983</v>
      </c>
      <c r="I10" s="184">
        <f>IF(Values_Entered,SUMIF(Beg_Bal,"&gt;0",Int),"")</f>
        <v>1804594.2884207652</v>
      </c>
      <c r="K10" s="148"/>
      <c r="L10" s="155"/>
      <c r="M10" s="150"/>
      <c r="N10" s="150"/>
    </row>
    <row r="11" spans="1:14" ht="12.75">
      <c r="A11" s="148"/>
      <c r="B11" s="148"/>
      <c r="C11" s="163"/>
      <c r="D11" s="164" t="s">
        <v>984</v>
      </c>
      <c r="E11" s="165"/>
      <c r="F11" s="148"/>
      <c r="G11" s="163"/>
      <c r="H11" s="164" t="s">
        <v>985</v>
      </c>
      <c r="I11" s="159">
        <f>IFERROR(Total_Interest/Loan_Amount/Loan_Years,0)</f>
        <v>3.9330175062348857E-2</v>
      </c>
      <c r="J11" s="151"/>
      <c r="K11" s="148"/>
      <c r="L11" s="155"/>
      <c r="M11" s="150"/>
      <c r="N11" s="150"/>
    </row>
    <row r="12" spans="1:14" ht="12.75">
      <c r="A12" s="148"/>
      <c r="B12" s="148"/>
      <c r="C12" s="151"/>
      <c r="D12" s="151"/>
      <c r="E12" s="151"/>
      <c r="F12" s="151"/>
      <c r="G12" s="151"/>
      <c r="H12" s="151"/>
      <c r="I12" s="151"/>
      <c r="J12" s="151"/>
      <c r="K12" s="151"/>
      <c r="L12" s="155"/>
      <c r="M12" s="150"/>
      <c r="N12" s="150"/>
    </row>
    <row r="13" spans="1:14" ht="17.25" customHeight="1">
      <c r="A13" s="148"/>
      <c r="B13" s="148"/>
      <c r="C13" s="199" t="s">
        <v>621</v>
      </c>
      <c r="D13" s="820" t="str">
        <f>'Summary. Assumptions. Inputs'!J7</f>
        <v>USD</v>
      </c>
      <c r="E13" s="821"/>
      <c r="F13" s="151"/>
      <c r="G13" s="166" t="s">
        <v>986</v>
      </c>
      <c r="H13" s="822">
        <f>IFERROR(Total_Interest+Loan_Amount,0)</f>
        <v>6392914.2884207647</v>
      </c>
      <c r="I13" s="823"/>
      <c r="J13" s="151"/>
      <c r="K13" s="151"/>
      <c r="L13" s="155"/>
      <c r="M13" s="150"/>
      <c r="N13" s="150"/>
    </row>
    <row r="14" spans="1:14" ht="12.75">
      <c r="A14" s="148"/>
      <c r="B14" s="148"/>
      <c r="C14" s="166"/>
      <c r="D14" s="167"/>
      <c r="E14" s="167"/>
      <c r="F14" s="151"/>
      <c r="G14" s="151"/>
      <c r="H14" s="151"/>
      <c r="I14" s="151"/>
      <c r="J14" s="151"/>
      <c r="K14" s="151"/>
      <c r="L14" s="155"/>
      <c r="M14" s="150"/>
      <c r="N14" s="150"/>
    </row>
    <row r="15" spans="1:14" s="168" customFormat="1" ht="36" customHeight="1">
      <c r="A15" s="189" t="s">
        <v>987</v>
      </c>
      <c r="B15" s="189" t="s">
        <v>988</v>
      </c>
      <c r="C15" s="190" t="s">
        <v>989</v>
      </c>
      <c r="D15" s="190" t="s">
        <v>990</v>
      </c>
      <c r="E15" s="190" t="s">
        <v>978</v>
      </c>
      <c r="F15" s="190" t="s">
        <v>991</v>
      </c>
      <c r="G15" s="190" t="s">
        <v>992</v>
      </c>
      <c r="H15" s="190" t="s">
        <v>993</v>
      </c>
      <c r="I15" s="190" t="s">
        <v>206</v>
      </c>
      <c r="J15" s="190" t="s">
        <v>994</v>
      </c>
      <c r="K15" s="190" t="s">
        <v>995</v>
      </c>
    </row>
    <row r="16" spans="1:14" s="168" customFormat="1" ht="43.5" hidden="1" customHeight="1">
      <c r="A16" s="152"/>
      <c r="B16" s="152"/>
      <c r="C16" s="169"/>
      <c r="D16" s="169"/>
      <c r="E16" s="169"/>
      <c r="F16" s="169"/>
      <c r="G16" s="169"/>
      <c r="H16" s="169"/>
      <c r="I16" s="169"/>
      <c r="J16" s="169"/>
      <c r="K16" s="170"/>
    </row>
    <row r="17" spans="1:14" s="168" customFormat="1" ht="21.75" customHeight="1">
      <c r="A17" s="191">
        <f>IF(Values_Entered,1,"")</f>
        <v>1</v>
      </c>
      <c r="B17" s="172" t="s">
        <v>996</v>
      </c>
      <c r="C17" s="172">
        <f t="shared" ref="C17:C80" si="0">IF(Pay_Num&lt;&gt;"",DATE(YEAR(Loan_Start),MONTH(Loan_Start)+(Pay_Num)*12/Num_Pmt_Per_Year,DAY(Loan_Start)),"")</f>
        <v>44743</v>
      </c>
      <c r="D17" s="185">
        <f>IF(Values_Entered,Loan_Amount,"")</f>
        <v>4588320</v>
      </c>
      <c r="E17" s="185">
        <f>IF(Pay_Num&lt;&gt;"",Scheduled_Monthly_Payment,"")</f>
        <v>53274.285736839716</v>
      </c>
      <c r="F17" s="174">
        <f t="shared" ref="F17:F80" si="1">IF(AND(Pay_Num&lt;&gt;"",Sched_Pay+Scheduled_Extra_Payments&lt;Beg_Bal),Scheduled_Extra_Payments,IF(AND(Pay_Num&lt;&gt;"",Beg_Bal-Sched_Pay&gt;0),Beg_Bal-Sched_Pay,IF(Pay_Num&lt;&gt;"",0,"")))</f>
        <v>0</v>
      </c>
      <c r="G17" s="185">
        <f t="shared" ref="G17:G80" si="2">IF(AND(Pay_Num&lt;&gt;"",Sched_Pay+Extra_Pay&lt;Beg_Bal),Sched_Pay+Extra_Pay,IF(Pay_Num&lt;&gt;"",Beg_Bal,""))</f>
        <v>53274.285736839716</v>
      </c>
      <c r="H17" s="185">
        <f>IF(Pay_Num&lt;&gt;"",Total_Pay-Int,"")</f>
        <v>26509.085736839716</v>
      </c>
      <c r="I17" s="185">
        <f>IF(Pay_Num&lt;&gt;"",Beg_Bal*(Interest_Rate/Num_Pmt_Per_Year),"")</f>
        <v>26765.200000000001</v>
      </c>
      <c r="J17" s="185">
        <f t="shared" ref="J17:J80" si="3">IF(AND(Pay_Num&lt;&gt;"",Sched_Pay+Extra_Pay&lt;Beg_Bal),Beg_Bal-Princ,IF(Pay_Num&lt;&gt;"",0,""))</f>
        <v>4561810.91426316</v>
      </c>
      <c r="K17" s="185">
        <f>SUM($I$17:$I17)</f>
        <v>26765.200000000001</v>
      </c>
      <c r="M17" s="194"/>
    </row>
    <row r="18" spans="1:14" s="168" customFormat="1" ht="21.75" customHeight="1">
      <c r="A18" s="191">
        <f t="shared" ref="A18:A81" si="4">IF(Values_Entered,A17+1,"")</f>
        <v>2</v>
      </c>
      <c r="B18" s="172" t="s">
        <v>997</v>
      </c>
      <c r="C18" s="172">
        <f t="shared" si="0"/>
        <v>44774</v>
      </c>
      <c r="D18" s="173">
        <f t="shared" ref="D18:D81" si="5">IF(Pay_Num&lt;&gt;"",J17,"")</f>
        <v>4561810.91426316</v>
      </c>
      <c r="E18" s="173">
        <f>IF(Pay_Num&lt;&gt;"",Scheduled_Monthly_Payment,"")</f>
        <v>53274.285736839716</v>
      </c>
      <c r="F18" s="174">
        <f t="shared" si="1"/>
        <v>0</v>
      </c>
      <c r="G18" s="173">
        <f t="shared" si="2"/>
        <v>53274.285736839716</v>
      </c>
      <c r="H18" s="173">
        <f t="shared" ref="H18:H81" si="6">IF(Pay_Num&lt;&gt;"",Total_Pay-Int,"")</f>
        <v>26663.722070304615</v>
      </c>
      <c r="I18" s="173">
        <f t="shared" ref="I18:I81" si="7">IF(Pay_Num&lt;&gt;"",Beg_Bal*Interest_Rate/Num_Pmt_Per_Year,"")</f>
        <v>26610.563666535101</v>
      </c>
      <c r="J18" s="173">
        <f t="shared" si="3"/>
        <v>4535147.1921928553</v>
      </c>
      <c r="K18" s="173">
        <f>SUM($I$17:$I18)</f>
        <v>53375.763666535102</v>
      </c>
    </row>
    <row r="19" spans="1:14" s="168" customFormat="1" ht="21.75" customHeight="1">
      <c r="A19" s="191">
        <f t="shared" si="4"/>
        <v>3</v>
      </c>
      <c r="B19" s="172" t="s">
        <v>998</v>
      </c>
      <c r="C19" s="172">
        <f t="shared" si="0"/>
        <v>44805</v>
      </c>
      <c r="D19" s="173">
        <f t="shared" si="5"/>
        <v>4535147.1921928553</v>
      </c>
      <c r="E19" s="173">
        <f t="shared" ref="E19:E82" si="8">IF(Pay_Num&lt;&gt;"",Scheduled_Monthly_Payment,"")</f>
        <v>53274.285736839716</v>
      </c>
      <c r="F19" s="174">
        <f t="shared" si="1"/>
        <v>0</v>
      </c>
      <c r="G19" s="173">
        <f t="shared" si="2"/>
        <v>53274.285736839716</v>
      </c>
      <c r="H19" s="173">
        <f t="shared" si="6"/>
        <v>26819.260449048055</v>
      </c>
      <c r="I19" s="173">
        <f t="shared" si="7"/>
        <v>26455.025287791661</v>
      </c>
      <c r="J19" s="173">
        <f t="shared" si="3"/>
        <v>4508327.9317438072</v>
      </c>
      <c r="K19" s="173">
        <f>SUM($I$17:$I19)</f>
        <v>79830.788954326767</v>
      </c>
    </row>
    <row r="20" spans="1:14" s="168" customFormat="1" ht="21.75" customHeight="1">
      <c r="A20" s="191">
        <f t="shared" si="4"/>
        <v>4</v>
      </c>
      <c r="B20" s="172" t="s">
        <v>999</v>
      </c>
      <c r="C20" s="172">
        <f t="shared" si="0"/>
        <v>44835</v>
      </c>
      <c r="D20" s="173">
        <f t="shared" si="5"/>
        <v>4508327.9317438072</v>
      </c>
      <c r="E20" s="173">
        <f>IF(Pay_Num&lt;&gt;"",Scheduled_Monthly_Payment,"")</f>
        <v>53274.285736839716</v>
      </c>
      <c r="F20" s="174">
        <f t="shared" si="1"/>
        <v>0</v>
      </c>
      <c r="G20" s="173">
        <f t="shared" si="2"/>
        <v>53274.285736839716</v>
      </c>
      <c r="H20" s="173">
        <f t="shared" si="6"/>
        <v>26975.706135000837</v>
      </c>
      <c r="I20" s="173">
        <f t="shared" si="7"/>
        <v>26298.579601838879</v>
      </c>
      <c r="J20" s="173">
        <f t="shared" si="3"/>
        <v>4481352.2256088061</v>
      </c>
      <c r="K20" s="173">
        <f>SUM($I$17:$I20)</f>
        <v>106129.36855616565</v>
      </c>
    </row>
    <row r="21" spans="1:14" s="168" customFormat="1" ht="21.75" customHeight="1">
      <c r="A21" s="191">
        <f t="shared" si="4"/>
        <v>5</v>
      </c>
      <c r="B21" s="172" t="s">
        <v>1000</v>
      </c>
      <c r="C21" s="172">
        <f t="shared" si="0"/>
        <v>44866</v>
      </c>
      <c r="D21" s="173">
        <f t="shared" si="5"/>
        <v>4481352.2256088061</v>
      </c>
      <c r="E21" s="173">
        <f t="shared" si="8"/>
        <v>53274.285736839716</v>
      </c>
      <c r="F21" s="174">
        <f t="shared" si="1"/>
        <v>0</v>
      </c>
      <c r="G21" s="173">
        <f t="shared" si="2"/>
        <v>53274.285736839716</v>
      </c>
      <c r="H21" s="173">
        <f t="shared" si="6"/>
        <v>27133.064420788342</v>
      </c>
      <c r="I21" s="173">
        <f t="shared" si="7"/>
        <v>26141.221316051375</v>
      </c>
      <c r="J21" s="173">
        <f t="shared" si="3"/>
        <v>4454219.1611880176</v>
      </c>
      <c r="K21" s="173">
        <f>SUM($I$17:$I21)</f>
        <v>132270.58987221701</v>
      </c>
    </row>
    <row r="22" spans="1:14" ht="21.75" customHeight="1">
      <c r="A22" s="191">
        <f t="shared" si="4"/>
        <v>6</v>
      </c>
      <c r="B22" s="172" t="s">
        <v>1001</v>
      </c>
      <c r="C22" s="172">
        <f t="shared" si="0"/>
        <v>44896</v>
      </c>
      <c r="D22" s="173">
        <f t="shared" si="5"/>
        <v>4454219.1611880176</v>
      </c>
      <c r="E22" s="173">
        <f t="shared" si="8"/>
        <v>53274.285736839716</v>
      </c>
      <c r="F22" s="174">
        <f t="shared" si="1"/>
        <v>0</v>
      </c>
      <c r="G22" s="173">
        <f t="shared" si="2"/>
        <v>53274.285736839716</v>
      </c>
      <c r="H22" s="173">
        <f t="shared" si="6"/>
        <v>27291.340629909613</v>
      </c>
      <c r="I22" s="173">
        <f t="shared" si="7"/>
        <v>25982.945106930103</v>
      </c>
      <c r="J22" s="173">
        <f t="shared" si="3"/>
        <v>4426927.8205581084</v>
      </c>
      <c r="K22" s="173">
        <f>SUM($I$17:$I22)</f>
        <v>158253.53497914711</v>
      </c>
      <c r="L22" s="168"/>
      <c r="M22" s="168"/>
      <c r="N22" s="150"/>
    </row>
    <row r="23" spans="1:14" ht="21.75" customHeight="1">
      <c r="A23" s="191">
        <f t="shared" si="4"/>
        <v>7</v>
      </c>
      <c r="B23" s="172" t="s">
        <v>1002</v>
      </c>
      <c r="C23" s="172">
        <f t="shared" si="0"/>
        <v>44927</v>
      </c>
      <c r="D23" s="173">
        <f t="shared" si="5"/>
        <v>4426927.8205581084</v>
      </c>
      <c r="E23" s="173">
        <f t="shared" si="8"/>
        <v>53274.285736839716</v>
      </c>
      <c r="F23" s="174">
        <f t="shared" si="1"/>
        <v>0</v>
      </c>
      <c r="G23" s="173">
        <f t="shared" si="2"/>
        <v>53274.285736839716</v>
      </c>
      <c r="H23" s="173">
        <f t="shared" si="6"/>
        <v>27450.540116917418</v>
      </c>
      <c r="I23" s="173">
        <f t="shared" si="7"/>
        <v>25823.745619922298</v>
      </c>
      <c r="J23" s="173">
        <f t="shared" si="3"/>
        <v>4399477.280441191</v>
      </c>
      <c r="K23" s="173">
        <f>SUM($I$17:$I23)</f>
        <v>184077.2805990694</v>
      </c>
      <c r="L23" s="168"/>
      <c r="M23" s="168"/>
      <c r="N23" s="150"/>
    </row>
    <row r="24" spans="1:14" ht="21.75" customHeight="1">
      <c r="A24" s="191">
        <f t="shared" si="4"/>
        <v>8</v>
      </c>
      <c r="B24" s="172" t="s">
        <v>1003</v>
      </c>
      <c r="C24" s="172">
        <f t="shared" si="0"/>
        <v>44958</v>
      </c>
      <c r="D24" s="173">
        <f t="shared" si="5"/>
        <v>4399477.280441191</v>
      </c>
      <c r="E24" s="173">
        <f t="shared" si="8"/>
        <v>53274.285736839716</v>
      </c>
      <c r="F24" s="174">
        <f t="shared" si="1"/>
        <v>0</v>
      </c>
      <c r="G24" s="173">
        <f t="shared" si="2"/>
        <v>53274.285736839716</v>
      </c>
      <c r="H24" s="173">
        <f t="shared" si="6"/>
        <v>27610.668267599431</v>
      </c>
      <c r="I24" s="173">
        <f t="shared" si="7"/>
        <v>25663.617469240286</v>
      </c>
      <c r="J24" s="173">
        <f t="shared" si="3"/>
        <v>4371866.6121735917</v>
      </c>
      <c r="K24" s="173">
        <f>SUM($I$17:$I24)</f>
        <v>209740.8980683097</v>
      </c>
      <c r="L24" s="168"/>
      <c r="M24" s="168"/>
      <c r="N24" s="150"/>
    </row>
    <row r="25" spans="1:14" ht="21.75" customHeight="1">
      <c r="A25" s="191">
        <f t="shared" si="4"/>
        <v>9</v>
      </c>
      <c r="B25" s="172" t="s">
        <v>1004</v>
      </c>
      <c r="C25" s="172">
        <f t="shared" si="0"/>
        <v>44986</v>
      </c>
      <c r="D25" s="173">
        <f t="shared" si="5"/>
        <v>4371866.6121735917</v>
      </c>
      <c r="E25" s="173">
        <f t="shared" si="8"/>
        <v>53274.285736839716</v>
      </c>
      <c r="F25" s="174">
        <f t="shared" si="1"/>
        <v>0</v>
      </c>
      <c r="G25" s="173">
        <f t="shared" si="2"/>
        <v>53274.285736839716</v>
      </c>
      <c r="H25" s="173">
        <f t="shared" si="6"/>
        <v>27771.730499160429</v>
      </c>
      <c r="I25" s="173">
        <f t="shared" si="7"/>
        <v>25502.555237679288</v>
      </c>
      <c r="J25" s="173">
        <f t="shared" si="3"/>
        <v>4344094.8816744313</v>
      </c>
      <c r="K25" s="173">
        <f>SUM($I$17:$I25)</f>
        <v>235243.45330598898</v>
      </c>
      <c r="L25" s="168"/>
      <c r="M25" s="168"/>
      <c r="N25" s="150"/>
    </row>
    <row r="26" spans="1:14" ht="21.75" customHeight="1">
      <c r="A26" s="191">
        <f t="shared" si="4"/>
        <v>10</v>
      </c>
      <c r="B26" s="172" t="s">
        <v>1005</v>
      </c>
      <c r="C26" s="172">
        <f t="shared" si="0"/>
        <v>45017</v>
      </c>
      <c r="D26" s="173">
        <f t="shared" si="5"/>
        <v>4344094.8816744313</v>
      </c>
      <c r="E26" s="173">
        <f t="shared" si="8"/>
        <v>53274.285736839716</v>
      </c>
      <c r="F26" s="174">
        <f t="shared" si="1"/>
        <v>0</v>
      </c>
      <c r="G26" s="173">
        <f t="shared" si="2"/>
        <v>53274.285736839716</v>
      </c>
      <c r="H26" s="173">
        <f t="shared" si="6"/>
        <v>27933.73226040553</v>
      </c>
      <c r="I26" s="173">
        <f t="shared" si="7"/>
        <v>25340.553476434186</v>
      </c>
      <c r="J26" s="173">
        <f t="shared" si="3"/>
        <v>4316161.1494140262</v>
      </c>
      <c r="K26" s="173">
        <f>SUM($I$17:$I26)</f>
        <v>260584.00678242318</v>
      </c>
      <c r="L26" s="168"/>
      <c r="M26" s="168"/>
      <c r="N26" s="150"/>
    </row>
    <row r="27" spans="1:14" ht="21.75" customHeight="1">
      <c r="A27" s="191">
        <f t="shared" si="4"/>
        <v>11</v>
      </c>
      <c r="B27" s="172" t="s">
        <v>1006</v>
      </c>
      <c r="C27" s="172">
        <f t="shared" si="0"/>
        <v>45047</v>
      </c>
      <c r="D27" s="173">
        <f t="shared" si="5"/>
        <v>4316161.1494140262</v>
      </c>
      <c r="E27" s="173">
        <f t="shared" si="8"/>
        <v>53274.285736839716</v>
      </c>
      <c r="F27" s="174">
        <f t="shared" si="1"/>
        <v>0</v>
      </c>
      <c r="G27" s="173">
        <f t="shared" si="2"/>
        <v>53274.285736839716</v>
      </c>
      <c r="H27" s="173">
        <f t="shared" si="6"/>
        <v>28096.679031924559</v>
      </c>
      <c r="I27" s="173">
        <f t="shared" si="7"/>
        <v>25177.606704915157</v>
      </c>
      <c r="J27" s="173">
        <f t="shared" si="3"/>
        <v>4288064.4703821018</v>
      </c>
      <c r="K27" s="173">
        <f>SUM($I$17:$I27)</f>
        <v>285761.61348733836</v>
      </c>
      <c r="L27" s="168"/>
      <c r="M27" s="168"/>
      <c r="N27" s="150"/>
    </row>
    <row r="28" spans="1:14" ht="21.75" customHeight="1">
      <c r="A28" s="191">
        <f t="shared" si="4"/>
        <v>12</v>
      </c>
      <c r="B28" s="172" t="s">
        <v>1007</v>
      </c>
      <c r="C28" s="172">
        <f t="shared" si="0"/>
        <v>45078</v>
      </c>
      <c r="D28" s="173">
        <f t="shared" si="5"/>
        <v>4288064.4703821018</v>
      </c>
      <c r="E28" s="173">
        <f t="shared" si="8"/>
        <v>53274.285736839716</v>
      </c>
      <c r="F28" s="174">
        <f t="shared" si="1"/>
        <v>0</v>
      </c>
      <c r="G28" s="173">
        <f t="shared" si="2"/>
        <v>53274.285736839716</v>
      </c>
      <c r="H28" s="173">
        <f t="shared" si="6"/>
        <v>28260.576326277453</v>
      </c>
      <c r="I28" s="173">
        <f t="shared" si="7"/>
        <v>25013.709410562264</v>
      </c>
      <c r="J28" s="173">
        <f t="shared" si="3"/>
        <v>4259803.8940558247</v>
      </c>
      <c r="K28" s="173">
        <f>SUM($I$17:$I28)</f>
        <v>310775.32289790059</v>
      </c>
      <c r="L28" s="168"/>
      <c r="M28" s="168"/>
      <c r="N28" s="150"/>
    </row>
    <row r="29" spans="1:14" ht="21.75" customHeight="1">
      <c r="A29" s="191">
        <f t="shared" si="4"/>
        <v>13</v>
      </c>
      <c r="B29" s="172" t="s">
        <v>1008</v>
      </c>
      <c r="C29" s="172">
        <f t="shared" si="0"/>
        <v>45108</v>
      </c>
      <c r="D29" s="173">
        <f t="shared" si="5"/>
        <v>4259803.8940558247</v>
      </c>
      <c r="E29" s="173">
        <f t="shared" si="8"/>
        <v>53274.285736839716</v>
      </c>
      <c r="F29" s="174">
        <f t="shared" si="1"/>
        <v>0</v>
      </c>
      <c r="G29" s="173">
        <f t="shared" si="2"/>
        <v>53274.285736839716</v>
      </c>
      <c r="H29" s="173">
        <f t="shared" si="6"/>
        <v>28425.429688180735</v>
      </c>
      <c r="I29" s="173">
        <f t="shared" si="7"/>
        <v>24848.856048658981</v>
      </c>
      <c r="J29" s="173">
        <f t="shared" si="3"/>
        <v>4231378.4643676439</v>
      </c>
      <c r="K29" s="173">
        <f>SUM($I$17:$I29)</f>
        <v>335624.17894655955</v>
      </c>
      <c r="L29" s="168"/>
      <c r="M29" s="168"/>
      <c r="N29" s="150"/>
    </row>
    <row r="30" spans="1:14" ht="21.75" customHeight="1">
      <c r="A30" s="191">
        <f t="shared" si="4"/>
        <v>14</v>
      </c>
      <c r="B30" s="172" t="s">
        <v>1009</v>
      </c>
      <c r="C30" s="172">
        <f t="shared" si="0"/>
        <v>45139</v>
      </c>
      <c r="D30" s="173">
        <f t="shared" si="5"/>
        <v>4231378.4643676439</v>
      </c>
      <c r="E30" s="173">
        <f t="shared" si="8"/>
        <v>53274.285736839716</v>
      </c>
      <c r="F30" s="174">
        <f t="shared" si="1"/>
        <v>0</v>
      </c>
      <c r="G30" s="173">
        <f t="shared" si="2"/>
        <v>53274.285736839716</v>
      </c>
      <c r="H30" s="173">
        <f t="shared" si="6"/>
        <v>28591.244694695128</v>
      </c>
      <c r="I30" s="173">
        <f t="shared" si="7"/>
        <v>24683.041042144589</v>
      </c>
      <c r="J30" s="173">
        <f t="shared" si="3"/>
        <v>4202787.2196729491</v>
      </c>
      <c r="K30" s="173">
        <f>SUM($I$17:$I30)</f>
        <v>360307.21998870414</v>
      </c>
      <c r="L30" s="168"/>
      <c r="M30" s="168"/>
      <c r="N30" s="150"/>
    </row>
    <row r="31" spans="1:14" ht="21.75" customHeight="1">
      <c r="A31" s="191">
        <f t="shared" si="4"/>
        <v>15</v>
      </c>
      <c r="B31" s="172" t="s">
        <v>1010</v>
      </c>
      <c r="C31" s="172">
        <f t="shared" si="0"/>
        <v>45170</v>
      </c>
      <c r="D31" s="173">
        <f t="shared" si="5"/>
        <v>4202787.2196729491</v>
      </c>
      <c r="E31" s="173">
        <f t="shared" si="8"/>
        <v>53274.285736839716</v>
      </c>
      <c r="F31" s="174">
        <f t="shared" si="1"/>
        <v>0</v>
      </c>
      <c r="G31" s="173">
        <f t="shared" si="2"/>
        <v>53274.285736839716</v>
      </c>
      <c r="H31" s="173">
        <f t="shared" si="6"/>
        <v>28758.026955414178</v>
      </c>
      <c r="I31" s="173">
        <f t="shared" si="7"/>
        <v>24516.258781425538</v>
      </c>
      <c r="J31" s="173">
        <f t="shared" si="3"/>
        <v>4174029.192717535</v>
      </c>
      <c r="K31" s="173">
        <f>SUM($I$17:$I31)</f>
        <v>384823.47877012967</v>
      </c>
      <c r="L31" s="168"/>
      <c r="M31" s="168"/>
      <c r="N31" s="150"/>
    </row>
    <row r="32" spans="1:14" ht="21.75" customHeight="1">
      <c r="A32" s="191">
        <f t="shared" si="4"/>
        <v>16</v>
      </c>
      <c r="B32" s="172" t="s">
        <v>1011</v>
      </c>
      <c r="C32" s="172">
        <f t="shared" si="0"/>
        <v>45200</v>
      </c>
      <c r="D32" s="173">
        <f t="shared" si="5"/>
        <v>4174029.192717535</v>
      </c>
      <c r="E32" s="173">
        <f t="shared" si="8"/>
        <v>53274.285736839716</v>
      </c>
      <c r="F32" s="174">
        <f t="shared" si="1"/>
        <v>0</v>
      </c>
      <c r="G32" s="173">
        <f t="shared" si="2"/>
        <v>53274.285736839716</v>
      </c>
      <c r="H32" s="173">
        <f t="shared" si="6"/>
        <v>28925.782112654091</v>
      </c>
      <c r="I32" s="173">
        <f t="shared" si="7"/>
        <v>24348.503624185625</v>
      </c>
      <c r="J32" s="173">
        <f t="shared" si="3"/>
        <v>4145103.4106048807</v>
      </c>
      <c r="K32" s="173">
        <f>SUM($I$17:$I32)</f>
        <v>409171.9823943153</v>
      </c>
      <c r="L32" s="168"/>
      <c r="M32" s="168"/>
      <c r="N32" s="150"/>
    </row>
    <row r="33" spans="1:14" ht="21.75" customHeight="1">
      <c r="A33" s="191">
        <f t="shared" si="4"/>
        <v>17</v>
      </c>
      <c r="B33" s="172" t="s">
        <v>1012</v>
      </c>
      <c r="C33" s="172">
        <f t="shared" si="0"/>
        <v>45231</v>
      </c>
      <c r="D33" s="173">
        <f t="shared" si="5"/>
        <v>4145103.4106048807</v>
      </c>
      <c r="E33" s="173">
        <f t="shared" si="8"/>
        <v>53274.285736839716</v>
      </c>
      <c r="F33" s="174">
        <f t="shared" si="1"/>
        <v>0</v>
      </c>
      <c r="G33" s="173">
        <f t="shared" si="2"/>
        <v>53274.285736839716</v>
      </c>
      <c r="H33" s="173">
        <f t="shared" si="6"/>
        <v>29094.515841644574</v>
      </c>
      <c r="I33" s="173">
        <f t="shared" si="7"/>
        <v>24179.769895195142</v>
      </c>
      <c r="J33" s="173">
        <f t="shared" si="3"/>
        <v>4116008.8947632359</v>
      </c>
      <c r="K33" s="173">
        <f>SUM($I$17:$I33)</f>
        <v>433351.75228951045</v>
      </c>
      <c r="L33" s="168"/>
      <c r="M33" s="168"/>
      <c r="N33" s="150"/>
    </row>
    <row r="34" spans="1:14" ht="21.75" customHeight="1">
      <c r="A34" s="191">
        <f t="shared" si="4"/>
        <v>18</v>
      </c>
      <c r="B34" s="172" t="s">
        <v>1013</v>
      </c>
      <c r="C34" s="172">
        <f t="shared" si="0"/>
        <v>45261</v>
      </c>
      <c r="D34" s="173">
        <f t="shared" si="5"/>
        <v>4116008.8947632359</v>
      </c>
      <c r="E34" s="173">
        <f t="shared" si="8"/>
        <v>53274.285736839716</v>
      </c>
      <c r="F34" s="174">
        <f t="shared" si="1"/>
        <v>0</v>
      </c>
      <c r="G34" s="173">
        <f t="shared" si="2"/>
        <v>53274.285736839716</v>
      </c>
      <c r="H34" s="173">
        <f t="shared" si="6"/>
        <v>29264.233850720837</v>
      </c>
      <c r="I34" s="173">
        <f t="shared" si="7"/>
        <v>24010.051886118879</v>
      </c>
      <c r="J34" s="173">
        <f t="shared" si="3"/>
        <v>4086744.6609125151</v>
      </c>
      <c r="K34" s="173">
        <f>SUM($I$17:$I34)</f>
        <v>457361.80417562934</v>
      </c>
      <c r="L34" s="168"/>
      <c r="M34" s="168"/>
      <c r="N34" s="150"/>
    </row>
    <row r="35" spans="1:14" ht="21.75" customHeight="1">
      <c r="A35" s="191">
        <f t="shared" si="4"/>
        <v>19</v>
      </c>
      <c r="B35" s="172" t="s">
        <v>1014</v>
      </c>
      <c r="C35" s="172">
        <f t="shared" si="0"/>
        <v>45292</v>
      </c>
      <c r="D35" s="173">
        <f t="shared" si="5"/>
        <v>4086744.6609125151</v>
      </c>
      <c r="E35" s="173">
        <f t="shared" si="8"/>
        <v>53274.285736839716</v>
      </c>
      <c r="F35" s="174">
        <f t="shared" si="1"/>
        <v>0</v>
      </c>
      <c r="G35" s="173">
        <f t="shared" si="2"/>
        <v>53274.285736839716</v>
      </c>
      <c r="H35" s="173">
        <f t="shared" si="6"/>
        <v>29434.941881516708</v>
      </c>
      <c r="I35" s="173">
        <f t="shared" si="7"/>
        <v>23839.343855323008</v>
      </c>
      <c r="J35" s="173">
        <f t="shared" si="3"/>
        <v>4057309.7190309986</v>
      </c>
      <c r="K35" s="173">
        <f>SUM($I$17:$I35)</f>
        <v>481201.14803095232</v>
      </c>
      <c r="L35" s="168"/>
      <c r="M35" s="168"/>
      <c r="N35" s="150"/>
    </row>
    <row r="36" spans="1:14" ht="21.75" customHeight="1">
      <c r="A36" s="191">
        <f t="shared" si="4"/>
        <v>20</v>
      </c>
      <c r="B36" s="172" t="s">
        <v>1015</v>
      </c>
      <c r="C36" s="172">
        <f t="shared" si="0"/>
        <v>45323</v>
      </c>
      <c r="D36" s="173">
        <f t="shared" si="5"/>
        <v>4057309.7190309986</v>
      </c>
      <c r="E36" s="173">
        <f t="shared" si="8"/>
        <v>53274.285736839716</v>
      </c>
      <c r="F36" s="174">
        <f t="shared" si="1"/>
        <v>0</v>
      </c>
      <c r="G36" s="173">
        <f t="shared" si="2"/>
        <v>53274.285736839716</v>
      </c>
      <c r="H36" s="173">
        <f t="shared" si="6"/>
        <v>29606.645709158889</v>
      </c>
      <c r="I36" s="173">
        <f t="shared" si="7"/>
        <v>23667.640027680827</v>
      </c>
      <c r="J36" s="173">
        <f t="shared" si="3"/>
        <v>4027703.0733218398</v>
      </c>
      <c r="K36" s="173">
        <f>SUM($I$17:$I36)</f>
        <v>504868.78805863316</v>
      </c>
      <c r="L36" s="168"/>
      <c r="M36" s="168"/>
      <c r="N36" s="150"/>
    </row>
    <row r="37" spans="1:14" ht="21.75" customHeight="1">
      <c r="A37" s="191">
        <f t="shared" si="4"/>
        <v>21</v>
      </c>
      <c r="B37" s="172" t="s">
        <v>1016</v>
      </c>
      <c r="C37" s="172">
        <f t="shared" si="0"/>
        <v>45352</v>
      </c>
      <c r="D37" s="173">
        <f t="shared" si="5"/>
        <v>4027703.0733218398</v>
      </c>
      <c r="E37" s="173">
        <f t="shared" si="8"/>
        <v>53274.285736839716</v>
      </c>
      <c r="F37" s="174">
        <f t="shared" si="1"/>
        <v>0</v>
      </c>
      <c r="G37" s="173">
        <f t="shared" si="2"/>
        <v>53274.285736839716</v>
      </c>
      <c r="H37" s="173">
        <f t="shared" si="6"/>
        <v>29779.351142462318</v>
      </c>
      <c r="I37" s="173">
        <f t="shared" si="7"/>
        <v>23494.934594377399</v>
      </c>
      <c r="J37" s="173">
        <f t="shared" si="3"/>
        <v>3997923.7221793775</v>
      </c>
      <c r="K37" s="173">
        <f>SUM($I$17:$I37)</f>
        <v>528363.72265301051</v>
      </c>
      <c r="L37" s="168"/>
      <c r="M37" s="168"/>
      <c r="N37" s="150"/>
    </row>
    <row r="38" spans="1:14" ht="21.75" customHeight="1">
      <c r="A38" s="191">
        <f t="shared" si="4"/>
        <v>22</v>
      </c>
      <c r="B38" s="172" t="s">
        <v>1017</v>
      </c>
      <c r="C38" s="172">
        <f t="shared" si="0"/>
        <v>45383</v>
      </c>
      <c r="D38" s="173">
        <f t="shared" si="5"/>
        <v>3997923.7221793775</v>
      </c>
      <c r="E38" s="173">
        <f t="shared" si="8"/>
        <v>53274.285736839716</v>
      </c>
      <c r="F38" s="174">
        <f t="shared" si="1"/>
        <v>0</v>
      </c>
      <c r="G38" s="173">
        <f t="shared" si="2"/>
        <v>53274.285736839716</v>
      </c>
      <c r="H38" s="173">
        <f t="shared" si="6"/>
        <v>29953.064024126677</v>
      </c>
      <c r="I38" s="173">
        <f t="shared" si="7"/>
        <v>23321.221712713039</v>
      </c>
      <c r="J38" s="173">
        <f t="shared" si="3"/>
        <v>3967970.6581552508</v>
      </c>
      <c r="K38" s="173">
        <f>SUM($I$17:$I38)</f>
        <v>551684.94436572352</v>
      </c>
      <c r="L38" s="168"/>
      <c r="M38" s="168"/>
      <c r="N38" s="150"/>
    </row>
    <row r="39" spans="1:14" ht="21.75" customHeight="1">
      <c r="A39" s="191">
        <f t="shared" si="4"/>
        <v>23</v>
      </c>
      <c r="B39" s="172" t="s">
        <v>1018</v>
      </c>
      <c r="C39" s="172">
        <f t="shared" si="0"/>
        <v>45413</v>
      </c>
      <c r="D39" s="173">
        <f t="shared" si="5"/>
        <v>3967970.6581552508</v>
      </c>
      <c r="E39" s="173">
        <f t="shared" si="8"/>
        <v>53274.285736839716</v>
      </c>
      <c r="F39" s="174">
        <f t="shared" si="1"/>
        <v>0</v>
      </c>
      <c r="G39" s="173">
        <f t="shared" si="2"/>
        <v>53274.285736839716</v>
      </c>
      <c r="H39" s="173">
        <f t="shared" si="6"/>
        <v>30127.790230934083</v>
      </c>
      <c r="I39" s="173">
        <f t="shared" si="7"/>
        <v>23146.495505905634</v>
      </c>
      <c r="J39" s="173">
        <f t="shared" si="3"/>
        <v>3937842.8679243168</v>
      </c>
      <c r="K39" s="173">
        <f>SUM($I$17:$I39)</f>
        <v>574831.43987162912</v>
      </c>
      <c r="L39" s="168"/>
      <c r="M39" s="168"/>
      <c r="N39" s="150"/>
    </row>
    <row r="40" spans="1:14" ht="21.75" customHeight="1">
      <c r="A40" s="191">
        <f t="shared" si="4"/>
        <v>24</v>
      </c>
      <c r="B40" s="172" t="s">
        <v>1019</v>
      </c>
      <c r="C40" s="172">
        <f t="shared" si="0"/>
        <v>45444</v>
      </c>
      <c r="D40" s="173">
        <f t="shared" si="5"/>
        <v>3937842.8679243168</v>
      </c>
      <c r="E40" s="173">
        <f t="shared" si="8"/>
        <v>53274.285736839716</v>
      </c>
      <c r="F40" s="174">
        <f t="shared" si="1"/>
        <v>0</v>
      </c>
      <c r="G40" s="173">
        <f t="shared" si="2"/>
        <v>53274.285736839716</v>
      </c>
      <c r="H40" s="173">
        <f t="shared" si="6"/>
        <v>30303.535673947867</v>
      </c>
      <c r="I40" s="173">
        <f t="shared" si="7"/>
        <v>22970.75006289185</v>
      </c>
      <c r="J40" s="173">
        <f t="shared" si="3"/>
        <v>3907539.3322503688</v>
      </c>
      <c r="K40" s="173">
        <f>SUM($I$17:$I40)</f>
        <v>597802.18993452098</v>
      </c>
      <c r="L40" s="168"/>
      <c r="M40" s="168"/>
      <c r="N40" s="150"/>
    </row>
    <row r="41" spans="1:14" ht="21.75" customHeight="1">
      <c r="A41" s="191">
        <f t="shared" si="4"/>
        <v>25</v>
      </c>
      <c r="B41" s="172" t="s">
        <v>1020</v>
      </c>
      <c r="C41" s="172">
        <f t="shared" si="0"/>
        <v>45474</v>
      </c>
      <c r="D41" s="173">
        <f t="shared" si="5"/>
        <v>3907539.3322503688</v>
      </c>
      <c r="E41" s="173">
        <f t="shared" si="8"/>
        <v>53274.285736839716</v>
      </c>
      <c r="F41" s="174">
        <f t="shared" si="1"/>
        <v>0</v>
      </c>
      <c r="G41" s="173">
        <f t="shared" si="2"/>
        <v>53274.285736839716</v>
      </c>
      <c r="H41" s="173">
        <f t="shared" si="6"/>
        <v>30480.306298712563</v>
      </c>
      <c r="I41" s="173">
        <f t="shared" si="7"/>
        <v>22793.979438127153</v>
      </c>
      <c r="J41" s="173">
        <f t="shared" si="3"/>
        <v>3877059.025951656</v>
      </c>
      <c r="K41" s="173">
        <f>SUM($I$17:$I41)</f>
        <v>620596.16937264812</v>
      </c>
      <c r="L41" s="168"/>
      <c r="M41" s="168"/>
      <c r="N41" s="150"/>
    </row>
    <row r="42" spans="1:14" ht="21.75" customHeight="1">
      <c r="A42" s="191">
        <f t="shared" si="4"/>
        <v>26</v>
      </c>
      <c r="B42" s="172" t="s">
        <v>1021</v>
      </c>
      <c r="C42" s="172">
        <f t="shared" si="0"/>
        <v>45505</v>
      </c>
      <c r="D42" s="173">
        <f t="shared" si="5"/>
        <v>3877059.025951656</v>
      </c>
      <c r="E42" s="173">
        <f t="shared" si="8"/>
        <v>53274.285736839716</v>
      </c>
      <c r="F42" s="174">
        <f t="shared" si="1"/>
        <v>0</v>
      </c>
      <c r="G42" s="173">
        <f t="shared" si="2"/>
        <v>53274.285736839716</v>
      </c>
      <c r="H42" s="173">
        <f t="shared" si="6"/>
        <v>30658.108085455056</v>
      </c>
      <c r="I42" s="173">
        <f t="shared" si="7"/>
        <v>22616.17765138466</v>
      </c>
      <c r="J42" s="173">
        <f t="shared" si="3"/>
        <v>3846400.9178662011</v>
      </c>
      <c r="K42" s="173">
        <f>SUM($I$17:$I42)</f>
        <v>643212.34702403273</v>
      </c>
      <c r="L42" s="168"/>
      <c r="M42" s="168"/>
      <c r="N42" s="150"/>
    </row>
    <row r="43" spans="1:14" ht="21.75" customHeight="1">
      <c r="A43" s="191">
        <f t="shared" si="4"/>
        <v>27</v>
      </c>
      <c r="B43" s="172" t="s">
        <v>1022</v>
      </c>
      <c r="C43" s="172">
        <f t="shared" si="0"/>
        <v>45536</v>
      </c>
      <c r="D43" s="173">
        <f t="shared" si="5"/>
        <v>3846400.9178662011</v>
      </c>
      <c r="E43" s="173">
        <f t="shared" si="8"/>
        <v>53274.285736839716</v>
      </c>
      <c r="F43" s="174">
        <f t="shared" si="1"/>
        <v>0</v>
      </c>
      <c r="G43" s="173">
        <f t="shared" si="2"/>
        <v>53274.285736839716</v>
      </c>
      <c r="H43" s="173">
        <f t="shared" si="6"/>
        <v>30836.947049286875</v>
      </c>
      <c r="I43" s="173">
        <f t="shared" si="7"/>
        <v>22437.338687552841</v>
      </c>
      <c r="J43" s="173">
        <f t="shared" si="3"/>
        <v>3815563.9708169145</v>
      </c>
      <c r="K43" s="173">
        <f>SUM($I$17:$I43)</f>
        <v>665649.68571158557</v>
      </c>
      <c r="L43" s="168"/>
      <c r="M43" s="168"/>
      <c r="N43" s="150"/>
    </row>
    <row r="44" spans="1:14" ht="21.75" customHeight="1">
      <c r="A44" s="191">
        <f t="shared" si="4"/>
        <v>28</v>
      </c>
      <c r="B44" s="172" t="s">
        <v>1023</v>
      </c>
      <c r="C44" s="172">
        <f t="shared" si="0"/>
        <v>45566</v>
      </c>
      <c r="D44" s="173">
        <f t="shared" si="5"/>
        <v>3815563.9708169145</v>
      </c>
      <c r="E44" s="173">
        <f t="shared" si="8"/>
        <v>53274.285736839716</v>
      </c>
      <c r="F44" s="174">
        <f t="shared" si="1"/>
        <v>0</v>
      </c>
      <c r="G44" s="173">
        <f t="shared" si="2"/>
        <v>53274.285736839716</v>
      </c>
      <c r="H44" s="173">
        <f t="shared" si="6"/>
        <v>31016.829240407715</v>
      </c>
      <c r="I44" s="173">
        <f t="shared" si="7"/>
        <v>22257.456496432002</v>
      </c>
      <c r="J44" s="173">
        <f t="shared" si="3"/>
        <v>3784547.1415765067</v>
      </c>
      <c r="K44" s="173">
        <f>SUM($I$17:$I44)</f>
        <v>687907.14220801753</v>
      </c>
      <c r="L44" s="168"/>
      <c r="M44" s="168"/>
      <c r="N44" s="150"/>
    </row>
    <row r="45" spans="1:14" ht="21.75" customHeight="1">
      <c r="A45" s="191">
        <f t="shared" si="4"/>
        <v>29</v>
      </c>
      <c r="B45" s="172" t="s">
        <v>1024</v>
      </c>
      <c r="C45" s="172">
        <f t="shared" si="0"/>
        <v>45597</v>
      </c>
      <c r="D45" s="173">
        <f t="shared" si="5"/>
        <v>3784547.1415765067</v>
      </c>
      <c r="E45" s="173">
        <f t="shared" si="8"/>
        <v>53274.285736839716</v>
      </c>
      <c r="F45" s="174">
        <f t="shared" si="1"/>
        <v>0</v>
      </c>
      <c r="G45" s="173">
        <f t="shared" si="2"/>
        <v>53274.285736839716</v>
      </c>
      <c r="H45" s="173">
        <f t="shared" si="6"/>
        <v>31197.760744310093</v>
      </c>
      <c r="I45" s="173">
        <f t="shared" si="7"/>
        <v>22076.524992529623</v>
      </c>
      <c r="J45" s="173">
        <f t="shared" si="3"/>
        <v>3753349.3808321967</v>
      </c>
      <c r="K45" s="173">
        <f>SUM($I$17:$I45)</f>
        <v>709983.66720054718</v>
      </c>
      <c r="L45" s="168"/>
      <c r="M45" s="168"/>
      <c r="N45" s="150"/>
    </row>
    <row r="46" spans="1:14" ht="21.75" customHeight="1">
      <c r="A46" s="191">
        <f t="shared" si="4"/>
        <v>30</v>
      </c>
      <c r="B46" s="172" t="s">
        <v>1025</v>
      </c>
      <c r="C46" s="172">
        <f t="shared" si="0"/>
        <v>45627</v>
      </c>
      <c r="D46" s="173">
        <f t="shared" si="5"/>
        <v>3753349.3808321967</v>
      </c>
      <c r="E46" s="173">
        <f t="shared" si="8"/>
        <v>53274.285736839716</v>
      </c>
      <c r="F46" s="174">
        <f t="shared" si="1"/>
        <v>0</v>
      </c>
      <c r="G46" s="173">
        <f t="shared" si="2"/>
        <v>53274.285736839716</v>
      </c>
      <c r="H46" s="173">
        <f t="shared" si="6"/>
        <v>31379.747681985235</v>
      </c>
      <c r="I46" s="173">
        <f t="shared" si="7"/>
        <v>21894.538054854482</v>
      </c>
      <c r="J46" s="173">
        <f t="shared" si="3"/>
        <v>3721969.6331502115</v>
      </c>
      <c r="K46" s="173">
        <f>SUM($I$17:$I46)</f>
        <v>731878.20525540167</v>
      </c>
      <c r="L46" s="168"/>
      <c r="M46" s="168"/>
      <c r="N46" s="150"/>
    </row>
    <row r="47" spans="1:14" ht="21.75" customHeight="1">
      <c r="A47" s="191">
        <f t="shared" si="4"/>
        <v>31</v>
      </c>
      <c r="B47" s="172" t="s">
        <v>1026</v>
      </c>
      <c r="C47" s="172">
        <f t="shared" si="0"/>
        <v>45658</v>
      </c>
      <c r="D47" s="173">
        <f t="shared" si="5"/>
        <v>3721969.6331502115</v>
      </c>
      <c r="E47" s="173">
        <f t="shared" si="8"/>
        <v>53274.285736839716</v>
      </c>
      <c r="F47" s="174">
        <f t="shared" si="1"/>
        <v>0</v>
      </c>
      <c r="G47" s="173">
        <f t="shared" si="2"/>
        <v>53274.285736839716</v>
      </c>
      <c r="H47" s="173">
        <f t="shared" si="6"/>
        <v>31562.796210130149</v>
      </c>
      <c r="I47" s="173">
        <f t="shared" si="7"/>
        <v>21711.489526709567</v>
      </c>
      <c r="J47" s="173">
        <f t="shared" si="3"/>
        <v>3690406.8369400813</v>
      </c>
      <c r="K47" s="173">
        <f>SUM($I$17:$I47)</f>
        <v>753589.69478211121</v>
      </c>
      <c r="L47" s="168"/>
      <c r="M47" s="168"/>
      <c r="N47" s="150"/>
    </row>
    <row r="48" spans="1:14" ht="21.75" customHeight="1">
      <c r="A48" s="191">
        <f t="shared" si="4"/>
        <v>32</v>
      </c>
      <c r="B48" s="172" t="s">
        <v>1027</v>
      </c>
      <c r="C48" s="172">
        <f t="shared" si="0"/>
        <v>45689</v>
      </c>
      <c r="D48" s="173">
        <f t="shared" si="5"/>
        <v>3690406.8369400813</v>
      </c>
      <c r="E48" s="173">
        <f t="shared" si="8"/>
        <v>53274.285736839716</v>
      </c>
      <c r="F48" s="174">
        <f t="shared" si="1"/>
        <v>0</v>
      </c>
      <c r="G48" s="173">
        <f t="shared" si="2"/>
        <v>53274.285736839716</v>
      </c>
      <c r="H48" s="173">
        <f t="shared" si="6"/>
        <v>31746.912521355905</v>
      </c>
      <c r="I48" s="173">
        <f t="shared" si="7"/>
        <v>21527.373215483811</v>
      </c>
      <c r="J48" s="173">
        <f t="shared" si="3"/>
        <v>3658659.9244187255</v>
      </c>
      <c r="K48" s="173">
        <f>SUM($I$17:$I48)</f>
        <v>775117.06799759506</v>
      </c>
      <c r="L48" s="168"/>
      <c r="M48" s="168"/>
      <c r="N48" s="150"/>
    </row>
    <row r="49" spans="1:14" ht="21.75" customHeight="1">
      <c r="A49" s="191">
        <f t="shared" si="4"/>
        <v>33</v>
      </c>
      <c r="B49" s="172" t="s">
        <v>1028</v>
      </c>
      <c r="C49" s="172">
        <f t="shared" si="0"/>
        <v>45717</v>
      </c>
      <c r="D49" s="173">
        <f t="shared" si="5"/>
        <v>3658659.9244187255</v>
      </c>
      <c r="E49" s="173">
        <f t="shared" si="8"/>
        <v>53274.285736839716</v>
      </c>
      <c r="F49" s="174">
        <f t="shared" si="1"/>
        <v>0</v>
      </c>
      <c r="G49" s="173">
        <f t="shared" si="2"/>
        <v>53274.285736839716</v>
      </c>
      <c r="H49" s="173">
        <f t="shared" si="6"/>
        <v>31932.102844397148</v>
      </c>
      <c r="I49" s="173">
        <f t="shared" si="7"/>
        <v>21342.182892442568</v>
      </c>
      <c r="J49" s="173">
        <f t="shared" si="3"/>
        <v>3626727.8215743285</v>
      </c>
      <c r="K49" s="173">
        <f>SUM($I$17:$I49)</f>
        <v>796459.25089003763</v>
      </c>
      <c r="L49" s="168"/>
      <c r="M49" s="168"/>
      <c r="N49" s="150"/>
    </row>
    <row r="50" spans="1:14" ht="21.75" customHeight="1">
      <c r="A50" s="191">
        <f t="shared" si="4"/>
        <v>34</v>
      </c>
      <c r="B50" s="172" t="s">
        <v>1029</v>
      </c>
      <c r="C50" s="172">
        <f t="shared" si="0"/>
        <v>45748</v>
      </c>
      <c r="D50" s="173">
        <f t="shared" si="5"/>
        <v>3626727.8215743285</v>
      </c>
      <c r="E50" s="173">
        <f t="shared" si="8"/>
        <v>53274.285736839716</v>
      </c>
      <c r="F50" s="174">
        <f t="shared" si="1"/>
        <v>0</v>
      </c>
      <c r="G50" s="173">
        <f t="shared" si="2"/>
        <v>53274.285736839716</v>
      </c>
      <c r="H50" s="173">
        <f t="shared" si="6"/>
        <v>32118.373444322799</v>
      </c>
      <c r="I50" s="173">
        <f t="shared" si="7"/>
        <v>21155.912292516918</v>
      </c>
      <c r="J50" s="173">
        <f t="shared" si="3"/>
        <v>3594609.4481300055</v>
      </c>
      <c r="K50" s="173">
        <f>SUM($I$17:$I50)</f>
        <v>817615.16318255453</v>
      </c>
      <c r="L50" s="168"/>
      <c r="M50" s="168"/>
      <c r="N50" s="150"/>
    </row>
    <row r="51" spans="1:14" ht="21.75" customHeight="1">
      <c r="A51" s="191">
        <f t="shared" si="4"/>
        <v>35</v>
      </c>
      <c r="B51" s="172" t="s">
        <v>1030</v>
      </c>
      <c r="C51" s="172">
        <f t="shared" si="0"/>
        <v>45778</v>
      </c>
      <c r="D51" s="173">
        <f t="shared" si="5"/>
        <v>3594609.4481300055</v>
      </c>
      <c r="E51" s="173">
        <f t="shared" si="8"/>
        <v>53274.285736839716</v>
      </c>
      <c r="F51" s="174">
        <f t="shared" si="1"/>
        <v>0</v>
      </c>
      <c r="G51" s="173">
        <f t="shared" si="2"/>
        <v>53274.285736839716</v>
      </c>
      <c r="H51" s="173">
        <f t="shared" si="6"/>
        <v>32305.730622748015</v>
      </c>
      <c r="I51" s="173">
        <f t="shared" si="7"/>
        <v>20968.555114091701</v>
      </c>
      <c r="J51" s="173">
        <f t="shared" si="3"/>
        <v>3562303.7175072576</v>
      </c>
      <c r="K51" s="173">
        <f>SUM($I$17:$I51)</f>
        <v>838583.71829664626</v>
      </c>
      <c r="L51" s="168"/>
      <c r="M51" s="168"/>
      <c r="N51" s="150"/>
    </row>
    <row r="52" spans="1:14" ht="21.75" customHeight="1">
      <c r="A52" s="191">
        <f t="shared" si="4"/>
        <v>36</v>
      </c>
      <c r="B52" s="172" t="s">
        <v>1031</v>
      </c>
      <c r="C52" s="172">
        <f t="shared" si="0"/>
        <v>45809</v>
      </c>
      <c r="D52" s="173">
        <f t="shared" si="5"/>
        <v>3562303.7175072576</v>
      </c>
      <c r="E52" s="173">
        <f t="shared" si="8"/>
        <v>53274.285736839716</v>
      </c>
      <c r="F52" s="174">
        <f t="shared" si="1"/>
        <v>0</v>
      </c>
      <c r="G52" s="173">
        <f t="shared" si="2"/>
        <v>53274.285736839716</v>
      </c>
      <c r="H52" s="173">
        <f t="shared" si="6"/>
        <v>32494.180718047381</v>
      </c>
      <c r="I52" s="173">
        <f t="shared" si="7"/>
        <v>20780.105018792336</v>
      </c>
      <c r="J52" s="173">
        <f t="shared" si="3"/>
        <v>3529809.53678921</v>
      </c>
      <c r="K52" s="173">
        <f>SUM($I$17:$I52)</f>
        <v>859363.82331543858</v>
      </c>
      <c r="L52" s="168"/>
      <c r="M52" s="168"/>
      <c r="N52" s="150"/>
    </row>
    <row r="53" spans="1:14" ht="21.75" customHeight="1">
      <c r="A53" s="191">
        <f t="shared" si="4"/>
        <v>37</v>
      </c>
      <c r="B53" s="172" t="s">
        <v>1032</v>
      </c>
      <c r="C53" s="172">
        <f t="shared" si="0"/>
        <v>45839</v>
      </c>
      <c r="D53" s="173">
        <f t="shared" si="5"/>
        <v>3529809.53678921</v>
      </c>
      <c r="E53" s="173">
        <f t="shared" si="8"/>
        <v>53274.285736839716</v>
      </c>
      <c r="F53" s="174">
        <f t="shared" si="1"/>
        <v>0</v>
      </c>
      <c r="G53" s="173">
        <f t="shared" si="2"/>
        <v>53274.285736839716</v>
      </c>
      <c r="H53" s="173">
        <f t="shared" si="6"/>
        <v>32683.730105569321</v>
      </c>
      <c r="I53" s="173">
        <f t="shared" si="7"/>
        <v>20590.555631270396</v>
      </c>
      <c r="J53" s="173">
        <f t="shared" si="3"/>
        <v>3497125.8066836409</v>
      </c>
      <c r="K53" s="173">
        <f>SUM($I$17:$I53)</f>
        <v>879954.37894670898</v>
      </c>
      <c r="L53" s="168"/>
      <c r="M53" s="168"/>
      <c r="N53" s="150"/>
    </row>
    <row r="54" spans="1:14" ht="21.75" customHeight="1">
      <c r="A54" s="191">
        <f t="shared" si="4"/>
        <v>38</v>
      </c>
      <c r="B54" s="172" t="s">
        <v>1033</v>
      </c>
      <c r="C54" s="172">
        <f t="shared" si="0"/>
        <v>45870</v>
      </c>
      <c r="D54" s="173">
        <f t="shared" si="5"/>
        <v>3497125.8066836409</v>
      </c>
      <c r="E54" s="173">
        <f t="shared" si="8"/>
        <v>53274.285736839716</v>
      </c>
      <c r="F54" s="174">
        <f t="shared" si="1"/>
        <v>0</v>
      </c>
      <c r="G54" s="173">
        <f t="shared" si="2"/>
        <v>53274.285736839716</v>
      </c>
      <c r="H54" s="173">
        <f t="shared" si="6"/>
        <v>32874.385197851807</v>
      </c>
      <c r="I54" s="173">
        <f t="shared" si="7"/>
        <v>20399.900538987906</v>
      </c>
      <c r="J54" s="173">
        <f t="shared" si="3"/>
        <v>3464251.4214857891</v>
      </c>
      <c r="K54" s="173">
        <f>SUM($I$17:$I54)</f>
        <v>900354.27948569693</v>
      </c>
      <c r="L54" s="168"/>
      <c r="M54" s="168"/>
      <c r="N54" s="150"/>
    </row>
    <row r="55" spans="1:14" ht="21.75" customHeight="1">
      <c r="A55" s="191">
        <f t="shared" si="4"/>
        <v>39</v>
      </c>
      <c r="B55" s="172" t="s">
        <v>1034</v>
      </c>
      <c r="C55" s="172">
        <f t="shared" si="0"/>
        <v>45901</v>
      </c>
      <c r="D55" s="173">
        <f t="shared" si="5"/>
        <v>3464251.4214857891</v>
      </c>
      <c r="E55" s="173">
        <f t="shared" si="8"/>
        <v>53274.285736839716</v>
      </c>
      <c r="F55" s="174">
        <f t="shared" si="1"/>
        <v>0</v>
      </c>
      <c r="G55" s="173">
        <f t="shared" si="2"/>
        <v>53274.285736839716</v>
      </c>
      <c r="H55" s="173">
        <f t="shared" si="6"/>
        <v>33066.152444839274</v>
      </c>
      <c r="I55" s="173">
        <f t="shared" si="7"/>
        <v>20208.133292000439</v>
      </c>
      <c r="J55" s="173">
        <f t="shared" si="3"/>
        <v>3431185.2690409496</v>
      </c>
      <c r="K55" s="173">
        <f>SUM($I$17:$I55)</f>
        <v>920562.41277769732</v>
      </c>
      <c r="L55" s="168"/>
      <c r="M55" s="168"/>
      <c r="N55" s="150"/>
    </row>
    <row r="56" spans="1:14" ht="21.75" customHeight="1">
      <c r="A56" s="191">
        <f t="shared" si="4"/>
        <v>40</v>
      </c>
      <c r="B56" s="172" t="s">
        <v>1035</v>
      </c>
      <c r="C56" s="172">
        <f t="shared" si="0"/>
        <v>45931</v>
      </c>
      <c r="D56" s="173">
        <f t="shared" si="5"/>
        <v>3431185.2690409496</v>
      </c>
      <c r="E56" s="173">
        <f t="shared" si="8"/>
        <v>53274.285736839716</v>
      </c>
      <c r="F56" s="174">
        <f t="shared" si="1"/>
        <v>0</v>
      </c>
      <c r="G56" s="173">
        <f t="shared" si="2"/>
        <v>53274.285736839716</v>
      </c>
      <c r="H56" s="173">
        <f t="shared" si="6"/>
        <v>33259.038334100842</v>
      </c>
      <c r="I56" s="173">
        <f t="shared" si="7"/>
        <v>20015.247402738874</v>
      </c>
      <c r="J56" s="173">
        <f t="shared" si="3"/>
        <v>3397926.2307068487</v>
      </c>
      <c r="K56" s="173">
        <f>SUM($I$17:$I56)</f>
        <v>940577.66018043621</v>
      </c>
      <c r="L56" s="168"/>
      <c r="M56" s="168"/>
      <c r="N56" s="150"/>
    </row>
    <row r="57" spans="1:14" ht="21.75" customHeight="1">
      <c r="A57" s="191">
        <f t="shared" si="4"/>
        <v>41</v>
      </c>
      <c r="B57" s="172" t="s">
        <v>1036</v>
      </c>
      <c r="C57" s="172">
        <f t="shared" si="0"/>
        <v>45962</v>
      </c>
      <c r="D57" s="173">
        <f t="shared" si="5"/>
        <v>3397926.2307068487</v>
      </c>
      <c r="E57" s="173">
        <f t="shared" si="8"/>
        <v>53274.285736839716</v>
      </c>
      <c r="F57" s="174">
        <f t="shared" si="1"/>
        <v>0</v>
      </c>
      <c r="G57" s="173">
        <f t="shared" si="2"/>
        <v>53274.285736839716</v>
      </c>
      <c r="H57" s="173">
        <f t="shared" si="6"/>
        <v>33453.049391049761</v>
      </c>
      <c r="I57" s="173">
        <f t="shared" si="7"/>
        <v>19821.236345789952</v>
      </c>
      <c r="J57" s="173">
        <f t="shared" si="3"/>
        <v>3364473.1813157988</v>
      </c>
      <c r="K57" s="173">
        <f>SUM($I$17:$I57)</f>
        <v>960398.89652622619</v>
      </c>
      <c r="L57" s="168"/>
      <c r="M57" s="168"/>
      <c r="N57" s="150"/>
    </row>
    <row r="58" spans="1:14" ht="21.75" customHeight="1">
      <c r="A58" s="191">
        <f t="shared" si="4"/>
        <v>42</v>
      </c>
      <c r="B58" s="172" t="s">
        <v>1037</v>
      </c>
      <c r="C58" s="172">
        <f t="shared" si="0"/>
        <v>45992</v>
      </c>
      <c r="D58" s="173">
        <f t="shared" si="5"/>
        <v>3364473.1813157988</v>
      </c>
      <c r="E58" s="173">
        <f t="shared" si="8"/>
        <v>53274.285736839716</v>
      </c>
      <c r="F58" s="174">
        <f t="shared" si="1"/>
        <v>0</v>
      </c>
      <c r="G58" s="173">
        <f t="shared" si="2"/>
        <v>53274.285736839716</v>
      </c>
      <c r="H58" s="173">
        <f t="shared" si="6"/>
        <v>33648.192179164223</v>
      </c>
      <c r="I58" s="173">
        <f t="shared" si="7"/>
        <v>19626.093557675496</v>
      </c>
      <c r="J58" s="173">
        <f t="shared" si="3"/>
        <v>3330824.9891366344</v>
      </c>
      <c r="K58" s="173">
        <f>SUM($I$17:$I58)</f>
        <v>980024.99008390168</v>
      </c>
      <c r="L58" s="168"/>
      <c r="M58" s="168"/>
      <c r="N58" s="150"/>
    </row>
    <row r="59" spans="1:14" s="180" customFormat="1" ht="21.75" customHeight="1">
      <c r="A59" s="192">
        <f t="shared" si="4"/>
        <v>43</v>
      </c>
      <c r="B59" s="172" t="s">
        <v>1038</v>
      </c>
      <c r="C59" s="176">
        <f t="shared" si="0"/>
        <v>46023</v>
      </c>
      <c r="D59" s="177">
        <f t="shared" si="5"/>
        <v>3330824.9891366344</v>
      </c>
      <c r="E59" s="177">
        <f t="shared" si="8"/>
        <v>53274.285736839716</v>
      </c>
      <c r="F59" s="178">
        <f t="shared" si="1"/>
        <v>0</v>
      </c>
      <c r="G59" s="177">
        <f t="shared" si="2"/>
        <v>53274.285736839716</v>
      </c>
      <c r="H59" s="177">
        <f t="shared" si="6"/>
        <v>33844.473300209342</v>
      </c>
      <c r="I59" s="177">
        <f t="shared" si="7"/>
        <v>19429.812436630371</v>
      </c>
      <c r="J59" s="177">
        <f t="shared" si="3"/>
        <v>3296980.5158364251</v>
      </c>
      <c r="K59" s="177">
        <f>SUM($I$17:$I59)</f>
        <v>999454.80252053204</v>
      </c>
      <c r="L59" s="179"/>
      <c r="M59" s="179"/>
    </row>
    <row r="60" spans="1:14" s="180" customFormat="1" ht="21.75" customHeight="1">
      <c r="A60" s="192">
        <f t="shared" si="4"/>
        <v>44</v>
      </c>
      <c r="B60" s="172" t="s">
        <v>1039</v>
      </c>
      <c r="C60" s="176">
        <f t="shared" si="0"/>
        <v>46054</v>
      </c>
      <c r="D60" s="177">
        <f t="shared" si="5"/>
        <v>3296980.5158364251</v>
      </c>
      <c r="E60" s="177">
        <f t="shared" si="8"/>
        <v>53274.285736839716</v>
      </c>
      <c r="F60" s="178">
        <f t="shared" si="1"/>
        <v>0</v>
      </c>
      <c r="G60" s="177">
        <f t="shared" si="2"/>
        <v>53274.285736839716</v>
      </c>
      <c r="H60" s="177">
        <f t="shared" si="6"/>
        <v>34041.899394460568</v>
      </c>
      <c r="I60" s="177">
        <f t="shared" si="7"/>
        <v>19232.386342379148</v>
      </c>
      <c r="J60" s="177">
        <f t="shared" si="3"/>
        <v>3262938.6164419646</v>
      </c>
      <c r="K60" s="177">
        <f>SUM($I$17:$I60)</f>
        <v>1018687.1888629112</v>
      </c>
      <c r="L60" s="179"/>
      <c r="M60" s="179"/>
    </row>
    <row r="61" spans="1:14" s="180" customFormat="1" ht="21.75" customHeight="1">
      <c r="A61" s="192">
        <f t="shared" si="4"/>
        <v>45</v>
      </c>
      <c r="B61" s="172" t="s">
        <v>1040</v>
      </c>
      <c r="C61" s="176">
        <f t="shared" si="0"/>
        <v>46082</v>
      </c>
      <c r="D61" s="177">
        <f t="shared" si="5"/>
        <v>3262938.6164419646</v>
      </c>
      <c r="E61" s="177">
        <f t="shared" si="8"/>
        <v>53274.285736839716</v>
      </c>
      <c r="F61" s="178">
        <f t="shared" si="1"/>
        <v>0</v>
      </c>
      <c r="G61" s="177">
        <f t="shared" si="2"/>
        <v>53274.285736839716</v>
      </c>
      <c r="H61" s="177">
        <f t="shared" si="6"/>
        <v>34240.477140928255</v>
      </c>
      <c r="I61" s="177">
        <f t="shared" si="7"/>
        <v>19033.808595911461</v>
      </c>
      <c r="J61" s="177">
        <f t="shared" si="3"/>
        <v>3228698.1393010365</v>
      </c>
      <c r="K61" s="177">
        <f>SUM($I$17:$I61)</f>
        <v>1037720.9974588227</v>
      </c>
      <c r="L61" s="179"/>
      <c r="M61" s="179"/>
    </row>
    <row r="62" spans="1:14" s="180" customFormat="1" ht="21.75" customHeight="1">
      <c r="A62" s="192">
        <f t="shared" si="4"/>
        <v>46</v>
      </c>
      <c r="B62" s="172" t="s">
        <v>1041</v>
      </c>
      <c r="C62" s="176">
        <f t="shared" si="0"/>
        <v>46113</v>
      </c>
      <c r="D62" s="177">
        <f t="shared" si="5"/>
        <v>3228698.1393010365</v>
      </c>
      <c r="E62" s="177">
        <f t="shared" si="8"/>
        <v>53274.285736839716</v>
      </c>
      <c r="F62" s="178">
        <f t="shared" si="1"/>
        <v>0</v>
      </c>
      <c r="G62" s="177">
        <f t="shared" si="2"/>
        <v>53274.285736839716</v>
      </c>
      <c r="H62" s="177">
        <f t="shared" si="6"/>
        <v>34440.213257583673</v>
      </c>
      <c r="I62" s="177">
        <f t="shared" si="7"/>
        <v>18834.072479256047</v>
      </c>
      <c r="J62" s="177">
        <f t="shared" si="3"/>
        <v>3194257.9260434527</v>
      </c>
      <c r="K62" s="177">
        <f>SUM($I$17:$I62)</f>
        <v>1056555.0699380788</v>
      </c>
      <c r="L62" s="179"/>
      <c r="M62" s="179"/>
    </row>
    <row r="63" spans="1:14" s="180" customFormat="1" ht="21.75" customHeight="1">
      <c r="A63" s="192">
        <f t="shared" si="4"/>
        <v>47</v>
      </c>
      <c r="B63" s="172" t="s">
        <v>1042</v>
      </c>
      <c r="C63" s="176">
        <f t="shared" si="0"/>
        <v>46143</v>
      </c>
      <c r="D63" s="177">
        <f t="shared" si="5"/>
        <v>3194257.9260434527</v>
      </c>
      <c r="E63" s="177">
        <f t="shared" si="8"/>
        <v>53274.285736839716</v>
      </c>
      <c r="F63" s="178">
        <f t="shared" si="1"/>
        <v>0</v>
      </c>
      <c r="G63" s="177">
        <f t="shared" si="2"/>
        <v>53274.285736839716</v>
      </c>
      <c r="H63" s="177">
        <f t="shared" si="6"/>
        <v>34641.114501586242</v>
      </c>
      <c r="I63" s="177">
        <f t="shared" si="7"/>
        <v>18633.171235253478</v>
      </c>
      <c r="J63" s="177">
        <f t="shared" si="3"/>
        <v>3159616.8115418665</v>
      </c>
      <c r="K63" s="177">
        <f>SUM($I$17:$I63)</f>
        <v>1075188.2411733323</v>
      </c>
      <c r="L63" s="179"/>
      <c r="M63" s="179"/>
    </row>
    <row r="64" spans="1:14" s="180" customFormat="1" ht="21.75" customHeight="1">
      <c r="A64" s="192">
        <f t="shared" si="4"/>
        <v>48</v>
      </c>
      <c r="B64" s="172" t="s">
        <v>1043</v>
      </c>
      <c r="C64" s="176">
        <f t="shared" si="0"/>
        <v>46174</v>
      </c>
      <c r="D64" s="177">
        <f t="shared" si="5"/>
        <v>3159616.8115418665</v>
      </c>
      <c r="E64" s="177">
        <f t="shared" si="8"/>
        <v>53274.285736839716</v>
      </c>
      <c r="F64" s="178">
        <f t="shared" si="1"/>
        <v>0</v>
      </c>
      <c r="G64" s="177">
        <f t="shared" si="2"/>
        <v>53274.285736839716</v>
      </c>
      <c r="H64" s="177">
        <f t="shared" si="6"/>
        <v>34843.187669512161</v>
      </c>
      <c r="I64" s="177">
        <f t="shared" si="7"/>
        <v>18431.098067327555</v>
      </c>
      <c r="J64" s="177">
        <f t="shared" si="3"/>
        <v>3124773.6238723542</v>
      </c>
      <c r="K64" s="177">
        <f>SUM($I$17:$I64)</f>
        <v>1093619.33924066</v>
      </c>
      <c r="L64" s="179"/>
      <c r="M64" s="179"/>
    </row>
    <row r="65" spans="1:13" s="180" customFormat="1" ht="21.75" customHeight="1">
      <c r="A65" s="192">
        <f t="shared" si="4"/>
        <v>49</v>
      </c>
      <c r="B65" s="172" t="s">
        <v>1044</v>
      </c>
      <c r="C65" s="176">
        <f t="shared" si="0"/>
        <v>46204</v>
      </c>
      <c r="D65" s="177">
        <f t="shared" si="5"/>
        <v>3124773.6238723542</v>
      </c>
      <c r="E65" s="177">
        <f t="shared" si="8"/>
        <v>53274.285736839716</v>
      </c>
      <c r="F65" s="178">
        <f t="shared" si="1"/>
        <v>0</v>
      </c>
      <c r="G65" s="177">
        <f t="shared" si="2"/>
        <v>53274.285736839716</v>
      </c>
      <c r="H65" s="177">
        <f t="shared" si="6"/>
        <v>35046.439597584314</v>
      </c>
      <c r="I65" s="177">
        <f t="shared" si="7"/>
        <v>18227.846139255402</v>
      </c>
      <c r="J65" s="177">
        <f t="shared" si="3"/>
        <v>3089727.1842747699</v>
      </c>
      <c r="K65" s="177">
        <f>SUM($I$17:$I65)</f>
        <v>1111847.1853799154</v>
      </c>
      <c r="L65" s="179"/>
      <c r="M65" s="179"/>
    </row>
    <row r="66" spans="1:13" s="180" customFormat="1" ht="21.75" customHeight="1">
      <c r="A66" s="192">
        <f t="shared" si="4"/>
        <v>50</v>
      </c>
      <c r="B66" s="172" t="s">
        <v>1045</v>
      </c>
      <c r="C66" s="176">
        <f t="shared" si="0"/>
        <v>46235</v>
      </c>
      <c r="D66" s="177">
        <f t="shared" si="5"/>
        <v>3089727.1842747699</v>
      </c>
      <c r="E66" s="177">
        <f t="shared" si="8"/>
        <v>53274.285736839716</v>
      </c>
      <c r="F66" s="178">
        <f t="shared" si="1"/>
        <v>0</v>
      </c>
      <c r="G66" s="177">
        <f t="shared" si="2"/>
        <v>53274.285736839716</v>
      </c>
      <c r="H66" s="177">
        <f t="shared" si="6"/>
        <v>35250.877161903554</v>
      </c>
      <c r="I66" s="177">
        <f t="shared" si="7"/>
        <v>18023.408574936158</v>
      </c>
      <c r="J66" s="177">
        <f t="shared" si="3"/>
        <v>3054476.3071128661</v>
      </c>
      <c r="K66" s="177">
        <f>SUM($I$17:$I66)</f>
        <v>1129870.5939548516</v>
      </c>
      <c r="L66" s="179"/>
      <c r="M66" s="179"/>
    </row>
    <row r="67" spans="1:13" s="180" customFormat="1" ht="21.75" customHeight="1">
      <c r="A67" s="192">
        <f t="shared" si="4"/>
        <v>51</v>
      </c>
      <c r="B67" s="172" t="s">
        <v>1046</v>
      </c>
      <c r="C67" s="176">
        <f t="shared" si="0"/>
        <v>46266</v>
      </c>
      <c r="D67" s="177">
        <f t="shared" si="5"/>
        <v>3054476.3071128661</v>
      </c>
      <c r="E67" s="177">
        <f t="shared" si="8"/>
        <v>53274.285736839716</v>
      </c>
      <c r="F67" s="178">
        <f t="shared" si="1"/>
        <v>0</v>
      </c>
      <c r="G67" s="177">
        <f t="shared" si="2"/>
        <v>53274.285736839716</v>
      </c>
      <c r="H67" s="177">
        <f t="shared" si="6"/>
        <v>35456.507278681325</v>
      </c>
      <c r="I67" s="177">
        <f t="shared" si="7"/>
        <v>17817.778458158387</v>
      </c>
      <c r="J67" s="177">
        <f t="shared" si="3"/>
        <v>3019019.7998341848</v>
      </c>
      <c r="K67" s="177">
        <f>SUM($I$17:$I67)</f>
        <v>1147688.3724130101</v>
      </c>
      <c r="L67" s="179"/>
      <c r="M67" s="179"/>
    </row>
    <row r="68" spans="1:13" s="180" customFormat="1" ht="21.75" customHeight="1">
      <c r="A68" s="192">
        <f t="shared" si="4"/>
        <v>52</v>
      </c>
      <c r="B68" s="172" t="s">
        <v>1047</v>
      </c>
      <c r="C68" s="176">
        <f t="shared" si="0"/>
        <v>46296</v>
      </c>
      <c r="D68" s="177">
        <f t="shared" si="5"/>
        <v>3019019.7998341848</v>
      </c>
      <c r="E68" s="177">
        <f t="shared" si="8"/>
        <v>53274.285736839716</v>
      </c>
      <c r="F68" s="178">
        <f t="shared" si="1"/>
        <v>0</v>
      </c>
      <c r="G68" s="177">
        <f t="shared" si="2"/>
        <v>53274.285736839716</v>
      </c>
      <c r="H68" s="177">
        <f t="shared" si="6"/>
        <v>35663.336904473632</v>
      </c>
      <c r="I68" s="177">
        <f t="shared" si="7"/>
        <v>17610.948832366081</v>
      </c>
      <c r="J68" s="177">
        <f t="shared" si="3"/>
        <v>2983356.4629297112</v>
      </c>
      <c r="K68" s="177">
        <f>SUM($I$17:$I68)</f>
        <v>1165299.3212453763</v>
      </c>
      <c r="L68" s="179"/>
      <c r="M68" s="179"/>
    </row>
    <row r="69" spans="1:13" s="180" customFormat="1" ht="21.75" customHeight="1">
      <c r="A69" s="192">
        <f t="shared" si="4"/>
        <v>53</v>
      </c>
      <c r="B69" s="172" t="s">
        <v>1048</v>
      </c>
      <c r="C69" s="176">
        <f t="shared" si="0"/>
        <v>46327</v>
      </c>
      <c r="D69" s="177">
        <f t="shared" si="5"/>
        <v>2983356.4629297112</v>
      </c>
      <c r="E69" s="177">
        <f t="shared" si="8"/>
        <v>53274.285736839716</v>
      </c>
      <c r="F69" s="178">
        <f t="shared" si="1"/>
        <v>0</v>
      </c>
      <c r="G69" s="177">
        <f t="shared" si="2"/>
        <v>53274.285736839716</v>
      </c>
      <c r="H69" s="177">
        <f t="shared" si="6"/>
        <v>35871.3730364164</v>
      </c>
      <c r="I69" s="177">
        <f t="shared" si="7"/>
        <v>17402.912700423316</v>
      </c>
      <c r="J69" s="177">
        <f t="shared" si="3"/>
        <v>2947485.089893295</v>
      </c>
      <c r="K69" s="177">
        <f>SUM($I$17:$I69)</f>
        <v>1182702.2339457995</v>
      </c>
      <c r="L69" s="179"/>
      <c r="M69" s="179"/>
    </row>
    <row r="70" spans="1:13" s="180" customFormat="1" ht="21.75" customHeight="1">
      <c r="A70" s="192">
        <f t="shared" si="4"/>
        <v>54</v>
      </c>
      <c r="B70" s="172" t="s">
        <v>1049</v>
      </c>
      <c r="C70" s="176">
        <f t="shared" si="0"/>
        <v>46357</v>
      </c>
      <c r="D70" s="177">
        <f t="shared" si="5"/>
        <v>2947485.089893295</v>
      </c>
      <c r="E70" s="177">
        <f t="shared" si="8"/>
        <v>53274.285736839716</v>
      </c>
      <c r="F70" s="178">
        <f t="shared" si="1"/>
        <v>0</v>
      </c>
      <c r="G70" s="177">
        <f t="shared" si="2"/>
        <v>53274.285736839716</v>
      </c>
      <c r="H70" s="177">
        <f t="shared" si="6"/>
        <v>36080.622712462166</v>
      </c>
      <c r="I70" s="177">
        <f t="shared" si="7"/>
        <v>17193.663024377554</v>
      </c>
      <c r="J70" s="177">
        <f t="shared" si="3"/>
        <v>2911404.4671808328</v>
      </c>
      <c r="K70" s="177">
        <f>SUM($I$17:$I70)</f>
        <v>1199895.8969701771</v>
      </c>
      <c r="L70" s="179"/>
      <c r="M70" s="179"/>
    </row>
    <row r="71" spans="1:13" s="180" customFormat="1" ht="21.75" customHeight="1">
      <c r="A71" s="192">
        <f t="shared" si="4"/>
        <v>55</v>
      </c>
      <c r="B71" s="172" t="s">
        <v>1050</v>
      </c>
      <c r="C71" s="176">
        <f t="shared" si="0"/>
        <v>46388</v>
      </c>
      <c r="D71" s="177">
        <f t="shared" si="5"/>
        <v>2911404.4671808328</v>
      </c>
      <c r="E71" s="177">
        <f t="shared" si="8"/>
        <v>53274.285736839716</v>
      </c>
      <c r="F71" s="178">
        <f t="shared" si="1"/>
        <v>0</v>
      </c>
      <c r="G71" s="177">
        <f t="shared" si="2"/>
        <v>53274.285736839716</v>
      </c>
      <c r="H71" s="177">
        <f t="shared" si="6"/>
        <v>36291.093011618184</v>
      </c>
      <c r="I71" s="177">
        <f t="shared" si="7"/>
        <v>16983.192725221528</v>
      </c>
      <c r="J71" s="177">
        <f t="shared" si="3"/>
        <v>2875113.3741692146</v>
      </c>
      <c r="K71" s="177">
        <f>SUM($I$17:$I71)</f>
        <v>1216879.0896953987</v>
      </c>
      <c r="L71" s="179"/>
      <c r="M71" s="179"/>
    </row>
    <row r="72" spans="1:13" s="180" customFormat="1" ht="21.75" customHeight="1">
      <c r="A72" s="192">
        <f t="shared" si="4"/>
        <v>56</v>
      </c>
      <c r="B72" s="172" t="s">
        <v>1051</v>
      </c>
      <c r="C72" s="176">
        <f t="shared" si="0"/>
        <v>46419</v>
      </c>
      <c r="D72" s="177">
        <f t="shared" si="5"/>
        <v>2875113.3741692146</v>
      </c>
      <c r="E72" s="177">
        <f t="shared" si="8"/>
        <v>53274.285736839716</v>
      </c>
      <c r="F72" s="178">
        <f t="shared" si="1"/>
        <v>0</v>
      </c>
      <c r="G72" s="177">
        <f t="shared" si="2"/>
        <v>53274.285736839716</v>
      </c>
      <c r="H72" s="177">
        <f t="shared" si="6"/>
        <v>36502.79105418596</v>
      </c>
      <c r="I72" s="177">
        <f t="shared" si="7"/>
        <v>16771.494682653753</v>
      </c>
      <c r="J72" s="177">
        <f t="shared" si="3"/>
        <v>2838610.5831150287</v>
      </c>
      <c r="K72" s="177">
        <f>SUM($I$17:$I72)</f>
        <v>1233650.5843780525</v>
      </c>
      <c r="L72" s="179"/>
      <c r="M72" s="179"/>
    </row>
    <row r="73" spans="1:13" s="180" customFormat="1" ht="21.75" customHeight="1">
      <c r="A73" s="192">
        <f t="shared" si="4"/>
        <v>57</v>
      </c>
      <c r="B73" s="172" t="s">
        <v>1052</v>
      </c>
      <c r="C73" s="176">
        <f t="shared" si="0"/>
        <v>46447</v>
      </c>
      <c r="D73" s="177">
        <f t="shared" si="5"/>
        <v>2838610.5831150287</v>
      </c>
      <c r="E73" s="177">
        <f t="shared" si="8"/>
        <v>53274.285736839716</v>
      </c>
      <c r="F73" s="178">
        <f t="shared" si="1"/>
        <v>0</v>
      </c>
      <c r="G73" s="177">
        <f t="shared" si="2"/>
        <v>53274.285736839716</v>
      </c>
      <c r="H73" s="177">
        <f t="shared" si="6"/>
        <v>36715.724002002047</v>
      </c>
      <c r="I73" s="177">
        <f t="shared" si="7"/>
        <v>16558.561734837669</v>
      </c>
      <c r="J73" s="177">
        <f t="shared" si="3"/>
        <v>2801894.8591130264</v>
      </c>
      <c r="K73" s="177">
        <f>SUM($I$17:$I73)</f>
        <v>1250209.1461128902</v>
      </c>
      <c r="L73" s="179"/>
      <c r="M73" s="179"/>
    </row>
    <row r="74" spans="1:13" s="180" customFormat="1" ht="21.75" customHeight="1">
      <c r="A74" s="192">
        <f t="shared" si="4"/>
        <v>58</v>
      </c>
      <c r="B74" s="172" t="s">
        <v>1053</v>
      </c>
      <c r="C74" s="176">
        <f t="shared" si="0"/>
        <v>46478</v>
      </c>
      <c r="D74" s="177">
        <f t="shared" si="5"/>
        <v>2801894.8591130264</v>
      </c>
      <c r="E74" s="177">
        <f t="shared" si="8"/>
        <v>53274.285736839716</v>
      </c>
      <c r="F74" s="178">
        <f t="shared" si="1"/>
        <v>0</v>
      </c>
      <c r="G74" s="177">
        <f t="shared" si="2"/>
        <v>53274.285736839716</v>
      </c>
      <c r="H74" s="177">
        <f t="shared" si="6"/>
        <v>36929.899058680392</v>
      </c>
      <c r="I74" s="177">
        <f t="shared" si="7"/>
        <v>16344.386678159322</v>
      </c>
      <c r="J74" s="177">
        <f t="shared" si="3"/>
        <v>2764964.9600543459</v>
      </c>
      <c r="K74" s="177">
        <f>SUM($I$17:$I74)</f>
        <v>1266553.5327910495</v>
      </c>
      <c r="L74" s="179"/>
      <c r="M74" s="179"/>
    </row>
    <row r="75" spans="1:13" s="180" customFormat="1" ht="21.75" customHeight="1">
      <c r="A75" s="192">
        <f t="shared" si="4"/>
        <v>59</v>
      </c>
      <c r="B75" s="172" t="s">
        <v>1054</v>
      </c>
      <c r="C75" s="176">
        <f t="shared" si="0"/>
        <v>46508</v>
      </c>
      <c r="D75" s="177">
        <f t="shared" si="5"/>
        <v>2764964.9600543459</v>
      </c>
      <c r="E75" s="177">
        <f t="shared" si="8"/>
        <v>53274.285736839716</v>
      </c>
      <c r="F75" s="178">
        <f t="shared" si="1"/>
        <v>0</v>
      </c>
      <c r="G75" s="177">
        <f t="shared" si="2"/>
        <v>53274.285736839716</v>
      </c>
      <c r="H75" s="177">
        <f t="shared" si="6"/>
        <v>37145.323469856034</v>
      </c>
      <c r="I75" s="177">
        <f t="shared" si="7"/>
        <v>16128.962266983684</v>
      </c>
      <c r="J75" s="177">
        <f t="shared" si="3"/>
        <v>2727819.6365844901</v>
      </c>
      <c r="K75" s="177">
        <f>SUM($I$17:$I75)</f>
        <v>1282682.4950580331</v>
      </c>
      <c r="L75" s="179"/>
      <c r="M75" s="179"/>
    </row>
    <row r="76" spans="1:13" s="180" customFormat="1" ht="21.75" customHeight="1">
      <c r="A76" s="192">
        <f t="shared" si="4"/>
        <v>60</v>
      </c>
      <c r="B76" s="172" t="s">
        <v>1055</v>
      </c>
      <c r="C76" s="176">
        <f t="shared" si="0"/>
        <v>46539</v>
      </c>
      <c r="D76" s="177">
        <f t="shared" si="5"/>
        <v>2727819.6365844901</v>
      </c>
      <c r="E76" s="177">
        <f t="shared" si="8"/>
        <v>53274.285736839716</v>
      </c>
      <c r="F76" s="178">
        <f t="shared" si="1"/>
        <v>0</v>
      </c>
      <c r="G76" s="177">
        <f t="shared" si="2"/>
        <v>53274.285736839716</v>
      </c>
      <c r="H76" s="177">
        <f t="shared" si="6"/>
        <v>37362.004523430187</v>
      </c>
      <c r="I76" s="177">
        <f t="shared" si="7"/>
        <v>15912.281213409527</v>
      </c>
      <c r="J76" s="177">
        <f t="shared" si="3"/>
        <v>2690457.6320610601</v>
      </c>
      <c r="K76" s="177">
        <f>SUM($I$17:$I76)</f>
        <v>1298594.7762714426</v>
      </c>
      <c r="L76" s="179"/>
      <c r="M76" s="179"/>
    </row>
    <row r="77" spans="1:13" s="180" customFormat="1" ht="21.75" customHeight="1">
      <c r="A77" s="192">
        <f t="shared" si="4"/>
        <v>61</v>
      </c>
      <c r="B77" s="175"/>
      <c r="C77" s="176">
        <f t="shared" si="0"/>
        <v>46569</v>
      </c>
      <c r="D77" s="177">
        <f t="shared" si="5"/>
        <v>2690457.6320610601</v>
      </c>
      <c r="E77" s="177">
        <f t="shared" si="8"/>
        <v>53274.285736839716</v>
      </c>
      <c r="F77" s="178">
        <f t="shared" si="1"/>
        <v>0</v>
      </c>
      <c r="G77" s="177">
        <f t="shared" si="2"/>
        <v>53274.285736839716</v>
      </c>
      <c r="H77" s="177">
        <f t="shared" si="6"/>
        <v>37579.949549816862</v>
      </c>
      <c r="I77" s="177">
        <f t="shared" si="7"/>
        <v>15694.336187022853</v>
      </c>
      <c r="J77" s="177">
        <f t="shared" si="3"/>
        <v>2652877.682511243</v>
      </c>
      <c r="K77" s="177">
        <f>SUM($I$17:$I77)</f>
        <v>1314289.1124584654</v>
      </c>
      <c r="L77" s="179"/>
      <c r="M77" s="179"/>
    </row>
    <row r="78" spans="1:13" s="180" customFormat="1" ht="21.75" customHeight="1">
      <c r="A78" s="192">
        <f t="shared" si="4"/>
        <v>62</v>
      </c>
      <c r="B78" s="175"/>
      <c r="C78" s="176">
        <f t="shared" si="0"/>
        <v>46600</v>
      </c>
      <c r="D78" s="177">
        <f t="shared" si="5"/>
        <v>2652877.682511243</v>
      </c>
      <c r="E78" s="177">
        <f t="shared" si="8"/>
        <v>53274.285736839716</v>
      </c>
      <c r="F78" s="178">
        <f t="shared" si="1"/>
        <v>0</v>
      </c>
      <c r="G78" s="177">
        <f t="shared" si="2"/>
        <v>53274.285736839716</v>
      </c>
      <c r="H78" s="177">
        <f t="shared" si="6"/>
        <v>37799.165922190798</v>
      </c>
      <c r="I78" s="177">
        <f t="shared" si="7"/>
        <v>15475.119814648919</v>
      </c>
      <c r="J78" s="177">
        <f t="shared" si="3"/>
        <v>2615078.516589052</v>
      </c>
      <c r="K78" s="177">
        <f>SUM($I$17:$I78)</f>
        <v>1329764.2322731144</v>
      </c>
      <c r="L78" s="179"/>
      <c r="M78" s="179"/>
    </row>
    <row r="79" spans="1:13" s="180" customFormat="1" ht="21.75" customHeight="1">
      <c r="A79" s="192">
        <f t="shared" si="4"/>
        <v>63</v>
      </c>
      <c r="B79" s="175"/>
      <c r="C79" s="176">
        <f t="shared" si="0"/>
        <v>46631</v>
      </c>
      <c r="D79" s="177">
        <f t="shared" si="5"/>
        <v>2615078.516589052</v>
      </c>
      <c r="E79" s="177">
        <f t="shared" si="8"/>
        <v>53274.285736839716</v>
      </c>
      <c r="F79" s="178">
        <f t="shared" si="1"/>
        <v>0</v>
      </c>
      <c r="G79" s="177">
        <f t="shared" si="2"/>
        <v>53274.285736839716</v>
      </c>
      <c r="H79" s="177">
        <f t="shared" si="6"/>
        <v>38019.661056736913</v>
      </c>
      <c r="I79" s="177">
        <f t="shared" si="7"/>
        <v>15254.624680102805</v>
      </c>
      <c r="J79" s="177">
        <f t="shared" si="3"/>
        <v>2577058.8555323151</v>
      </c>
      <c r="K79" s="177">
        <f>SUM($I$17:$I79)</f>
        <v>1345018.8569532172</v>
      </c>
      <c r="L79" s="179"/>
      <c r="M79" s="179"/>
    </row>
    <row r="80" spans="1:13" s="180" customFormat="1" ht="21.75" customHeight="1">
      <c r="A80" s="192">
        <f t="shared" si="4"/>
        <v>64</v>
      </c>
      <c r="B80" s="175"/>
      <c r="C80" s="176">
        <f t="shared" si="0"/>
        <v>46661</v>
      </c>
      <c r="D80" s="177">
        <f t="shared" si="5"/>
        <v>2577058.8555323151</v>
      </c>
      <c r="E80" s="177">
        <f t="shared" si="8"/>
        <v>53274.285736839716</v>
      </c>
      <c r="F80" s="178">
        <f t="shared" si="1"/>
        <v>0</v>
      </c>
      <c r="G80" s="177">
        <f t="shared" si="2"/>
        <v>53274.285736839716</v>
      </c>
      <c r="H80" s="177">
        <f t="shared" si="6"/>
        <v>38241.442412901211</v>
      </c>
      <c r="I80" s="177">
        <f t="shared" si="7"/>
        <v>15032.843323938507</v>
      </c>
      <c r="J80" s="177">
        <f t="shared" si="3"/>
        <v>2538817.4131194139</v>
      </c>
      <c r="K80" s="177">
        <f>SUM($I$17:$I80)</f>
        <v>1360051.7002771557</v>
      </c>
      <c r="L80" s="179"/>
      <c r="M80" s="179"/>
    </row>
    <row r="81" spans="1:13" s="180" customFormat="1" ht="21.75" customHeight="1">
      <c r="A81" s="192">
        <f t="shared" si="4"/>
        <v>65</v>
      </c>
      <c r="B81" s="175"/>
      <c r="C81" s="176">
        <f t="shared" ref="C81:C144" si="9">IF(Pay_Num&lt;&gt;"",DATE(YEAR(Loan_Start),MONTH(Loan_Start)+(Pay_Num)*12/Num_Pmt_Per_Year,DAY(Loan_Start)),"")</f>
        <v>46692</v>
      </c>
      <c r="D81" s="177">
        <f t="shared" si="5"/>
        <v>2538817.4131194139</v>
      </c>
      <c r="E81" s="177">
        <f t="shared" si="8"/>
        <v>53274.285736839716</v>
      </c>
      <c r="F81" s="178">
        <f t="shared" ref="F81:F144" si="10">IF(AND(Pay_Num&lt;&gt;"",Sched_Pay+Scheduled_Extra_Payments&lt;Beg_Bal),Scheduled_Extra_Payments,IF(AND(Pay_Num&lt;&gt;"",Beg_Bal-Sched_Pay&gt;0),Beg_Bal-Sched_Pay,IF(Pay_Num&lt;&gt;"",0,"")))</f>
        <v>0</v>
      </c>
      <c r="G81" s="177">
        <f t="shared" ref="G81:G144" si="11">IF(AND(Pay_Num&lt;&gt;"",Sched_Pay+Extra_Pay&lt;Beg_Bal),Sched_Pay+Extra_Pay,IF(Pay_Num&lt;&gt;"",Beg_Bal,""))</f>
        <v>53274.285736839716</v>
      </c>
      <c r="H81" s="177">
        <f t="shared" si="6"/>
        <v>38464.517493643136</v>
      </c>
      <c r="I81" s="177">
        <f t="shared" si="7"/>
        <v>14809.768243196582</v>
      </c>
      <c r="J81" s="177">
        <f t="shared" ref="J81:J144" si="12">IF(AND(Pay_Num&lt;&gt;"",Sched_Pay+Extra_Pay&lt;Beg_Bal),Beg_Bal-Princ,IF(Pay_Num&lt;&gt;"",0,""))</f>
        <v>2500352.8956257706</v>
      </c>
      <c r="K81" s="177">
        <f>SUM($I$17:$I81)</f>
        <v>1374861.4685203524</v>
      </c>
      <c r="L81" s="179"/>
      <c r="M81" s="179"/>
    </row>
    <row r="82" spans="1:13" s="180" customFormat="1" ht="21.75" customHeight="1">
      <c r="A82" s="192">
        <f t="shared" ref="A82:A145" si="13">IF(Values_Entered,A81+1,"")</f>
        <v>66</v>
      </c>
      <c r="B82" s="175"/>
      <c r="C82" s="176">
        <f t="shared" si="9"/>
        <v>46722</v>
      </c>
      <c r="D82" s="177">
        <f t="shared" ref="D82:D145" si="14">IF(Pay_Num&lt;&gt;"",J81,"")</f>
        <v>2500352.8956257706</v>
      </c>
      <c r="E82" s="177">
        <f t="shared" si="8"/>
        <v>53274.285736839716</v>
      </c>
      <c r="F82" s="178">
        <f t="shared" si="10"/>
        <v>0</v>
      </c>
      <c r="G82" s="177">
        <f t="shared" si="11"/>
        <v>53274.285736839716</v>
      </c>
      <c r="H82" s="177">
        <f t="shared" ref="H82:H145" si="15">IF(Pay_Num&lt;&gt;"",Total_Pay-Int,"")</f>
        <v>38688.893845689388</v>
      </c>
      <c r="I82" s="177">
        <f t="shared" ref="I82:I145" si="16">IF(Pay_Num&lt;&gt;"",Beg_Bal*Interest_Rate/Num_Pmt_Per_Year,"")</f>
        <v>14585.39189115033</v>
      </c>
      <c r="J82" s="177">
        <f t="shared" si="12"/>
        <v>2461664.0017800811</v>
      </c>
      <c r="K82" s="177">
        <f>SUM($I$17:$I82)</f>
        <v>1389446.8604115027</v>
      </c>
      <c r="L82" s="179"/>
      <c r="M82" s="179"/>
    </row>
    <row r="83" spans="1:13" s="180" customFormat="1" ht="21.75" customHeight="1">
      <c r="A83" s="192">
        <f t="shared" si="13"/>
        <v>67</v>
      </c>
      <c r="B83" s="175"/>
      <c r="C83" s="176">
        <f t="shared" si="9"/>
        <v>46753</v>
      </c>
      <c r="D83" s="177">
        <f t="shared" si="14"/>
        <v>2461664.0017800811</v>
      </c>
      <c r="E83" s="177">
        <f t="shared" ref="E83:E146" si="17">IF(Pay_Num&lt;&gt;"",Scheduled_Monthly_Payment,"")</f>
        <v>53274.285736839716</v>
      </c>
      <c r="F83" s="178">
        <f t="shared" si="10"/>
        <v>0</v>
      </c>
      <c r="G83" s="177">
        <f t="shared" si="11"/>
        <v>53274.285736839716</v>
      </c>
      <c r="H83" s="177">
        <f t="shared" si="15"/>
        <v>38914.579059789241</v>
      </c>
      <c r="I83" s="177">
        <f t="shared" si="16"/>
        <v>14359.706677050475</v>
      </c>
      <c r="J83" s="177">
        <f t="shared" si="12"/>
        <v>2422749.4227202917</v>
      </c>
      <c r="K83" s="177">
        <f>SUM($I$17:$I83)</f>
        <v>1403806.5670885532</v>
      </c>
      <c r="L83" s="179"/>
      <c r="M83" s="179"/>
    </row>
    <row r="84" spans="1:13" s="180" customFormat="1" ht="21.75" customHeight="1">
      <c r="A84" s="192">
        <f t="shared" si="13"/>
        <v>68</v>
      </c>
      <c r="B84" s="175"/>
      <c r="C84" s="176">
        <f t="shared" si="9"/>
        <v>46784</v>
      </c>
      <c r="D84" s="177">
        <f t="shared" si="14"/>
        <v>2422749.4227202917</v>
      </c>
      <c r="E84" s="177">
        <f t="shared" si="17"/>
        <v>53274.285736839716</v>
      </c>
      <c r="F84" s="178">
        <f t="shared" si="10"/>
        <v>0</v>
      </c>
      <c r="G84" s="177">
        <f t="shared" si="11"/>
        <v>53274.285736839716</v>
      </c>
      <c r="H84" s="177">
        <f t="shared" si="15"/>
        <v>39141.580770971348</v>
      </c>
      <c r="I84" s="177">
        <f t="shared" si="16"/>
        <v>14132.704965868368</v>
      </c>
      <c r="J84" s="177">
        <f t="shared" si="12"/>
        <v>2383607.8419493204</v>
      </c>
      <c r="K84" s="177">
        <f>SUM($I$17:$I84)</f>
        <v>1417939.2720544215</v>
      </c>
      <c r="L84" s="179"/>
      <c r="M84" s="179"/>
    </row>
    <row r="85" spans="1:13" s="180" customFormat="1" ht="21.75" customHeight="1">
      <c r="A85" s="192">
        <f t="shared" si="13"/>
        <v>69</v>
      </c>
      <c r="B85" s="175"/>
      <c r="C85" s="176">
        <f t="shared" si="9"/>
        <v>46813</v>
      </c>
      <c r="D85" s="177">
        <f t="shared" si="14"/>
        <v>2383607.8419493204</v>
      </c>
      <c r="E85" s="177">
        <f t="shared" si="17"/>
        <v>53274.285736839716</v>
      </c>
      <c r="F85" s="178">
        <f t="shared" si="10"/>
        <v>0</v>
      </c>
      <c r="G85" s="177">
        <f t="shared" si="11"/>
        <v>53274.285736839716</v>
      </c>
      <c r="H85" s="177">
        <f t="shared" si="15"/>
        <v>39369.906658802014</v>
      </c>
      <c r="I85" s="177">
        <f t="shared" si="16"/>
        <v>13904.379078037704</v>
      </c>
      <c r="J85" s="177">
        <f t="shared" si="12"/>
        <v>2344237.9352905182</v>
      </c>
      <c r="K85" s="177">
        <f>SUM($I$17:$I85)</f>
        <v>1431843.6511324593</v>
      </c>
      <c r="L85" s="179"/>
      <c r="M85" s="179"/>
    </row>
    <row r="86" spans="1:13" s="180" customFormat="1" ht="21.75" customHeight="1">
      <c r="A86" s="192">
        <f t="shared" si="13"/>
        <v>70</v>
      </c>
      <c r="B86" s="175"/>
      <c r="C86" s="176">
        <f t="shared" si="9"/>
        <v>46844</v>
      </c>
      <c r="D86" s="177">
        <f t="shared" si="14"/>
        <v>2344237.9352905182</v>
      </c>
      <c r="E86" s="177">
        <f t="shared" si="17"/>
        <v>53274.285736839716</v>
      </c>
      <c r="F86" s="178">
        <f t="shared" si="10"/>
        <v>0</v>
      </c>
      <c r="G86" s="177">
        <f t="shared" si="11"/>
        <v>53274.285736839716</v>
      </c>
      <c r="H86" s="177">
        <f t="shared" si="15"/>
        <v>39599.564447645025</v>
      </c>
      <c r="I86" s="177">
        <f t="shared" si="16"/>
        <v>13674.721289194691</v>
      </c>
      <c r="J86" s="177">
        <f t="shared" si="12"/>
        <v>2304638.3708428731</v>
      </c>
      <c r="K86" s="177">
        <f>SUM($I$17:$I86)</f>
        <v>1445518.3724216539</v>
      </c>
      <c r="L86" s="179"/>
      <c r="M86" s="179"/>
    </row>
    <row r="87" spans="1:13" s="180" customFormat="1" ht="21.75" customHeight="1">
      <c r="A87" s="192">
        <f t="shared" si="13"/>
        <v>71</v>
      </c>
      <c r="B87" s="175"/>
      <c r="C87" s="176">
        <f t="shared" si="9"/>
        <v>46874</v>
      </c>
      <c r="D87" s="177">
        <f t="shared" si="14"/>
        <v>2304638.3708428731</v>
      </c>
      <c r="E87" s="177">
        <f t="shared" si="17"/>
        <v>53274.285736839716</v>
      </c>
      <c r="F87" s="178">
        <f t="shared" si="10"/>
        <v>0</v>
      </c>
      <c r="G87" s="177">
        <f t="shared" si="11"/>
        <v>53274.285736839716</v>
      </c>
      <c r="H87" s="177">
        <f t="shared" si="15"/>
        <v>39830.561906922958</v>
      </c>
      <c r="I87" s="177">
        <f t="shared" si="16"/>
        <v>13443.72382991676</v>
      </c>
      <c r="J87" s="177">
        <f t="shared" si="12"/>
        <v>2264807.80893595</v>
      </c>
      <c r="K87" s="177">
        <f>SUM($I$17:$I87)</f>
        <v>1458962.0962515706</v>
      </c>
      <c r="L87" s="179"/>
      <c r="M87" s="179"/>
    </row>
    <row r="88" spans="1:13" s="180" customFormat="1" ht="21.75" customHeight="1">
      <c r="A88" s="192">
        <f t="shared" si="13"/>
        <v>72</v>
      </c>
      <c r="B88" s="175"/>
      <c r="C88" s="176">
        <f t="shared" si="9"/>
        <v>46905</v>
      </c>
      <c r="D88" s="177">
        <f t="shared" si="14"/>
        <v>2264807.80893595</v>
      </c>
      <c r="E88" s="177">
        <f t="shared" si="17"/>
        <v>53274.285736839716</v>
      </c>
      <c r="F88" s="178">
        <f t="shared" si="10"/>
        <v>0</v>
      </c>
      <c r="G88" s="177">
        <f t="shared" si="11"/>
        <v>53274.285736839716</v>
      </c>
      <c r="H88" s="177">
        <f t="shared" si="15"/>
        <v>40062.906851380008</v>
      </c>
      <c r="I88" s="177">
        <f t="shared" si="16"/>
        <v>13211.37888545971</v>
      </c>
      <c r="J88" s="177">
        <f t="shared" si="12"/>
        <v>2224744.9020845699</v>
      </c>
      <c r="K88" s="177">
        <f>SUM($I$17:$I88)</f>
        <v>1472173.4751370302</v>
      </c>
      <c r="L88" s="179"/>
      <c r="M88" s="179"/>
    </row>
    <row r="89" spans="1:13" s="180" customFormat="1" ht="21.75" customHeight="1">
      <c r="A89" s="192">
        <f t="shared" si="13"/>
        <v>73</v>
      </c>
      <c r="B89" s="175"/>
      <c r="C89" s="176">
        <f t="shared" si="9"/>
        <v>46935</v>
      </c>
      <c r="D89" s="177">
        <f t="shared" si="14"/>
        <v>2224744.9020845699</v>
      </c>
      <c r="E89" s="177">
        <f t="shared" si="17"/>
        <v>53274.285736839716</v>
      </c>
      <c r="F89" s="178">
        <f t="shared" si="10"/>
        <v>0</v>
      </c>
      <c r="G89" s="177">
        <f t="shared" si="11"/>
        <v>53274.285736839716</v>
      </c>
      <c r="H89" s="177">
        <f t="shared" si="15"/>
        <v>40296.607141346387</v>
      </c>
      <c r="I89" s="177">
        <f t="shared" si="16"/>
        <v>12977.678595493328</v>
      </c>
      <c r="J89" s="177">
        <f t="shared" si="12"/>
        <v>2184448.2949432237</v>
      </c>
      <c r="K89" s="177">
        <f>SUM($I$17:$I89)</f>
        <v>1485151.1537325236</v>
      </c>
      <c r="L89" s="179"/>
      <c r="M89" s="179"/>
    </row>
    <row r="90" spans="1:13" s="180" customFormat="1" ht="21.75" customHeight="1">
      <c r="A90" s="192">
        <f t="shared" si="13"/>
        <v>74</v>
      </c>
      <c r="B90" s="175"/>
      <c r="C90" s="176">
        <f t="shared" si="9"/>
        <v>46966</v>
      </c>
      <c r="D90" s="177">
        <f t="shared" si="14"/>
        <v>2184448.2949432237</v>
      </c>
      <c r="E90" s="177">
        <f t="shared" si="17"/>
        <v>53274.285736839716</v>
      </c>
      <c r="F90" s="178">
        <f t="shared" si="10"/>
        <v>0</v>
      </c>
      <c r="G90" s="177">
        <f t="shared" si="11"/>
        <v>53274.285736839716</v>
      </c>
      <c r="H90" s="177">
        <f t="shared" si="15"/>
        <v>40531.670683004246</v>
      </c>
      <c r="I90" s="177">
        <f t="shared" si="16"/>
        <v>12742.615053835472</v>
      </c>
      <c r="J90" s="177">
        <f t="shared" si="12"/>
        <v>2143916.6242602193</v>
      </c>
      <c r="K90" s="177">
        <f>SUM($I$17:$I90)</f>
        <v>1497893.7687863591</v>
      </c>
      <c r="L90" s="179"/>
      <c r="M90" s="179"/>
    </row>
    <row r="91" spans="1:13" s="180" customFormat="1" ht="21.75" customHeight="1">
      <c r="A91" s="192">
        <f t="shared" si="13"/>
        <v>75</v>
      </c>
      <c r="B91" s="175"/>
      <c r="C91" s="176">
        <f t="shared" si="9"/>
        <v>46997</v>
      </c>
      <c r="D91" s="177">
        <f t="shared" si="14"/>
        <v>2143916.6242602193</v>
      </c>
      <c r="E91" s="177">
        <f t="shared" si="17"/>
        <v>53274.285736839716</v>
      </c>
      <c r="F91" s="178">
        <f t="shared" si="10"/>
        <v>0</v>
      </c>
      <c r="G91" s="177">
        <f t="shared" si="11"/>
        <v>53274.285736839716</v>
      </c>
      <c r="H91" s="177">
        <f t="shared" si="15"/>
        <v>40768.105428655101</v>
      </c>
      <c r="I91" s="177">
        <f t="shared" si="16"/>
        <v>12506.180308184614</v>
      </c>
      <c r="J91" s="177">
        <f t="shared" si="12"/>
        <v>2103148.5188315641</v>
      </c>
      <c r="K91" s="177">
        <f>SUM($I$17:$I91)</f>
        <v>1510399.9490945437</v>
      </c>
      <c r="L91" s="179"/>
      <c r="M91" s="179"/>
    </row>
    <row r="92" spans="1:13" s="180" customFormat="1" ht="21.75" customHeight="1">
      <c r="A92" s="192">
        <f t="shared" si="13"/>
        <v>76</v>
      </c>
      <c r="B92" s="175"/>
      <c r="C92" s="176">
        <f t="shared" si="9"/>
        <v>47027</v>
      </c>
      <c r="D92" s="177">
        <f t="shared" si="14"/>
        <v>2103148.5188315641</v>
      </c>
      <c r="E92" s="177">
        <f t="shared" si="17"/>
        <v>53274.285736839716</v>
      </c>
      <c r="F92" s="178">
        <f t="shared" si="10"/>
        <v>0</v>
      </c>
      <c r="G92" s="177">
        <f t="shared" si="11"/>
        <v>53274.285736839716</v>
      </c>
      <c r="H92" s="177">
        <f t="shared" si="15"/>
        <v>41005.919376988924</v>
      </c>
      <c r="I92" s="177">
        <f t="shared" si="16"/>
        <v>12268.366359850792</v>
      </c>
      <c r="J92" s="177">
        <f t="shared" si="12"/>
        <v>2062142.5994545752</v>
      </c>
      <c r="K92" s="177">
        <f>SUM($I$17:$I92)</f>
        <v>1522668.3154543946</v>
      </c>
      <c r="L92" s="179"/>
      <c r="M92" s="179"/>
    </row>
    <row r="93" spans="1:13" s="180" customFormat="1" ht="21.75" customHeight="1">
      <c r="A93" s="192">
        <f t="shared" si="13"/>
        <v>77</v>
      </c>
      <c r="B93" s="175"/>
      <c r="C93" s="176">
        <f t="shared" si="9"/>
        <v>47058</v>
      </c>
      <c r="D93" s="177">
        <f t="shared" si="14"/>
        <v>2062142.5994545752</v>
      </c>
      <c r="E93" s="177">
        <f t="shared" si="17"/>
        <v>53274.285736839716</v>
      </c>
      <c r="F93" s="178">
        <f t="shared" si="10"/>
        <v>0</v>
      </c>
      <c r="G93" s="177">
        <f t="shared" si="11"/>
        <v>53274.285736839716</v>
      </c>
      <c r="H93" s="177">
        <f t="shared" si="15"/>
        <v>41245.120573354696</v>
      </c>
      <c r="I93" s="177">
        <f t="shared" si="16"/>
        <v>12029.165163485022</v>
      </c>
      <c r="J93" s="177">
        <f t="shared" si="12"/>
        <v>2020897.4788812206</v>
      </c>
      <c r="K93" s="177">
        <f>SUM($I$17:$I93)</f>
        <v>1534697.4806178797</v>
      </c>
      <c r="L93" s="179"/>
      <c r="M93" s="179"/>
    </row>
    <row r="94" spans="1:13" s="180" customFormat="1" ht="21.75" customHeight="1">
      <c r="A94" s="192">
        <f t="shared" si="13"/>
        <v>78</v>
      </c>
      <c r="B94" s="175"/>
      <c r="C94" s="176">
        <f t="shared" si="9"/>
        <v>47088</v>
      </c>
      <c r="D94" s="177">
        <f t="shared" si="14"/>
        <v>2020897.4788812206</v>
      </c>
      <c r="E94" s="177">
        <f t="shared" si="17"/>
        <v>53274.285736839716</v>
      </c>
      <c r="F94" s="178">
        <f t="shared" si="10"/>
        <v>0</v>
      </c>
      <c r="G94" s="177">
        <f t="shared" si="11"/>
        <v>53274.285736839716</v>
      </c>
      <c r="H94" s="177">
        <f t="shared" si="15"/>
        <v>41485.717110032594</v>
      </c>
      <c r="I94" s="177">
        <f t="shared" si="16"/>
        <v>11788.568626807122</v>
      </c>
      <c r="J94" s="177">
        <f t="shared" si="12"/>
        <v>1979411.7617711879</v>
      </c>
      <c r="K94" s="177">
        <f>SUM($I$17:$I94)</f>
        <v>1546486.0492446867</v>
      </c>
      <c r="L94" s="179"/>
      <c r="M94" s="179"/>
    </row>
    <row r="95" spans="1:13" s="180" customFormat="1" ht="21.75" customHeight="1">
      <c r="A95" s="192">
        <f t="shared" si="13"/>
        <v>79</v>
      </c>
      <c r="B95" s="175"/>
      <c r="C95" s="176">
        <f t="shared" si="9"/>
        <v>47119</v>
      </c>
      <c r="D95" s="177">
        <f t="shared" si="14"/>
        <v>1979411.7617711879</v>
      </c>
      <c r="E95" s="177">
        <f t="shared" si="17"/>
        <v>53274.285736839716</v>
      </c>
      <c r="F95" s="178">
        <f t="shared" si="10"/>
        <v>0</v>
      </c>
      <c r="G95" s="177">
        <f t="shared" si="11"/>
        <v>53274.285736839716</v>
      </c>
      <c r="H95" s="177">
        <f t="shared" si="15"/>
        <v>41727.717126507785</v>
      </c>
      <c r="I95" s="177">
        <f t="shared" si="16"/>
        <v>11546.568610331931</v>
      </c>
      <c r="J95" s="177">
        <f t="shared" si="12"/>
        <v>1937684.0446446801</v>
      </c>
      <c r="K95" s="177">
        <f>SUM($I$17:$I95)</f>
        <v>1558032.6178550187</v>
      </c>
      <c r="L95" s="179"/>
      <c r="M95" s="179"/>
    </row>
    <row r="96" spans="1:13" s="180" customFormat="1" ht="21.75" customHeight="1">
      <c r="A96" s="192">
        <f t="shared" si="13"/>
        <v>80</v>
      </c>
      <c r="B96" s="175"/>
      <c r="C96" s="176">
        <f t="shared" si="9"/>
        <v>47150</v>
      </c>
      <c r="D96" s="177">
        <f t="shared" si="14"/>
        <v>1937684.0446446801</v>
      </c>
      <c r="E96" s="177">
        <f t="shared" si="17"/>
        <v>53274.285736839716</v>
      </c>
      <c r="F96" s="178">
        <f t="shared" si="10"/>
        <v>0</v>
      </c>
      <c r="G96" s="177">
        <f t="shared" si="11"/>
        <v>53274.285736839716</v>
      </c>
      <c r="H96" s="177">
        <f t="shared" si="15"/>
        <v>41971.128809745751</v>
      </c>
      <c r="I96" s="177">
        <f t="shared" si="16"/>
        <v>11303.156927093967</v>
      </c>
      <c r="J96" s="177">
        <f t="shared" si="12"/>
        <v>1895712.9158349345</v>
      </c>
      <c r="K96" s="177">
        <f>SUM($I$17:$I96)</f>
        <v>1569335.7747821126</v>
      </c>
      <c r="L96" s="179"/>
      <c r="M96" s="179"/>
    </row>
    <row r="97" spans="1:13" s="180" customFormat="1" ht="21.75" customHeight="1">
      <c r="A97" s="192">
        <f t="shared" si="13"/>
        <v>81</v>
      </c>
      <c r="B97" s="175"/>
      <c r="C97" s="176">
        <f t="shared" si="9"/>
        <v>47178</v>
      </c>
      <c r="D97" s="177">
        <f t="shared" si="14"/>
        <v>1895712.9158349345</v>
      </c>
      <c r="E97" s="177">
        <f t="shared" si="17"/>
        <v>53274.285736839716</v>
      </c>
      <c r="F97" s="178">
        <f t="shared" si="10"/>
        <v>0</v>
      </c>
      <c r="G97" s="177">
        <f t="shared" si="11"/>
        <v>53274.285736839716</v>
      </c>
      <c r="H97" s="177">
        <f t="shared" si="15"/>
        <v>42215.960394469264</v>
      </c>
      <c r="I97" s="177">
        <f t="shared" si="16"/>
        <v>11058.325342370452</v>
      </c>
      <c r="J97" s="177">
        <f t="shared" si="12"/>
        <v>1853496.9554404651</v>
      </c>
      <c r="K97" s="177">
        <f>SUM($I$17:$I97)</f>
        <v>1580394.100124483</v>
      </c>
      <c r="L97" s="179"/>
      <c r="M97" s="179"/>
    </row>
    <row r="98" spans="1:13" s="180" customFormat="1" ht="21.75" customHeight="1">
      <c r="A98" s="192">
        <f t="shared" si="13"/>
        <v>82</v>
      </c>
      <c r="B98" s="175"/>
      <c r="C98" s="176">
        <f t="shared" si="9"/>
        <v>47209</v>
      </c>
      <c r="D98" s="177">
        <f t="shared" si="14"/>
        <v>1853496.9554404651</v>
      </c>
      <c r="E98" s="177">
        <f t="shared" si="17"/>
        <v>53274.285736839716</v>
      </c>
      <c r="F98" s="178">
        <f t="shared" si="10"/>
        <v>0</v>
      </c>
      <c r="G98" s="177">
        <f t="shared" si="11"/>
        <v>53274.285736839716</v>
      </c>
      <c r="H98" s="177">
        <f t="shared" si="15"/>
        <v>42462.220163436999</v>
      </c>
      <c r="I98" s="177">
        <f t="shared" si="16"/>
        <v>10812.065573402715</v>
      </c>
      <c r="J98" s="177">
        <f t="shared" si="12"/>
        <v>1811034.7352770281</v>
      </c>
      <c r="K98" s="177">
        <f>SUM($I$17:$I98)</f>
        <v>1591206.1656978857</v>
      </c>
      <c r="L98" s="179"/>
      <c r="M98" s="179"/>
    </row>
    <row r="99" spans="1:13" s="180" customFormat="1" ht="21.75" customHeight="1">
      <c r="A99" s="192">
        <f t="shared" si="13"/>
        <v>83</v>
      </c>
      <c r="B99" s="175"/>
      <c r="C99" s="176">
        <f t="shared" si="9"/>
        <v>47239</v>
      </c>
      <c r="D99" s="177">
        <f t="shared" si="14"/>
        <v>1811034.7352770281</v>
      </c>
      <c r="E99" s="177">
        <f t="shared" si="17"/>
        <v>53274.285736839716</v>
      </c>
      <c r="F99" s="178">
        <f t="shared" si="10"/>
        <v>0</v>
      </c>
      <c r="G99" s="177">
        <f t="shared" si="11"/>
        <v>53274.285736839716</v>
      </c>
      <c r="H99" s="177">
        <f t="shared" si="15"/>
        <v>42709.916447723721</v>
      </c>
      <c r="I99" s="177">
        <f t="shared" si="16"/>
        <v>10564.369289115997</v>
      </c>
      <c r="J99" s="177">
        <f t="shared" si="12"/>
        <v>1768324.8188293043</v>
      </c>
      <c r="K99" s="177">
        <f>SUM($I$17:$I99)</f>
        <v>1601770.5349870017</v>
      </c>
      <c r="L99" s="179"/>
      <c r="M99" s="179"/>
    </row>
    <row r="100" spans="1:13" s="180" customFormat="1" ht="21.75" customHeight="1">
      <c r="A100" s="192">
        <f t="shared" si="13"/>
        <v>84</v>
      </c>
      <c r="B100" s="175"/>
      <c r="C100" s="176">
        <f t="shared" si="9"/>
        <v>47270</v>
      </c>
      <c r="D100" s="177">
        <f t="shared" si="14"/>
        <v>1768324.8188293043</v>
      </c>
      <c r="E100" s="177">
        <f t="shared" si="17"/>
        <v>53274.285736839716</v>
      </c>
      <c r="F100" s="178">
        <f t="shared" si="10"/>
        <v>0</v>
      </c>
      <c r="G100" s="177">
        <f t="shared" si="11"/>
        <v>53274.285736839716</v>
      </c>
      <c r="H100" s="177">
        <f t="shared" si="15"/>
        <v>42959.057627002105</v>
      </c>
      <c r="I100" s="177">
        <f t="shared" si="16"/>
        <v>10315.22810983761</v>
      </c>
      <c r="J100" s="177">
        <f t="shared" si="12"/>
        <v>1725365.7612023023</v>
      </c>
      <c r="K100" s="177">
        <f>SUM($I$17:$I100)</f>
        <v>1612085.7630968392</v>
      </c>
      <c r="L100" s="179"/>
      <c r="M100" s="179"/>
    </row>
    <row r="101" spans="1:13" s="180" customFormat="1" ht="21.75" customHeight="1">
      <c r="A101" s="192">
        <f t="shared" si="13"/>
        <v>85</v>
      </c>
      <c r="B101" s="175"/>
      <c r="C101" s="176">
        <f t="shared" si="9"/>
        <v>47300</v>
      </c>
      <c r="D101" s="177">
        <f t="shared" si="14"/>
        <v>1725365.7612023023</v>
      </c>
      <c r="E101" s="177">
        <f t="shared" si="17"/>
        <v>53274.285736839716</v>
      </c>
      <c r="F101" s="178">
        <f t="shared" si="10"/>
        <v>0</v>
      </c>
      <c r="G101" s="177">
        <f t="shared" si="11"/>
        <v>53274.285736839716</v>
      </c>
      <c r="H101" s="177">
        <f t="shared" si="15"/>
        <v>43209.652129826281</v>
      </c>
      <c r="I101" s="177">
        <f t="shared" si="16"/>
        <v>10064.633607013431</v>
      </c>
      <c r="J101" s="177">
        <f t="shared" si="12"/>
        <v>1682156.1090724759</v>
      </c>
      <c r="K101" s="177">
        <f>SUM($I$17:$I101)</f>
        <v>1622150.3967038526</v>
      </c>
      <c r="L101" s="179"/>
      <c r="M101" s="179"/>
    </row>
    <row r="102" spans="1:13" s="180" customFormat="1" ht="21.75" customHeight="1">
      <c r="A102" s="192">
        <f t="shared" si="13"/>
        <v>86</v>
      </c>
      <c r="B102" s="175"/>
      <c r="C102" s="176">
        <f t="shared" si="9"/>
        <v>47331</v>
      </c>
      <c r="D102" s="177">
        <f t="shared" si="14"/>
        <v>1682156.1090724759</v>
      </c>
      <c r="E102" s="177">
        <f t="shared" si="17"/>
        <v>53274.285736839716</v>
      </c>
      <c r="F102" s="178">
        <f t="shared" si="10"/>
        <v>0</v>
      </c>
      <c r="G102" s="177">
        <f t="shared" si="11"/>
        <v>53274.285736839716</v>
      </c>
      <c r="H102" s="177">
        <f t="shared" si="15"/>
        <v>43461.708433916938</v>
      </c>
      <c r="I102" s="177">
        <f t="shared" si="16"/>
        <v>9812.5773029227767</v>
      </c>
      <c r="J102" s="177">
        <f t="shared" si="12"/>
        <v>1638694.4006385589</v>
      </c>
      <c r="K102" s="177">
        <f>SUM($I$17:$I102)</f>
        <v>1631962.9740067753</v>
      </c>
      <c r="L102" s="179"/>
      <c r="M102" s="179"/>
    </row>
    <row r="103" spans="1:13" s="180" customFormat="1" ht="21.75" customHeight="1">
      <c r="A103" s="192">
        <f t="shared" si="13"/>
        <v>87</v>
      </c>
      <c r="B103" s="175"/>
      <c r="C103" s="176">
        <f t="shared" si="9"/>
        <v>47362</v>
      </c>
      <c r="D103" s="177">
        <f t="shared" si="14"/>
        <v>1638694.4006385589</v>
      </c>
      <c r="E103" s="177">
        <f t="shared" si="17"/>
        <v>53274.285736839716</v>
      </c>
      <c r="F103" s="178">
        <f t="shared" si="10"/>
        <v>0</v>
      </c>
      <c r="G103" s="177">
        <f t="shared" si="11"/>
        <v>53274.285736839716</v>
      </c>
      <c r="H103" s="177">
        <f t="shared" si="15"/>
        <v>43715.23506644812</v>
      </c>
      <c r="I103" s="177">
        <f t="shared" si="16"/>
        <v>9559.0506703915944</v>
      </c>
      <c r="J103" s="177">
        <f t="shared" si="12"/>
        <v>1594979.1655721108</v>
      </c>
      <c r="K103" s="177">
        <f>SUM($I$17:$I103)</f>
        <v>1641522.0246771669</v>
      </c>
      <c r="L103" s="179"/>
      <c r="M103" s="179"/>
    </row>
    <row r="104" spans="1:13" s="180" customFormat="1" ht="21.75" customHeight="1">
      <c r="A104" s="192">
        <f t="shared" si="13"/>
        <v>88</v>
      </c>
      <c r="B104" s="175"/>
      <c r="C104" s="176">
        <f t="shared" si="9"/>
        <v>47392</v>
      </c>
      <c r="D104" s="177">
        <f t="shared" si="14"/>
        <v>1594979.1655721108</v>
      </c>
      <c r="E104" s="177">
        <f t="shared" si="17"/>
        <v>53274.285736839716</v>
      </c>
      <c r="F104" s="178">
        <f t="shared" si="10"/>
        <v>0</v>
      </c>
      <c r="G104" s="177">
        <f t="shared" si="11"/>
        <v>53274.285736839716</v>
      </c>
      <c r="H104" s="177">
        <f t="shared" si="15"/>
        <v>43970.240604335733</v>
      </c>
      <c r="I104" s="177">
        <f t="shared" si="16"/>
        <v>9304.0451325039812</v>
      </c>
      <c r="J104" s="177">
        <f t="shared" si="12"/>
        <v>1551008.9249677751</v>
      </c>
      <c r="K104" s="177">
        <f>SUM($I$17:$I104)</f>
        <v>1650826.069809671</v>
      </c>
      <c r="L104" s="179"/>
      <c r="M104" s="179"/>
    </row>
    <row r="105" spans="1:13" s="180" customFormat="1" ht="21.75" customHeight="1">
      <c r="A105" s="192">
        <f t="shared" si="13"/>
        <v>89</v>
      </c>
      <c r="B105" s="175"/>
      <c r="C105" s="176">
        <f t="shared" si="9"/>
        <v>47423</v>
      </c>
      <c r="D105" s="177">
        <f t="shared" si="14"/>
        <v>1551008.9249677751</v>
      </c>
      <c r="E105" s="177">
        <f t="shared" si="17"/>
        <v>53274.285736839716</v>
      </c>
      <c r="F105" s="178">
        <f t="shared" si="10"/>
        <v>0</v>
      </c>
      <c r="G105" s="177">
        <f t="shared" si="11"/>
        <v>53274.285736839716</v>
      </c>
      <c r="H105" s="177">
        <f t="shared" si="15"/>
        <v>44226.733674527692</v>
      </c>
      <c r="I105" s="177">
        <f t="shared" si="16"/>
        <v>9047.5520623120228</v>
      </c>
      <c r="J105" s="177">
        <f t="shared" si="12"/>
        <v>1506782.1912932475</v>
      </c>
      <c r="K105" s="177">
        <f>SUM($I$17:$I105)</f>
        <v>1659873.6218719829</v>
      </c>
      <c r="L105" s="179"/>
      <c r="M105" s="179"/>
    </row>
    <row r="106" spans="1:13" s="180" customFormat="1" ht="21.75" customHeight="1">
      <c r="A106" s="192">
        <f t="shared" si="13"/>
        <v>90</v>
      </c>
      <c r="B106" s="175"/>
      <c r="C106" s="176">
        <f t="shared" si="9"/>
        <v>47453</v>
      </c>
      <c r="D106" s="177">
        <f t="shared" si="14"/>
        <v>1506782.1912932475</v>
      </c>
      <c r="E106" s="177">
        <f t="shared" si="17"/>
        <v>53274.285736839716</v>
      </c>
      <c r="F106" s="178">
        <f t="shared" si="10"/>
        <v>0</v>
      </c>
      <c r="G106" s="177">
        <f t="shared" si="11"/>
        <v>53274.285736839716</v>
      </c>
      <c r="H106" s="177">
        <f t="shared" si="15"/>
        <v>44484.722954295772</v>
      </c>
      <c r="I106" s="177">
        <f t="shared" si="16"/>
        <v>8789.5627825439442</v>
      </c>
      <c r="J106" s="177">
        <f t="shared" si="12"/>
        <v>1462297.4683389517</v>
      </c>
      <c r="K106" s="177">
        <f>SUM($I$17:$I106)</f>
        <v>1668663.1846545269</v>
      </c>
      <c r="L106" s="179"/>
      <c r="M106" s="179"/>
    </row>
    <row r="107" spans="1:13" s="180" customFormat="1" ht="21.75" customHeight="1">
      <c r="A107" s="192">
        <f t="shared" si="13"/>
        <v>91</v>
      </c>
      <c r="B107" s="175"/>
      <c r="C107" s="176">
        <f t="shared" si="9"/>
        <v>47484</v>
      </c>
      <c r="D107" s="177">
        <f t="shared" si="14"/>
        <v>1462297.4683389517</v>
      </c>
      <c r="E107" s="177">
        <f t="shared" si="17"/>
        <v>53274.285736839716</v>
      </c>
      <c r="F107" s="178">
        <f t="shared" si="10"/>
        <v>0</v>
      </c>
      <c r="G107" s="177">
        <f t="shared" si="11"/>
        <v>53274.285736839716</v>
      </c>
      <c r="H107" s="177">
        <f t="shared" si="15"/>
        <v>44744.217171529162</v>
      </c>
      <c r="I107" s="177">
        <f t="shared" si="16"/>
        <v>8530.068565310552</v>
      </c>
      <c r="J107" s="177">
        <f t="shared" si="12"/>
        <v>1417553.2511674226</v>
      </c>
      <c r="K107" s="177">
        <f>SUM($I$17:$I107)</f>
        <v>1677193.2532198373</v>
      </c>
      <c r="L107" s="179"/>
      <c r="M107" s="179"/>
    </row>
    <row r="108" spans="1:13" s="180" customFormat="1" ht="21.75" customHeight="1">
      <c r="A108" s="192">
        <f t="shared" si="13"/>
        <v>92</v>
      </c>
      <c r="B108" s="175"/>
      <c r="C108" s="176">
        <f t="shared" si="9"/>
        <v>47515</v>
      </c>
      <c r="D108" s="177">
        <f t="shared" si="14"/>
        <v>1417553.2511674226</v>
      </c>
      <c r="E108" s="177">
        <f t="shared" si="17"/>
        <v>53274.285736839716</v>
      </c>
      <c r="F108" s="178">
        <f t="shared" si="10"/>
        <v>0</v>
      </c>
      <c r="G108" s="177">
        <f t="shared" si="11"/>
        <v>53274.285736839716</v>
      </c>
      <c r="H108" s="177">
        <f t="shared" si="15"/>
        <v>45005.225105029749</v>
      </c>
      <c r="I108" s="177">
        <f t="shared" si="16"/>
        <v>8269.0606318099653</v>
      </c>
      <c r="J108" s="177">
        <f t="shared" si="12"/>
        <v>1372548.0260623929</v>
      </c>
      <c r="K108" s="177">
        <f>SUM($I$17:$I108)</f>
        <v>1685462.3138516473</v>
      </c>
      <c r="L108" s="179"/>
      <c r="M108" s="179"/>
    </row>
    <row r="109" spans="1:13" s="180" customFormat="1" ht="21.75" customHeight="1">
      <c r="A109" s="192">
        <f t="shared" si="13"/>
        <v>93</v>
      </c>
      <c r="B109" s="175"/>
      <c r="C109" s="176">
        <f t="shared" si="9"/>
        <v>47543</v>
      </c>
      <c r="D109" s="177">
        <f t="shared" si="14"/>
        <v>1372548.0260623929</v>
      </c>
      <c r="E109" s="177">
        <f t="shared" si="17"/>
        <v>53274.285736839716</v>
      </c>
      <c r="F109" s="178">
        <f t="shared" si="10"/>
        <v>0</v>
      </c>
      <c r="G109" s="177">
        <f t="shared" si="11"/>
        <v>53274.285736839716</v>
      </c>
      <c r="H109" s="177">
        <f t="shared" si="15"/>
        <v>45267.755584809092</v>
      </c>
      <c r="I109" s="177">
        <f t="shared" si="16"/>
        <v>8006.5301520306266</v>
      </c>
      <c r="J109" s="177">
        <f t="shared" si="12"/>
        <v>1327280.2704775839</v>
      </c>
      <c r="K109" s="177">
        <f>SUM($I$17:$I109)</f>
        <v>1693468.8440036778</v>
      </c>
      <c r="L109" s="179"/>
      <c r="M109" s="179"/>
    </row>
    <row r="110" spans="1:13" s="180" customFormat="1" ht="21.75" customHeight="1">
      <c r="A110" s="192">
        <f t="shared" si="13"/>
        <v>94</v>
      </c>
      <c r="B110" s="175"/>
      <c r="C110" s="176">
        <f t="shared" si="9"/>
        <v>47574</v>
      </c>
      <c r="D110" s="177">
        <f t="shared" si="14"/>
        <v>1327280.2704775839</v>
      </c>
      <c r="E110" s="177">
        <f t="shared" si="17"/>
        <v>53274.285736839716</v>
      </c>
      <c r="F110" s="178">
        <f t="shared" si="10"/>
        <v>0</v>
      </c>
      <c r="G110" s="177">
        <f t="shared" si="11"/>
        <v>53274.285736839716</v>
      </c>
      <c r="H110" s="177">
        <f t="shared" si="15"/>
        <v>45531.817492387141</v>
      </c>
      <c r="I110" s="177">
        <f t="shared" si="16"/>
        <v>7742.4682444525724</v>
      </c>
      <c r="J110" s="177">
        <f t="shared" si="12"/>
        <v>1281748.4529851968</v>
      </c>
      <c r="K110" s="177">
        <f>SUM($I$17:$I110)</f>
        <v>1701211.3122481303</v>
      </c>
      <c r="L110" s="179"/>
      <c r="M110" s="179"/>
    </row>
    <row r="111" spans="1:13" s="180" customFormat="1" ht="21.75" customHeight="1">
      <c r="A111" s="192">
        <f t="shared" si="13"/>
        <v>95</v>
      </c>
      <c r="B111" s="175"/>
      <c r="C111" s="176">
        <f t="shared" si="9"/>
        <v>47604</v>
      </c>
      <c r="D111" s="177">
        <f t="shared" si="14"/>
        <v>1281748.4529851968</v>
      </c>
      <c r="E111" s="177">
        <f t="shared" si="17"/>
        <v>53274.285736839716</v>
      </c>
      <c r="F111" s="178">
        <f t="shared" si="10"/>
        <v>0</v>
      </c>
      <c r="G111" s="177">
        <f t="shared" si="11"/>
        <v>53274.285736839716</v>
      </c>
      <c r="H111" s="177">
        <f t="shared" si="15"/>
        <v>45797.419761092737</v>
      </c>
      <c r="I111" s="177">
        <f t="shared" si="16"/>
        <v>7476.8659757469823</v>
      </c>
      <c r="J111" s="177">
        <f t="shared" si="12"/>
        <v>1235951.0332241042</v>
      </c>
      <c r="K111" s="177">
        <f>SUM($I$17:$I111)</f>
        <v>1708688.1782238772</v>
      </c>
      <c r="L111" s="179"/>
      <c r="M111" s="179"/>
    </row>
    <row r="112" spans="1:13" s="180" customFormat="1" ht="21.75" customHeight="1">
      <c r="A112" s="192">
        <f t="shared" si="13"/>
        <v>96</v>
      </c>
      <c r="B112" s="175"/>
      <c r="C112" s="176">
        <f t="shared" si="9"/>
        <v>47635</v>
      </c>
      <c r="D112" s="177">
        <f t="shared" si="14"/>
        <v>1235951.0332241042</v>
      </c>
      <c r="E112" s="177">
        <f t="shared" si="17"/>
        <v>53274.285736839716</v>
      </c>
      <c r="F112" s="178">
        <f t="shared" si="10"/>
        <v>0</v>
      </c>
      <c r="G112" s="177">
        <f t="shared" si="11"/>
        <v>53274.285736839716</v>
      </c>
      <c r="H112" s="177">
        <f t="shared" si="15"/>
        <v>46064.571376365777</v>
      </c>
      <c r="I112" s="177">
        <f t="shared" si="16"/>
        <v>7209.7143604739422</v>
      </c>
      <c r="J112" s="177">
        <f t="shared" si="12"/>
        <v>1189886.4618477384</v>
      </c>
      <c r="K112" s="177">
        <f>SUM($I$17:$I112)</f>
        <v>1715897.8925843511</v>
      </c>
      <c r="L112" s="179"/>
      <c r="M112" s="179"/>
    </row>
    <row r="113" spans="1:13" s="180" customFormat="1" ht="12.75">
      <c r="A113" s="192">
        <f t="shared" si="13"/>
        <v>97</v>
      </c>
      <c r="B113" s="175"/>
      <c r="C113" s="176">
        <f t="shared" si="9"/>
        <v>47665</v>
      </c>
      <c r="D113" s="177">
        <f t="shared" si="14"/>
        <v>1189886.4618477384</v>
      </c>
      <c r="E113" s="177">
        <f t="shared" si="17"/>
        <v>53274.285736839716</v>
      </c>
      <c r="F113" s="178">
        <f t="shared" si="10"/>
        <v>0</v>
      </c>
      <c r="G113" s="177">
        <f t="shared" si="11"/>
        <v>53274.285736839716</v>
      </c>
      <c r="H113" s="177">
        <f t="shared" si="15"/>
        <v>46333.281376061241</v>
      </c>
      <c r="I113" s="177">
        <f t="shared" si="16"/>
        <v>6941.0043607784746</v>
      </c>
      <c r="J113" s="177">
        <f t="shared" si="12"/>
        <v>1143553.1804716771</v>
      </c>
      <c r="K113" s="177">
        <f>SUM($I$17:$I113)</f>
        <v>1722838.8969451296</v>
      </c>
      <c r="L113" s="179"/>
      <c r="M113" s="179"/>
    </row>
    <row r="114" spans="1:13" s="180" customFormat="1" ht="12.75">
      <c r="A114" s="192">
        <f t="shared" si="13"/>
        <v>98</v>
      </c>
      <c r="B114" s="175"/>
      <c r="C114" s="176">
        <f t="shared" si="9"/>
        <v>47696</v>
      </c>
      <c r="D114" s="177">
        <f t="shared" si="14"/>
        <v>1143553.1804716771</v>
      </c>
      <c r="E114" s="177">
        <f t="shared" si="17"/>
        <v>53274.285736839716</v>
      </c>
      <c r="F114" s="178">
        <f t="shared" si="10"/>
        <v>0</v>
      </c>
      <c r="G114" s="177">
        <f t="shared" si="11"/>
        <v>53274.285736839716</v>
      </c>
      <c r="H114" s="177">
        <f t="shared" si="15"/>
        <v>46603.558850754933</v>
      </c>
      <c r="I114" s="177">
        <f t="shared" si="16"/>
        <v>6670.7268860847835</v>
      </c>
      <c r="J114" s="177">
        <f t="shared" si="12"/>
        <v>1096949.6216209221</v>
      </c>
      <c r="K114" s="177">
        <f>SUM($I$17:$I114)</f>
        <v>1729509.6238312144</v>
      </c>
      <c r="L114" s="179"/>
      <c r="M114" s="179"/>
    </row>
    <row r="115" spans="1:13" s="180" customFormat="1" ht="12.75">
      <c r="A115" s="192">
        <f t="shared" si="13"/>
        <v>99</v>
      </c>
      <c r="B115" s="175"/>
      <c r="C115" s="176">
        <f t="shared" si="9"/>
        <v>47727</v>
      </c>
      <c r="D115" s="177">
        <f t="shared" si="14"/>
        <v>1096949.6216209221</v>
      </c>
      <c r="E115" s="177">
        <f t="shared" si="17"/>
        <v>53274.285736839716</v>
      </c>
      <c r="F115" s="178">
        <f t="shared" si="10"/>
        <v>0</v>
      </c>
      <c r="G115" s="177">
        <f t="shared" si="11"/>
        <v>53274.285736839716</v>
      </c>
      <c r="H115" s="177">
        <f t="shared" si="15"/>
        <v>46875.412944051001</v>
      </c>
      <c r="I115" s="177">
        <f t="shared" si="16"/>
        <v>6398.872792788713</v>
      </c>
      <c r="J115" s="177">
        <f t="shared" si="12"/>
        <v>1050074.2086768711</v>
      </c>
      <c r="K115" s="177">
        <f>SUM($I$17:$I115)</f>
        <v>1735908.4966240032</v>
      </c>
      <c r="L115" s="179"/>
      <c r="M115" s="179"/>
    </row>
    <row r="116" spans="1:13" s="180" customFormat="1" ht="12.75">
      <c r="A116" s="192">
        <f t="shared" si="13"/>
        <v>100</v>
      </c>
      <c r="B116" s="175"/>
      <c r="C116" s="176">
        <f t="shared" si="9"/>
        <v>47757</v>
      </c>
      <c r="D116" s="177">
        <f t="shared" si="14"/>
        <v>1050074.2086768711</v>
      </c>
      <c r="E116" s="177">
        <f t="shared" si="17"/>
        <v>53274.285736839716</v>
      </c>
      <c r="F116" s="178">
        <f t="shared" si="10"/>
        <v>0</v>
      </c>
      <c r="G116" s="177">
        <f t="shared" si="11"/>
        <v>53274.285736839716</v>
      </c>
      <c r="H116" s="177">
        <f t="shared" si="15"/>
        <v>47148.852852891301</v>
      </c>
      <c r="I116" s="177">
        <f t="shared" si="16"/>
        <v>6125.4328839484151</v>
      </c>
      <c r="J116" s="177">
        <f t="shared" si="12"/>
        <v>1002925.3558239798</v>
      </c>
      <c r="K116" s="177">
        <f>SUM($I$17:$I116)</f>
        <v>1742033.9295079515</v>
      </c>
      <c r="L116" s="179"/>
      <c r="M116" s="179"/>
    </row>
    <row r="117" spans="1:13" s="180" customFormat="1" ht="12.75">
      <c r="A117" s="192">
        <f t="shared" si="13"/>
        <v>101</v>
      </c>
      <c r="B117" s="175"/>
      <c r="C117" s="176">
        <f t="shared" si="9"/>
        <v>47788</v>
      </c>
      <c r="D117" s="177">
        <f t="shared" si="14"/>
        <v>1002925.3558239798</v>
      </c>
      <c r="E117" s="177">
        <f t="shared" si="17"/>
        <v>53274.285736839716</v>
      </c>
      <c r="F117" s="178">
        <f t="shared" si="10"/>
        <v>0</v>
      </c>
      <c r="G117" s="177">
        <f t="shared" si="11"/>
        <v>53274.285736839716</v>
      </c>
      <c r="H117" s="177">
        <f t="shared" si="15"/>
        <v>47423.8878278665</v>
      </c>
      <c r="I117" s="177">
        <f t="shared" si="16"/>
        <v>5850.3979089732165</v>
      </c>
      <c r="J117" s="177">
        <f t="shared" si="12"/>
        <v>955501.46799611335</v>
      </c>
      <c r="K117" s="177">
        <f>SUM($I$17:$I117)</f>
        <v>1747884.3274169248</v>
      </c>
      <c r="L117" s="179"/>
      <c r="M117" s="179"/>
    </row>
    <row r="118" spans="1:13" s="180" customFormat="1" ht="12.75">
      <c r="A118" s="192">
        <f t="shared" si="13"/>
        <v>102</v>
      </c>
      <c r="B118" s="175"/>
      <c r="C118" s="176">
        <f t="shared" si="9"/>
        <v>47818</v>
      </c>
      <c r="D118" s="177">
        <f t="shared" si="14"/>
        <v>955501.46799611335</v>
      </c>
      <c r="E118" s="177">
        <f t="shared" si="17"/>
        <v>53274.285736839716</v>
      </c>
      <c r="F118" s="178">
        <f t="shared" si="10"/>
        <v>0</v>
      </c>
      <c r="G118" s="177">
        <f t="shared" si="11"/>
        <v>53274.285736839716</v>
      </c>
      <c r="H118" s="177">
        <f t="shared" si="15"/>
        <v>47700.527173529052</v>
      </c>
      <c r="I118" s="177">
        <f t="shared" si="16"/>
        <v>5573.7585633106619</v>
      </c>
      <c r="J118" s="177">
        <f t="shared" si="12"/>
        <v>907800.94082258432</v>
      </c>
      <c r="K118" s="177">
        <f>SUM($I$17:$I118)</f>
        <v>1753458.0859802354</v>
      </c>
      <c r="L118" s="179"/>
      <c r="M118" s="179"/>
    </row>
    <row r="119" spans="1:13" s="180" customFormat="1" ht="12.75">
      <c r="A119" s="192">
        <f t="shared" si="13"/>
        <v>103</v>
      </c>
      <c r="B119" s="175"/>
      <c r="C119" s="176">
        <f t="shared" si="9"/>
        <v>47849</v>
      </c>
      <c r="D119" s="177">
        <f t="shared" si="14"/>
        <v>907800.94082258432</v>
      </c>
      <c r="E119" s="177">
        <f t="shared" si="17"/>
        <v>53274.285736839716</v>
      </c>
      <c r="F119" s="178">
        <f t="shared" si="10"/>
        <v>0</v>
      </c>
      <c r="G119" s="177">
        <f t="shared" si="11"/>
        <v>53274.285736839716</v>
      </c>
      <c r="H119" s="177">
        <f t="shared" si="15"/>
        <v>47978.780248707975</v>
      </c>
      <c r="I119" s="177">
        <f t="shared" si="16"/>
        <v>5295.5054881317419</v>
      </c>
      <c r="J119" s="177">
        <f t="shared" si="12"/>
        <v>859822.16057387635</v>
      </c>
      <c r="K119" s="177">
        <f>SUM($I$17:$I119)</f>
        <v>1758753.591468367</v>
      </c>
      <c r="L119" s="179"/>
      <c r="M119" s="179"/>
    </row>
    <row r="120" spans="1:13" s="180" customFormat="1" ht="12.75">
      <c r="A120" s="192">
        <f t="shared" si="13"/>
        <v>104</v>
      </c>
      <c r="B120" s="175"/>
      <c r="C120" s="176">
        <f t="shared" si="9"/>
        <v>47880</v>
      </c>
      <c r="D120" s="177">
        <f t="shared" si="14"/>
        <v>859822.16057387635</v>
      </c>
      <c r="E120" s="177">
        <f t="shared" si="17"/>
        <v>53274.285736839716</v>
      </c>
      <c r="F120" s="178">
        <f t="shared" si="10"/>
        <v>0</v>
      </c>
      <c r="G120" s="177">
        <f t="shared" si="11"/>
        <v>53274.285736839716</v>
      </c>
      <c r="H120" s="177">
        <f t="shared" si="15"/>
        <v>48258.656466825436</v>
      </c>
      <c r="I120" s="177">
        <f t="shared" si="16"/>
        <v>5015.6292700142794</v>
      </c>
      <c r="J120" s="177">
        <f t="shared" si="12"/>
        <v>811563.50410705095</v>
      </c>
      <c r="K120" s="177">
        <f>SUM($I$17:$I120)</f>
        <v>1763769.2207383814</v>
      </c>
      <c r="L120" s="179"/>
      <c r="M120" s="179"/>
    </row>
    <row r="121" spans="1:13" s="180" customFormat="1" ht="12.75">
      <c r="A121" s="192">
        <f t="shared" si="13"/>
        <v>105</v>
      </c>
      <c r="B121" s="175"/>
      <c r="C121" s="176">
        <f t="shared" si="9"/>
        <v>47908</v>
      </c>
      <c r="D121" s="177">
        <f t="shared" si="14"/>
        <v>811563.50410705095</v>
      </c>
      <c r="E121" s="177">
        <f t="shared" si="17"/>
        <v>53274.285736839716</v>
      </c>
      <c r="F121" s="178">
        <f t="shared" si="10"/>
        <v>0</v>
      </c>
      <c r="G121" s="177">
        <f t="shared" si="11"/>
        <v>53274.285736839716</v>
      </c>
      <c r="H121" s="177">
        <f t="shared" si="15"/>
        <v>48540.165296215251</v>
      </c>
      <c r="I121" s="177">
        <f t="shared" si="16"/>
        <v>4734.1204406244642</v>
      </c>
      <c r="J121" s="177">
        <f t="shared" si="12"/>
        <v>763023.33881083573</v>
      </c>
      <c r="K121" s="177">
        <f>SUM($I$17:$I121)</f>
        <v>1768503.3411790058</v>
      </c>
      <c r="L121" s="179"/>
      <c r="M121" s="179"/>
    </row>
    <row r="122" spans="1:13" s="180" customFormat="1" ht="12.75">
      <c r="A122" s="192">
        <f t="shared" si="13"/>
        <v>106</v>
      </c>
      <c r="B122" s="175"/>
      <c r="C122" s="176">
        <f t="shared" si="9"/>
        <v>47939</v>
      </c>
      <c r="D122" s="177">
        <f t="shared" si="14"/>
        <v>763023.33881083573</v>
      </c>
      <c r="E122" s="177">
        <f t="shared" si="17"/>
        <v>53274.285736839716</v>
      </c>
      <c r="F122" s="178">
        <f t="shared" si="10"/>
        <v>0</v>
      </c>
      <c r="G122" s="177">
        <f t="shared" si="11"/>
        <v>53274.285736839716</v>
      </c>
      <c r="H122" s="177">
        <f t="shared" si="15"/>
        <v>48823.316260443171</v>
      </c>
      <c r="I122" s="177">
        <f t="shared" si="16"/>
        <v>4450.9694763965426</v>
      </c>
      <c r="J122" s="177">
        <f t="shared" si="12"/>
        <v>714200.02255039255</v>
      </c>
      <c r="K122" s="177">
        <f>SUM($I$17:$I122)</f>
        <v>1772954.3106554023</v>
      </c>
      <c r="L122" s="179"/>
      <c r="M122" s="179"/>
    </row>
    <row r="123" spans="1:13" s="180" customFormat="1" ht="12.75">
      <c r="A123" s="192">
        <f t="shared" si="13"/>
        <v>107</v>
      </c>
      <c r="B123" s="175"/>
      <c r="C123" s="176">
        <f t="shared" si="9"/>
        <v>47969</v>
      </c>
      <c r="D123" s="177">
        <f t="shared" si="14"/>
        <v>714200.02255039255</v>
      </c>
      <c r="E123" s="177">
        <f t="shared" si="17"/>
        <v>53274.285736839716</v>
      </c>
      <c r="F123" s="178">
        <f t="shared" si="10"/>
        <v>0</v>
      </c>
      <c r="G123" s="177">
        <f t="shared" si="11"/>
        <v>53274.285736839716</v>
      </c>
      <c r="H123" s="177">
        <f t="shared" si="15"/>
        <v>49108.118938629093</v>
      </c>
      <c r="I123" s="177">
        <f t="shared" si="16"/>
        <v>4166.1667982106237</v>
      </c>
      <c r="J123" s="177">
        <f t="shared" si="12"/>
        <v>665091.9036117635</v>
      </c>
      <c r="K123" s="177">
        <f>SUM($I$17:$I123)</f>
        <v>1777120.477453613</v>
      </c>
      <c r="L123" s="179"/>
      <c r="M123" s="179"/>
    </row>
    <row r="124" spans="1:13" s="180" customFormat="1" ht="12.75">
      <c r="A124" s="192">
        <f t="shared" si="13"/>
        <v>108</v>
      </c>
      <c r="B124" s="175"/>
      <c r="C124" s="176">
        <f t="shared" si="9"/>
        <v>48000</v>
      </c>
      <c r="D124" s="177">
        <f t="shared" si="14"/>
        <v>665091.9036117635</v>
      </c>
      <c r="E124" s="177">
        <f t="shared" si="17"/>
        <v>53274.285736839716</v>
      </c>
      <c r="F124" s="178">
        <f t="shared" si="10"/>
        <v>0</v>
      </c>
      <c r="G124" s="177">
        <f t="shared" si="11"/>
        <v>53274.285736839716</v>
      </c>
      <c r="H124" s="177">
        <f t="shared" si="15"/>
        <v>49394.582965771093</v>
      </c>
      <c r="I124" s="177">
        <f t="shared" si="16"/>
        <v>3879.7027710686211</v>
      </c>
      <c r="J124" s="177">
        <f t="shared" si="12"/>
        <v>615697.32064599241</v>
      </c>
      <c r="K124" s="177">
        <f>SUM($I$17:$I124)</f>
        <v>1781000.1802246815</v>
      </c>
      <c r="L124" s="179"/>
      <c r="M124" s="179"/>
    </row>
    <row r="125" spans="1:13" s="180" customFormat="1" ht="12.75">
      <c r="A125" s="192">
        <f t="shared" si="13"/>
        <v>109</v>
      </c>
      <c r="B125" s="175"/>
      <c r="C125" s="176">
        <f t="shared" si="9"/>
        <v>48030</v>
      </c>
      <c r="D125" s="177">
        <f t="shared" si="14"/>
        <v>615697.32064599241</v>
      </c>
      <c r="E125" s="177">
        <f t="shared" si="17"/>
        <v>53274.285736839716</v>
      </c>
      <c r="F125" s="178">
        <f t="shared" si="10"/>
        <v>0</v>
      </c>
      <c r="G125" s="177">
        <f t="shared" si="11"/>
        <v>53274.285736839716</v>
      </c>
      <c r="H125" s="177">
        <f t="shared" si="15"/>
        <v>49682.718033071425</v>
      </c>
      <c r="I125" s="177">
        <f t="shared" si="16"/>
        <v>3591.5677037682894</v>
      </c>
      <c r="J125" s="177">
        <f t="shared" si="12"/>
        <v>566014.60261292104</v>
      </c>
      <c r="K125" s="177">
        <f>SUM($I$17:$I125)</f>
        <v>1784591.7479284499</v>
      </c>
      <c r="L125" s="179"/>
      <c r="M125" s="179"/>
    </row>
    <row r="126" spans="1:13" s="180" customFormat="1" ht="12.75">
      <c r="A126" s="192">
        <f t="shared" si="13"/>
        <v>110</v>
      </c>
      <c r="B126" s="175"/>
      <c r="C126" s="176">
        <f t="shared" si="9"/>
        <v>48061</v>
      </c>
      <c r="D126" s="177">
        <f t="shared" si="14"/>
        <v>566014.60261292104</v>
      </c>
      <c r="E126" s="177">
        <f t="shared" si="17"/>
        <v>53274.285736839716</v>
      </c>
      <c r="F126" s="178">
        <f t="shared" si="10"/>
        <v>0</v>
      </c>
      <c r="G126" s="177">
        <f t="shared" si="11"/>
        <v>53274.285736839716</v>
      </c>
      <c r="H126" s="177">
        <f t="shared" si="15"/>
        <v>49972.533888264341</v>
      </c>
      <c r="I126" s="177">
        <f t="shared" si="16"/>
        <v>3301.7518485753731</v>
      </c>
      <c r="J126" s="177">
        <f t="shared" si="12"/>
        <v>516042.06872465671</v>
      </c>
      <c r="K126" s="177">
        <f>SUM($I$17:$I126)</f>
        <v>1787893.4997770253</v>
      </c>
      <c r="L126" s="179"/>
      <c r="M126" s="179"/>
    </row>
    <row r="127" spans="1:13" s="180" customFormat="1" ht="12.75">
      <c r="A127" s="192">
        <f t="shared" si="13"/>
        <v>111</v>
      </c>
      <c r="B127" s="175"/>
      <c r="C127" s="176">
        <f t="shared" si="9"/>
        <v>48092</v>
      </c>
      <c r="D127" s="177">
        <f t="shared" si="14"/>
        <v>516042.06872465671</v>
      </c>
      <c r="E127" s="177">
        <f t="shared" si="17"/>
        <v>53274.285736839716</v>
      </c>
      <c r="F127" s="178">
        <f t="shared" si="10"/>
        <v>0</v>
      </c>
      <c r="G127" s="177">
        <f t="shared" si="11"/>
        <v>53274.285736839716</v>
      </c>
      <c r="H127" s="177">
        <f t="shared" si="15"/>
        <v>50264.040335945887</v>
      </c>
      <c r="I127" s="177">
        <f t="shared" si="16"/>
        <v>3010.2454008938312</v>
      </c>
      <c r="J127" s="177">
        <f t="shared" si="12"/>
        <v>465778.02838871081</v>
      </c>
      <c r="K127" s="177">
        <f>SUM($I$17:$I127)</f>
        <v>1790903.745177919</v>
      </c>
      <c r="L127" s="179"/>
      <c r="M127" s="179"/>
    </row>
    <row r="128" spans="1:13" s="180" customFormat="1" ht="12.75">
      <c r="A128" s="192">
        <f t="shared" si="13"/>
        <v>112</v>
      </c>
      <c r="B128" s="175"/>
      <c r="C128" s="176">
        <f t="shared" si="9"/>
        <v>48122</v>
      </c>
      <c r="D128" s="177">
        <f t="shared" si="14"/>
        <v>465778.02838871081</v>
      </c>
      <c r="E128" s="177">
        <f t="shared" si="17"/>
        <v>53274.285736839716</v>
      </c>
      <c r="F128" s="178">
        <f t="shared" si="10"/>
        <v>0</v>
      </c>
      <c r="G128" s="177">
        <f t="shared" si="11"/>
        <v>53274.285736839716</v>
      </c>
      <c r="H128" s="177">
        <f t="shared" si="15"/>
        <v>50557.247237905569</v>
      </c>
      <c r="I128" s="177">
        <f t="shared" si="16"/>
        <v>2717.0384989341469</v>
      </c>
      <c r="J128" s="177">
        <f t="shared" si="12"/>
        <v>415220.78115080524</v>
      </c>
      <c r="K128" s="177">
        <f>SUM($I$17:$I128)</f>
        <v>1793620.7836768532</v>
      </c>
      <c r="L128" s="179"/>
      <c r="M128" s="179"/>
    </row>
    <row r="129" spans="1:13" s="180" customFormat="1" ht="12.75">
      <c r="A129" s="192">
        <f t="shared" si="13"/>
        <v>113</v>
      </c>
      <c r="B129" s="175"/>
      <c r="C129" s="176">
        <f t="shared" si="9"/>
        <v>48153</v>
      </c>
      <c r="D129" s="177">
        <f t="shared" si="14"/>
        <v>415220.78115080524</v>
      </c>
      <c r="E129" s="177">
        <f t="shared" si="17"/>
        <v>53274.285736839716</v>
      </c>
      <c r="F129" s="178">
        <f t="shared" si="10"/>
        <v>0</v>
      </c>
      <c r="G129" s="177">
        <f t="shared" si="11"/>
        <v>53274.285736839716</v>
      </c>
      <c r="H129" s="177">
        <f t="shared" si="15"/>
        <v>50852.164513460018</v>
      </c>
      <c r="I129" s="177">
        <f t="shared" si="16"/>
        <v>2422.1212233796973</v>
      </c>
      <c r="J129" s="177">
        <f t="shared" si="12"/>
        <v>364368.61663734523</v>
      </c>
      <c r="K129" s="177">
        <f>SUM($I$17:$I129)</f>
        <v>1796042.9049002328</v>
      </c>
      <c r="L129" s="179"/>
      <c r="M129" s="179"/>
    </row>
    <row r="130" spans="1:13" s="180" customFormat="1" ht="12.75">
      <c r="A130" s="192">
        <f t="shared" si="13"/>
        <v>114</v>
      </c>
      <c r="B130" s="175"/>
      <c r="C130" s="176">
        <f t="shared" si="9"/>
        <v>48183</v>
      </c>
      <c r="D130" s="177">
        <f t="shared" si="14"/>
        <v>364368.61663734523</v>
      </c>
      <c r="E130" s="177">
        <f t="shared" si="17"/>
        <v>53274.285736839716</v>
      </c>
      <c r="F130" s="178">
        <f t="shared" si="10"/>
        <v>0</v>
      </c>
      <c r="G130" s="177">
        <f t="shared" si="11"/>
        <v>53274.285736839716</v>
      </c>
      <c r="H130" s="177">
        <f t="shared" si="15"/>
        <v>51148.802139788539</v>
      </c>
      <c r="I130" s="177">
        <f t="shared" si="16"/>
        <v>2125.4835970511808</v>
      </c>
      <c r="J130" s="177">
        <f t="shared" si="12"/>
        <v>313219.81449755671</v>
      </c>
      <c r="K130" s="177">
        <f>SUM($I$17:$I130)</f>
        <v>1798168.3884972839</v>
      </c>
      <c r="L130" s="179"/>
      <c r="M130" s="179"/>
    </row>
    <row r="131" spans="1:13" s="180" customFormat="1" ht="12.75">
      <c r="A131" s="192">
        <f t="shared" si="13"/>
        <v>115</v>
      </c>
      <c r="B131" s="175"/>
      <c r="C131" s="176">
        <f t="shared" si="9"/>
        <v>48214</v>
      </c>
      <c r="D131" s="177">
        <f t="shared" si="14"/>
        <v>313219.81449755671</v>
      </c>
      <c r="E131" s="177">
        <f t="shared" si="17"/>
        <v>53274.285736839716</v>
      </c>
      <c r="F131" s="178">
        <f t="shared" si="10"/>
        <v>0</v>
      </c>
      <c r="G131" s="177">
        <f t="shared" si="11"/>
        <v>53274.285736839716</v>
      </c>
      <c r="H131" s="177">
        <f t="shared" si="15"/>
        <v>51447.170152270635</v>
      </c>
      <c r="I131" s="177">
        <f t="shared" si="16"/>
        <v>1827.115584569081</v>
      </c>
      <c r="J131" s="177">
        <f t="shared" si="12"/>
        <v>261772.64434528607</v>
      </c>
      <c r="K131" s="177">
        <f>SUM($I$17:$I131)</f>
        <v>1799995.504081853</v>
      </c>
      <c r="L131" s="179"/>
      <c r="M131" s="179"/>
    </row>
    <row r="132" spans="1:13" s="180" customFormat="1" ht="12.75">
      <c r="A132" s="192">
        <f t="shared" si="13"/>
        <v>116</v>
      </c>
      <c r="B132" s="175"/>
      <c r="C132" s="176">
        <f t="shared" si="9"/>
        <v>48245</v>
      </c>
      <c r="D132" s="177">
        <f t="shared" si="14"/>
        <v>261772.64434528607</v>
      </c>
      <c r="E132" s="177">
        <f t="shared" si="17"/>
        <v>53274.285736839716</v>
      </c>
      <c r="F132" s="178">
        <f t="shared" si="10"/>
        <v>0</v>
      </c>
      <c r="G132" s="177">
        <f t="shared" si="11"/>
        <v>53274.285736839716</v>
      </c>
      <c r="H132" s="177">
        <f t="shared" si="15"/>
        <v>51747.27864482555</v>
      </c>
      <c r="I132" s="177">
        <f t="shared" si="16"/>
        <v>1527.0070920141688</v>
      </c>
      <c r="J132" s="177">
        <f t="shared" si="12"/>
        <v>210025.3657004605</v>
      </c>
      <c r="K132" s="177">
        <f>SUM($I$17:$I132)</f>
        <v>1801522.5111738672</v>
      </c>
      <c r="L132" s="179"/>
      <c r="M132" s="179"/>
    </row>
    <row r="133" spans="1:13" s="180" customFormat="1" ht="12.75">
      <c r="A133" s="192">
        <f t="shared" si="13"/>
        <v>117</v>
      </c>
      <c r="B133" s="175"/>
      <c r="C133" s="176">
        <f t="shared" si="9"/>
        <v>48274</v>
      </c>
      <c r="D133" s="177">
        <f t="shared" si="14"/>
        <v>210025.3657004605</v>
      </c>
      <c r="E133" s="177">
        <f t="shared" si="17"/>
        <v>53274.285736839716</v>
      </c>
      <c r="F133" s="178">
        <f t="shared" si="10"/>
        <v>0</v>
      </c>
      <c r="G133" s="177">
        <f t="shared" si="11"/>
        <v>53274.285736839716</v>
      </c>
      <c r="H133" s="177">
        <f t="shared" si="15"/>
        <v>52049.137770253699</v>
      </c>
      <c r="I133" s="177">
        <f t="shared" si="16"/>
        <v>1225.1479665860197</v>
      </c>
      <c r="J133" s="177">
        <f t="shared" si="12"/>
        <v>157976.22793020681</v>
      </c>
      <c r="K133" s="177">
        <f>SUM($I$17:$I133)</f>
        <v>1802747.6591404532</v>
      </c>
      <c r="L133" s="179"/>
      <c r="M133" s="179"/>
    </row>
    <row r="134" spans="1:13" s="180" customFormat="1" ht="12.75">
      <c r="A134" s="192">
        <f t="shared" si="13"/>
        <v>118</v>
      </c>
      <c r="B134" s="175"/>
      <c r="C134" s="176">
        <f t="shared" si="9"/>
        <v>48305</v>
      </c>
      <c r="D134" s="177">
        <f t="shared" si="14"/>
        <v>157976.22793020681</v>
      </c>
      <c r="E134" s="177">
        <f t="shared" si="17"/>
        <v>53274.285736839716</v>
      </c>
      <c r="F134" s="178">
        <f t="shared" si="10"/>
        <v>0</v>
      </c>
      <c r="G134" s="177">
        <f t="shared" si="11"/>
        <v>53274.285736839716</v>
      </c>
      <c r="H134" s="177">
        <f t="shared" si="15"/>
        <v>52352.757740580179</v>
      </c>
      <c r="I134" s="177">
        <f t="shared" si="16"/>
        <v>921.52799625953969</v>
      </c>
      <c r="J134" s="177">
        <f t="shared" si="12"/>
        <v>105623.47018962662</v>
      </c>
      <c r="K134" s="177">
        <f>SUM($I$17:$I134)</f>
        <v>1803669.1871367127</v>
      </c>
      <c r="L134" s="179"/>
      <c r="M134" s="179"/>
    </row>
    <row r="135" spans="1:13" s="180" customFormat="1" ht="12.75">
      <c r="A135" s="192">
        <f t="shared" si="13"/>
        <v>119</v>
      </c>
      <c r="B135" s="175"/>
      <c r="C135" s="176">
        <f t="shared" si="9"/>
        <v>48335</v>
      </c>
      <c r="D135" s="177">
        <f t="shared" si="14"/>
        <v>105623.47018962662</v>
      </c>
      <c r="E135" s="177">
        <f t="shared" si="17"/>
        <v>53274.285736839716</v>
      </c>
      <c r="F135" s="178">
        <f t="shared" si="10"/>
        <v>0</v>
      </c>
      <c r="G135" s="177">
        <f t="shared" si="11"/>
        <v>53274.285736839716</v>
      </c>
      <c r="H135" s="177">
        <f t="shared" si="15"/>
        <v>52658.148827400226</v>
      </c>
      <c r="I135" s="177">
        <f t="shared" si="16"/>
        <v>616.1369094394887</v>
      </c>
      <c r="J135" s="177">
        <f t="shared" si="12"/>
        <v>52965.321362226394</v>
      </c>
      <c r="K135" s="177">
        <f>SUM($I$17:$I135)</f>
        <v>1804285.3240461522</v>
      </c>
      <c r="L135" s="179"/>
      <c r="M135" s="179"/>
    </row>
    <row r="136" spans="1:13" s="180" customFormat="1" ht="12.75">
      <c r="A136" s="192">
        <f t="shared" si="13"/>
        <v>120</v>
      </c>
      <c r="B136" s="175"/>
      <c r="C136" s="176">
        <f t="shared" si="9"/>
        <v>48366</v>
      </c>
      <c r="D136" s="177">
        <f t="shared" si="14"/>
        <v>52965.321362226394</v>
      </c>
      <c r="E136" s="177">
        <f t="shared" si="17"/>
        <v>53274.285736839716</v>
      </c>
      <c r="F136" s="178">
        <f t="shared" si="10"/>
        <v>0</v>
      </c>
      <c r="G136" s="177">
        <f t="shared" si="11"/>
        <v>52965.321362226394</v>
      </c>
      <c r="H136" s="177">
        <f t="shared" si="15"/>
        <v>52656.356987613406</v>
      </c>
      <c r="I136" s="177">
        <f t="shared" si="16"/>
        <v>308.96437461298734</v>
      </c>
      <c r="J136" s="177">
        <f t="shared" si="12"/>
        <v>0</v>
      </c>
      <c r="K136" s="177">
        <f>SUM($I$17:$I136)</f>
        <v>1804594.2884207652</v>
      </c>
      <c r="L136" s="179"/>
      <c r="M136" s="179"/>
    </row>
    <row r="137" spans="1:13" s="180" customFormat="1" ht="12.75">
      <c r="A137" s="192">
        <f t="shared" si="13"/>
        <v>121</v>
      </c>
      <c r="B137" s="175"/>
      <c r="C137" s="176">
        <f t="shared" si="9"/>
        <v>48396</v>
      </c>
      <c r="D137" s="177">
        <f t="shared" si="14"/>
        <v>0</v>
      </c>
      <c r="E137" s="177">
        <f t="shared" si="17"/>
        <v>53274.285736839716</v>
      </c>
      <c r="F137" s="178">
        <f t="shared" si="10"/>
        <v>0</v>
      </c>
      <c r="G137" s="177">
        <f t="shared" si="11"/>
        <v>0</v>
      </c>
      <c r="H137" s="177">
        <f t="shared" si="15"/>
        <v>0</v>
      </c>
      <c r="I137" s="177">
        <f t="shared" si="16"/>
        <v>0</v>
      </c>
      <c r="J137" s="177">
        <f t="shared" si="12"/>
        <v>0</v>
      </c>
      <c r="K137" s="177">
        <f>SUM($I$17:$I137)</f>
        <v>1804594.2884207652</v>
      </c>
      <c r="L137" s="179"/>
      <c r="M137" s="179"/>
    </row>
    <row r="138" spans="1:13" s="180" customFormat="1" ht="12.75">
      <c r="A138" s="192">
        <f t="shared" si="13"/>
        <v>122</v>
      </c>
      <c r="B138" s="175"/>
      <c r="C138" s="176">
        <f t="shared" si="9"/>
        <v>48427</v>
      </c>
      <c r="D138" s="177">
        <f t="shared" si="14"/>
        <v>0</v>
      </c>
      <c r="E138" s="177">
        <f t="shared" si="17"/>
        <v>53274.285736839716</v>
      </c>
      <c r="F138" s="178">
        <f t="shared" si="10"/>
        <v>0</v>
      </c>
      <c r="G138" s="177">
        <f t="shared" si="11"/>
        <v>0</v>
      </c>
      <c r="H138" s="177">
        <f t="shared" si="15"/>
        <v>0</v>
      </c>
      <c r="I138" s="177">
        <f t="shared" si="16"/>
        <v>0</v>
      </c>
      <c r="J138" s="177">
        <f t="shared" si="12"/>
        <v>0</v>
      </c>
      <c r="K138" s="177">
        <f>SUM($I$17:$I138)</f>
        <v>1804594.2884207652</v>
      </c>
      <c r="L138" s="179"/>
      <c r="M138" s="179"/>
    </row>
    <row r="139" spans="1:13" s="180" customFormat="1" ht="12.75">
      <c r="A139" s="192">
        <f t="shared" si="13"/>
        <v>123</v>
      </c>
      <c r="B139" s="175"/>
      <c r="C139" s="176">
        <f t="shared" si="9"/>
        <v>48458</v>
      </c>
      <c r="D139" s="177">
        <f t="shared" si="14"/>
        <v>0</v>
      </c>
      <c r="E139" s="177">
        <f t="shared" si="17"/>
        <v>53274.285736839716</v>
      </c>
      <c r="F139" s="178">
        <f t="shared" si="10"/>
        <v>0</v>
      </c>
      <c r="G139" s="177">
        <f t="shared" si="11"/>
        <v>0</v>
      </c>
      <c r="H139" s="177">
        <f t="shared" si="15"/>
        <v>0</v>
      </c>
      <c r="I139" s="177">
        <f t="shared" si="16"/>
        <v>0</v>
      </c>
      <c r="J139" s="177">
        <f t="shared" si="12"/>
        <v>0</v>
      </c>
      <c r="K139" s="177">
        <f>SUM($I$17:$I139)</f>
        <v>1804594.2884207652</v>
      </c>
      <c r="L139" s="179"/>
      <c r="M139" s="179"/>
    </row>
    <row r="140" spans="1:13" s="180" customFormat="1" ht="12.75">
      <c r="A140" s="192">
        <f t="shared" si="13"/>
        <v>124</v>
      </c>
      <c r="B140" s="175"/>
      <c r="C140" s="176">
        <f t="shared" si="9"/>
        <v>48488</v>
      </c>
      <c r="D140" s="177">
        <f t="shared" si="14"/>
        <v>0</v>
      </c>
      <c r="E140" s="177">
        <f t="shared" si="17"/>
        <v>53274.285736839716</v>
      </c>
      <c r="F140" s="178">
        <f t="shared" si="10"/>
        <v>0</v>
      </c>
      <c r="G140" s="177">
        <f t="shared" si="11"/>
        <v>0</v>
      </c>
      <c r="H140" s="177">
        <f t="shared" si="15"/>
        <v>0</v>
      </c>
      <c r="I140" s="177">
        <f t="shared" si="16"/>
        <v>0</v>
      </c>
      <c r="J140" s="177">
        <f t="shared" si="12"/>
        <v>0</v>
      </c>
      <c r="K140" s="177">
        <f>SUM($I$17:$I140)</f>
        <v>1804594.2884207652</v>
      </c>
      <c r="L140" s="179"/>
      <c r="M140" s="179"/>
    </row>
    <row r="141" spans="1:13" s="180" customFormat="1" ht="12.75">
      <c r="A141" s="192">
        <f t="shared" si="13"/>
        <v>125</v>
      </c>
      <c r="B141" s="175"/>
      <c r="C141" s="176">
        <f t="shared" si="9"/>
        <v>48519</v>
      </c>
      <c r="D141" s="177">
        <f t="shared" si="14"/>
        <v>0</v>
      </c>
      <c r="E141" s="177">
        <f t="shared" si="17"/>
        <v>53274.285736839716</v>
      </c>
      <c r="F141" s="178">
        <f t="shared" si="10"/>
        <v>0</v>
      </c>
      <c r="G141" s="177">
        <f t="shared" si="11"/>
        <v>0</v>
      </c>
      <c r="H141" s="177">
        <f t="shared" si="15"/>
        <v>0</v>
      </c>
      <c r="I141" s="177">
        <f t="shared" si="16"/>
        <v>0</v>
      </c>
      <c r="J141" s="177">
        <f t="shared" si="12"/>
        <v>0</v>
      </c>
      <c r="K141" s="177">
        <f>SUM($I$17:$I141)</f>
        <v>1804594.2884207652</v>
      </c>
      <c r="L141" s="179"/>
      <c r="M141" s="179"/>
    </row>
    <row r="142" spans="1:13" s="180" customFormat="1" ht="12.75">
      <c r="A142" s="192">
        <f t="shared" si="13"/>
        <v>126</v>
      </c>
      <c r="B142" s="175"/>
      <c r="C142" s="176">
        <f t="shared" si="9"/>
        <v>48549</v>
      </c>
      <c r="D142" s="177">
        <f t="shared" si="14"/>
        <v>0</v>
      </c>
      <c r="E142" s="177">
        <f t="shared" si="17"/>
        <v>53274.285736839716</v>
      </c>
      <c r="F142" s="178">
        <f t="shared" si="10"/>
        <v>0</v>
      </c>
      <c r="G142" s="177">
        <f t="shared" si="11"/>
        <v>0</v>
      </c>
      <c r="H142" s="177">
        <f t="shared" si="15"/>
        <v>0</v>
      </c>
      <c r="I142" s="177">
        <f t="shared" si="16"/>
        <v>0</v>
      </c>
      <c r="J142" s="177">
        <f t="shared" si="12"/>
        <v>0</v>
      </c>
      <c r="K142" s="177">
        <f>SUM($I$17:$I142)</f>
        <v>1804594.2884207652</v>
      </c>
      <c r="L142" s="179"/>
      <c r="M142" s="179"/>
    </row>
    <row r="143" spans="1:13" s="180" customFormat="1" ht="12.75">
      <c r="A143" s="192">
        <f t="shared" si="13"/>
        <v>127</v>
      </c>
      <c r="B143" s="175"/>
      <c r="C143" s="176">
        <f t="shared" si="9"/>
        <v>48580</v>
      </c>
      <c r="D143" s="177">
        <f t="shared" si="14"/>
        <v>0</v>
      </c>
      <c r="E143" s="177">
        <f t="shared" si="17"/>
        <v>53274.285736839716</v>
      </c>
      <c r="F143" s="178">
        <f t="shared" si="10"/>
        <v>0</v>
      </c>
      <c r="G143" s="177">
        <f t="shared" si="11"/>
        <v>0</v>
      </c>
      <c r="H143" s="177">
        <f t="shared" si="15"/>
        <v>0</v>
      </c>
      <c r="I143" s="177">
        <f t="shared" si="16"/>
        <v>0</v>
      </c>
      <c r="J143" s="177">
        <f t="shared" si="12"/>
        <v>0</v>
      </c>
      <c r="K143" s="177">
        <f>SUM($I$17:$I143)</f>
        <v>1804594.2884207652</v>
      </c>
      <c r="L143" s="179"/>
      <c r="M143" s="179"/>
    </row>
    <row r="144" spans="1:13" s="180" customFormat="1" ht="12.75">
      <c r="A144" s="192">
        <f t="shared" si="13"/>
        <v>128</v>
      </c>
      <c r="B144" s="175"/>
      <c r="C144" s="176">
        <f t="shared" si="9"/>
        <v>48611</v>
      </c>
      <c r="D144" s="177">
        <f t="shared" si="14"/>
        <v>0</v>
      </c>
      <c r="E144" s="177">
        <f t="shared" si="17"/>
        <v>53274.285736839716</v>
      </c>
      <c r="F144" s="178">
        <f t="shared" si="10"/>
        <v>0</v>
      </c>
      <c r="G144" s="177">
        <f t="shared" si="11"/>
        <v>0</v>
      </c>
      <c r="H144" s="177">
        <f t="shared" si="15"/>
        <v>0</v>
      </c>
      <c r="I144" s="177">
        <f t="shared" si="16"/>
        <v>0</v>
      </c>
      <c r="J144" s="177">
        <f t="shared" si="12"/>
        <v>0</v>
      </c>
      <c r="K144" s="177">
        <f>SUM($I$17:$I144)</f>
        <v>1804594.2884207652</v>
      </c>
      <c r="L144" s="179"/>
      <c r="M144" s="179"/>
    </row>
    <row r="145" spans="1:13" s="180" customFormat="1" ht="12.75">
      <c r="A145" s="192">
        <f t="shared" si="13"/>
        <v>129</v>
      </c>
      <c r="B145" s="175"/>
      <c r="C145" s="176">
        <f t="shared" ref="C145:C208" si="18">IF(Pay_Num&lt;&gt;"",DATE(YEAR(Loan_Start),MONTH(Loan_Start)+(Pay_Num)*12/Num_Pmt_Per_Year,DAY(Loan_Start)),"")</f>
        <v>48639</v>
      </c>
      <c r="D145" s="177">
        <f t="shared" si="14"/>
        <v>0</v>
      </c>
      <c r="E145" s="177">
        <f t="shared" si="17"/>
        <v>53274.285736839716</v>
      </c>
      <c r="F145" s="178">
        <f t="shared" ref="F145:F208" si="19">IF(AND(Pay_Num&lt;&gt;"",Sched_Pay+Scheduled_Extra_Payments&lt;Beg_Bal),Scheduled_Extra_Payments,IF(AND(Pay_Num&lt;&gt;"",Beg_Bal-Sched_Pay&gt;0),Beg_Bal-Sched_Pay,IF(Pay_Num&lt;&gt;"",0,"")))</f>
        <v>0</v>
      </c>
      <c r="G145" s="177">
        <f t="shared" ref="G145:G208" si="20">IF(AND(Pay_Num&lt;&gt;"",Sched_Pay+Extra_Pay&lt;Beg_Bal),Sched_Pay+Extra_Pay,IF(Pay_Num&lt;&gt;"",Beg_Bal,""))</f>
        <v>0</v>
      </c>
      <c r="H145" s="177">
        <f t="shared" si="15"/>
        <v>0</v>
      </c>
      <c r="I145" s="177">
        <f t="shared" si="16"/>
        <v>0</v>
      </c>
      <c r="J145" s="177">
        <f t="shared" ref="J145:J208" si="21">IF(AND(Pay_Num&lt;&gt;"",Sched_Pay+Extra_Pay&lt;Beg_Bal),Beg_Bal-Princ,IF(Pay_Num&lt;&gt;"",0,""))</f>
        <v>0</v>
      </c>
      <c r="K145" s="177">
        <f>SUM($I$17:$I145)</f>
        <v>1804594.2884207652</v>
      </c>
      <c r="L145" s="179"/>
      <c r="M145" s="179"/>
    </row>
    <row r="146" spans="1:13" s="180" customFormat="1" ht="12.75">
      <c r="A146" s="192">
        <f t="shared" ref="A146:A209" si="22">IF(Values_Entered,A145+1,"")</f>
        <v>130</v>
      </c>
      <c r="B146" s="175"/>
      <c r="C146" s="176">
        <f t="shared" si="18"/>
        <v>48670</v>
      </c>
      <c r="D146" s="177">
        <f t="shared" ref="D146:D209" si="23">IF(Pay_Num&lt;&gt;"",J145,"")</f>
        <v>0</v>
      </c>
      <c r="E146" s="177">
        <f t="shared" si="17"/>
        <v>53274.285736839716</v>
      </c>
      <c r="F146" s="178">
        <f t="shared" si="19"/>
        <v>0</v>
      </c>
      <c r="G146" s="177">
        <f t="shared" si="20"/>
        <v>0</v>
      </c>
      <c r="H146" s="177">
        <f t="shared" ref="H146:H209" si="24">IF(Pay_Num&lt;&gt;"",Total_Pay-Int,"")</f>
        <v>0</v>
      </c>
      <c r="I146" s="177">
        <f t="shared" ref="I146:I209" si="25">IF(Pay_Num&lt;&gt;"",Beg_Bal*Interest_Rate/Num_Pmt_Per_Year,"")</f>
        <v>0</v>
      </c>
      <c r="J146" s="177">
        <f t="shared" si="21"/>
        <v>0</v>
      </c>
      <c r="K146" s="177">
        <f>SUM($I$17:$I146)</f>
        <v>1804594.2884207652</v>
      </c>
      <c r="L146" s="179"/>
      <c r="M146" s="179"/>
    </row>
    <row r="147" spans="1:13" s="180" customFormat="1" ht="12.75">
      <c r="A147" s="192">
        <f t="shared" si="22"/>
        <v>131</v>
      </c>
      <c r="B147" s="175"/>
      <c r="C147" s="176">
        <f t="shared" si="18"/>
        <v>48700</v>
      </c>
      <c r="D147" s="177">
        <f t="shared" si="23"/>
        <v>0</v>
      </c>
      <c r="E147" s="177">
        <f t="shared" ref="E147:E210" si="26">IF(Pay_Num&lt;&gt;"",Scheduled_Monthly_Payment,"")</f>
        <v>53274.285736839716</v>
      </c>
      <c r="F147" s="178">
        <f t="shared" si="19"/>
        <v>0</v>
      </c>
      <c r="G147" s="177">
        <f t="shared" si="20"/>
        <v>0</v>
      </c>
      <c r="H147" s="177">
        <f t="shared" si="24"/>
        <v>0</v>
      </c>
      <c r="I147" s="177">
        <f t="shared" si="25"/>
        <v>0</v>
      </c>
      <c r="J147" s="177">
        <f t="shared" si="21"/>
        <v>0</v>
      </c>
      <c r="K147" s="177">
        <f>SUM($I$17:$I147)</f>
        <v>1804594.2884207652</v>
      </c>
      <c r="L147" s="179"/>
      <c r="M147" s="179"/>
    </row>
    <row r="148" spans="1:13" s="180" customFormat="1" ht="12.75">
      <c r="A148" s="192">
        <f t="shared" si="22"/>
        <v>132</v>
      </c>
      <c r="B148" s="175"/>
      <c r="C148" s="176">
        <f t="shared" si="18"/>
        <v>48731</v>
      </c>
      <c r="D148" s="177">
        <f t="shared" si="23"/>
        <v>0</v>
      </c>
      <c r="E148" s="177">
        <f t="shared" si="26"/>
        <v>53274.285736839716</v>
      </c>
      <c r="F148" s="178">
        <f t="shared" si="19"/>
        <v>0</v>
      </c>
      <c r="G148" s="177">
        <f t="shared" si="20"/>
        <v>0</v>
      </c>
      <c r="H148" s="177">
        <f t="shared" si="24"/>
        <v>0</v>
      </c>
      <c r="I148" s="177">
        <f t="shared" si="25"/>
        <v>0</v>
      </c>
      <c r="J148" s="177">
        <f t="shared" si="21"/>
        <v>0</v>
      </c>
      <c r="K148" s="177">
        <f>SUM($I$17:$I148)</f>
        <v>1804594.2884207652</v>
      </c>
      <c r="L148" s="179"/>
      <c r="M148" s="179"/>
    </row>
    <row r="149" spans="1:13" s="180" customFormat="1" ht="12.75">
      <c r="A149" s="192">
        <f t="shared" si="22"/>
        <v>133</v>
      </c>
      <c r="B149" s="175"/>
      <c r="C149" s="176">
        <f t="shared" si="18"/>
        <v>48761</v>
      </c>
      <c r="D149" s="177">
        <f t="shared" si="23"/>
        <v>0</v>
      </c>
      <c r="E149" s="177">
        <f t="shared" si="26"/>
        <v>53274.285736839716</v>
      </c>
      <c r="F149" s="178">
        <f t="shared" si="19"/>
        <v>0</v>
      </c>
      <c r="G149" s="177">
        <f t="shared" si="20"/>
        <v>0</v>
      </c>
      <c r="H149" s="177">
        <f t="shared" si="24"/>
        <v>0</v>
      </c>
      <c r="I149" s="177">
        <f t="shared" si="25"/>
        <v>0</v>
      </c>
      <c r="J149" s="177">
        <f t="shared" si="21"/>
        <v>0</v>
      </c>
      <c r="K149" s="177">
        <f>SUM($I$17:$I149)</f>
        <v>1804594.2884207652</v>
      </c>
      <c r="L149" s="179"/>
      <c r="M149" s="179"/>
    </row>
    <row r="150" spans="1:13" s="180" customFormat="1" ht="12.75">
      <c r="A150" s="192">
        <f t="shared" si="22"/>
        <v>134</v>
      </c>
      <c r="B150" s="175"/>
      <c r="C150" s="176">
        <f t="shared" si="18"/>
        <v>48792</v>
      </c>
      <c r="D150" s="177">
        <f t="shared" si="23"/>
        <v>0</v>
      </c>
      <c r="E150" s="177">
        <f t="shared" si="26"/>
        <v>53274.285736839716</v>
      </c>
      <c r="F150" s="178">
        <f t="shared" si="19"/>
        <v>0</v>
      </c>
      <c r="G150" s="177">
        <f t="shared" si="20"/>
        <v>0</v>
      </c>
      <c r="H150" s="177">
        <f t="shared" si="24"/>
        <v>0</v>
      </c>
      <c r="I150" s="177">
        <f t="shared" si="25"/>
        <v>0</v>
      </c>
      <c r="J150" s="177">
        <f t="shared" si="21"/>
        <v>0</v>
      </c>
      <c r="K150" s="177">
        <f>SUM($I$17:$I150)</f>
        <v>1804594.2884207652</v>
      </c>
      <c r="L150" s="179"/>
      <c r="M150" s="179"/>
    </row>
    <row r="151" spans="1:13" s="180" customFormat="1" ht="12.75">
      <c r="A151" s="192">
        <f t="shared" si="22"/>
        <v>135</v>
      </c>
      <c r="B151" s="175"/>
      <c r="C151" s="176">
        <f t="shared" si="18"/>
        <v>48823</v>
      </c>
      <c r="D151" s="177">
        <f t="shared" si="23"/>
        <v>0</v>
      </c>
      <c r="E151" s="177">
        <f t="shared" si="26"/>
        <v>53274.285736839716</v>
      </c>
      <c r="F151" s="178">
        <f t="shared" si="19"/>
        <v>0</v>
      </c>
      <c r="G151" s="177">
        <f t="shared" si="20"/>
        <v>0</v>
      </c>
      <c r="H151" s="177">
        <f t="shared" si="24"/>
        <v>0</v>
      </c>
      <c r="I151" s="177">
        <f t="shared" si="25"/>
        <v>0</v>
      </c>
      <c r="J151" s="177">
        <f t="shared" si="21"/>
        <v>0</v>
      </c>
      <c r="K151" s="177">
        <f>SUM($I$17:$I151)</f>
        <v>1804594.2884207652</v>
      </c>
      <c r="L151" s="179"/>
      <c r="M151" s="179"/>
    </row>
    <row r="152" spans="1:13" s="180" customFormat="1" ht="12.75">
      <c r="A152" s="192">
        <f t="shared" si="22"/>
        <v>136</v>
      </c>
      <c r="B152" s="175"/>
      <c r="C152" s="176">
        <f t="shared" si="18"/>
        <v>48853</v>
      </c>
      <c r="D152" s="177">
        <f t="shared" si="23"/>
        <v>0</v>
      </c>
      <c r="E152" s="177">
        <f t="shared" si="26"/>
        <v>53274.285736839716</v>
      </c>
      <c r="F152" s="178">
        <f t="shared" si="19"/>
        <v>0</v>
      </c>
      <c r="G152" s="177">
        <f t="shared" si="20"/>
        <v>0</v>
      </c>
      <c r="H152" s="177">
        <f t="shared" si="24"/>
        <v>0</v>
      </c>
      <c r="I152" s="177">
        <f t="shared" si="25"/>
        <v>0</v>
      </c>
      <c r="J152" s="177">
        <f t="shared" si="21"/>
        <v>0</v>
      </c>
      <c r="K152" s="177">
        <f>SUM($I$17:$I152)</f>
        <v>1804594.2884207652</v>
      </c>
      <c r="L152" s="179"/>
      <c r="M152" s="179"/>
    </row>
    <row r="153" spans="1:13" s="180" customFormat="1" ht="12.75">
      <c r="A153" s="192">
        <f t="shared" si="22"/>
        <v>137</v>
      </c>
      <c r="B153" s="175"/>
      <c r="C153" s="176">
        <f t="shared" si="18"/>
        <v>48884</v>
      </c>
      <c r="D153" s="177">
        <f t="shared" si="23"/>
        <v>0</v>
      </c>
      <c r="E153" s="177">
        <f t="shared" si="26"/>
        <v>53274.285736839716</v>
      </c>
      <c r="F153" s="178">
        <f t="shared" si="19"/>
        <v>0</v>
      </c>
      <c r="G153" s="177">
        <f t="shared" si="20"/>
        <v>0</v>
      </c>
      <c r="H153" s="177">
        <f t="shared" si="24"/>
        <v>0</v>
      </c>
      <c r="I153" s="177">
        <f t="shared" si="25"/>
        <v>0</v>
      </c>
      <c r="J153" s="177">
        <f t="shared" si="21"/>
        <v>0</v>
      </c>
      <c r="K153" s="177">
        <f>SUM($I$17:$I153)</f>
        <v>1804594.2884207652</v>
      </c>
      <c r="L153" s="179"/>
      <c r="M153" s="179"/>
    </row>
    <row r="154" spans="1:13" s="180" customFormat="1" ht="12.75">
      <c r="A154" s="192">
        <f t="shared" si="22"/>
        <v>138</v>
      </c>
      <c r="B154" s="175"/>
      <c r="C154" s="176">
        <f t="shared" si="18"/>
        <v>48914</v>
      </c>
      <c r="D154" s="177">
        <f t="shared" si="23"/>
        <v>0</v>
      </c>
      <c r="E154" s="177">
        <f t="shared" si="26"/>
        <v>53274.285736839716</v>
      </c>
      <c r="F154" s="178">
        <f t="shared" si="19"/>
        <v>0</v>
      </c>
      <c r="G154" s="177">
        <f t="shared" si="20"/>
        <v>0</v>
      </c>
      <c r="H154" s="177">
        <f t="shared" si="24"/>
        <v>0</v>
      </c>
      <c r="I154" s="177">
        <f t="shared" si="25"/>
        <v>0</v>
      </c>
      <c r="J154" s="177">
        <f t="shared" si="21"/>
        <v>0</v>
      </c>
      <c r="K154" s="177">
        <f>SUM($I$17:$I154)</f>
        <v>1804594.2884207652</v>
      </c>
      <c r="L154" s="179"/>
      <c r="M154" s="179"/>
    </row>
    <row r="155" spans="1:13" s="180" customFormat="1" ht="12.75">
      <c r="A155" s="192">
        <f t="shared" si="22"/>
        <v>139</v>
      </c>
      <c r="B155" s="175"/>
      <c r="C155" s="176">
        <f t="shared" si="18"/>
        <v>48945</v>
      </c>
      <c r="D155" s="177">
        <f t="shared" si="23"/>
        <v>0</v>
      </c>
      <c r="E155" s="177">
        <f t="shared" si="26"/>
        <v>53274.285736839716</v>
      </c>
      <c r="F155" s="178">
        <f t="shared" si="19"/>
        <v>0</v>
      </c>
      <c r="G155" s="177">
        <f t="shared" si="20"/>
        <v>0</v>
      </c>
      <c r="H155" s="177">
        <f t="shared" si="24"/>
        <v>0</v>
      </c>
      <c r="I155" s="177">
        <f t="shared" si="25"/>
        <v>0</v>
      </c>
      <c r="J155" s="177">
        <f t="shared" si="21"/>
        <v>0</v>
      </c>
      <c r="K155" s="177">
        <f>SUM($I$17:$I155)</f>
        <v>1804594.2884207652</v>
      </c>
      <c r="L155" s="179"/>
      <c r="M155" s="179"/>
    </row>
    <row r="156" spans="1:13" s="180" customFormat="1" ht="12.75">
      <c r="A156" s="192">
        <f t="shared" si="22"/>
        <v>140</v>
      </c>
      <c r="B156" s="175"/>
      <c r="C156" s="176">
        <f t="shared" si="18"/>
        <v>48976</v>
      </c>
      <c r="D156" s="177">
        <f t="shared" si="23"/>
        <v>0</v>
      </c>
      <c r="E156" s="177">
        <f t="shared" si="26"/>
        <v>53274.285736839716</v>
      </c>
      <c r="F156" s="178">
        <f t="shared" si="19"/>
        <v>0</v>
      </c>
      <c r="G156" s="177">
        <f t="shared" si="20"/>
        <v>0</v>
      </c>
      <c r="H156" s="177">
        <f t="shared" si="24"/>
        <v>0</v>
      </c>
      <c r="I156" s="177">
        <f t="shared" si="25"/>
        <v>0</v>
      </c>
      <c r="J156" s="177">
        <f t="shared" si="21"/>
        <v>0</v>
      </c>
      <c r="K156" s="177">
        <f>SUM($I$17:$I156)</f>
        <v>1804594.2884207652</v>
      </c>
      <c r="L156" s="179"/>
      <c r="M156" s="179"/>
    </row>
    <row r="157" spans="1:13" s="180" customFormat="1" ht="12.75">
      <c r="A157" s="192">
        <f t="shared" si="22"/>
        <v>141</v>
      </c>
      <c r="B157" s="175"/>
      <c r="C157" s="176">
        <f t="shared" si="18"/>
        <v>49004</v>
      </c>
      <c r="D157" s="177">
        <f t="shared" si="23"/>
        <v>0</v>
      </c>
      <c r="E157" s="177">
        <f t="shared" si="26"/>
        <v>53274.285736839716</v>
      </c>
      <c r="F157" s="178">
        <f t="shared" si="19"/>
        <v>0</v>
      </c>
      <c r="G157" s="177">
        <f t="shared" si="20"/>
        <v>0</v>
      </c>
      <c r="H157" s="177">
        <f t="shared" si="24"/>
        <v>0</v>
      </c>
      <c r="I157" s="177">
        <f t="shared" si="25"/>
        <v>0</v>
      </c>
      <c r="J157" s="177">
        <f t="shared" si="21"/>
        <v>0</v>
      </c>
      <c r="K157" s="177">
        <f>SUM($I$17:$I157)</f>
        <v>1804594.2884207652</v>
      </c>
      <c r="L157" s="179"/>
      <c r="M157" s="179"/>
    </row>
    <row r="158" spans="1:13" s="180" customFormat="1" ht="12.75">
      <c r="A158" s="192">
        <f t="shared" si="22"/>
        <v>142</v>
      </c>
      <c r="B158" s="175"/>
      <c r="C158" s="176">
        <f t="shared" si="18"/>
        <v>49035</v>
      </c>
      <c r="D158" s="177">
        <f t="shared" si="23"/>
        <v>0</v>
      </c>
      <c r="E158" s="177">
        <f t="shared" si="26"/>
        <v>53274.285736839716</v>
      </c>
      <c r="F158" s="178">
        <f t="shared" si="19"/>
        <v>0</v>
      </c>
      <c r="G158" s="177">
        <f t="shared" si="20"/>
        <v>0</v>
      </c>
      <c r="H158" s="177">
        <f t="shared" si="24"/>
        <v>0</v>
      </c>
      <c r="I158" s="177">
        <f t="shared" si="25"/>
        <v>0</v>
      </c>
      <c r="J158" s="177">
        <f t="shared" si="21"/>
        <v>0</v>
      </c>
      <c r="K158" s="177">
        <f>SUM($I$17:$I158)</f>
        <v>1804594.2884207652</v>
      </c>
      <c r="L158" s="179"/>
      <c r="M158" s="179"/>
    </row>
    <row r="159" spans="1:13" s="180" customFormat="1" ht="12.75">
      <c r="A159" s="192">
        <f t="shared" si="22"/>
        <v>143</v>
      </c>
      <c r="B159" s="175"/>
      <c r="C159" s="176">
        <f t="shared" si="18"/>
        <v>49065</v>
      </c>
      <c r="D159" s="177">
        <f t="shared" si="23"/>
        <v>0</v>
      </c>
      <c r="E159" s="177">
        <f t="shared" si="26"/>
        <v>53274.285736839716</v>
      </c>
      <c r="F159" s="178">
        <f t="shared" si="19"/>
        <v>0</v>
      </c>
      <c r="G159" s="177">
        <f t="shared" si="20"/>
        <v>0</v>
      </c>
      <c r="H159" s="177">
        <f t="shared" si="24"/>
        <v>0</v>
      </c>
      <c r="I159" s="177">
        <f t="shared" si="25"/>
        <v>0</v>
      </c>
      <c r="J159" s="177">
        <f t="shared" si="21"/>
        <v>0</v>
      </c>
      <c r="K159" s="177">
        <f>SUM($I$17:$I159)</f>
        <v>1804594.2884207652</v>
      </c>
      <c r="L159" s="179"/>
      <c r="M159" s="179"/>
    </row>
    <row r="160" spans="1:13" s="180" customFormat="1" ht="12.75">
      <c r="A160" s="192">
        <f t="shared" si="22"/>
        <v>144</v>
      </c>
      <c r="B160" s="175"/>
      <c r="C160" s="176">
        <f t="shared" si="18"/>
        <v>49096</v>
      </c>
      <c r="D160" s="177">
        <f t="shared" si="23"/>
        <v>0</v>
      </c>
      <c r="E160" s="177">
        <f t="shared" si="26"/>
        <v>53274.285736839716</v>
      </c>
      <c r="F160" s="178">
        <f t="shared" si="19"/>
        <v>0</v>
      </c>
      <c r="G160" s="177">
        <f t="shared" si="20"/>
        <v>0</v>
      </c>
      <c r="H160" s="177">
        <f t="shared" si="24"/>
        <v>0</v>
      </c>
      <c r="I160" s="177">
        <f t="shared" si="25"/>
        <v>0</v>
      </c>
      <c r="J160" s="177">
        <f t="shared" si="21"/>
        <v>0</v>
      </c>
      <c r="K160" s="177">
        <f>SUM($I$17:$I160)</f>
        <v>1804594.2884207652</v>
      </c>
      <c r="L160" s="179"/>
      <c r="M160" s="179"/>
    </row>
    <row r="161" spans="1:13" s="180" customFormat="1" ht="12.75">
      <c r="A161" s="192">
        <f t="shared" si="22"/>
        <v>145</v>
      </c>
      <c r="B161" s="175"/>
      <c r="C161" s="176">
        <f t="shared" si="18"/>
        <v>49126</v>
      </c>
      <c r="D161" s="177">
        <f t="shared" si="23"/>
        <v>0</v>
      </c>
      <c r="E161" s="177">
        <f t="shared" si="26"/>
        <v>53274.285736839716</v>
      </c>
      <c r="F161" s="178">
        <f t="shared" si="19"/>
        <v>0</v>
      </c>
      <c r="G161" s="177">
        <f t="shared" si="20"/>
        <v>0</v>
      </c>
      <c r="H161" s="177">
        <f t="shared" si="24"/>
        <v>0</v>
      </c>
      <c r="I161" s="177">
        <f t="shared" si="25"/>
        <v>0</v>
      </c>
      <c r="J161" s="177">
        <f t="shared" si="21"/>
        <v>0</v>
      </c>
      <c r="K161" s="177">
        <f>SUM($I$17:$I161)</f>
        <v>1804594.2884207652</v>
      </c>
      <c r="L161" s="179"/>
      <c r="M161" s="179"/>
    </row>
    <row r="162" spans="1:13" s="180" customFormat="1" ht="12.75">
      <c r="A162" s="192">
        <f t="shared" si="22"/>
        <v>146</v>
      </c>
      <c r="B162" s="175"/>
      <c r="C162" s="176">
        <f t="shared" si="18"/>
        <v>49157</v>
      </c>
      <c r="D162" s="177">
        <f t="shared" si="23"/>
        <v>0</v>
      </c>
      <c r="E162" s="177">
        <f t="shared" si="26"/>
        <v>53274.285736839716</v>
      </c>
      <c r="F162" s="178">
        <f t="shared" si="19"/>
        <v>0</v>
      </c>
      <c r="G162" s="177">
        <f t="shared" si="20"/>
        <v>0</v>
      </c>
      <c r="H162" s="177">
        <f t="shared" si="24"/>
        <v>0</v>
      </c>
      <c r="I162" s="177">
        <f t="shared" si="25"/>
        <v>0</v>
      </c>
      <c r="J162" s="177">
        <f t="shared" si="21"/>
        <v>0</v>
      </c>
      <c r="K162" s="177">
        <f>SUM($I$17:$I162)</f>
        <v>1804594.2884207652</v>
      </c>
      <c r="L162" s="179"/>
      <c r="M162" s="179"/>
    </row>
    <row r="163" spans="1:13" s="180" customFormat="1" ht="12.75">
      <c r="A163" s="192">
        <f t="shared" si="22"/>
        <v>147</v>
      </c>
      <c r="B163" s="175"/>
      <c r="C163" s="176">
        <f t="shared" si="18"/>
        <v>49188</v>
      </c>
      <c r="D163" s="177">
        <f t="shared" si="23"/>
        <v>0</v>
      </c>
      <c r="E163" s="177">
        <f t="shared" si="26"/>
        <v>53274.285736839716</v>
      </c>
      <c r="F163" s="178">
        <f t="shared" si="19"/>
        <v>0</v>
      </c>
      <c r="G163" s="177">
        <f t="shared" si="20"/>
        <v>0</v>
      </c>
      <c r="H163" s="177">
        <f t="shared" si="24"/>
        <v>0</v>
      </c>
      <c r="I163" s="177">
        <f t="shared" si="25"/>
        <v>0</v>
      </c>
      <c r="J163" s="177">
        <f t="shared" si="21"/>
        <v>0</v>
      </c>
      <c r="K163" s="177">
        <f>SUM($I$17:$I163)</f>
        <v>1804594.2884207652</v>
      </c>
      <c r="L163" s="179"/>
      <c r="M163" s="179"/>
    </row>
    <row r="164" spans="1:13" s="180" customFormat="1" ht="12.75">
      <c r="A164" s="192">
        <f t="shared" si="22"/>
        <v>148</v>
      </c>
      <c r="B164" s="175"/>
      <c r="C164" s="176">
        <f t="shared" si="18"/>
        <v>49218</v>
      </c>
      <c r="D164" s="177">
        <f t="shared" si="23"/>
        <v>0</v>
      </c>
      <c r="E164" s="177">
        <f t="shared" si="26"/>
        <v>53274.285736839716</v>
      </c>
      <c r="F164" s="178">
        <f t="shared" si="19"/>
        <v>0</v>
      </c>
      <c r="G164" s="177">
        <f t="shared" si="20"/>
        <v>0</v>
      </c>
      <c r="H164" s="177">
        <f t="shared" si="24"/>
        <v>0</v>
      </c>
      <c r="I164" s="177">
        <f t="shared" si="25"/>
        <v>0</v>
      </c>
      <c r="J164" s="177">
        <f t="shared" si="21"/>
        <v>0</v>
      </c>
      <c r="K164" s="177">
        <f>SUM($I$17:$I164)</f>
        <v>1804594.2884207652</v>
      </c>
      <c r="L164" s="179"/>
      <c r="M164" s="179"/>
    </row>
    <row r="165" spans="1:13" s="180" customFormat="1" ht="12.75">
      <c r="A165" s="192">
        <f t="shared" si="22"/>
        <v>149</v>
      </c>
      <c r="B165" s="175"/>
      <c r="C165" s="176">
        <f t="shared" si="18"/>
        <v>49249</v>
      </c>
      <c r="D165" s="177">
        <f t="shared" si="23"/>
        <v>0</v>
      </c>
      <c r="E165" s="177">
        <f t="shared" si="26"/>
        <v>53274.285736839716</v>
      </c>
      <c r="F165" s="178">
        <f t="shared" si="19"/>
        <v>0</v>
      </c>
      <c r="G165" s="177">
        <f t="shared" si="20"/>
        <v>0</v>
      </c>
      <c r="H165" s="177">
        <f t="shared" si="24"/>
        <v>0</v>
      </c>
      <c r="I165" s="177">
        <f t="shared" si="25"/>
        <v>0</v>
      </c>
      <c r="J165" s="177">
        <f t="shared" si="21"/>
        <v>0</v>
      </c>
      <c r="K165" s="177">
        <f>SUM($I$17:$I165)</f>
        <v>1804594.2884207652</v>
      </c>
      <c r="L165" s="179"/>
      <c r="M165" s="179"/>
    </row>
    <row r="166" spans="1:13" s="180" customFormat="1" ht="12.75">
      <c r="A166" s="192">
        <f t="shared" si="22"/>
        <v>150</v>
      </c>
      <c r="B166" s="175"/>
      <c r="C166" s="176">
        <f t="shared" si="18"/>
        <v>49279</v>
      </c>
      <c r="D166" s="177">
        <f t="shared" si="23"/>
        <v>0</v>
      </c>
      <c r="E166" s="177">
        <f t="shared" si="26"/>
        <v>53274.285736839716</v>
      </c>
      <c r="F166" s="178">
        <f t="shared" si="19"/>
        <v>0</v>
      </c>
      <c r="G166" s="177">
        <f t="shared" si="20"/>
        <v>0</v>
      </c>
      <c r="H166" s="177">
        <f t="shared" si="24"/>
        <v>0</v>
      </c>
      <c r="I166" s="177">
        <f t="shared" si="25"/>
        <v>0</v>
      </c>
      <c r="J166" s="177">
        <f t="shared" si="21"/>
        <v>0</v>
      </c>
      <c r="K166" s="177">
        <f>SUM($I$17:$I166)</f>
        <v>1804594.2884207652</v>
      </c>
      <c r="L166" s="179"/>
      <c r="M166" s="179"/>
    </row>
    <row r="167" spans="1:13" s="180" customFormat="1" ht="12.75">
      <c r="A167" s="192">
        <f t="shared" si="22"/>
        <v>151</v>
      </c>
      <c r="B167" s="175"/>
      <c r="C167" s="176">
        <f t="shared" si="18"/>
        <v>49310</v>
      </c>
      <c r="D167" s="177">
        <f t="shared" si="23"/>
        <v>0</v>
      </c>
      <c r="E167" s="177">
        <f t="shared" si="26"/>
        <v>53274.285736839716</v>
      </c>
      <c r="F167" s="178">
        <f t="shared" si="19"/>
        <v>0</v>
      </c>
      <c r="G167" s="177">
        <f t="shared" si="20"/>
        <v>0</v>
      </c>
      <c r="H167" s="177">
        <f t="shared" si="24"/>
        <v>0</v>
      </c>
      <c r="I167" s="177">
        <f t="shared" si="25"/>
        <v>0</v>
      </c>
      <c r="J167" s="177">
        <f t="shared" si="21"/>
        <v>0</v>
      </c>
      <c r="K167" s="177">
        <f>SUM($I$17:$I167)</f>
        <v>1804594.2884207652</v>
      </c>
      <c r="L167" s="179"/>
      <c r="M167" s="179"/>
    </row>
    <row r="168" spans="1:13" s="180" customFormat="1" ht="12.75">
      <c r="A168" s="192">
        <f t="shared" si="22"/>
        <v>152</v>
      </c>
      <c r="B168" s="175"/>
      <c r="C168" s="176">
        <f t="shared" si="18"/>
        <v>49341</v>
      </c>
      <c r="D168" s="177">
        <f t="shared" si="23"/>
        <v>0</v>
      </c>
      <c r="E168" s="177">
        <f t="shared" si="26"/>
        <v>53274.285736839716</v>
      </c>
      <c r="F168" s="178">
        <f t="shared" si="19"/>
        <v>0</v>
      </c>
      <c r="G168" s="177">
        <f t="shared" si="20"/>
        <v>0</v>
      </c>
      <c r="H168" s="177">
        <f t="shared" si="24"/>
        <v>0</v>
      </c>
      <c r="I168" s="177">
        <f t="shared" si="25"/>
        <v>0</v>
      </c>
      <c r="J168" s="177">
        <f t="shared" si="21"/>
        <v>0</v>
      </c>
      <c r="K168" s="177">
        <f>SUM($I$17:$I168)</f>
        <v>1804594.2884207652</v>
      </c>
      <c r="L168" s="179"/>
      <c r="M168" s="179"/>
    </row>
    <row r="169" spans="1:13" s="180" customFormat="1" ht="12.75">
      <c r="A169" s="192">
        <f t="shared" si="22"/>
        <v>153</v>
      </c>
      <c r="B169" s="175"/>
      <c r="C169" s="176">
        <f t="shared" si="18"/>
        <v>49369</v>
      </c>
      <c r="D169" s="177">
        <f t="shared" si="23"/>
        <v>0</v>
      </c>
      <c r="E169" s="177">
        <f t="shared" si="26"/>
        <v>53274.285736839716</v>
      </c>
      <c r="F169" s="178">
        <f t="shared" si="19"/>
        <v>0</v>
      </c>
      <c r="G169" s="177">
        <f t="shared" si="20"/>
        <v>0</v>
      </c>
      <c r="H169" s="177">
        <f t="shared" si="24"/>
        <v>0</v>
      </c>
      <c r="I169" s="177">
        <f t="shared" si="25"/>
        <v>0</v>
      </c>
      <c r="J169" s="177">
        <f t="shared" si="21"/>
        <v>0</v>
      </c>
      <c r="K169" s="177">
        <f>SUM($I$17:$I169)</f>
        <v>1804594.2884207652</v>
      </c>
      <c r="L169" s="179"/>
      <c r="M169" s="179"/>
    </row>
    <row r="170" spans="1:13" s="180" customFormat="1" ht="12.75">
      <c r="A170" s="192">
        <f t="shared" si="22"/>
        <v>154</v>
      </c>
      <c r="B170" s="175"/>
      <c r="C170" s="176">
        <f t="shared" si="18"/>
        <v>49400</v>
      </c>
      <c r="D170" s="177">
        <f t="shared" si="23"/>
        <v>0</v>
      </c>
      <c r="E170" s="177">
        <f t="shared" si="26"/>
        <v>53274.285736839716</v>
      </c>
      <c r="F170" s="178">
        <f t="shared" si="19"/>
        <v>0</v>
      </c>
      <c r="G170" s="177">
        <f t="shared" si="20"/>
        <v>0</v>
      </c>
      <c r="H170" s="177">
        <f t="shared" si="24"/>
        <v>0</v>
      </c>
      <c r="I170" s="177">
        <f t="shared" si="25"/>
        <v>0</v>
      </c>
      <c r="J170" s="177">
        <f t="shared" si="21"/>
        <v>0</v>
      </c>
      <c r="K170" s="177">
        <f>SUM($I$17:$I170)</f>
        <v>1804594.2884207652</v>
      </c>
      <c r="L170" s="179"/>
      <c r="M170" s="179"/>
    </row>
    <row r="171" spans="1:13" s="180" customFormat="1" ht="12.75">
      <c r="A171" s="192">
        <f t="shared" si="22"/>
        <v>155</v>
      </c>
      <c r="B171" s="175"/>
      <c r="C171" s="176">
        <f t="shared" si="18"/>
        <v>49430</v>
      </c>
      <c r="D171" s="177">
        <f t="shared" si="23"/>
        <v>0</v>
      </c>
      <c r="E171" s="177">
        <f t="shared" si="26"/>
        <v>53274.285736839716</v>
      </c>
      <c r="F171" s="178">
        <f t="shared" si="19"/>
        <v>0</v>
      </c>
      <c r="G171" s="177">
        <f t="shared" si="20"/>
        <v>0</v>
      </c>
      <c r="H171" s="177">
        <f t="shared" si="24"/>
        <v>0</v>
      </c>
      <c r="I171" s="177">
        <f t="shared" si="25"/>
        <v>0</v>
      </c>
      <c r="J171" s="177">
        <f t="shared" si="21"/>
        <v>0</v>
      </c>
      <c r="K171" s="177">
        <f>SUM($I$17:$I171)</f>
        <v>1804594.2884207652</v>
      </c>
      <c r="L171" s="179"/>
      <c r="M171" s="179"/>
    </row>
    <row r="172" spans="1:13" s="180" customFormat="1" ht="12.75">
      <c r="A172" s="192">
        <f t="shared" si="22"/>
        <v>156</v>
      </c>
      <c r="B172" s="175"/>
      <c r="C172" s="176">
        <f t="shared" si="18"/>
        <v>49461</v>
      </c>
      <c r="D172" s="177">
        <f t="shared" si="23"/>
        <v>0</v>
      </c>
      <c r="E172" s="177">
        <f t="shared" si="26"/>
        <v>53274.285736839716</v>
      </c>
      <c r="F172" s="178">
        <f t="shared" si="19"/>
        <v>0</v>
      </c>
      <c r="G172" s="177">
        <f t="shared" si="20"/>
        <v>0</v>
      </c>
      <c r="H172" s="177">
        <f t="shared" si="24"/>
        <v>0</v>
      </c>
      <c r="I172" s="177">
        <f t="shared" si="25"/>
        <v>0</v>
      </c>
      <c r="J172" s="177">
        <f t="shared" si="21"/>
        <v>0</v>
      </c>
      <c r="K172" s="177">
        <f>SUM($I$17:$I172)</f>
        <v>1804594.2884207652</v>
      </c>
      <c r="L172" s="179"/>
      <c r="M172" s="179"/>
    </row>
    <row r="173" spans="1:13" s="180" customFormat="1" ht="12.75">
      <c r="A173" s="192">
        <f t="shared" si="22"/>
        <v>157</v>
      </c>
      <c r="B173" s="175"/>
      <c r="C173" s="176">
        <f t="shared" si="18"/>
        <v>49491</v>
      </c>
      <c r="D173" s="177">
        <f t="shared" si="23"/>
        <v>0</v>
      </c>
      <c r="E173" s="177">
        <f t="shared" si="26"/>
        <v>53274.285736839716</v>
      </c>
      <c r="F173" s="178">
        <f t="shared" si="19"/>
        <v>0</v>
      </c>
      <c r="G173" s="177">
        <f t="shared" si="20"/>
        <v>0</v>
      </c>
      <c r="H173" s="177">
        <f t="shared" si="24"/>
        <v>0</v>
      </c>
      <c r="I173" s="177">
        <f t="shared" si="25"/>
        <v>0</v>
      </c>
      <c r="J173" s="177">
        <f t="shared" si="21"/>
        <v>0</v>
      </c>
      <c r="K173" s="177">
        <f>SUM($I$17:$I173)</f>
        <v>1804594.2884207652</v>
      </c>
      <c r="L173" s="179"/>
      <c r="M173" s="179"/>
    </row>
    <row r="174" spans="1:13" s="180" customFormat="1" ht="12.75">
      <c r="A174" s="192">
        <f t="shared" si="22"/>
        <v>158</v>
      </c>
      <c r="B174" s="175"/>
      <c r="C174" s="176">
        <f t="shared" si="18"/>
        <v>49522</v>
      </c>
      <c r="D174" s="177">
        <f t="shared" si="23"/>
        <v>0</v>
      </c>
      <c r="E174" s="177">
        <f t="shared" si="26"/>
        <v>53274.285736839716</v>
      </c>
      <c r="F174" s="178">
        <f t="shared" si="19"/>
        <v>0</v>
      </c>
      <c r="G174" s="177">
        <f t="shared" si="20"/>
        <v>0</v>
      </c>
      <c r="H174" s="177">
        <f t="shared" si="24"/>
        <v>0</v>
      </c>
      <c r="I174" s="177">
        <f t="shared" si="25"/>
        <v>0</v>
      </c>
      <c r="J174" s="177">
        <f t="shared" si="21"/>
        <v>0</v>
      </c>
      <c r="K174" s="177">
        <f>SUM($I$17:$I174)</f>
        <v>1804594.2884207652</v>
      </c>
      <c r="L174" s="179"/>
      <c r="M174" s="179"/>
    </row>
    <row r="175" spans="1:13" s="180" customFormat="1" ht="12.75">
      <c r="A175" s="192">
        <f t="shared" si="22"/>
        <v>159</v>
      </c>
      <c r="B175" s="175"/>
      <c r="C175" s="176">
        <f t="shared" si="18"/>
        <v>49553</v>
      </c>
      <c r="D175" s="177">
        <f t="shared" si="23"/>
        <v>0</v>
      </c>
      <c r="E175" s="177">
        <f t="shared" si="26"/>
        <v>53274.285736839716</v>
      </c>
      <c r="F175" s="178">
        <f t="shared" si="19"/>
        <v>0</v>
      </c>
      <c r="G175" s="177">
        <f t="shared" si="20"/>
        <v>0</v>
      </c>
      <c r="H175" s="177">
        <f t="shared" si="24"/>
        <v>0</v>
      </c>
      <c r="I175" s="177">
        <f t="shared" si="25"/>
        <v>0</v>
      </c>
      <c r="J175" s="177">
        <f t="shared" si="21"/>
        <v>0</v>
      </c>
      <c r="K175" s="177">
        <f>SUM($I$17:$I175)</f>
        <v>1804594.2884207652</v>
      </c>
      <c r="L175" s="179"/>
      <c r="M175" s="179"/>
    </row>
    <row r="176" spans="1:13" s="180" customFormat="1" ht="12.75">
      <c r="A176" s="192">
        <f t="shared" si="22"/>
        <v>160</v>
      </c>
      <c r="B176" s="175"/>
      <c r="C176" s="176">
        <f t="shared" si="18"/>
        <v>49583</v>
      </c>
      <c r="D176" s="177">
        <f t="shared" si="23"/>
        <v>0</v>
      </c>
      <c r="E176" s="177">
        <f t="shared" si="26"/>
        <v>53274.285736839716</v>
      </c>
      <c r="F176" s="178">
        <f t="shared" si="19"/>
        <v>0</v>
      </c>
      <c r="G176" s="177">
        <f t="shared" si="20"/>
        <v>0</v>
      </c>
      <c r="H176" s="177">
        <f t="shared" si="24"/>
        <v>0</v>
      </c>
      <c r="I176" s="177">
        <f t="shared" si="25"/>
        <v>0</v>
      </c>
      <c r="J176" s="177">
        <f t="shared" si="21"/>
        <v>0</v>
      </c>
      <c r="K176" s="177">
        <f>SUM($I$17:$I176)</f>
        <v>1804594.2884207652</v>
      </c>
      <c r="L176" s="179"/>
      <c r="M176" s="179"/>
    </row>
    <row r="177" spans="1:13" s="180" customFormat="1" ht="12.75">
      <c r="A177" s="192">
        <f t="shared" si="22"/>
        <v>161</v>
      </c>
      <c r="B177" s="175"/>
      <c r="C177" s="176">
        <f t="shared" si="18"/>
        <v>49614</v>
      </c>
      <c r="D177" s="177">
        <f t="shared" si="23"/>
        <v>0</v>
      </c>
      <c r="E177" s="177">
        <f t="shared" si="26"/>
        <v>53274.285736839716</v>
      </c>
      <c r="F177" s="178">
        <f t="shared" si="19"/>
        <v>0</v>
      </c>
      <c r="G177" s="177">
        <f t="shared" si="20"/>
        <v>0</v>
      </c>
      <c r="H177" s="177">
        <f t="shared" si="24"/>
        <v>0</v>
      </c>
      <c r="I177" s="177">
        <f t="shared" si="25"/>
        <v>0</v>
      </c>
      <c r="J177" s="177">
        <f t="shared" si="21"/>
        <v>0</v>
      </c>
      <c r="K177" s="177">
        <f>SUM($I$17:$I177)</f>
        <v>1804594.2884207652</v>
      </c>
      <c r="L177" s="179"/>
      <c r="M177" s="179"/>
    </row>
    <row r="178" spans="1:13" s="180" customFormat="1" ht="12.75">
      <c r="A178" s="192">
        <f t="shared" si="22"/>
        <v>162</v>
      </c>
      <c r="B178" s="175"/>
      <c r="C178" s="176">
        <f t="shared" si="18"/>
        <v>49644</v>
      </c>
      <c r="D178" s="177">
        <f t="shared" si="23"/>
        <v>0</v>
      </c>
      <c r="E178" s="177">
        <f t="shared" si="26"/>
        <v>53274.285736839716</v>
      </c>
      <c r="F178" s="178">
        <f t="shared" si="19"/>
        <v>0</v>
      </c>
      <c r="G178" s="177">
        <f t="shared" si="20"/>
        <v>0</v>
      </c>
      <c r="H178" s="177">
        <f t="shared" si="24"/>
        <v>0</v>
      </c>
      <c r="I178" s="177">
        <f t="shared" si="25"/>
        <v>0</v>
      </c>
      <c r="J178" s="177">
        <f t="shared" si="21"/>
        <v>0</v>
      </c>
      <c r="K178" s="177">
        <f>SUM($I$17:$I178)</f>
        <v>1804594.2884207652</v>
      </c>
      <c r="L178" s="179"/>
      <c r="M178" s="179"/>
    </row>
    <row r="179" spans="1:13" s="180" customFormat="1" ht="12.75">
      <c r="A179" s="192">
        <f t="shared" si="22"/>
        <v>163</v>
      </c>
      <c r="B179" s="175"/>
      <c r="C179" s="176">
        <f t="shared" si="18"/>
        <v>49675</v>
      </c>
      <c r="D179" s="177">
        <f t="shared" si="23"/>
        <v>0</v>
      </c>
      <c r="E179" s="177">
        <f t="shared" si="26"/>
        <v>53274.285736839716</v>
      </c>
      <c r="F179" s="178">
        <f t="shared" si="19"/>
        <v>0</v>
      </c>
      <c r="G179" s="177">
        <f t="shared" si="20"/>
        <v>0</v>
      </c>
      <c r="H179" s="177">
        <f t="shared" si="24"/>
        <v>0</v>
      </c>
      <c r="I179" s="177">
        <f t="shared" si="25"/>
        <v>0</v>
      </c>
      <c r="J179" s="177">
        <f t="shared" si="21"/>
        <v>0</v>
      </c>
      <c r="K179" s="177">
        <f>SUM($I$17:$I179)</f>
        <v>1804594.2884207652</v>
      </c>
      <c r="L179" s="179"/>
      <c r="M179" s="179"/>
    </row>
    <row r="180" spans="1:13" s="180" customFormat="1" ht="12.75">
      <c r="A180" s="192">
        <f t="shared" si="22"/>
        <v>164</v>
      </c>
      <c r="B180" s="175"/>
      <c r="C180" s="176">
        <f t="shared" si="18"/>
        <v>49706</v>
      </c>
      <c r="D180" s="177">
        <f t="shared" si="23"/>
        <v>0</v>
      </c>
      <c r="E180" s="177">
        <f t="shared" si="26"/>
        <v>53274.285736839716</v>
      </c>
      <c r="F180" s="178">
        <f t="shared" si="19"/>
        <v>0</v>
      </c>
      <c r="G180" s="177">
        <f t="shared" si="20"/>
        <v>0</v>
      </c>
      <c r="H180" s="177">
        <f t="shared" si="24"/>
        <v>0</v>
      </c>
      <c r="I180" s="177">
        <f t="shared" si="25"/>
        <v>0</v>
      </c>
      <c r="J180" s="177">
        <f t="shared" si="21"/>
        <v>0</v>
      </c>
      <c r="K180" s="177">
        <f>SUM($I$17:$I180)</f>
        <v>1804594.2884207652</v>
      </c>
      <c r="L180" s="179"/>
      <c r="M180" s="179"/>
    </row>
    <row r="181" spans="1:13" s="180" customFormat="1" ht="12.75">
      <c r="A181" s="192">
        <f t="shared" si="22"/>
        <v>165</v>
      </c>
      <c r="B181" s="175"/>
      <c r="C181" s="176">
        <f t="shared" si="18"/>
        <v>49735</v>
      </c>
      <c r="D181" s="177">
        <f t="shared" si="23"/>
        <v>0</v>
      </c>
      <c r="E181" s="177">
        <f t="shared" si="26"/>
        <v>53274.285736839716</v>
      </c>
      <c r="F181" s="178">
        <f t="shared" si="19"/>
        <v>0</v>
      </c>
      <c r="G181" s="177">
        <f t="shared" si="20"/>
        <v>0</v>
      </c>
      <c r="H181" s="177">
        <f t="shared" si="24"/>
        <v>0</v>
      </c>
      <c r="I181" s="177">
        <f t="shared" si="25"/>
        <v>0</v>
      </c>
      <c r="J181" s="177">
        <f t="shared" si="21"/>
        <v>0</v>
      </c>
      <c r="K181" s="177">
        <f>SUM($I$17:$I181)</f>
        <v>1804594.2884207652</v>
      </c>
      <c r="L181" s="179"/>
      <c r="M181" s="179"/>
    </row>
    <row r="182" spans="1:13" s="180" customFormat="1" ht="12.75">
      <c r="A182" s="192">
        <f t="shared" si="22"/>
        <v>166</v>
      </c>
      <c r="B182" s="175"/>
      <c r="C182" s="176">
        <f t="shared" si="18"/>
        <v>49766</v>
      </c>
      <c r="D182" s="177">
        <f t="shared" si="23"/>
        <v>0</v>
      </c>
      <c r="E182" s="177">
        <f t="shared" si="26"/>
        <v>53274.285736839716</v>
      </c>
      <c r="F182" s="178">
        <f t="shared" si="19"/>
        <v>0</v>
      </c>
      <c r="G182" s="177">
        <f t="shared" si="20"/>
        <v>0</v>
      </c>
      <c r="H182" s="177">
        <f t="shared" si="24"/>
        <v>0</v>
      </c>
      <c r="I182" s="177">
        <f t="shared" si="25"/>
        <v>0</v>
      </c>
      <c r="J182" s="177">
        <f t="shared" si="21"/>
        <v>0</v>
      </c>
      <c r="K182" s="177">
        <f>SUM($I$17:$I182)</f>
        <v>1804594.2884207652</v>
      </c>
      <c r="L182" s="179"/>
      <c r="M182" s="179"/>
    </row>
    <row r="183" spans="1:13" s="180" customFormat="1" ht="12.75">
      <c r="A183" s="192">
        <f t="shared" si="22"/>
        <v>167</v>
      </c>
      <c r="B183" s="175"/>
      <c r="C183" s="176">
        <f t="shared" si="18"/>
        <v>49796</v>
      </c>
      <c r="D183" s="177">
        <f t="shared" si="23"/>
        <v>0</v>
      </c>
      <c r="E183" s="177">
        <f t="shared" si="26"/>
        <v>53274.285736839716</v>
      </c>
      <c r="F183" s="178">
        <f t="shared" si="19"/>
        <v>0</v>
      </c>
      <c r="G183" s="177">
        <f t="shared" si="20"/>
        <v>0</v>
      </c>
      <c r="H183" s="177">
        <f t="shared" si="24"/>
        <v>0</v>
      </c>
      <c r="I183" s="177">
        <f t="shared" si="25"/>
        <v>0</v>
      </c>
      <c r="J183" s="177">
        <f t="shared" si="21"/>
        <v>0</v>
      </c>
      <c r="K183" s="177">
        <f>SUM($I$17:$I183)</f>
        <v>1804594.2884207652</v>
      </c>
      <c r="L183" s="179"/>
      <c r="M183" s="179"/>
    </row>
    <row r="184" spans="1:13" s="180" customFormat="1" ht="12.75">
      <c r="A184" s="192">
        <f t="shared" si="22"/>
        <v>168</v>
      </c>
      <c r="B184" s="175"/>
      <c r="C184" s="176">
        <f t="shared" si="18"/>
        <v>49827</v>
      </c>
      <c r="D184" s="177">
        <f t="shared" si="23"/>
        <v>0</v>
      </c>
      <c r="E184" s="177">
        <f t="shared" si="26"/>
        <v>53274.285736839716</v>
      </c>
      <c r="F184" s="178">
        <f t="shared" si="19"/>
        <v>0</v>
      </c>
      <c r="G184" s="177">
        <f t="shared" si="20"/>
        <v>0</v>
      </c>
      <c r="H184" s="177">
        <f t="shared" si="24"/>
        <v>0</v>
      </c>
      <c r="I184" s="177">
        <f t="shared" si="25"/>
        <v>0</v>
      </c>
      <c r="J184" s="177">
        <f t="shared" si="21"/>
        <v>0</v>
      </c>
      <c r="K184" s="177">
        <f>SUM($I$17:$I184)</f>
        <v>1804594.2884207652</v>
      </c>
      <c r="L184" s="179"/>
      <c r="M184" s="179"/>
    </row>
    <row r="185" spans="1:13" s="180" customFormat="1" ht="12.75">
      <c r="A185" s="192">
        <f t="shared" si="22"/>
        <v>169</v>
      </c>
      <c r="B185" s="175"/>
      <c r="C185" s="176">
        <f t="shared" si="18"/>
        <v>49857</v>
      </c>
      <c r="D185" s="177">
        <f t="shared" si="23"/>
        <v>0</v>
      </c>
      <c r="E185" s="177">
        <f t="shared" si="26"/>
        <v>53274.285736839716</v>
      </c>
      <c r="F185" s="178">
        <f t="shared" si="19"/>
        <v>0</v>
      </c>
      <c r="G185" s="177">
        <f t="shared" si="20"/>
        <v>0</v>
      </c>
      <c r="H185" s="177">
        <f t="shared" si="24"/>
        <v>0</v>
      </c>
      <c r="I185" s="177">
        <f t="shared" si="25"/>
        <v>0</v>
      </c>
      <c r="J185" s="177">
        <f t="shared" si="21"/>
        <v>0</v>
      </c>
      <c r="K185" s="177">
        <f>SUM($I$17:$I185)</f>
        <v>1804594.2884207652</v>
      </c>
      <c r="L185" s="179"/>
      <c r="M185" s="179"/>
    </row>
    <row r="186" spans="1:13" s="180" customFormat="1" ht="12.75">
      <c r="A186" s="192">
        <f t="shared" si="22"/>
        <v>170</v>
      </c>
      <c r="B186" s="175"/>
      <c r="C186" s="176">
        <f t="shared" si="18"/>
        <v>49888</v>
      </c>
      <c r="D186" s="177">
        <f t="shared" si="23"/>
        <v>0</v>
      </c>
      <c r="E186" s="177">
        <f t="shared" si="26"/>
        <v>53274.285736839716</v>
      </c>
      <c r="F186" s="178">
        <f t="shared" si="19"/>
        <v>0</v>
      </c>
      <c r="G186" s="177">
        <f t="shared" si="20"/>
        <v>0</v>
      </c>
      <c r="H186" s="177">
        <f t="shared" si="24"/>
        <v>0</v>
      </c>
      <c r="I186" s="177">
        <f t="shared" si="25"/>
        <v>0</v>
      </c>
      <c r="J186" s="177">
        <f t="shared" si="21"/>
        <v>0</v>
      </c>
      <c r="K186" s="177">
        <f>SUM($I$17:$I186)</f>
        <v>1804594.2884207652</v>
      </c>
      <c r="L186" s="179"/>
      <c r="M186" s="179"/>
    </row>
    <row r="187" spans="1:13" s="180" customFormat="1" ht="12.75">
      <c r="A187" s="192">
        <f t="shared" si="22"/>
        <v>171</v>
      </c>
      <c r="B187" s="175"/>
      <c r="C187" s="176">
        <f t="shared" si="18"/>
        <v>49919</v>
      </c>
      <c r="D187" s="177">
        <f t="shared" si="23"/>
        <v>0</v>
      </c>
      <c r="E187" s="177">
        <f t="shared" si="26"/>
        <v>53274.285736839716</v>
      </c>
      <c r="F187" s="178">
        <f t="shared" si="19"/>
        <v>0</v>
      </c>
      <c r="G187" s="177">
        <f t="shared" si="20"/>
        <v>0</v>
      </c>
      <c r="H187" s="177">
        <f t="shared" si="24"/>
        <v>0</v>
      </c>
      <c r="I187" s="177">
        <f t="shared" si="25"/>
        <v>0</v>
      </c>
      <c r="J187" s="177">
        <f t="shared" si="21"/>
        <v>0</v>
      </c>
      <c r="K187" s="177">
        <f>SUM($I$17:$I187)</f>
        <v>1804594.2884207652</v>
      </c>
      <c r="L187" s="179"/>
      <c r="M187" s="179"/>
    </row>
    <row r="188" spans="1:13" s="180" customFormat="1" ht="12.75">
      <c r="A188" s="192">
        <f t="shared" si="22"/>
        <v>172</v>
      </c>
      <c r="B188" s="175"/>
      <c r="C188" s="176">
        <f t="shared" si="18"/>
        <v>49949</v>
      </c>
      <c r="D188" s="177">
        <f t="shared" si="23"/>
        <v>0</v>
      </c>
      <c r="E188" s="177">
        <f t="shared" si="26"/>
        <v>53274.285736839716</v>
      </c>
      <c r="F188" s="178">
        <f t="shared" si="19"/>
        <v>0</v>
      </c>
      <c r="G188" s="177">
        <f t="shared" si="20"/>
        <v>0</v>
      </c>
      <c r="H188" s="177">
        <f t="shared" si="24"/>
        <v>0</v>
      </c>
      <c r="I188" s="177">
        <f t="shared" si="25"/>
        <v>0</v>
      </c>
      <c r="J188" s="177">
        <f t="shared" si="21"/>
        <v>0</v>
      </c>
      <c r="K188" s="177">
        <f>SUM($I$17:$I188)</f>
        <v>1804594.2884207652</v>
      </c>
      <c r="L188" s="179"/>
      <c r="M188" s="179"/>
    </row>
    <row r="189" spans="1:13" s="180" customFormat="1" ht="12.75">
      <c r="A189" s="192">
        <f t="shared" si="22"/>
        <v>173</v>
      </c>
      <c r="B189" s="175"/>
      <c r="C189" s="176">
        <f t="shared" si="18"/>
        <v>49980</v>
      </c>
      <c r="D189" s="177">
        <f t="shared" si="23"/>
        <v>0</v>
      </c>
      <c r="E189" s="177">
        <f t="shared" si="26"/>
        <v>53274.285736839716</v>
      </c>
      <c r="F189" s="178">
        <f t="shared" si="19"/>
        <v>0</v>
      </c>
      <c r="G189" s="177">
        <f t="shared" si="20"/>
        <v>0</v>
      </c>
      <c r="H189" s="177">
        <f t="shared" si="24"/>
        <v>0</v>
      </c>
      <c r="I189" s="177">
        <f t="shared" si="25"/>
        <v>0</v>
      </c>
      <c r="J189" s="177">
        <f t="shared" si="21"/>
        <v>0</v>
      </c>
      <c r="K189" s="177">
        <f>SUM($I$17:$I189)</f>
        <v>1804594.2884207652</v>
      </c>
      <c r="L189" s="179"/>
      <c r="M189" s="179"/>
    </row>
    <row r="190" spans="1:13" s="180" customFormat="1" ht="12.75">
      <c r="A190" s="192">
        <f t="shared" si="22"/>
        <v>174</v>
      </c>
      <c r="B190" s="175"/>
      <c r="C190" s="176">
        <f t="shared" si="18"/>
        <v>50010</v>
      </c>
      <c r="D190" s="177">
        <f t="shared" si="23"/>
        <v>0</v>
      </c>
      <c r="E190" s="177">
        <f t="shared" si="26"/>
        <v>53274.285736839716</v>
      </c>
      <c r="F190" s="178">
        <f t="shared" si="19"/>
        <v>0</v>
      </c>
      <c r="G190" s="177">
        <f t="shared" si="20"/>
        <v>0</v>
      </c>
      <c r="H190" s="177">
        <f t="shared" si="24"/>
        <v>0</v>
      </c>
      <c r="I190" s="177">
        <f t="shared" si="25"/>
        <v>0</v>
      </c>
      <c r="J190" s="177">
        <f t="shared" si="21"/>
        <v>0</v>
      </c>
      <c r="K190" s="177">
        <f>SUM($I$17:$I190)</f>
        <v>1804594.2884207652</v>
      </c>
      <c r="L190" s="179"/>
      <c r="M190" s="179"/>
    </row>
    <row r="191" spans="1:13" s="180" customFormat="1" ht="12.75">
      <c r="A191" s="192">
        <f t="shared" si="22"/>
        <v>175</v>
      </c>
      <c r="B191" s="175"/>
      <c r="C191" s="176">
        <f t="shared" si="18"/>
        <v>50041</v>
      </c>
      <c r="D191" s="177">
        <f t="shared" si="23"/>
        <v>0</v>
      </c>
      <c r="E191" s="177">
        <f t="shared" si="26"/>
        <v>53274.285736839716</v>
      </c>
      <c r="F191" s="178">
        <f t="shared" si="19"/>
        <v>0</v>
      </c>
      <c r="G191" s="177">
        <f t="shared" si="20"/>
        <v>0</v>
      </c>
      <c r="H191" s="177">
        <f t="shared" si="24"/>
        <v>0</v>
      </c>
      <c r="I191" s="177">
        <f t="shared" si="25"/>
        <v>0</v>
      </c>
      <c r="J191" s="177">
        <f t="shared" si="21"/>
        <v>0</v>
      </c>
      <c r="K191" s="177">
        <f>SUM($I$17:$I191)</f>
        <v>1804594.2884207652</v>
      </c>
      <c r="L191" s="179"/>
      <c r="M191" s="179"/>
    </row>
    <row r="192" spans="1:13" s="180" customFormat="1" ht="12.75">
      <c r="A192" s="192">
        <f t="shared" si="22"/>
        <v>176</v>
      </c>
      <c r="B192" s="175"/>
      <c r="C192" s="176">
        <f t="shared" si="18"/>
        <v>50072</v>
      </c>
      <c r="D192" s="177">
        <f t="shared" si="23"/>
        <v>0</v>
      </c>
      <c r="E192" s="177">
        <f t="shared" si="26"/>
        <v>53274.285736839716</v>
      </c>
      <c r="F192" s="178">
        <f t="shared" si="19"/>
        <v>0</v>
      </c>
      <c r="G192" s="177">
        <f t="shared" si="20"/>
        <v>0</v>
      </c>
      <c r="H192" s="177">
        <f t="shared" si="24"/>
        <v>0</v>
      </c>
      <c r="I192" s="177">
        <f t="shared" si="25"/>
        <v>0</v>
      </c>
      <c r="J192" s="177">
        <f t="shared" si="21"/>
        <v>0</v>
      </c>
      <c r="K192" s="177">
        <f>SUM($I$17:$I192)</f>
        <v>1804594.2884207652</v>
      </c>
      <c r="L192" s="179"/>
      <c r="M192" s="179"/>
    </row>
    <row r="193" spans="1:13" s="180" customFormat="1" ht="12.75">
      <c r="A193" s="192">
        <f t="shared" si="22"/>
        <v>177</v>
      </c>
      <c r="B193" s="175"/>
      <c r="C193" s="176">
        <f t="shared" si="18"/>
        <v>50100</v>
      </c>
      <c r="D193" s="177">
        <f t="shared" si="23"/>
        <v>0</v>
      </c>
      <c r="E193" s="177">
        <f t="shared" si="26"/>
        <v>53274.285736839716</v>
      </c>
      <c r="F193" s="178">
        <f t="shared" si="19"/>
        <v>0</v>
      </c>
      <c r="G193" s="177">
        <f t="shared" si="20"/>
        <v>0</v>
      </c>
      <c r="H193" s="177">
        <f t="shared" si="24"/>
        <v>0</v>
      </c>
      <c r="I193" s="177">
        <f t="shared" si="25"/>
        <v>0</v>
      </c>
      <c r="J193" s="177">
        <f t="shared" si="21"/>
        <v>0</v>
      </c>
      <c r="K193" s="177">
        <f>SUM($I$17:$I193)</f>
        <v>1804594.2884207652</v>
      </c>
      <c r="L193" s="179"/>
      <c r="M193" s="179"/>
    </row>
    <row r="194" spans="1:13" s="180" customFormat="1" ht="12.75">
      <c r="A194" s="192">
        <f t="shared" si="22"/>
        <v>178</v>
      </c>
      <c r="B194" s="175"/>
      <c r="C194" s="176">
        <f t="shared" si="18"/>
        <v>50131</v>
      </c>
      <c r="D194" s="177">
        <f t="shared" si="23"/>
        <v>0</v>
      </c>
      <c r="E194" s="177">
        <f t="shared" si="26"/>
        <v>53274.285736839716</v>
      </c>
      <c r="F194" s="178">
        <f t="shared" si="19"/>
        <v>0</v>
      </c>
      <c r="G194" s="177">
        <f t="shared" si="20"/>
        <v>0</v>
      </c>
      <c r="H194" s="177">
        <f t="shared" si="24"/>
        <v>0</v>
      </c>
      <c r="I194" s="177">
        <f t="shared" si="25"/>
        <v>0</v>
      </c>
      <c r="J194" s="177">
        <f t="shared" si="21"/>
        <v>0</v>
      </c>
      <c r="K194" s="177">
        <f>SUM($I$17:$I194)</f>
        <v>1804594.2884207652</v>
      </c>
      <c r="L194" s="179"/>
      <c r="M194" s="179"/>
    </row>
    <row r="195" spans="1:13" s="180" customFormat="1" ht="12.75">
      <c r="A195" s="192">
        <f t="shared" si="22"/>
        <v>179</v>
      </c>
      <c r="B195" s="175"/>
      <c r="C195" s="176">
        <f t="shared" si="18"/>
        <v>50161</v>
      </c>
      <c r="D195" s="177">
        <f t="shared" si="23"/>
        <v>0</v>
      </c>
      <c r="E195" s="177">
        <f t="shared" si="26"/>
        <v>53274.285736839716</v>
      </c>
      <c r="F195" s="178">
        <f t="shared" si="19"/>
        <v>0</v>
      </c>
      <c r="G195" s="177">
        <f t="shared" si="20"/>
        <v>0</v>
      </c>
      <c r="H195" s="177">
        <f t="shared" si="24"/>
        <v>0</v>
      </c>
      <c r="I195" s="177">
        <f t="shared" si="25"/>
        <v>0</v>
      </c>
      <c r="J195" s="177">
        <f t="shared" si="21"/>
        <v>0</v>
      </c>
      <c r="K195" s="177">
        <f>SUM($I$17:$I195)</f>
        <v>1804594.2884207652</v>
      </c>
      <c r="L195" s="179"/>
      <c r="M195" s="179"/>
    </row>
    <row r="196" spans="1:13" s="180" customFormat="1" ht="12.75">
      <c r="A196" s="192">
        <f t="shared" si="22"/>
        <v>180</v>
      </c>
      <c r="B196" s="175"/>
      <c r="C196" s="176">
        <f t="shared" si="18"/>
        <v>50192</v>
      </c>
      <c r="D196" s="177">
        <f t="shared" si="23"/>
        <v>0</v>
      </c>
      <c r="E196" s="177">
        <f t="shared" si="26"/>
        <v>53274.285736839716</v>
      </c>
      <c r="F196" s="178">
        <f t="shared" si="19"/>
        <v>0</v>
      </c>
      <c r="G196" s="177">
        <f t="shared" si="20"/>
        <v>0</v>
      </c>
      <c r="H196" s="177">
        <f t="shared" si="24"/>
        <v>0</v>
      </c>
      <c r="I196" s="177">
        <f t="shared" si="25"/>
        <v>0</v>
      </c>
      <c r="J196" s="177">
        <f t="shared" si="21"/>
        <v>0</v>
      </c>
      <c r="K196" s="177">
        <f>SUM($I$17:$I196)</f>
        <v>1804594.2884207652</v>
      </c>
      <c r="L196" s="179"/>
      <c r="M196" s="179"/>
    </row>
    <row r="197" spans="1:13" s="180" customFormat="1" ht="12.75">
      <c r="A197" s="192">
        <f t="shared" si="22"/>
        <v>181</v>
      </c>
      <c r="B197" s="175"/>
      <c r="C197" s="176">
        <f t="shared" si="18"/>
        <v>50222</v>
      </c>
      <c r="D197" s="177">
        <f t="shared" si="23"/>
        <v>0</v>
      </c>
      <c r="E197" s="177">
        <f t="shared" si="26"/>
        <v>53274.285736839716</v>
      </c>
      <c r="F197" s="178">
        <f t="shared" si="19"/>
        <v>0</v>
      </c>
      <c r="G197" s="177">
        <f t="shared" si="20"/>
        <v>0</v>
      </c>
      <c r="H197" s="177">
        <f t="shared" si="24"/>
        <v>0</v>
      </c>
      <c r="I197" s="177">
        <f t="shared" si="25"/>
        <v>0</v>
      </c>
      <c r="J197" s="177">
        <f t="shared" si="21"/>
        <v>0</v>
      </c>
      <c r="K197" s="177">
        <f>SUM($I$17:$I197)</f>
        <v>1804594.2884207652</v>
      </c>
      <c r="L197" s="179"/>
      <c r="M197" s="179"/>
    </row>
    <row r="198" spans="1:13" s="180" customFormat="1" ht="12.75">
      <c r="A198" s="192">
        <f t="shared" si="22"/>
        <v>182</v>
      </c>
      <c r="B198" s="175"/>
      <c r="C198" s="176">
        <f t="shared" si="18"/>
        <v>50253</v>
      </c>
      <c r="D198" s="177">
        <f t="shared" si="23"/>
        <v>0</v>
      </c>
      <c r="E198" s="177">
        <f t="shared" si="26"/>
        <v>53274.285736839716</v>
      </c>
      <c r="F198" s="178">
        <f t="shared" si="19"/>
        <v>0</v>
      </c>
      <c r="G198" s="177">
        <f t="shared" si="20"/>
        <v>0</v>
      </c>
      <c r="H198" s="177">
        <f t="shared" si="24"/>
        <v>0</v>
      </c>
      <c r="I198" s="177">
        <f t="shared" si="25"/>
        <v>0</v>
      </c>
      <c r="J198" s="177">
        <f t="shared" si="21"/>
        <v>0</v>
      </c>
      <c r="K198" s="177">
        <f>SUM($I$17:$I198)</f>
        <v>1804594.2884207652</v>
      </c>
      <c r="L198" s="179"/>
      <c r="M198" s="179"/>
    </row>
    <row r="199" spans="1:13" s="180" customFormat="1" ht="12.75">
      <c r="A199" s="192">
        <f t="shared" si="22"/>
        <v>183</v>
      </c>
      <c r="B199" s="175"/>
      <c r="C199" s="176">
        <f t="shared" si="18"/>
        <v>50284</v>
      </c>
      <c r="D199" s="177">
        <f t="shared" si="23"/>
        <v>0</v>
      </c>
      <c r="E199" s="177">
        <f t="shared" si="26"/>
        <v>53274.285736839716</v>
      </c>
      <c r="F199" s="178">
        <f t="shared" si="19"/>
        <v>0</v>
      </c>
      <c r="G199" s="177">
        <f t="shared" si="20"/>
        <v>0</v>
      </c>
      <c r="H199" s="177">
        <f t="shared" si="24"/>
        <v>0</v>
      </c>
      <c r="I199" s="177">
        <f t="shared" si="25"/>
        <v>0</v>
      </c>
      <c r="J199" s="177">
        <f t="shared" si="21"/>
        <v>0</v>
      </c>
      <c r="K199" s="177">
        <f>SUM($I$17:$I199)</f>
        <v>1804594.2884207652</v>
      </c>
      <c r="L199" s="179"/>
      <c r="M199" s="179"/>
    </row>
    <row r="200" spans="1:13" s="180" customFormat="1" ht="12.75">
      <c r="A200" s="192">
        <f t="shared" si="22"/>
        <v>184</v>
      </c>
      <c r="B200" s="175"/>
      <c r="C200" s="176">
        <f t="shared" si="18"/>
        <v>50314</v>
      </c>
      <c r="D200" s="177">
        <f t="shared" si="23"/>
        <v>0</v>
      </c>
      <c r="E200" s="177">
        <f t="shared" si="26"/>
        <v>53274.285736839716</v>
      </c>
      <c r="F200" s="178">
        <f t="shared" si="19"/>
        <v>0</v>
      </c>
      <c r="G200" s="177">
        <f t="shared" si="20"/>
        <v>0</v>
      </c>
      <c r="H200" s="177">
        <f t="shared" si="24"/>
        <v>0</v>
      </c>
      <c r="I200" s="177">
        <f t="shared" si="25"/>
        <v>0</v>
      </c>
      <c r="J200" s="177">
        <f t="shared" si="21"/>
        <v>0</v>
      </c>
      <c r="K200" s="177">
        <f>SUM($I$17:$I200)</f>
        <v>1804594.2884207652</v>
      </c>
      <c r="L200" s="179"/>
      <c r="M200" s="179"/>
    </row>
    <row r="201" spans="1:13" s="180" customFormat="1" ht="12.75">
      <c r="A201" s="192">
        <f t="shared" si="22"/>
        <v>185</v>
      </c>
      <c r="B201" s="175"/>
      <c r="C201" s="176">
        <f t="shared" si="18"/>
        <v>50345</v>
      </c>
      <c r="D201" s="177">
        <f t="shared" si="23"/>
        <v>0</v>
      </c>
      <c r="E201" s="177">
        <f t="shared" si="26"/>
        <v>53274.285736839716</v>
      </c>
      <c r="F201" s="178">
        <f t="shared" si="19"/>
        <v>0</v>
      </c>
      <c r="G201" s="177">
        <f t="shared" si="20"/>
        <v>0</v>
      </c>
      <c r="H201" s="177">
        <f t="shared" si="24"/>
        <v>0</v>
      </c>
      <c r="I201" s="177">
        <f t="shared" si="25"/>
        <v>0</v>
      </c>
      <c r="J201" s="177">
        <f t="shared" si="21"/>
        <v>0</v>
      </c>
      <c r="K201" s="177">
        <f>SUM($I$17:$I201)</f>
        <v>1804594.2884207652</v>
      </c>
      <c r="L201" s="179"/>
      <c r="M201" s="179"/>
    </row>
    <row r="202" spans="1:13" s="180" customFormat="1" ht="12.75">
      <c r="A202" s="192">
        <f t="shared" si="22"/>
        <v>186</v>
      </c>
      <c r="B202" s="175"/>
      <c r="C202" s="176">
        <f t="shared" si="18"/>
        <v>50375</v>
      </c>
      <c r="D202" s="177">
        <f t="shared" si="23"/>
        <v>0</v>
      </c>
      <c r="E202" s="177">
        <f t="shared" si="26"/>
        <v>53274.285736839716</v>
      </c>
      <c r="F202" s="178">
        <f t="shared" si="19"/>
        <v>0</v>
      </c>
      <c r="G202" s="177">
        <f t="shared" si="20"/>
        <v>0</v>
      </c>
      <c r="H202" s="177">
        <f t="shared" si="24"/>
        <v>0</v>
      </c>
      <c r="I202" s="177">
        <f t="shared" si="25"/>
        <v>0</v>
      </c>
      <c r="J202" s="177">
        <f t="shared" si="21"/>
        <v>0</v>
      </c>
      <c r="K202" s="177">
        <f>SUM($I$17:$I202)</f>
        <v>1804594.2884207652</v>
      </c>
      <c r="L202" s="179"/>
      <c r="M202" s="179"/>
    </row>
    <row r="203" spans="1:13" s="180" customFormat="1" ht="12.75">
      <c r="A203" s="192">
        <f t="shared" si="22"/>
        <v>187</v>
      </c>
      <c r="B203" s="175"/>
      <c r="C203" s="176">
        <f t="shared" si="18"/>
        <v>50406</v>
      </c>
      <c r="D203" s="177">
        <f t="shared" si="23"/>
        <v>0</v>
      </c>
      <c r="E203" s="177">
        <f t="shared" si="26"/>
        <v>53274.285736839716</v>
      </c>
      <c r="F203" s="178">
        <f t="shared" si="19"/>
        <v>0</v>
      </c>
      <c r="G203" s="177">
        <f t="shared" si="20"/>
        <v>0</v>
      </c>
      <c r="H203" s="177">
        <f t="shared" si="24"/>
        <v>0</v>
      </c>
      <c r="I203" s="177">
        <f t="shared" si="25"/>
        <v>0</v>
      </c>
      <c r="J203" s="177">
        <f t="shared" si="21"/>
        <v>0</v>
      </c>
      <c r="K203" s="177">
        <f>SUM($I$17:$I203)</f>
        <v>1804594.2884207652</v>
      </c>
      <c r="L203" s="179"/>
      <c r="M203" s="179"/>
    </row>
    <row r="204" spans="1:13" s="180" customFormat="1" ht="12.75">
      <c r="A204" s="192">
        <f t="shared" si="22"/>
        <v>188</v>
      </c>
      <c r="B204" s="175"/>
      <c r="C204" s="176">
        <f t="shared" si="18"/>
        <v>50437</v>
      </c>
      <c r="D204" s="177">
        <f t="shared" si="23"/>
        <v>0</v>
      </c>
      <c r="E204" s="177">
        <f t="shared" si="26"/>
        <v>53274.285736839716</v>
      </c>
      <c r="F204" s="178">
        <f t="shared" si="19"/>
        <v>0</v>
      </c>
      <c r="G204" s="177">
        <f t="shared" si="20"/>
        <v>0</v>
      </c>
      <c r="H204" s="177">
        <f t="shared" si="24"/>
        <v>0</v>
      </c>
      <c r="I204" s="177">
        <f t="shared" si="25"/>
        <v>0</v>
      </c>
      <c r="J204" s="177">
        <f t="shared" si="21"/>
        <v>0</v>
      </c>
      <c r="K204" s="177">
        <f>SUM($I$17:$I204)</f>
        <v>1804594.2884207652</v>
      </c>
      <c r="L204" s="179"/>
      <c r="M204" s="179"/>
    </row>
    <row r="205" spans="1:13" s="180" customFormat="1" ht="12.75">
      <c r="A205" s="192">
        <f t="shared" si="22"/>
        <v>189</v>
      </c>
      <c r="B205" s="175"/>
      <c r="C205" s="176">
        <f t="shared" si="18"/>
        <v>50465</v>
      </c>
      <c r="D205" s="177">
        <f t="shared" si="23"/>
        <v>0</v>
      </c>
      <c r="E205" s="177">
        <f t="shared" si="26"/>
        <v>53274.285736839716</v>
      </c>
      <c r="F205" s="178">
        <f t="shared" si="19"/>
        <v>0</v>
      </c>
      <c r="G205" s="177">
        <f t="shared" si="20"/>
        <v>0</v>
      </c>
      <c r="H205" s="177">
        <f t="shared" si="24"/>
        <v>0</v>
      </c>
      <c r="I205" s="177">
        <f t="shared" si="25"/>
        <v>0</v>
      </c>
      <c r="J205" s="177">
        <f t="shared" si="21"/>
        <v>0</v>
      </c>
      <c r="K205" s="177">
        <f>SUM($I$17:$I205)</f>
        <v>1804594.2884207652</v>
      </c>
      <c r="L205" s="179"/>
      <c r="M205" s="179"/>
    </row>
    <row r="206" spans="1:13" s="180" customFormat="1" ht="12.75">
      <c r="A206" s="192">
        <f t="shared" si="22"/>
        <v>190</v>
      </c>
      <c r="B206" s="175"/>
      <c r="C206" s="176">
        <f t="shared" si="18"/>
        <v>50496</v>
      </c>
      <c r="D206" s="177">
        <f t="shared" si="23"/>
        <v>0</v>
      </c>
      <c r="E206" s="177">
        <f t="shared" si="26"/>
        <v>53274.285736839716</v>
      </c>
      <c r="F206" s="178">
        <f t="shared" si="19"/>
        <v>0</v>
      </c>
      <c r="G206" s="177">
        <f t="shared" si="20"/>
        <v>0</v>
      </c>
      <c r="H206" s="177">
        <f t="shared" si="24"/>
        <v>0</v>
      </c>
      <c r="I206" s="177">
        <f t="shared" si="25"/>
        <v>0</v>
      </c>
      <c r="J206" s="177">
        <f t="shared" si="21"/>
        <v>0</v>
      </c>
      <c r="K206" s="177">
        <f>SUM($I$17:$I206)</f>
        <v>1804594.2884207652</v>
      </c>
      <c r="L206" s="179"/>
      <c r="M206" s="179"/>
    </row>
    <row r="207" spans="1:13" s="180" customFormat="1" ht="12.75">
      <c r="A207" s="192">
        <f t="shared" si="22"/>
        <v>191</v>
      </c>
      <c r="B207" s="175"/>
      <c r="C207" s="176">
        <f t="shared" si="18"/>
        <v>50526</v>
      </c>
      <c r="D207" s="177">
        <f t="shared" si="23"/>
        <v>0</v>
      </c>
      <c r="E207" s="177">
        <f t="shared" si="26"/>
        <v>53274.285736839716</v>
      </c>
      <c r="F207" s="178">
        <f t="shared" si="19"/>
        <v>0</v>
      </c>
      <c r="G207" s="177">
        <f t="shared" si="20"/>
        <v>0</v>
      </c>
      <c r="H207" s="177">
        <f t="shared" si="24"/>
        <v>0</v>
      </c>
      <c r="I207" s="177">
        <f t="shared" si="25"/>
        <v>0</v>
      </c>
      <c r="J207" s="177">
        <f t="shared" si="21"/>
        <v>0</v>
      </c>
      <c r="K207" s="177">
        <f>SUM($I$17:$I207)</f>
        <v>1804594.2884207652</v>
      </c>
      <c r="L207" s="179"/>
      <c r="M207" s="179"/>
    </row>
    <row r="208" spans="1:13" s="180" customFormat="1" ht="12.75">
      <c r="A208" s="192">
        <f t="shared" si="22"/>
        <v>192</v>
      </c>
      <c r="B208" s="175"/>
      <c r="C208" s="176">
        <f t="shared" si="18"/>
        <v>50557</v>
      </c>
      <c r="D208" s="177">
        <f t="shared" si="23"/>
        <v>0</v>
      </c>
      <c r="E208" s="177">
        <f t="shared" si="26"/>
        <v>53274.285736839716</v>
      </c>
      <c r="F208" s="178">
        <f t="shared" si="19"/>
        <v>0</v>
      </c>
      <c r="G208" s="177">
        <f t="shared" si="20"/>
        <v>0</v>
      </c>
      <c r="H208" s="177">
        <f t="shared" si="24"/>
        <v>0</v>
      </c>
      <c r="I208" s="177">
        <f t="shared" si="25"/>
        <v>0</v>
      </c>
      <c r="J208" s="177">
        <f t="shared" si="21"/>
        <v>0</v>
      </c>
      <c r="K208" s="177">
        <f>SUM($I$17:$I208)</f>
        <v>1804594.2884207652</v>
      </c>
      <c r="L208" s="179"/>
      <c r="M208" s="179"/>
    </row>
    <row r="209" spans="1:13" s="180" customFormat="1" ht="12.75">
      <c r="A209" s="192">
        <f t="shared" si="22"/>
        <v>193</v>
      </c>
      <c r="B209" s="175"/>
      <c r="C209" s="176">
        <f t="shared" ref="C209:C272" si="27">IF(Pay_Num&lt;&gt;"",DATE(YEAR(Loan_Start),MONTH(Loan_Start)+(Pay_Num)*12/Num_Pmt_Per_Year,DAY(Loan_Start)),"")</f>
        <v>50587</v>
      </c>
      <c r="D209" s="177">
        <f t="shared" si="23"/>
        <v>0</v>
      </c>
      <c r="E209" s="177">
        <f t="shared" si="26"/>
        <v>53274.285736839716</v>
      </c>
      <c r="F209" s="178">
        <f t="shared" ref="F209:F272" si="28">IF(AND(Pay_Num&lt;&gt;"",Sched_Pay+Scheduled_Extra_Payments&lt;Beg_Bal),Scheduled_Extra_Payments,IF(AND(Pay_Num&lt;&gt;"",Beg_Bal-Sched_Pay&gt;0),Beg_Bal-Sched_Pay,IF(Pay_Num&lt;&gt;"",0,"")))</f>
        <v>0</v>
      </c>
      <c r="G209" s="177">
        <f t="shared" ref="G209:G272" si="29">IF(AND(Pay_Num&lt;&gt;"",Sched_Pay+Extra_Pay&lt;Beg_Bal),Sched_Pay+Extra_Pay,IF(Pay_Num&lt;&gt;"",Beg_Bal,""))</f>
        <v>0</v>
      </c>
      <c r="H209" s="177">
        <f t="shared" si="24"/>
        <v>0</v>
      </c>
      <c r="I209" s="177">
        <f t="shared" si="25"/>
        <v>0</v>
      </c>
      <c r="J209" s="177">
        <f t="shared" ref="J209:J272" si="30">IF(AND(Pay_Num&lt;&gt;"",Sched_Pay+Extra_Pay&lt;Beg_Bal),Beg_Bal-Princ,IF(Pay_Num&lt;&gt;"",0,""))</f>
        <v>0</v>
      </c>
      <c r="K209" s="177">
        <f>SUM($I$17:$I209)</f>
        <v>1804594.2884207652</v>
      </c>
      <c r="L209" s="179"/>
      <c r="M209" s="179"/>
    </row>
    <row r="210" spans="1:13" s="180" customFormat="1" ht="12.75">
      <c r="A210" s="192">
        <f t="shared" ref="A210:A273" si="31">IF(Values_Entered,A209+1,"")</f>
        <v>194</v>
      </c>
      <c r="B210" s="175"/>
      <c r="C210" s="176">
        <f t="shared" si="27"/>
        <v>50618</v>
      </c>
      <c r="D210" s="177">
        <f t="shared" ref="D210:D273" si="32">IF(Pay_Num&lt;&gt;"",J209,"")</f>
        <v>0</v>
      </c>
      <c r="E210" s="177">
        <f t="shared" si="26"/>
        <v>53274.285736839716</v>
      </c>
      <c r="F210" s="178">
        <f t="shared" si="28"/>
        <v>0</v>
      </c>
      <c r="G210" s="177">
        <f t="shared" si="29"/>
        <v>0</v>
      </c>
      <c r="H210" s="177">
        <f t="shared" ref="H210:H273" si="33">IF(Pay_Num&lt;&gt;"",Total_Pay-Int,"")</f>
        <v>0</v>
      </c>
      <c r="I210" s="177">
        <f t="shared" ref="I210:I273" si="34">IF(Pay_Num&lt;&gt;"",Beg_Bal*Interest_Rate/Num_Pmt_Per_Year,"")</f>
        <v>0</v>
      </c>
      <c r="J210" s="177">
        <f t="shared" si="30"/>
        <v>0</v>
      </c>
      <c r="K210" s="177">
        <f>SUM($I$17:$I210)</f>
        <v>1804594.2884207652</v>
      </c>
      <c r="L210" s="179"/>
      <c r="M210" s="179"/>
    </row>
    <row r="211" spans="1:13" s="180" customFormat="1" ht="12.75">
      <c r="A211" s="192">
        <f t="shared" si="31"/>
        <v>195</v>
      </c>
      <c r="B211" s="175"/>
      <c r="C211" s="176">
        <f t="shared" si="27"/>
        <v>50649</v>
      </c>
      <c r="D211" s="177">
        <f t="shared" si="32"/>
        <v>0</v>
      </c>
      <c r="E211" s="177">
        <f t="shared" ref="E211:E274" si="35">IF(Pay_Num&lt;&gt;"",Scheduled_Monthly_Payment,"")</f>
        <v>53274.285736839716</v>
      </c>
      <c r="F211" s="178">
        <f t="shared" si="28"/>
        <v>0</v>
      </c>
      <c r="G211" s="177">
        <f t="shared" si="29"/>
        <v>0</v>
      </c>
      <c r="H211" s="177">
        <f t="shared" si="33"/>
        <v>0</v>
      </c>
      <c r="I211" s="177">
        <f t="shared" si="34"/>
        <v>0</v>
      </c>
      <c r="J211" s="177">
        <f t="shared" si="30"/>
        <v>0</v>
      </c>
      <c r="K211" s="177">
        <f>SUM($I$17:$I211)</f>
        <v>1804594.2884207652</v>
      </c>
      <c r="L211" s="179"/>
      <c r="M211" s="179"/>
    </row>
    <row r="212" spans="1:13" s="180" customFormat="1" ht="12.75">
      <c r="A212" s="192">
        <f t="shared" si="31"/>
        <v>196</v>
      </c>
      <c r="B212" s="175"/>
      <c r="C212" s="176">
        <f t="shared" si="27"/>
        <v>50679</v>
      </c>
      <c r="D212" s="177">
        <f t="shared" si="32"/>
        <v>0</v>
      </c>
      <c r="E212" s="177">
        <f t="shared" si="35"/>
        <v>53274.285736839716</v>
      </c>
      <c r="F212" s="178">
        <f t="shared" si="28"/>
        <v>0</v>
      </c>
      <c r="G212" s="177">
        <f t="shared" si="29"/>
        <v>0</v>
      </c>
      <c r="H212" s="177">
        <f t="shared" si="33"/>
        <v>0</v>
      </c>
      <c r="I212" s="177">
        <f t="shared" si="34"/>
        <v>0</v>
      </c>
      <c r="J212" s="177">
        <f t="shared" si="30"/>
        <v>0</v>
      </c>
      <c r="K212" s="177">
        <f>SUM($I$17:$I212)</f>
        <v>1804594.2884207652</v>
      </c>
      <c r="L212" s="179"/>
      <c r="M212" s="179"/>
    </row>
    <row r="213" spans="1:13" s="180" customFormat="1" ht="12.75">
      <c r="A213" s="192">
        <f t="shared" si="31"/>
        <v>197</v>
      </c>
      <c r="B213" s="175"/>
      <c r="C213" s="176">
        <f t="shared" si="27"/>
        <v>50710</v>
      </c>
      <c r="D213" s="177">
        <f t="shared" si="32"/>
        <v>0</v>
      </c>
      <c r="E213" s="177">
        <f t="shared" si="35"/>
        <v>53274.285736839716</v>
      </c>
      <c r="F213" s="178">
        <f t="shared" si="28"/>
        <v>0</v>
      </c>
      <c r="G213" s="177">
        <f t="shared" si="29"/>
        <v>0</v>
      </c>
      <c r="H213" s="177">
        <f t="shared" si="33"/>
        <v>0</v>
      </c>
      <c r="I213" s="177">
        <f t="shared" si="34"/>
        <v>0</v>
      </c>
      <c r="J213" s="177">
        <f t="shared" si="30"/>
        <v>0</v>
      </c>
      <c r="K213" s="177">
        <f>SUM($I$17:$I213)</f>
        <v>1804594.2884207652</v>
      </c>
      <c r="L213" s="179"/>
      <c r="M213" s="179"/>
    </row>
    <row r="214" spans="1:13" s="180" customFormat="1" ht="12.75">
      <c r="A214" s="192">
        <f t="shared" si="31"/>
        <v>198</v>
      </c>
      <c r="B214" s="175"/>
      <c r="C214" s="176">
        <f t="shared" si="27"/>
        <v>50740</v>
      </c>
      <c r="D214" s="177">
        <f t="shared" si="32"/>
        <v>0</v>
      </c>
      <c r="E214" s="177">
        <f t="shared" si="35"/>
        <v>53274.285736839716</v>
      </c>
      <c r="F214" s="178">
        <f t="shared" si="28"/>
        <v>0</v>
      </c>
      <c r="G214" s="177">
        <f t="shared" si="29"/>
        <v>0</v>
      </c>
      <c r="H214" s="177">
        <f t="shared" si="33"/>
        <v>0</v>
      </c>
      <c r="I214" s="177">
        <f t="shared" si="34"/>
        <v>0</v>
      </c>
      <c r="J214" s="177">
        <f t="shared" si="30"/>
        <v>0</v>
      </c>
      <c r="K214" s="177">
        <f>SUM($I$17:$I214)</f>
        <v>1804594.2884207652</v>
      </c>
      <c r="L214" s="179"/>
      <c r="M214" s="179"/>
    </row>
    <row r="215" spans="1:13" s="180" customFormat="1" ht="12.75">
      <c r="A215" s="192">
        <f t="shared" si="31"/>
        <v>199</v>
      </c>
      <c r="B215" s="175"/>
      <c r="C215" s="176">
        <f t="shared" si="27"/>
        <v>50771</v>
      </c>
      <c r="D215" s="177">
        <f t="shared" si="32"/>
        <v>0</v>
      </c>
      <c r="E215" s="177">
        <f t="shared" si="35"/>
        <v>53274.285736839716</v>
      </c>
      <c r="F215" s="178">
        <f t="shared" si="28"/>
        <v>0</v>
      </c>
      <c r="G215" s="177">
        <f t="shared" si="29"/>
        <v>0</v>
      </c>
      <c r="H215" s="177">
        <f t="shared" si="33"/>
        <v>0</v>
      </c>
      <c r="I215" s="177">
        <f t="shared" si="34"/>
        <v>0</v>
      </c>
      <c r="J215" s="177">
        <f t="shared" si="30"/>
        <v>0</v>
      </c>
      <c r="K215" s="177">
        <f>SUM($I$17:$I215)</f>
        <v>1804594.2884207652</v>
      </c>
      <c r="L215" s="179"/>
      <c r="M215" s="179"/>
    </row>
    <row r="216" spans="1:13" s="180" customFormat="1" ht="12.75">
      <c r="A216" s="192">
        <f t="shared" si="31"/>
        <v>200</v>
      </c>
      <c r="B216" s="175"/>
      <c r="C216" s="176">
        <f t="shared" si="27"/>
        <v>50802</v>
      </c>
      <c r="D216" s="177">
        <f t="shared" si="32"/>
        <v>0</v>
      </c>
      <c r="E216" s="177">
        <f t="shared" si="35"/>
        <v>53274.285736839716</v>
      </c>
      <c r="F216" s="178">
        <f t="shared" si="28"/>
        <v>0</v>
      </c>
      <c r="G216" s="177">
        <f t="shared" si="29"/>
        <v>0</v>
      </c>
      <c r="H216" s="177">
        <f t="shared" si="33"/>
        <v>0</v>
      </c>
      <c r="I216" s="177">
        <f t="shared" si="34"/>
        <v>0</v>
      </c>
      <c r="J216" s="177">
        <f t="shared" si="30"/>
        <v>0</v>
      </c>
      <c r="K216" s="177">
        <f>SUM($I$17:$I216)</f>
        <v>1804594.2884207652</v>
      </c>
      <c r="L216" s="179"/>
      <c r="M216" s="179"/>
    </row>
    <row r="217" spans="1:13" s="180" customFormat="1" ht="12.75">
      <c r="A217" s="192">
        <f t="shared" si="31"/>
        <v>201</v>
      </c>
      <c r="B217" s="175"/>
      <c r="C217" s="176">
        <f t="shared" si="27"/>
        <v>50830</v>
      </c>
      <c r="D217" s="177">
        <f t="shared" si="32"/>
        <v>0</v>
      </c>
      <c r="E217" s="177">
        <f t="shared" si="35"/>
        <v>53274.285736839716</v>
      </c>
      <c r="F217" s="178">
        <f t="shared" si="28"/>
        <v>0</v>
      </c>
      <c r="G217" s="177">
        <f t="shared" si="29"/>
        <v>0</v>
      </c>
      <c r="H217" s="177">
        <f t="shared" si="33"/>
        <v>0</v>
      </c>
      <c r="I217" s="177">
        <f t="shared" si="34"/>
        <v>0</v>
      </c>
      <c r="J217" s="177">
        <f t="shared" si="30"/>
        <v>0</v>
      </c>
      <c r="K217" s="177">
        <f>SUM($I$17:$I217)</f>
        <v>1804594.2884207652</v>
      </c>
      <c r="L217" s="179"/>
      <c r="M217" s="179"/>
    </row>
    <row r="218" spans="1:13" s="180" customFormat="1" ht="12.75">
      <c r="A218" s="192">
        <f t="shared" si="31"/>
        <v>202</v>
      </c>
      <c r="B218" s="175"/>
      <c r="C218" s="176">
        <f t="shared" si="27"/>
        <v>50861</v>
      </c>
      <c r="D218" s="177">
        <f t="shared" si="32"/>
        <v>0</v>
      </c>
      <c r="E218" s="177">
        <f t="shared" si="35"/>
        <v>53274.285736839716</v>
      </c>
      <c r="F218" s="178">
        <f t="shared" si="28"/>
        <v>0</v>
      </c>
      <c r="G218" s="177">
        <f t="shared" si="29"/>
        <v>0</v>
      </c>
      <c r="H218" s="177">
        <f t="shared" si="33"/>
        <v>0</v>
      </c>
      <c r="I218" s="177">
        <f t="shared" si="34"/>
        <v>0</v>
      </c>
      <c r="J218" s="177">
        <f t="shared" si="30"/>
        <v>0</v>
      </c>
      <c r="K218" s="177">
        <f>SUM($I$17:$I218)</f>
        <v>1804594.2884207652</v>
      </c>
      <c r="L218" s="179"/>
      <c r="M218" s="179"/>
    </row>
    <row r="219" spans="1:13" s="180" customFormat="1" ht="12.75">
      <c r="A219" s="192">
        <f t="shared" si="31"/>
        <v>203</v>
      </c>
      <c r="B219" s="175"/>
      <c r="C219" s="176">
        <f t="shared" si="27"/>
        <v>50891</v>
      </c>
      <c r="D219" s="177">
        <f t="shared" si="32"/>
        <v>0</v>
      </c>
      <c r="E219" s="177">
        <f t="shared" si="35"/>
        <v>53274.285736839716</v>
      </c>
      <c r="F219" s="178">
        <f t="shared" si="28"/>
        <v>0</v>
      </c>
      <c r="G219" s="177">
        <f t="shared" si="29"/>
        <v>0</v>
      </c>
      <c r="H219" s="177">
        <f t="shared" si="33"/>
        <v>0</v>
      </c>
      <c r="I219" s="177">
        <f t="shared" si="34"/>
        <v>0</v>
      </c>
      <c r="J219" s="177">
        <f t="shared" si="30"/>
        <v>0</v>
      </c>
      <c r="K219" s="177">
        <f>SUM($I$17:$I219)</f>
        <v>1804594.2884207652</v>
      </c>
      <c r="L219" s="179"/>
      <c r="M219" s="179"/>
    </row>
    <row r="220" spans="1:13" s="180" customFormat="1" ht="12.75">
      <c r="A220" s="192">
        <f t="shared" si="31"/>
        <v>204</v>
      </c>
      <c r="B220" s="175"/>
      <c r="C220" s="176">
        <f t="shared" si="27"/>
        <v>50922</v>
      </c>
      <c r="D220" s="177">
        <f t="shared" si="32"/>
        <v>0</v>
      </c>
      <c r="E220" s="177">
        <f t="shared" si="35"/>
        <v>53274.285736839716</v>
      </c>
      <c r="F220" s="178">
        <f t="shared" si="28"/>
        <v>0</v>
      </c>
      <c r="G220" s="177">
        <f t="shared" si="29"/>
        <v>0</v>
      </c>
      <c r="H220" s="177">
        <f t="shared" si="33"/>
        <v>0</v>
      </c>
      <c r="I220" s="177">
        <f t="shared" si="34"/>
        <v>0</v>
      </c>
      <c r="J220" s="177">
        <f t="shared" si="30"/>
        <v>0</v>
      </c>
      <c r="K220" s="177">
        <f>SUM($I$17:$I220)</f>
        <v>1804594.2884207652</v>
      </c>
      <c r="L220" s="179"/>
      <c r="M220" s="179"/>
    </row>
    <row r="221" spans="1:13" s="180" customFormat="1" ht="12.75">
      <c r="A221" s="192">
        <f t="shared" si="31"/>
        <v>205</v>
      </c>
      <c r="B221" s="175"/>
      <c r="C221" s="176">
        <f t="shared" si="27"/>
        <v>50952</v>
      </c>
      <c r="D221" s="177">
        <f t="shared" si="32"/>
        <v>0</v>
      </c>
      <c r="E221" s="177">
        <f t="shared" si="35"/>
        <v>53274.285736839716</v>
      </c>
      <c r="F221" s="178">
        <f t="shared" si="28"/>
        <v>0</v>
      </c>
      <c r="G221" s="177">
        <f t="shared" si="29"/>
        <v>0</v>
      </c>
      <c r="H221" s="177">
        <f t="shared" si="33"/>
        <v>0</v>
      </c>
      <c r="I221" s="177">
        <f t="shared" si="34"/>
        <v>0</v>
      </c>
      <c r="J221" s="177">
        <f t="shared" si="30"/>
        <v>0</v>
      </c>
      <c r="K221" s="177">
        <f>SUM($I$17:$I221)</f>
        <v>1804594.2884207652</v>
      </c>
      <c r="L221" s="179"/>
      <c r="M221" s="179"/>
    </row>
    <row r="222" spans="1:13" s="180" customFormat="1" ht="12.75">
      <c r="A222" s="192">
        <f t="shared" si="31"/>
        <v>206</v>
      </c>
      <c r="B222" s="175"/>
      <c r="C222" s="176">
        <f t="shared" si="27"/>
        <v>50983</v>
      </c>
      <c r="D222" s="177">
        <f t="shared" si="32"/>
        <v>0</v>
      </c>
      <c r="E222" s="177">
        <f t="shared" si="35"/>
        <v>53274.285736839716</v>
      </c>
      <c r="F222" s="178">
        <f t="shared" si="28"/>
        <v>0</v>
      </c>
      <c r="G222" s="177">
        <f t="shared" si="29"/>
        <v>0</v>
      </c>
      <c r="H222" s="177">
        <f t="shared" si="33"/>
        <v>0</v>
      </c>
      <c r="I222" s="177">
        <f t="shared" si="34"/>
        <v>0</v>
      </c>
      <c r="J222" s="177">
        <f t="shared" si="30"/>
        <v>0</v>
      </c>
      <c r="K222" s="177">
        <f>SUM($I$17:$I222)</f>
        <v>1804594.2884207652</v>
      </c>
      <c r="L222" s="179"/>
      <c r="M222" s="179"/>
    </row>
    <row r="223" spans="1:13" s="180" customFormat="1" ht="12.75">
      <c r="A223" s="192">
        <f t="shared" si="31"/>
        <v>207</v>
      </c>
      <c r="B223" s="175"/>
      <c r="C223" s="176">
        <f t="shared" si="27"/>
        <v>51014</v>
      </c>
      <c r="D223" s="177">
        <f t="shared" si="32"/>
        <v>0</v>
      </c>
      <c r="E223" s="177">
        <f t="shared" si="35"/>
        <v>53274.285736839716</v>
      </c>
      <c r="F223" s="178">
        <f t="shared" si="28"/>
        <v>0</v>
      </c>
      <c r="G223" s="177">
        <f t="shared" si="29"/>
        <v>0</v>
      </c>
      <c r="H223" s="177">
        <f t="shared" si="33"/>
        <v>0</v>
      </c>
      <c r="I223" s="177">
        <f t="shared" si="34"/>
        <v>0</v>
      </c>
      <c r="J223" s="177">
        <f t="shared" si="30"/>
        <v>0</v>
      </c>
      <c r="K223" s="177">
        <f>SUM($I$17:$I223)</f>
        <v>1804594.2884207652</v>
      </c>
      <c r="L223" s="179"/>
      <c r="M223" s="179"/>
    </row>
    <row r="224" spans="1:13" s="180" customFormat="1" ht="12.75">
      <c r="A224" s="192">
        <f t="shared" si="31"/>
        <v>208</v>
      </c>
      <c r="B224" s="175"/>
      <c r="C224" s="176">
        <f t="shared" si="27"/>
        <v>51044</v>
      </c>
      <c r="D224" s="177">
        <f t="shared" si="32"/>
        <v>0</v>
      </c>
      <c r="E224" s="177">
        <f t="shared" si="35"/>
        <v>53274.285736839716</v>
      </c>
      <c r="F224" s="178">
        <f t="shared" si="28"/>
        <v>0</v>
      </c>
      <c r="G224" s="177">
        <f t="shared" si="29"/>
        <v>0</v>
      </c>
      <c r="H224" s="177">
        <f t="shared" si="33"/>
        <v>0</v>
      </c>
      <c r="I224" s="177">
        <f t="shared" si="34"/>
        <v>0</v>
      </c>
      <c r="J224" s="177">
        <f t="shared" si="30"/>
        <v>0</v>
      </c>
      <c r="K224" s="177">
        <f>SUM($I$17:$I224)</f>
        <v>1804594.2884207652</v>
      </c>
      <c r="L224" s="179"/>
      <c r="M224" s="179"/>
    </row>
    <row r="225" spans="1:13" s="180" customFormat="1" ht="12.75">
      <c r="A225" s="192">
        <f t="shared" si="31"/>
        <v>209</v>
      </c>
      <c r="B225" s="175"/>
      <c r="C225" s="176">
        <f t="shared" si="27"/>
        <v>51075</v>
      </c>
      <c r="D225" s="177">
        <f t="shared" si="32"/>
        <v>0</v>
      </c>
      <c r="E225" s="177">
        <f t="shared" si="35"/>
        <v>53274.285736839716</v>
      </c>
      <c r="F225" s="178">
        <f t="shared" si="28"/>
        <v>0</v>
      </c>
      <c r="G225" s="177">
        <f t="shared" si="29"/>
        <v>0</v>
      </c>
      <c r="H225" s="177">
        <f t="shared" si="33"/>
        <v>0</v>
      </c>
      <c r="I225" s="177">
        <f t="shared" si="34"/>
        <v>0</v>
      </c>
      <c r="J225" s="177">
        <f t="shared" si="30"/>
        <v>0</v>
      </c>
      <c r="K225" s="177">
        <f>SUM($I$17:$I225)</f>
        <v>1804594.2884207652</v>
      </c>
      <c r="L225" s="179"/>
      <c r="M225" s="179"/>
    </row>
    <row r="226" spans="1:13" s="180" customFormat="1" ht="12.75">
      <c r="A226" s="192">
        <f t="shared" si="31"/>
        <v>210</v>
      </c>
      <c r="B226" s="175"/>
      <c r="C226" s="176">
        <f t="shared" si="27"/>
        <v>51105</v>
      </c>
      <c r="D226" s="177">
        <f t="shared" si="32"/>
        <v>0</v>
      </c>
      <c r="E226" s="177">
        <f t="shared" si="35"/>
        <v>53274.285736839716</v>
      </c>
      <c r="F226" s="178">
        <f t="shared" si="28"/>
        <v>0</v>
      </c>
      <c r="G226" s="177">
        <f t="shared" si="29"/>
        <v>0</v>
      </c>
      <c r="H226" s="177">
        <f t="shared" si="33"/>
        <v>0</v>
      </c>
      <c r="I226" s="177">
        <f t="shared" si="34"/>
        <v>0</v>
      </c>
      <c r="J226" s="177">
        <f t="shared" si="30"/>
        <v>0</v>
      </c>
      <c r="K226" s="177">
        <f>SUM($I$17:$I226)</f>
        <v>1804594.2884207652</v>
      </c>
      <c r="L226" s="179"/>
      <c r="M226" s="179"/>
    </row>
    <row r="227" spans="1:13" s="180" customFormat="1" ht="12.75">
      <c r="A227" s="192">
        <f t="shared" si="31"/>
        <v>211</v>
      </c>
      <c r="B227" s="175"/>
      <c r="C227" s="176">
        <f t="shared" si="27"/>
        <v>51136</v>
      </c>
      <c r="D227" s="177">
        <f t="shared" si="32"/>
        <v>0</v>
      </c>
      <c r="E227" s="177">
        <f t="shared" si="35"/>
        <v>53274.285736839716</v>
      </c>
      <c r="F227" s="178">
        <f t="shared" si="28"/>
        <v>0</v>
      </c>
      <c r="G227" s="177">
        <f t="shared" si="29"/>
        <v>0</v>
      </c>
      <c r="H227" s="177">
        <f t="shared" si="33"/>
        <v>0</v>
      </c>
      <c r="I227" s="177">
        <f t="shared" si="34"/>
        <v>0</v>
      </c>
      <c r="J227" s="177">
        <f t="shared" si="30"/>
        <v>0</v>
      </c>
      <c r="K227" s="177">
        <f>SUM($I$17:$I227)</f>
        <v>1804594.2884207652</v>
      </c>
      <c r="L227" s="179"/>
      <c r="M227" s="179"/>
    </row>
    <row r="228" spans="1:13" s="180" customFormat="1" ht="12.75">
      <c r="A228" s="192">
        <f t="shared" si="31"/>
        <v>212</v>
      </c>
      <c r="B228" s="175"/>
      <c r="C228" s="176">
        <f t="shared" si="27"/>
        <v>51167</v>
      </c>
      <c r="D228" s="177">
        <f t="shared" si="32"/>
        <v>0</v>
      </c>
      <c r="E228" s="177">
        <f t="shared" si="35"/>
        <v>53274.285736839716</v>
      </c>
      <c r="F228" s="178">
        <f t="shared" si="28"/>
        <v>0</v>
      </c>
      <c r="G228" s="177">
        <f t="shared" si="29"/>
        <v>0</v>
      </c>
      <c r="H228" s="177">
        <f t="shared" si="33"/>
        <v>0</v>
      </c>
      <c r="I228" s="177">
        <f t="shared" si="34"/>
        <v>0</v>
      </c>
      <c r="J228" s="177">
        <f t="shared" si="30"/>
        <v>0</v>
      </c>
      <c r="K228" s="177">
        <f>SUM($I$17:$I228)</f>
        <v>1804594.2884207652</v>
      </c>
      <c r="L228" s="179"/>
      <c r="M228" s="179"/>
    </row>
    <row r="229" spans="1:13" s="180" customFormat="1" ht="12.75">
      <c r="A229" s="192">
        <f t="shared" si="31"/>
        <v>213</v>
      </c>
      <c r="B229" s="175"/>
      <c r="C229" s="176">
        <f t="shared" si="27"/>
        <v>51196</v>
      </c>
      <c r="D229" s="177">
        <f t="shared" si="32"/>
        <v>0</v>
      </c>
      <c r="E229" s="177">
        <f t="shared" si="35"/>
        <v>53274.285736839716</v>
      </c>
      <c r="F229" s="178">
        <f t="shared" si="28"/>
        <v>0</v>
      </c>
      <c r="G229" s="177">
        <f t="shared" si="29"/>
        <v>0</v>
      </c>
      <c r="H229" s="177">
        <f t="shared" si="33"/>
        <v>0</v>
      </c>
      <c r="I229" s="177">
        <f t="shared" si="34"/>
        <v>0</v>
      </c>
      <c r="J229" s="177">
        <f t="shared" si="30"/>
        <v>0</v>
      </c>
      <c r="K229" s="177">
        <f>SUM($I$17:$I229)</f>
        <v>1804594.2884207652</v>
      </c>
      <c r="L229" s="179"/>
      <c r="M229" s="179"/>
    </row>
    <row r="230" spans="1:13" s="180" customFormat="1" ht="12.75">
      <c r="A230" s="192">
        <f t="shared" si="31"/>
        <v>214</v>
      </c>
      <c r="B230" s="175"/>
      <c r="C230" s="176">
        <f t="shared" si="27"/>
        <v>51227</v>
      </c>
      <c r="D230" s="177">
        <f t="shared" si="32"/>
        <v>0</v>
      </c>
      <c r="E230" s="177">
        <f t="shared" si="35"/>
        <v>53274.285736839716</v>
      </c>
      <c r="F230" s="178">
        <f t="shared" si="28"/>
        <v>0</v>
      </c>
      <c r="G230" s="177">
        <f t="shared" si="29"/>
        <v>0</v>
      </c>
      <c r="H230" s="177">
        <f t="shared" si="33"/>
        <v>0</v>
      </c>
      <c r="I230" s="177">
        <f t="shared" si="34"/>
        <v>0</v>
      </c>
      <c r="J230" s="177">
        <f t="shared" si="30"/>
        <v>0</v>
      </c>
      <c r="K230" s="177">
        <f>SUM($I$17:$I230)</f>
        <v>1804594.2884207652</v>
      </c>
      <c r="L230" s="179"/>
      <c r="M230" s="179"/>
    </row>
    <row r="231" spans="1:13" s="180" customFormat="1" ht="12.75">
      <c r="A231" s="192">
        <f t="shared" si="31"/>
        <v>215</v>
      </c>
      <c r="B231" s="175"/>
      <c r="C231" s="176">
        <f t="shared" si="27"/>
        <v>51257</v>
      </c>
      <c r="D231" s="177">
        <f t="shared" si="32"/>
        <v>0</v>
      </c>
      <c r="E231" s="177">
        <f t="shared" si="35"/>
        <v>53274.285736839716</v>
      </c>
      <c r="F231" s="178">
        <f t="shared" si="28"/>
        <v>0</v>
      </c>
      <c r="G231" s="177">
        <f t="shared" si="29"/>
        <v>0</v>
      </c>
      <c r="H231" s="177">
        <f t="shared" si="33"/>
        <v>0</v>
      </c>
      <c r="I231" s="177">
        <f t="shared" si="34"/>
        <v>0</v>
      </c>
      <c r="J231" s="177">
        <f t="shared" si="30"/>
        <v>0</v>
      </c>
      <c r="K231" s="177">
        <f>SUM($I$17:$I231)</f>
        <v>1804594.2884207652</v>
      </c>
      <c r="L231" s="179"/>
      <c r="M231" s="179"/>
    </row>
    <row r="232" spans="1:13" s="180" customFormat="1" ht="12.75">
      <c r="A232" s="192">
        <f t="shared" si="31"/>
        <v>216</v>
      </c>
      <c r="B232" s="175"/>
      <c r="C232" s="176">
        <f t="shared" si="27"/>
        <v>51288</v>
      </c>
      <c r="D232" s="177">
        <f t="shared" si="32"/>
        <v>0</v>
      </c>
      <c r="E232" s="177">
        <f t="shared" si="35"/>
        <v>53274.285736839716</v>
      </c>
      <c r="F232" s="178">
        <f t="shared" si="28"/>
        <v>0</v>
      </c>
      <c r="G232" s="177">
        <f t="shared" si="29"/>
        <v>0</v>
      </c>
      <c r="H232" s="177">
        <f t="shared" si="33"/>
        <v>0</v>
      </c>
      <c r="I232" s="177">
        <f t="shared" si="34"/>
        <v>0</v>
      </c>
      <c r="J232" s="177">
        <f t="shared" si="30"/>
        <v>0</v>
      </c>
      <c r="K232" s="177">
        <f>SUM($I$17:$I232)</f>
        <v>1804594.2884207652</v>
      </c>
      <c r="L232" s="179"/>
      <c r="M232" s="179"/>
    </row>
    <row r="233" spans="1:13" s="180" customFormat="1" ht="12.75">
      <c r="A233" s="192">
        <f t="shared" si="31"/>
        <v>217</v>
      </c>
      <c r="B233" s="175"/>
      <c r="C233" s="176">
        <f t="shared" si="27"/>
        <v>51318</v>
      </c>
      <c r="D233" s="177">
        <f t="shared" si="32"/>
        <v>0</v>
      </c>
      <c r="E233" s="177">
        <f t="shared" si="35"/>
        <v>53274.285736839716</v>
      </c>
      <c r="F233" s="178">
        <f t="shared" si="28"/>
        <v>0</v>
      </c>
      <c r="G233" s="177">
        <f t="shared" si="29"/>
        <v>0</v>
      </c>
      <c r="H233" s="177">
        <f t="shared" si="33"/>
        <v>0</v>
      </c>
      <c r="I233" s="177">
        <f t="shared" si="34"/>
        <v>0</v>
      </c>
      <c r="J233" s="177">
        <f t="shared" si="30"/>
        <v>0</v>
      </c>
      <c r="K233" s="177">
        <f>SUM($I$17:$I233)</f>
        <v>1804594.2884207652</v>
      </c>
      <c r="L233" s="179"/>
      <c r="M233" s="179"/>
    </row>
    <row r="234" spans="1:13" s="180" customFormat="1" ht="12.75">
      <c r="A234" s="192">
        <f t="shared" si="31"/>
        <v>218</v>
      </c>
      <c r="B234" s="175"/>
      <c r="C234" s="176">
        <f t="shared" si="27"/>
        <v>51349</v>
      </c>
      <c r="D234" s="177">
        <f t="shared" si="32"/>
        <v>0</v>
      </c>
      <c r="E234" s="177">
        <f t="shared" si="35"/>
        <v>53274.285736839716</v>
      </c>
      <c r="F234" s="178">
        <f t="shared" si="28"/>
        <v>0</v>
      </c>
      <c r="G234" s="177">
        <f t="shared" si="29"/>
        <v>0</v>
      </c>
      <c r="H234" s="177">
        <f t="shared" si="33"/>
        <v>0</v>
      </c>
      <c r="I234" s="177">
        <f t="shared" si="34"/>
        <v>0</v>
      </c>
      <c r="J234" s="177">
        <f t="shared" si="30"/>
        <v>0</v>
      </c>
      <c r="K234" s="177">
        <f>SUM($I$17:$I234)</f>
        <v>1804594.2884207652</v>
      </c>
      <c r="L234" s="179"/>
      <c r="M234" s="179"/>
    </row>
    <row r="235" spans="1:13" s="180" customFormat="1" ht="12.75">
      <c r="A235" s="192">
        <f t="shared" si="31"/>
        <v>219</v>
      </c>
      <c r="B235" s="175"/>
      <c r="C235" s="176">
        <f t="shared" si="27"/>
        <v>51380</v>
      </c>
      <c r="D235" s="177">
        <f t="shared" si="32"/>
        <v>0</v>
      </c>
      <c r="E235" s="177">
        <f t="shared" si="35"/>
        <v>53274.285736839716</v>
      </c>
      <c r="F235" s="178">
        <f t="shared" si="28"/>
        <v>0</v>
      </c>
      <c r="G235" s="177">
        <f t="shared" si="29"/>
        <v>0</v>
      </c>
      <c r="H235" s="177">
        <f t="shared" si="33"/>
        <v>0</v>
      </c>
      <c r="I235" s="177">
        <f t="shared" si="34"/>
        <v>0</v>
      </c>
      <c r="J235" s="177">
        <f t="shared" si="30"/>
        <v>0</v>
      </c>
      <c r="K235" s="177">
        <f>SUM($I$17:$I235)</f>
        <v>1804594.2884207652</v>
      </c>
      <c r="L235" s="179"/>
      <c r="M235" s="179"/>
    </row>
    <row r="236" spans="1:13" s="180" customFormat="1" ht="12.75">
      <c r="A236" s="192">
        <f t="shared" si="31"/>
        <v>220</v>
      </c>
      <c r="B236" s="175"/>
      <c r="C236" s="176">
        <f t="shared" si="27"/>
        <v>51410</v>
      </c>
      <c r="D236" s="177">
        <f t="shared" si="32"/>
        <v>0</v>
      </c>
      <c r="E236" s="177">
        <f t="shared" si="35"/>
        <v>53274.285736839716</v>
      </c>
      <c r="F236" s="178">
        <f t="shared" si="28"/>
        <v>0</v>
      </c>
      <c r="G236" s="177">
        <f t="shared" si="29"/>
        <v>0</v>
      </c>
      <c r="H236" s="177">
        <f t="shared" si="33"/>
        <v>0</v>
      </c>
      <c r="I236" s="177">
        <f t="shared" si="34"/>
        <v>0</v>
      </c>
      <c r="J236" s="177">
        <f t="shared" si="30"/>
        <v>0</v>
      </c>
      <c r="K236" s="177">
        <f>SUM($I$17:$I236)</f>
        <v>1804594.2884207652</v>
      </c>
      <c r="L236" s="179"/>
      <c r="M236" s="179"/>
    </row>
    <row r="237" spans="1:13" s="180" customFormat="1" ht="12.75">
      <c r="A237" s="192">
        <f t="shared" si="31"/>
        <v>221</v>
      </c>
      <c r="B237" s="175"/>
      <c r="C237" s="176">
        <f t="shared" si="27"/>
        <v>51441</v>
      </c>
      <c r="D237" s="177">
        <f t="shared" si="32"/>
        <v>0</v>
      </c>
      <c r="E237" s="177">
        <f t="shared" si="35"/>
        <v>53274.285736839716</v>
      </c>
      <c r="F237" s="178">
        <f t="shared" si="28"/>
        <v>0</v>
      </c>
      <c r="G237" s="177">
        <f t="shared" si="29"/>
        <v>0</v>
      </c>
      <c r="H237" s="177">
        <f t="shared" si="33"/>
        <v>0</v>
      </c>
      <c r="I237" s="177">
        <f t="shared" si="34"/>
        <v>0</v>
      </c>
      <c r="J237" s="177">
        <f t="shared" si="30"/>
        <v>0</v>
      </c>
      <c r="K237" s="177">
        <f>SUM($I$17:$I237)</f>
        <v>1804594.2884207652</v>
      </c>
      <c r="L237" s="179"/>
      <c r="M237" s="179"/>
    </row>
    <row r="238" spans="1:13" s="180" customFormat="1" ht="12.75">
      <c r="A238" s="192">
        <f t="shared" si="31"/>
        <v>222</v>
      </c>
      <c r="B238" s="175"/>
      <c r="C238" s="176">
        <f t="shared" si="27"/>
        <v>51471</v>
      </c>
      <c r="D238" s="177">
        <f t="shared" si="32"/>
        <v>0</v>
      </c>
      <c r="E238" s="177">
        <f t="shared" si="35"/>
        <v>53274.285736839716</v>
      </c>
      <c r="F238" s="178">
        <f t="shared" si="28"/>
        <v>0</v>
      </c>
      <c r="G238" s="177">
        <f t="shared" si="29"/>
        <v>0</v>
      </c>
      <c r="H238" s="177">
        <f t="shared" si="33"/>
        <v>0</v>
      </c>
      <c r="I238" s="177">
        <f t="shared" si="34"/>
        <v>0</v>
      </c>
      <c r="J238" s="177">
        <f t="shared" si="30"/>
        <v>0</v>
      </c>
      <c r="K238" s="177">
        <f>SUM($I$17:$I238)</f>
        <v>1804594.2884207652</v>
      </c>
      <c r="L238" s="179"/>
      <c r="M238" s="179"/>
    </row>
    <row r="239" spans="1:13" s="180" customFormat="1" ht="12.75">
      <c r="A239" s="192">
        <f t="shared" si="31"/>
        <v>223</v>
      </c>
      <c r="B239" s="175"/>
      <c r="C239" s="176">
        <f t="shared" si="27"/>
        <v>51502</v>
      </c>
      <c r="D239" s="177">
        <f t="shared" si="32"/>
        <v>0</v>
      </c>
      <c r="E239" s="177">
        <f t="shared" si="35"/>
        <v>53274.285736839716</v>
      </c>
      <c r="F239" s="178">
        <f t="shared" si="28"/>
        <v>0</v>
      </c>
      <c r="G239" s="177">
        <f t="shared" si="29"/>
        <v>0</v>
      </c>
      <c r="H239" s="177">
        <f t="shared" si="33"/>
        <v>0</v>
      </c>
      <c r="I239" s="177">
        <f t="shared" si="34"/>
        <v>0</v>
      </c>
      <c r="J239" s="177">
        <f t="shared" si="30"/>
        <v>0</v>
      </c>
      <c r="K239" s="177">
        <f>SUM($I$17:$I239)</f>
        <v>1804594.2884207652</v>
      </c>
      <c r="L239" s="179"/>
      <c r="M239" s="179"/>
    </row>
    <row r="240" spans="1:13" s="180" customFormat="1" ht="12.75">
      <c r="A240" s="192">
        <f t="shared" si="31"/>
        <v>224</v>
      </c>
      <c r="B240" s="175"/>
      <c r="C240" s="176">
        <f t="shared" si="27"/>
        <v>51533</v>
      </c>
      <c r="D240" s="177">
        <f t="shared" si="32"/>
        <v>0</v>
      </c>
      <c r="E240" s="177">
        <f t="shared" si="35"/>
        <v>53274.285736839716</v>
      </c>
      <c r="F240" s="178">
        <f t="shared" si="28"/>
        <v>0</v>
      </c>
      <c r="G240" s="177">
        <f t="shared" si="29"/>
        <v>0</v>
      </c>
      <c r="H240" s="177">
        <f t="shared" si="33"/>
        <v>0</v>
      </c>
      <c r="I240" s="177">
        <f t="shared" si="34"/>
        <v>0</v>
      </c>
      <c r="J240" s="177">
        <f t="shared" si="30"/>
        <v>0</v>
      </c>
      <c r="K240" s="177">
        <f>SUM($I$17:$I240)</f>
        <v>1804594.2884207652</v>
      </c>
      <c r="L240" s="179"/>
      <c r="M240" s="179"/>
    </row>
    <row r="241" spans="1:13" s="180" customFormat="1" ht="12.75">
      <c r="A241" s="192">
        <f t="shared" si="31"/>
        <v>225</v>
      </c>
      <c r="B241" s="175"/>
      <c r="C241" s="176">
        <f t="shared" si="27"/>
        <v>51561</v>
      </c>
      <c r="D241" s="177">
        <f t="shared" si="32"/>
        <v>0</v>
      </c>
      <c r="E241" s="177">
        <f t="shared" si="35"/>
        <v>53274.285736839716</v>
      </c>
      <c r="F241" s="178">
        <f t="shared" si="28"/>
        <v>0</v>
      </c>
      <c r="G241" s="177">
        <f t="shared" si="29"/>
        <v>0</v>
      </c>
      <c r="H241" s="177">
        <f t="shared" si="33"/>
        <v>0</v>
      </c>
      <c r="I241" s="177">
        <f t="shared" si="34"/>
        <v>0</v>
      </c>
      <c r="J241" s="177">
        <f t="shared" si="30"/>
        <v>0</v>
      </c>
      <c r="K241" s="177">
        <f>SUM($I$17:$I241)</f>
        <v>1804594.2884207652</v>
      </c>
      <c r="L241" s="179"/>
      <c r="M241" s="179"/>
    </row>
    <row r="242" spans="1:13" s="180" customFormat="1" ht="12.75">
      <c r="A242" s="192">
        <f t="shared" si="31"/>
        <v>226</v>
      </c>
      <c r="B242" s="175"/>
      <c r="C242" s="176">
        <f t="shared" si="27"/>
        <v>51592</v>
      </c>
      <c r="D242" s="177">
        <f t="shared" si="32"/>
        <v>0</v>
      </c>
      <c r="E242" s="177">
        <f t="shared" si="35"/>
        <v>53274.285736839716</v>
      </c>
      <c r="F242" s="178">
        <f t="shared" si="28"/>
        <v>0</v>
      </c>
      <c r="G242" s="177">
        <f t="shared" si="29"/>
        <v>0</v>
      </c>
      <c r="H242" s="177">
        <f t="shared" si="33"/>
        <v>0</v>
      </c>
      <c r="I242" s="177">
        <f t="shared" si="34"/>
        <v>0</v>
      </c>
      <c r="J242" s="177">
        <f t="shared" si="30"/>
        <v>0</v>
      </c>
      <c r="K242" s="177">
        <f>SUM($I$17:$I242)</f>
        <v>1804594.2884207652</v>
      </c>
      <c r="L242" s="179"/>
      <c r="M242" s="179"/>
    </row>
    <row r="243" spans="1:13" s="180" customFormat="1" ht="12.75">
      <c r="A243" s="192">
        <f t="shared" si="31"/>
        <v>227</v>
      </c>
      <c r="B243" s="175"/>
      <c r="C243" s="176">
        <f t="shared" si="27"/>
        <v>51622</v>
      </c>
      <c r="D243" s="177">
        <f t="shared" si="32"/>
        <v>0</v>
      </c>
      <c r="E243" s="177">
        <f t="shared" si="35"/>
        <v>53274.285736839716</v>
      </c>
      <c r="F243" s="178">
        <f t="shared" si="28"/>
        <v>0</v>
      </c>
      <c r="G243" s="177">
        <f t="shared" si="29"/>
        <v>0</v>
      </c>
      <c r="H243" s="177">
        <f t="shared" si="33"/>
        <v>0</v>
      </c>
      <c r="I243" s="177">
        <f t="shared" si="34"/>
        <v>0</v>
      </c>
      <c r="J243" s="177">
        <f t="shared" si="30"/>
        <v>0</v>
      </c>
      <c r="K243" s="177">
        <f>SUM($I$17:$I243)</f>
        <v>1804594.2884207652</v>
      </c>
      <c r="L243" s="179"/>
      <c r="M243" s="179"/>
    </row>
    <row r="244" spans="1:13" s="180" customFormat="1" ht="12.75">
      <c r="A244" s="192">
        <f t="shared" si="31"/>
        <v>228</v>
      </c>
      <c r="B244" s="175"/>
      <c r="C244" s="176">
        <f t="shared" si="27"/>
        <v>51653</v>
      </c>
      <c r="D244" s="177">
        <f t="shared" si="32"/>
        <v>0</v>
      </c>
      <c r="E244" s="177">
        <f t="shared" si="35"/>
        <v>53274.285736839716</v>
      </c>
      <c r="F244" s="178">
        <f t="shared" si="28"/>
        <v>0</v>
      </c>
      <c r="G244" s="177">
        <f t="shared" si="29"/>
        <v>0</v>
      </c>
      <c r="H244" s="177">
        <f t="shared" si="33"/>
        <v>0</v>
      </c>
      <c r="I244" s="177">
        <f t="shared" si="34"/>
        <v>0</v>
      </c>
      <c r="J244" s="177">
        <f t="shared" si="30"/>
        <v>0</v>
      </c>
      <c r="K244" s="177">
        <f>SUM($I$17:$I244)</f>
        <v>1804594.2884207652</v>
      </c>
      <c r="L244" s="179"/>
      <c r="M244" s="179"/>
    </row>
    <row r="245" spans="1:13" s="180" customFormat="1" ht="12.75">
      <c r="A245" s="192">
        <f t="shared" si="31"/>
        <v>229</v>
      </c>
      <c r="B245" s="175"/>
      <c r="C245" s="176">
        <f t="shared" si="27"/>
        <v>51683</v>
      </c>
      <c r="D245" s="177">
        <f t="shared" si="32"/>
        <v>0</v>
      </c>
      <c r="E245" s="177">
        <f t="shared" si="35"/>
        <v>53274.285736839716</v>
      </c>
      <c r="F245" s="178">
        <f t="shared" si="28"/>
        <v>0</v>
      </c>
      <c r="G245" s="177">
        <f t="shared" si="29"/>
        <v>0</v>
      </c>
      <c r="H245" s="177">
        <f t="shared" si="33"/>
        <v>0</v>
      </c>
      <c r="I245" s="177">
        <f t="shared" si="34"/>
        <v>0</v>
      </c>
      <c r="J245" s="177">
        <f t="shared" si="30"/>
        <v>0</v>
      </c>
      <c r="K245" s="177">
        <f>SUM($I$17:$I245)</f>
        <v>1804594.2884207652</v>
      </c>
      <c r="L245" s="179"/>
      <c r="M245" s="179"/>
    </row>
    <row r="246" spans="1:13" s="180" customFormat="1" ht="12.75">
      <c r="A246" s="192">
        <f t="shared" si="31"/>
        <v>230</v>
      </c>
      <c r="B246" s="175"/>
      <c r="C246" s="176">
        <f t="shared" si="27"/>
        <v>51714</v>
      </c>
      <c r="D246" s="177">
        <f t="shared" si="32"/>
        <v>0</v>
      </c>
      <c r="E246" s="177">
        <f t="shared" si="35"/>
        <v>53274.285736839716</v>
      </c>
      <c r="F246" s="178">
        <f t="shared" si="28"/>
        <v>0</v>
      </c>
      <c r="G246" s="177">
        <f t="shared" si="29"/>
        <v>0</v>
      </c>
      <c r="H246" s="177">
        <f t="shared" si="33"/>
        <v>0</v>
      </c>
      <c r="I246" s="177">
        <f t="shared" si="34"/>
        <v>0</v>
      </c>
      <c r="J246" s="177">
        <f t="shared" si="30"/>
        <v>0</v>
      </c>
      <c r="K246" s="177">
        <f>SUM($I$17:$I246)</f>
        <v>1804594.2884207652</v>
      </c>
      <c r="L246" s="179"/>
      <c r="M246" s="179"/>
    </row>
    <row r="247" spans="1:13" s="180" customFormat="1" ht="12.75">
      <c r="A247" s="192">
        <f t="shared" si="31"/>
        <v>231</v>
      </c>
      <c r="B247" s="175"/>
      <c r="C247" s="176">
        <f t="shared" si="27"/>
        <v>51745</v>
      </c>
      <c r="D247" s="177">
        <f t="shared" si="32"/>
        <v>0</v>
      </c>
      <c r="E247" s="177">
        <f t="shared" si="35"/>
        <v>53274.285736839716</v>
      </c>
      <c r="F247" s="178">
        <f t="shared" si="28"/>
        <v>0</v>
      </c>
      <c r="G247" s="177">
        <f t="shared" si="29"/>
        <v>0</v>
      </c>
      <c r="H247" s="177">
        <f t="shared" si="33"/>
        <v>0</v>
      </c>
      <c r="I247" s="177">
        <f t="shared" si="34"/>
        <v>0</v>
      </c>
      <c r="J247" s="177">
        <f t="shared" si="30"/>
        <v>0</v>
      </c>
      <c r="K247" s="177">
        <f>SUM($I$17:$I247)</f>
        <v>1804594.2884207652</v>
      </c>
      <c r="L247" s="179"/>
      <c r="M247" s="179"/>
    </row>
    <row r="248" spans="1:13" s="180" customFormat="1" ht="12.75">
      <c r="A248" s="192">
        <f t="shared" si="31"/>
        <v>232</v>
      </c>
      <c r="B248" s="175"/>
      <c r="C248" s="176">
        <f t="shared" si="27"/>
        <v>51775</v>
      </c>
      <c r="D248" s="177">
        <f t="shared" si="32"/>
        <v>0</v>
      </c>
      <c r="E248" s="177">
        <f t="shared" si="35"/>
        <v>53274.285736839716</v>
      </c>
      <c r="F248" s="178">
        <f t="shared" si="28"/>
        <v>0</v>
      </c>
      <c r="G248" s="177">
        <f t="shared" si="29"/>
        <v>0</v>
      </c>
      <c r="H248" s="177">
        <f t="shared" si="33"/>
        <v>0</v>
      </c>
      <c r="I248" s="177">
        <f t="shared" si="34"/>
        <v>0</v>
      </c>
      <c r="J248" s="177">
        <f t="shared" si="30"/>
        <v>0</v>
      </c>
      <c r="K248" s="177">
        <f>SUM($I$17:$I248)</f>
        <v>1804594.2884207652</v>
      </c>
      <c r="L248" s="179"/>
      <c r="M248" s="179"/>
    </row>
    <row r="249" spans="1:13" s="180" customFormat="1" ht="12.75">
      <c r="A249" s="192">
        <f t="shared" si="31"/>
        <v>233</v>
      </c>
      <c r="B249" s="175"/>
      <c r="C249" s="176">
        <f t="shared" si="27"/>
        <v>51806</v>
      </c>
      <c r="D249" s="177">
        <f t="shared" si="32"/>
        <v>0</v>
      </c>
      <c r="E249" s="177">
        <f t="shared" si="35"/>
        <v>53274.285736839716</v>
      </c>
      <c r="F249" s="178">
        <f t="shared" si="28"/>
        <v>0</v>
      </c>
      <c r="G249" s="177">
        <f t="shared" si="29"/>
        <v>0</v>
      </c>
      <c r="H249" s="177">
        <f t="shared" si="33"/>
        <v>0</v>
      </c>
      <c r="I249" s="177">
        <f t="shared" si="34"/>
        <v>0</v>
      </c>
      <c r="J249" s="177">
        <f t="shared" si="30"/>
        <v>0</v>
      </c>
      <c r="K249" s="177">
        <f>SUM($I$17:$I249)</f>
        <v>1804594.2884207652</v>
      </c>
      <c r="L249" s="179"/>
      <c r="M249" s="179"/>
    </row>
    <row r="250" spans="1:13" s="180" customFormat="1" ht="12.75">
      <c r="A250" s="192">
        <f t="shared" si="31"/>
        <v>234</v>
      </c>
      <c r="B250" s="175"/>
      <c r="C250" s="176">
        <f t="shared" si="27"/>
        <v>51836</v>
      </c>
      <c r="D250" s="177">
        <f t="shared" si="32"/>
        <v>0</v>
      </c>
      <c r="E250" s="177">
        <f t="shared" si="35"/>
        <v>53274.285736839716</v>
      </c>
      <c r="F250" s="178">
        <f t="shared" si="28"/>
        <v>0</v>
      </c>
      <c r="G250" s="177">
        <f t="shared" si="29"/>
        <v>0</v>
      </c>
      <c r="H250" s="177">
        <f t="shared" si="33"/>
        <v>0</v>
      </c>
      <c r="I250" s="177">
        <f t="shared" si="34"/>
        <v>0</v>
      </c>
      <c r="J250" s="177">
        <f t="shared" si="30"/>
        <v>0</v>
      </c>
      <c r="K250" s="177">
        <f>SUM($I$17:$I250)</f>
        <v>1804594.2884207652</v>
      </c>
      <c r="L250" s="179"/>
      <c r="M250" s="179"/>
    </row>
    <row r="251" spans="1:13" s="180" customFormat="1" ht="12.75">
      <c r="A251" s="192">
        <f t="shared" si="31"/>
        <v>235</v>
      </c>
      <c r="B251" s="175"/>
      <c r="C251" s="176">
        <f t="shared" si="27"/>
        <v>51867</v>
      </c>
      <c r="D251" s="177">
        <f t="shared" si="32"/>
        <v>0</v>
      </c>
      <c r="E251" s="177">
        <f t="shared" si="35"/>
        <v>53274.285736839716</v>
      </c>
      <c r="F251" s="178">
        <f t="shared" si="28"/>
        <v>0</v>
      </c>
      <c r="G251" s="177">
        <f t="shared" si="29"/>
        <v>0</v>
      </c>
      <c r="H251" s="177">
        <f t="shared" si="33"/>
        <v>0</v>
      </c>
      <c r="I251" s="177">
        <f t="shared" si="34"/>
        <v>0</v>
      </c>
      <c r="J251" s="177">
        <f t="shared" si="30"/>
        <v>0</v>
      </c>
      <c r="K251" s="177">
        <f>SUM($I$17:$I251)</f>
        <v>1804594.2884207652</v>
      </c>
      <c r="L251" s="179"/>
      <c r="M251" s="179"/>
    </row>
    <row r="252" spans="1:13" s="180" customFormat="1" ht="12.75">
      <c r="A252" s="192">
        <f t="shared" si="31"/>
        <v>236</v>
      </c>
      <c r="B252" s="175"/>
      <c r="C252" s="176">
        <f t="shared" si="27"/>
        <v>51898</v>
      </c>
      <c r="D252" s="177">
        <f t="shared" si="32"/>
        <v>0</v>
      </c>
      <c r="E252" s="177">
        <f t="shared" si="35"/>
        <v>53274.285736839716</v>
      </c>
      <c r="F252" s="178">
        <f t="shared" si="28"/>
        <v>0</v>
      </c>
      <c r="G252" s="177">
        <f t="shared" si="29"/>
        <v>0</v>
      </c>
      <c r="H252" s="177">
        <f t="shared" si="33"/>
        <v>0</v>
      </c>
      <c r="I252" s="177">
        <f t="shared" si="34"/>
        <v>0</v>
      </c>
      <c r="J252" s="177">
        <f t="shared" si="30"/>
        <v>0</v>
      </c>
      <c r="K252" s="177">
        <f>SUM($I$17:$I252)</f>
        <v>1804594.2884207652</v>
      </c>
      <c r="L252" s="179"/>
      <c r="M252" s="179"/>
    </row>
    <row r="253" spans="1:13" s="180" customFormat="1" ht="12.75">
      <c r="A253" s="192">
        <f t="shared" si="31"/>
        <v>237</v>
      </c>
      <c r="B253" s="175"/>
      <c r="C253" s="176">
        <f t="shared" si="27"/>
        <v>51926</v>
      </c>
      <c r="D253" s="177">
        <f t="shared" si="32"/>
        <v>0</v>
      </c>
      <c r="E253" s="177">
        <f t="shared" si="35"/>
        <v>53274.285736839716</v>
      </c>
      <c r="F253" s="178">
        <f t="shared" si="28"/>
        <v>0</v>
      </c>
      <c r="G253" s="177">
        <f t="shared" si="29"/>
        <v>0</v>
      </c>
      <c r="H253" s="177">
        <f t="shared" si="33"/>
        <v>0</v>
      </c>
      <c r="I253" s="177">
        <f t="shared" si="34"/>
        <v>0</v>
      </c>
      <c r="J253" s="177">
        <f t="shared" si="30"/>
        <v>0</v>
      </c>
      <c r="K253" s="177">
        <f>SUM($I$17:$I253)</f>
        <v>1804594.2884207652</v>
      </c>
      <c r="L253" s="179"/>
      <c r="M253" s="179"/>
    </row>
    <row r="254" spans="1:13" s="180" customFormat="1" ht="12.75">
      <c r="A254" s="192">
        <f t="shared" si="31"/>
        <v>238</v>
      </c>
      <c r="B254" s="175"/>
      <c r="C254" s="176">
        <f t="shared" si="27"/>
        <v>51957</v>
      </c>
      <c r="D254" s="177">
        <f t="shared" si="32"/>
        <v>0</v>
      </c>
      <c r="E254" s="177">
        <f t="shared" si="35"/>
        <v>53274.285736839716</v>
      </c>
      <c r="F254" s="178">
        <f t="shared" si="28"/>
        <v>0</v>
      </c>
      <c r="G254" s="177">
        <f t="shared" si="29"/>
        <v>0</v>
      </c>
      <c r="H254" s="177">
        <f t="shared" si="33"/>
        <v>0</v>
      </c>
      <c r="I254" s="177">
        <f t="shared" si="34"/>
        <v>0</v>
      </c>
      <c r="J254" s="177">
        <f t="shared" si="30"/>
        <v>0</v>
      </c>
      <c r="K254" s="177">
        <f>SUM($I$17:$I254)</f>
        <v>1804594.2884207652</v>
      </c>
      <c r="L254" s="179"/>
      <c r="M254" s="179"/>
    </row>
    <row r="255" spans="1:13" s="180" customFormat="1" ht="12.75">
      <c r="A255" s="192">
        <f t="shared" si="31"/>
        <v>239</v>
      </c>
      <c r="B255" s="175"/>
      <c r="C255" s="176">
        <f t="shared" si="27"/>
        <v>51987</v>
      </c>
      <c r="D255" s="177">
        <f t="shared" si="32"/>
        <v>0</v>
      </c>
      <c r="E255" s="177">
        <f t="shared" si="35"/>
        <v>53274.285736839716</v>
      </c>
      <c r="F255" s="178">
        <f t="shared" si="28"/>
        <v>0</v>
      </c>
      <c r="G255" s="177">
        <f t="shared" si="29"/>
        <v>0</v>
      </c>
      <c r="H255" s="177">
        <f t="shared" si="33"/>
        <v>0</v>
      </c>
      <c r="I255" s="177">
        <f t="shared" si="34"/>
        <v>0</v>
      </c>
      <c r="J255" s="177">
        <f t="shared" si="30"/>
        <v>0</v>
      </c>
      <c r="K255" s="177">
        <f>SUM($I$17:$I255)</f>
        <v>1804594.2884207652</v>
      </c>
      <c r="L255" s="179"/>
      <c r="M255" s="179"/>
    </row>
    <row r="256" spans="1:13" s="180" customFormat="1" ht="12.75">
      <c r="A256" s="192">
        <f t="shared" si="31"/>
        <v>240</v>
      </c>
      <c r="B256" s="175"/>
      <c r="C256" s="176">
        <f t="shared" si="27"/>
        <v>52018</v>
      </c>
      <c r="D256" s="177">
        <f t="shared" si="32"/>
        <v>0</v>
      </c>
      <c r="E256" s="177">
        <f t="shared" si="35"/>
        <v>53274.285736839716</v>
      </c>
      <c r="F256" s="178">
        <f t="shared" si="28"/>
        <v>0</v>
      </c>
      <c r="G256" s="177">
        <f t="shared" si="29"/>
        <v>0</v>
      </c>
      <c r="H256" s="177">
        <f t="shared" si="33"/>
        <v>0</v>
      </c>
      <c r="I256" s="177">
        <f t="shared" si="34"/>
        <v>0</v>
      </c>
      <c r="J256" s="177">
        <f t="shared" si="30"/>
        <v>0</v>
      </c>
      <c r="K256" s="177">
        <f>SUM($I$17:$I256)</f>
        <v>1804594.2884207652</v>
      </c>
      <c r="L256" s="179"/>
      <c r="M256" s="179"/>
    </row>
    <row r="257" spans="1:13" s="180" customFormat="1" ht="12.75">
      <c r="A257" s="192">
        <f t="shared" si="31"/>
        <v>241</v>
      </c>
      <c r="B257" s="175"/>
      <c r="C257" s="176">
        <f t="shared" si="27"/>
        <v>52048</v>
      </c>
      <c r="D257" s="177">
        <f t="shared" si="32"/>
        <v>0</v>
      </c>
      <c r="E257" s="177">
        <f t="shared" si="35"/>
        <v>53274.285736839716</v>
      </c>
      <c r="F257" s="178">
        <f t="shared" si="28"/>
        <v>0</v>
      </c>
      <c r="G257" s="177">
        <f t="shared" si="29"/>
        <v>0</v>
      </c>
      <c r="H257" s="177">
        <f t="shared" si="33"/>
        <v>0</v>
      </c>
      <c r="I257" s="177">
        <f t="shared" si="34"/>
        <v>0</v>
      </c>
      <c r="J257" s="177">
        <f t="shared" si="30"/>
        <v>0</v>
      </c>
      <c r="K257" s="177">
        <f>SUM($I$17:$I257)</f>
        <v>1804594.2884207652</v>
      </c>
      <c r="L257" s="179"/>
      <c r="M257" s="179"/>
    </row>
    <row r="258" spans="1:13" s="180" customFormat="1" ht="12.75">
      <c r="A258" s="192">
        <f t="shared" si="31"/>
        <v>242</v>
      </c>
      <c r="B258" s="175"/>
      <c r="C258" s="176">
        <f t="shared" si="27"/>
        <v>52079</v>
      </c>
      <c r="D258" s="177">
        <f t="shared" si="32"/>
        <v>0</v>
      </c>
      <c r="E258" s="177">
        <f t="shared" si="35"/>
        <v>53274.285736839716</v>
      </c>
      <c r="F258" s="178">
        <f t="shared" si="28"/>
        <v>0</v>
      </c>
      <c r="G258" s="177">
        <f t="shared" si="29"/>
        <v>0</v>
      </c>
      <c r="H258" s="177">
        <f t="shared" si="33"/>
        <v>0</v>
      </c>
      <c r="I258" s="177">
        <f t="shared" si="34"/>
        <v>0</v>
      </c>
      <c r="J258" s="177">
        <f t="shared" si="30"/>
        <v>0</v>
      </c>
      <c r="K258" s="177">
        <f>SUM($I$17:$I258)</f>
        <v>1804594.2884207652</v>
      </c>
      <c r="L258" s="179"/>
      <c r="M258" s="179"/>
    </row>
    <row r="259" spans="1:13" s="180" customFormat="1" ht="12.75">
      <c r="A259" s="192">
        <f t="shared" si="31"/>
        <v>243</v>
      </c>
      <c r="B259" s="175"/>
      <c r="C259" s="176">
        <f t="shared" si="27"/>
        <v>52110</v>
      </c>
      <c r="D259" s="177">
        <f t="shared" si="32"/>
        <v>0</v>
      </c>
      <c r="E259" s="177">
        <f t="shared" si="35"/>
        <v>53274.285736839716</v>
      </c>
      <c r="F259" s="178">
        <f t="shared" si="28"/>
        <v>0</v>
      </c>
      <c r="G259" s="177">
        <f t="shared" si="29"/>
        <v>0</v>
      </c>
      <c r="H259" s="177">
        <f t="shared" si="33"/>
        <v>0</v>
      </c>
      <c r="I259" s="177">
        <f t="shared" si="34"/>
        <v>0</v>
      </c>
      <c r="J259" s="177">
        <f t="shared" si="30"/>
        <v>0</v>
      </c>
      <c r="K259" s="177">
        <f>SUM($I$17:$I259)</f>
        <v>1804594.2884207652</v>
      </c>
      <c r="L259" s="179"/>
      <c r="M259" s="179"/>
    </row>
    <row r="260" spans="1:13" s="180" customFormat="1" ht="12.75">
      <c r="A260" s="192">
        <f t="shared" si="31"/>
        <v>244</v>
      </c>
      <c r="B260" s="175"/>
      <c r="C260" s="176">
        <f t="shared" si="27"/>
        <v>52140</v>
      </c>
      <c r="D260" s="177">
        <f t="shared" si="32"/>
        <v>0</v>
      </c>
      <c r="E260" s="177">
        <f t="shared" si="35"/>
        <v>53274.285736839716</v>
      </c>
      <c r="F260" s="178">
        <f t="shared" si="28"/>
        <v>0</v>
      </c>
      <c r="G260" s="177">
        <f t="shared" si="29"/>
        <v>0</v>
      </c>
      <c r="H260" s="177">
        <f t="shared" si="33"/>
        <v>0</v>
      </c>
      <c r="I260" s="177">
        <f t="shared" si="34"/>
        <v>0</v>
      </c>
      <c r="J260" s="177">
        <f t="shared" si="30"/>
        <v>0</v>
      </c>
      <c r="K260" s="177">
        <f>SUM($I$17:$I260)</f>
        <v>1804594.2884207652</v>
      </c>
      <c r="L260" s="179"/>
      <c r="M260" s="179"/>
    </row>
    <row r="261" spans="1:13" s="180" customFormat="1" ht="12.75">
      <c r="A261" s="192">
        <f t="shared" si="31"/>
        <v>245</v>
      </c>
      <c r="B261" s="175"/>
      <c r="C261" s="176">
        <f t="shared" si="27"/>
        <v>52171</v>
      </c>
      <c r="D261" s="177">
        <f t="shared" si="32"/>
        <v>0</v>
      </c>
      <c r="E261" s="177">
        <f t="shared" si="35"/>
        <v>53274.285736839716</v>
      </c>
      <c r="F261" s="178">
        <f t="shared" si="28"/>
        <v>0</v>
      </c>
      <c r="G261" s="177">
        <f t="shared" si="29"/>
        <v>0</v>
      </c>
      <c r="H261" s="177">
        <f t="shared" si="33"/>
        <v>0</v>
      </c>
      <c r="I261" s="177">
        <f t="shared" si="34"/>
        <v>0</v>
      </c>
      <c r="J261" s="177">
        <f t="shared" si="30"/>
        <v>0</v>
      </c>
      <c r="K261" s="177">
        <f>SUM($I$17:$I261)</f>
        <v>1804594.2884207652</v>
      </c>
      <c r="L261" s="179"/>
      <c r="M261" s="179"/>
    </row>
    <row r="262" spans="1:13" s="180" customFormat="1" ht="12.75">
      <c r="A262" s="192">
        <f t="shared" si="31"/>
        <v>246</v>
      </c>
      <c r="B262" s="175"/>
      <c r="C262" s="176">
        <f t="shared" si="27"/>
        <v>52201</v>
      </c>
      <c r="D262" s="177">
        <f t="shared" si="32"/>
        <v>0</v>
      </c>
      <c r="E262" s="177">
        <f t="shared" si="35"/>
        <v>53274.285736839716</v>
      </c>
      <c r="F262" s="178">
        <f t="shared" si="28"/>
        <v>0</v>
      </c>
      <c r="G262" s="177">
        <f t="shared" si="29"/>
        <v>0</v>
      </c>
      <c r="H262" s="177">
        <f t="shared" si="33"/>
        <v>0</v>
      </c>
      <c r="I262" s="177">
        <f t="shared" si="34"/>
        <v>0</v>
      </c>
      <c r="J262" s="177">
        <f t="shared" si="30"/>
        <v>0</v>
      </c>
      <c r="K262" s="177">
        <f>SUM($I$17:$I262)</f>
        <v>1804594.2884207652</v>
      </c>
      <c r="L262" s="179"/>
      <c r="M262" s="179"/>
    </row>
    <row r="263" spans="1:13" s="180" customFormat="1" ht="12.75">
      <c r="A263" s="192">
        <f t="shared" si="31"/>
        <v>247</v>
      </c>
      <c r="B263" s="175"/>
      <c r="C263" s="176">
        <f t="shared" si="27"/>
        <v>52232</v>
      </c>
      <c r="D263" s="177">
        <f t="shared" si="32"/>
        <v>0</v>
      </c>
      <c r="E263" s="177">
        <f t="shared" si="35"/>
        <v>53274.285736839716</v>
      </c>
      <c r="F263" s="178">
        <f t="shared" si="28"/>
        <v>0</v>
      </c>
      <c r="G263" s="177">
        <f t="shared" si="29"/>
        <v>0</v>
      </c>
      <c r="H263" s="177">
        <f t="shared" si="33"/>
        <v>0</v>
      </c>
      <c r="I263" s="177">
        <f t="shared" si="34"/>
        <v>0</v>
      </c>
      <c r="J263" s="177">
        <f t="shared" si="30"/>
        <v>0</v>
      </c>
      <c r="K263" s="177">
        <f>SUM($I$17:$I263)</f>
        <v>1804594.2884207652</v>
      </c>
      <c r="L263" s="179"/>
      <c r="M263" s="179"/>
    </row>
    <row r="264" spans="1:13" s="180" customFormat="1" ht="12.75">
      <c r="A264" s="192">
        <f t="shared" si="31"/>
        <v>248</v>
      </c>
      <c r="B264" s="175"/>
      <c r="C264" s="176">
        <f t="shared" si="27"/>
        <v>52263</v>
      </c>
      <c r="D264" s="177">
        <f t="shared" si="32"/>
        <v>0</v>
      </c>
      <c r="E264" s="177">
        <f t="shared" si="35"/>
        <v>53274.285736839716</v>
      </c>
      <c r="F264" s="178">
        <f t="shared" si="28"/>
        <v>0</v>
      </c>
      <c r="G264" s="177">
        <f t="shared" si="29"/>
        <v>0</v>
      </c>
      <c r="H264" s="177">
        <f t="shared" si="33"/>
        <v>0</v>
      </c>
      <c r="I264" s="177">
        <f t="shared" si="34"/>
        <v>0</v>
      </c>
      <c r="J264" s="177">
        <f t="shared" si="30"/>
        <v>0</v>
      </c>
      <c r="K264" s="177">
        <f>SUM($I$17:$I264)</f>
        <v>1804594.2884207652</v>
      </c>
      <c r="L264" s="179"/>
      <c r="M264" s="179"/>
    </row>
    <row r="265" spans="1:13" s="180" customFormat="1" ht="12.75">
      <c r="A265" s="192">
        <f t="shared" si="31"/>
        <v>249</v>
      </c>
      <c r="B265" s="175"/>
      <c r="C265" s="176">
        <f t="shared" si="27"/>
        <v>52291</v>
      </c>
      <c r="D265" s="177">
        <f t="shared" si="32"/>
        <v>0</v>
      </c>
      <c r="E265" s="177">
        <f t="shared" si="35"/>
        <v>53274.285736839716</v>
      </c>
      <c r="F265" s="178">
        <f t="shared" si="28"/>
        <v>0</v>
      </c>
      <c r="G265" s="177">
        <f t="shared" si="29"/>
        <v>0</v>
      </c>
      <c r="H265" s="177">
        <f t="shared" si="33"/>
        <v>0</v>
      </c>
      <c r="I265" s="177">
        <f t="shared" si="34"/>
        <v>0</v>
      </c>
      <c r="J265" s="177">
        <f t="shared" si="30"/>
        <v>0</v>
      </c>
      <c r="K265" s="177">
        <f>SUM($I$17:$I265)</f>
        <v>1804594.2884207652</v>
      </c>
      <c r="L265" s="179"/>
      <c r="M265" s="179"/>
    </row>
    <row r="266" spans="1:13" s="180" customFormat="1" ht="12.75">
      <c r="A266" s="192">
        <f t="shared" si="31"/>
        <v>250</v>
      </c>
      <c r="B266" s="175"/>
      <c r="C266" s="176">
        <f t="shared" si="27"/>
        <v>52322</v>
      </c>
      <c r="D266" s="177">
        <f t="shared" si="32"/>
        <v>0</v>
      </c>
      <c r="E266" s="177">
        <f t="shared" si="35"/>
        <v>53274.285736839716</v>
      </c>
      <c r="F266" s="178">
        <f t="shared" si="28"/>
        <v>0</v>
      </c>
      <c r="G266" s="177">
        <f t="shared" si="29"/>
        <v>0</v>
      </c>
      <c r="H266" s="177">
        <f t="shared" si="33"/>
        <v>0</v>
      </c>
      <c r="I266" s="177">
        <f t="shared" si="34"/>
        <v>0</v>
      </c>
      <c r="J266" s="177">
        <f t="shared" si="30"/>
        <v>0</v>
      </c>
      <c r="K266" s="177">
        <f>SUM($I$17:$I266)</f>
        <v>1804594.2884207652</v>
      </c>
      <c r="L266" s="179"/>
      <c r="M266" s="179"/>
    </row>
    <row r="267" spans="1:13" s="180" customFormat="1" ht="12.75">
      <c r="A267" s="192">
        <f t="shared" si="31"/>
        <v>251</v>
      </c>
      <c r="B267" s="175"/>
      <c r="C267" s="176">
        <f t="shared" si="27"/>
        <v>52352</v>
      </c>
      <c r="D267" s="177">
        <f t="shared" si="32"/>
        <v>0</v>
      </c>
      <c r="E267" s="177">
        <f t="shared" si="35"/>
        <v>53274.285736839716</v>
      </c>
      <c r="F267" s="178">
        <f t="shared" si="28"/>
        <v>0</v>
      </c>
      <c r="G267" s="177">
        <f t="shared" si="29"/>
        <v>0</v>
      </c>
      <c r="H267" s="177">
        <f t="shared" si="33"/>
        <v>0</v>
      </c>
      <c r="I267" s="177">
        <f t="shared" si="34"/>
        <v>0</v>
      </c>
      <c r="J267" s="177">
        <f t="shared" si="30"/>
        <v>0</v>
      </c>
      <c r="K267" s="177">
        <f>SUM($I$17:$I267)</f>
        <v>1804594.2884207652</v>
      </c>
      <c r="L267" s="179"/>
      <c r="M267" s="179"/>
    </row>
    <row r="268" spans="1:13" s="180" customFormat="1" ht="12.75">
      <c r="A268" s="192">
        <f t="shared" si="31"/>
        <v>252</v>
      </c>
      <c r="B268" s="175"/>
      <c r="C268" s="176">
        <f t="shared" si="27"/>
        <v>52383</v>
      </c>
      <c r="D268" s="177">
        <f t="shared" si="32"/>
        <v>0</v>
      </c>
      <c r="E268" s="177">
        <f t="shared" si="35"/>
        <v>53274.285736839716</v>
      </c>
      <c r="F268" s="178">
        <f t="shared" si="28"/>
        <v>0</v>
      </c>
      <c r="G268" s="177">
        <f t="shared" si="29"/>
        <v>0</v>
      </c>
      <c r="H268" s="177">
        <f t="shared" si="33"/>
        <v>0</v>
      </c>
      <c r="I268" s="177">
        <f t="shared" si="34"/>
        <v>0</v>
      </c>
      <c r="J268" s="177">
        <f t="shared" si="30"/>
        <v>0</v>
      </c>
      <c r="K268" s="177">
        <f>SUM($I$17:$I268)</f>
        <v>1804594.2884207652</v>
      </c>
      <c r="L268" s="179"/>
      <c r="M268" s="179"/>
    </row>
    <row r="269" spans="1:13" s="180" customFormat="1" ht="12.75">
      <c r="A269" s="192">
        <f t="shared" si="31"/>
        <v>253</v>
      </c>
      <c r="B269" s="175"/>
      <c r="C269" s="176">
        <f t="shared" si="27"/>
        <v>52413</v>
      </c>
      <c r="D269" s="177">
        <f t="shared" si="32"/>
        <v>0</v>
      </c>
      <c r="E269" s="177">
        <f t="shared" si="35"/>
        <v>53274.285736839716</v>
      </c>
      <c r="F269" s="178">
        <f t="shared" si="28"/>
        <v>0</v>
      </c>
      <c r="G269" s="177">
        <f t="shared" si="29"/>
        <v>0</v>
      </c>
      <c r="H269" s="177">
        <f t="shared" si="33"/>
        <v>0</v>
      </c>
      <c r="I269" s="177">
        <f t="shared" si="34"/>
        <v>0</v>
      </c>
      <c r="J269" s="177">
        <f t="shared" si="30"/>
        <v>0</v>
      </c>
      <c r="K269" s="177">
        <f>SUM($I$17:$I269)</f>
        <v>1804594.2884207652</v>
      </c>
      <c r="L269" s="179"/>
      <c r="M269" s="179"/>
    </row>
    <row r="270" spans="1:13" s="180" customFormat="1" ht="12.75">
      <c r="A270" s="192">
        <f t="shared" si="31"/>
        <v>254</v>
      </c>
      <c r="B270" s="175"/>
      <c r="C270" s="176">
        <f t="shared" si="27"/>
        <v>52444</v>
      </c>
      <c r="D270" s="177">
        <f t="shared" si="32"/>
        <v>0</v>
      </c>
      <c r="E270" s="177">
        <f t="shared" si="35"/>
        <v>53274.285736839716</v>
      </c>
      <c r="F270" s="178">
        <f t="shared" si="28"/>
        <v>0</v>
      </c>
      <c r="G270" s="177">
        <f t="shared" si="29"/>
        <v>0</v>
      </c>
      <c r="H270" s="177">
        <f t="shared" si="33"/>
        <v>0</v>
      </c>
      <c r="I270" s="177">
        <f t="shared" si="34"/>
        <v>0</v>
      </c>
      <c r="J270" s="177">
        <f t="shared" si="30"/>
        <v>0</v>
      </c>
      <c r="K270" s="177">
        <f>SUM($I$17:$I270)</f>
        <v>1804594.2884207652</v>
      </c>
      <c r="L270" s="179"/>
      <c r="M270" s="179"/>
    </row>
    <row r="271" spans="1:13" s="180" customFormat="1" ht="12.75">
      <c r="A271" s="192">
        <f t="shared" si="31"/>
        <v>255</v>
      </c>
      <c r="B271" s="175"/>
      <c r="C271" s="176">
        <f t="shared" si="27"/>
        <v>52475</v>
      </c>
      <c r="D271" s="177">
        <f t="shared" si="32"/>
        <v>0</v>
      </c>
      <c r="E271" s="177">
        <f t="shared" si="35"/>
        <v>53274.285736839716</v>
      </c>
      <c r="F271" s="178">
        <f t="shared" si="28"/>
        <v>0</v>
      </c>
      <c r="G271" s="177">
        <f t="shared" si="29"/>
        <v>0</v>
      </c>
      <c r="H271" s="177">
        <f t="shared" si="33"/>
        <v>0</v>
      </c>
      <c r="I271" s="177">
        <f t="shared" si="34"/>
        <v>0</v>
      </c>
      <c r="J271" s="177">
        <f t="shared" si="30"/>
        <v>0</v>
      </c>
      <c r="K271" s="177">
        <f>SUM($I$17:$I271)</f>
        <v>1804594.2884207652</v>
      </c>
      <c r="L271" s="179"/>
      <c r="M271" s="179"/>
    </row>
    <row r="272" spans="1:13" s="180" customFormat="1" ht="12.75">
      <c r="A272" s="192">
        <f t="shared" si="31"/>
        <v>256</v>
      </c>
      <c r="B272" s="175"/>
      <c r="C272" s="176">
        <f t="shared" si="27"/>
        <v>52505</v>
      </c>
      <c r="D272" s="177">
        <f t="shared" si="32"/>
        <v>0</v>
      </c>
      <c r="E272" s="177">
        <f t="shared" si="35"/>
        <v>53274.285736839716</v>
      </c>
      <c r="F272" s="178">
        <f t="shared" si="28"/>
        <v>0</v>
      </c>
      <c r="G272" s="177">
        <f t="shared" si="29"/>
        <v>0</v>
      </c>
      <c r="H272" s="177">
        <f t="shared" si="33"/>
        <v>0</v>
      </c>
      <c r="I272" s="177">
        <f t="shared" si="34"/>
        <v>0</v>
      </c>
      <c r="J272" s="177">
        <f t="shared" si="30"/>
        <v>0</v>
      </c>
      <c r="K272" s="177">
        <f>SUM($I$17:$I272)</f>
        <v>1804594.2884207652</v>
      </c>
      <c r="L272" s="179"/>
      <c r="M272" s="179"/>
    </row>
    <row r="273" spans="1:14" s="180" customFormat="1" ht="12.75">
      <c r="A273" s="192">
        <f t="shared" si="31"/>
        <v>257</v>
      </c>
      <c r="B273" s="175"/>
      <c r="C273" s="176">
        <f t="shared" ref="C273:C336" si="36">IF(Pay_Num&lt;&gt;"",DATE(YEAR(Loan_Start),MONTH(Loan_Start)+(Pay_Num)*12/Num_Pmt_Per_Year,DAY(Loan_Start)),"")</f>
        <v>52536</v>
      </c>
      <c r="D273" s="177">
        <f t="shared" si="32"/>
        <v>0</v>
      </c>
      <c r="E273" s="177">
        <f t="shared" si="35"/>
        <v>53274.285736839716</v>
      </c>
      <c r="F273" s="178">
        <f t="shared" ref="F273:F336" si="37">IF(AND(Pay_Num&lt;&gt;"",Sched_Pay+Scheduled_Extra_Payments&lt;Beg_Bal),Scheduled_Extra_Payments,IF(AND(Pay_Num&lt;&gt;"",Beg_Bal-Sched_Pay&gt;0),Beg_Bal-Sched_Pay,IF(Pay_Num&lt;&gt;"",0,"")))</f>
        <v>0</v>
      </c>
      <c r="G273" s="177">
        <f t="shared" ref="G273:G336" si="38">IF(AND(Pay_Num&lt;&gt;"",Sched_Pay+Extra_Pay&lt;Beg_Bal),Sched_Pay+Extra_Pay,IF(Pay_Num&lt;&gt;"",Beg_Bal,""))</f>
        <v>0</v>
      </c>
      <c r="H273" s="177">
        <f t="shared" si="33"/>
        <v>0</v>
      </c>
      <c r="I273" s="177">
        <f t="shared" si="34"/>
        <v>0</v>
      </c>
      <c r="J273" s="177">
        <f t="shared" ref="J273:J336" si="39">IF(AND(Pay_Num&lt;&gt;"",Sched_Pay+Extra_Pay&lt;Beg_Bal),Beg_Bal-Princ,IF(Pay_Num&lt;&gt;"",0,""))</f>
        <v>0</v>
      </c>
      <c r="K273" s="177">
        <f>SUM($I$17:$I273)</f>
        <v>1804594.2884207652</v>
      </c>
      <c r="L273" s="179"/>
      <c r="M273" s="179"/>
    </row>
    <row r="274" spans="1:14" s="180" customFormat="1" ht="12.75">
      <c r="A274" s="192">
        <f t="shared" ref="A274:A337" si="40">IF(Values_Entered,A273+1,"")</f>
        <v>258</v>
      </c>
      <c r="B274" s="175"/>
      <c r="C274" s="176">
        <f t="shared" si="36"/>
        <v>52566</v>
      </c>
      <c r="D274" s="177">
        <f t="shared" ref="D274:D337" si="41">IF(Pay_Num&lt;&gt;"",J273,"")</f>
        <v>0</v>
      </c>
      <c r="E274" s="177">
        <f t="shared" si="35"/>
        <v>53274.285736839716</v>
      </c>
      <c r="F274" s="178">
        <f t="shared" si="37"/>
        <v>0</v>
      </c>
      <c r="G274" s="177">
        <f t="shared" si="38"/>
        <v>0</v>
      </c>
      <c r="H274" s="177">
        <f t="shared" ref="H274:H337" si="42">IF(Pay_Num&lt;&gt;"",Total_Pay-Int,"")</f>
        <v>0</v>
      </c>
      <c r="I274" s="177">
        <f t="shared" ref="I274:I337" si="43">IF(Pay_Num&lt;&gt;"",Beg_Bal*Interest_Rate/Num_Pmt_Per_Year,"")</f>
        <v>0</v>
      </c>
      <c r="J274" s="177">
        <f t="shared" si="39"/>
        <v>0</v>
      </c>
      <c r="K274" s="177">
        <f>SUM($I$17:$I274)</f>
        <v>1804594.2884207652</v>
      </c>
      <c r="L274" s="179"/>
      <c r="M274" s="179"/>
    </row>
    <row r="275" spans="1:14" s="180" customFormat="1" ht="12.75">
      <c r="A275" s="192">
        <f t="shared" si="40"/>
        <v>259</v>
      </c>
      <c r="B275" s="175"/>
      <c r="C275" s="176">
        <f t="shared" si="36"/>
        <v>52597</v>
      </c>
      <c r="D275" s="177">
        <f t="shared" si="41"/>
        <v>0</v>
      </c>
      <c r="E275" s="177">
        <f t="shared" ref="E275:E338" si="44">IF(Pay_Num&lt;&gt;"",Scheduled_Monthly_Payment,"")</f>
        <v>53274.285736839716</v>
      </c>
      <c r="F275" s="178">
        <f t="shared" si="37"/>
        <v>0</v>
      </c>
      <c r="G275" s="177">
        <f t="shared" si="38"/>
        <v>0</v>
      </c>
      <c r="H275" s="177">
        <f t="shared" si="42"/>
        <v>0</v>
      </c>
      <c r="I275" s="177">
        <f t="shared" si="43"/>
        <v>0</v>
      </c>
      <c r="J275" s="177">
        <f t="shared" si="39"/>
        <v>0</v>
      </c>
      <c r="K275" s="177">
        <f>SUM($I$17:$I275)</f>
        <v>1804594.2884207652</v>
      </c>
      <c r="L275" s="179"/>
      <c r="M275" s="179"/>
    </row>
    <row r="276" spans="1:14" s="180" customFormat="1" ht="12.75">
      <c r="A276" s="192">
        <f t="shared" si="40"/>
        <v>260</v>
      </c>
      <c r="B276" s="175"/>
      <c r="C276" s="176">
        <f t="shared" si="36"/>
        <v>52628</v>
      </c>
      <c r="D276" s="177">
        <f t="shared" si="41"/>
        <v>0</v>
      </c>
      <c r="E276" s="177">
        <f t="shared" si="44"/>
        <v>53274.285736839716</v>
      </c>
      <c r="F276" s="178">
        <f t="shared" si="37"/>
        <v>0</v>
      </c>
      <c r="G276" s="177">
        <f t="shared" si="38"/>
        <v>0</v>
      </c>
      <c r="H276" s="177">
        <f t="shared" si="42"/>
        <v>0</v>
      </c>
      <c r="I276" s="177">
        <f t="shared" si="43"/>
        <v>0</v>
      </c>
      <c r="J276" s="177">
        <f t="shared" si="39"/>
        <v>0</v>
      </c>
      <c r="K276" s="177">
        <f>SUM($I$17:$I276)</f>
        <v>1804594.2884207652</v>
      </c>
      <c r="L276" s="179"/>
      <c r="M276" s="179"/>
    </row>
    <row r="277" spans="1:14" s="180" customFormat="1" ht="12.75">
      <c r="A277" s="192">
        <f t="shared" si="40"/>
        <v>261</v>
      </c>
      <c r="B277" s="175"/>
      <c r="C277" s="176">
        <f t="shared" si="36"/>
        <v>52657</v>
      </c>
      <c r="D277" s="177">
        <f t="shared" si="41"/>
        <v>0</v>
      </c>
      <c r="E277" s="177">
        <f t="shared" si="44"/>
        <v>53274.285736839716</v>
      </c>
      <c r="F277" s="178">
        <f t="shared" si="37"/>
        <v>0</v>
      </c>
      <c r="G277" s="177">
        <f t="shared" si="38"/>
        <v>0</v>
      </c>
      <c r="H277" s="177">
        <f t="shared" si="42"/>
        <v>0</v>
      </c>
      <c r="I277" s="177">
        <f t="shared" si="43"/>
        <v>0</v>
      </c>
      <c r="J277" s="177">
        <f t="shared" si="39"/>
        <v>0</v>
      </c>
      <c r="K277" s="177">
        <f>SUM($I$17:$I277)</f>
        <v>1804594.2884207652</v>
      </c>
      <c r="L277" s="179"/>
      <c r="M277" s="179"/>
    </row>
    <row r="278" spans="1:14" s="180" customFormat="1" ht="12.75">
      <c r="A278" s="192">
        <f t="shared" si="40"/>
        <v>262</v>
      </c>
      <c r="B278" s="175"/>
      <c r="C278" s="176">
        <f t="shared" si="36"/>
        <v>52688</v>
      </c>
      <c r="D278" s="177">
        <f t="shared" si="41"/>
        <v>0</v>
      </c>
      <c r="E278" s="177">
        <f t="shared" si="44"/>
        <v>53274.285736839716</v>
      </c>
      <c r="F278" s="178">
        <f t="shared" si="37"/>
        <v>0</v>
      </c>
      <c r="G278" s="177">
        <f t="shared" si="38"/>
        <v>0</v>
      </c>
      <c r="H278" s="177">
        <f t="shared" si="42"/>
        <v>0</v>
      </c>
      <c r="I278" s="177">
        <f t="shared" si="43"/>
        <v>0</v>
      </c>
      <c r="J278" s="177">
        <f t="shared" si="39"/>
        <v>0</v>
      </c>
      <c r="K278" s="177">
        <f>SUM($I$17:$I278)</f>
        <v>1804594.2884207652</v>
      </c>
      <c r="L278" s="179"/>
      <c r="M278" s="179"/>
    </row>
    <row r="279" spans="1:14" s="180" customFormat="1" ht="12.75">
      <c r="A279" s="192">
        <f t="shared" si="40"/>
        <v>263</v>
      </c>
      <c r="B279" s="175"/>
      <c r="C279" s="176">
        <f t="shared" si="36"/>
        <v>52718</v>
      </c>
      <c r="D279" s="177">
        <f t="shared" si="41"/>
        <v>0</v>
      </c>
      <c r="E279" s="177">
        <f t="shared" si="44"/>
        <v>53274.285736839716</v>
      </c>
      <c r="F279" s="178">
        <f t="shared" si="37"/>
        <v>0</v>
      </c>
      <c r="G279" s="177">
        <f t="shared" si="38"/>
        <v>0</v>
      </c>
      <c r="H279" s="177">
        <f t="shared" si="42"/>
        <v>0</v>
      </c>
      <c r="I279" s="177">
        <f t="shared" si="43"/>
        <v>0</v>
      </c>
      <c r="J279" s="177">
        <f t="shared" si="39"/>
        <v>0</v>
      </c>
      <c r="K279" s="177">
        <f>SUM($I$17:$I279)</f>
        <v>1804594.2884207652</v>
      </c>
      <c r="L279" s="179"/>
      <c r="M279" s="179"/>
    </row>
    <row r="280" spans="1:14" ht="12.75">
      <c r="A280" s="191">
        <f t="shared" si="40"/>
        <v>264</v>
      </c>
      <c r="B280" s="171"/>
      <c r="C280" s="172">
        <f t="shared" si="36"/>
        <v>52749</v>
      </c>
      <c r="D280" s="173">
        <f t="shared" si="41"/>
        <v>0</v>
      </c>
      <c r="E280" s="173">
        <f t="shared" si="44"/>
        <v>53274.285736839716</v>
      </c>
      <c r="F280" s="174">
        <f t="shared" si="37"/>
        <v>0</v>
      </c>
      <c r="G280" s="173">
        <f t="shared" si="38"/>
        <v>0</v>
      </c>
      <c r="H280" s="173">
        <f t="shared" si="42"/>
        <v>0</v>
      </c>
      <c r="I280" s="173">
        <f t="shared" si="43"/>
        <v>0</v>
      </c>
      <c r="J280" s="173">
        <f t="shared" si="39"/>
        <v>0</v>
      </c>
      <c r="K280" s="173">
        <f>SUM($I$17:$I280)</f>
        <v>1804594.2884207652</v>
      </c>
      <c r="L280" s="168"/>
      <c r="M280" s="168"/>
      <c r="N280" s="150"/>
    </row>
    <row r="281" spans="1:14" ht="12.75">
      <c r="A281" s="191">
        <f t="shared" si="40"/>
        <v>265</v>
      </c>
      <c r="B281" s="171"/>
      <c r="C281" s="172">
        <f t="shared" si="36"/>
        <v>52779</v>
      </c>
      <c r="D281" s="173">
        <f t="shared" si="41"/>
        <v>0</v>
      </c>
      <c r="E281" s="173">
        <f t="shared" si="44"/>
        <v>53274.285736839716</v>
      </c>
      <c r="F281" s="174">
        <f t="shared" si="37"/>
        <v>0</v>
      </c>
      <c r="G281" s="173">
        <f t="shared" si="38"/>
        <v>0</v>
      </c>
      <c r="H281" s="173">
        <f t="shared" si="42"/>
        <v>0</v>
      </c>
      <c r="I281" s="173">
        <f t="shared" si="43"/>
        <v>0</v>
      </c>
      <c r="J281" s="173">
        <f t="shared" si="39"/>
        <v>0</v>
      </c>
      <c r="K281" s="173">
        <f>SUM($I$17:$I281)</f>
        <v>1804594.2884207652</v>
      </c>
      <c r="L281" s="168"/>
      <c r="M281" s="168"/>
      <c r="N281" s="150"/>
    </row>
    <row r="282" spans="1:14" ht="12.75">
      <c r="A282" s="191">
        <f t="shared" si="40"/>
        <v>266</v>
      </c>
      <c r="B282" s="171"/>
      <c r="C282" s="172">
        <f t="shared" si="36"/>
        <v>52810</v>
      </c>
      <c r="D282" s="173">
        <f t="shared" si="41"/>
        <v>0</v>
      </c>
      <c r="E282" s="173">
        <f t="shared" si="44"/>
        <v>53274.285736839716</v>
      </c>
      <c r="F282" s="174">
        <f t="shared" si="37"/>
        <v>0</v>
      </c>
      <c r="G282" s="173">
        <f t="shared" si="38"/>
        <v>0</v>
      </c>
      <c r="H282" s="173">
        <f t="shared" si="42"/>
        <v>0</v>
      </c>
      <c r="I282" s="173">
        <f t="shared" si="43"/>
        <v>0</v>
      </c>
      <c r="J282" s="173">
        <f t="shared" si="39"/>
        <v>0</v>
      </c>
      <c r="K282" s="173">
        <f>SUM($I$17:$I282)</f>
        <v>1804594.2884207652</v>
      </c>
      <c r="L282" s="168"/>
      <c r="M282" s="168"/>
      <c r="N282" s="150"/>
    </row>
    <row r="283" spans="1:14" ht="12.75">
      <c r="A283" s="191">
        <f t="shared" si="40"/>
        <v>267</v>
      </c>
      <c r="B283" s="171"/>
      <c r="C283" s="172">
        <f t="shared" si="36"/>
        <v>52841</v>
      </c>
      <c r="D283" s="173">
        <f t="shared" si="41"/>
        <v>0</v>
      </c>
      <c r="E283" s="173">
        <f t="shared" si="44"/>
        <v>53274.285736839716</v>
      </c>
      <c r="F283" s="174">
        <f t="shared" si="37"/>
        <v>0</v>
      </c>
      <c r="G283" s="173">
        <f t="shared" si="38"/>
        <v>0</v>
      </c>
      <c r="H283" s="173">
        <f t="shared" si="42"/>
        <v>0</v>
      </c>
      <c r="I283" s="173">
        <f t="shared" si="43"/>
        <v>0</v>
      </c>
      <c r="J283" s="173">
        <f t="shared" si="39"/>
        <v>0</v>
      </c>
      <c r="K283" s="173">
        <f>SUM($I$17:$I283)</f>
        <v>1804594.2884207652</v>
      </c>
      <c r="L283" s="168"/>
      <c r="M283" s="168"/>
      <c r="N283" s="150"/>
    </row>
    <row r="284" spans="1:14" ht="12.75">
      <c r="A284" s="191">
        <f t="shared" si="40"/>
        <v>268</v>
      </c>
      <c r="B284" s="171"/>
      <c r="C284" s="172">
        <f t="shared" si="36"/>
        <v>52871</v>
      </c>
      <c r="D284" s="173">
        <f t="shared" si="41"/>
        <v>0</v>
      </c>
      <c r="E284" s="173">
        <f t="shared" si="44"/>
        <v>53274.285736839716</v>
      </c>
      <c r="F284" s="174">
        <f t="shared" si="37"/>
        <v>0</v>
      </c>
      <c r="G284" s="173">
        <f t="shared" si="38"/>
        <v>0</v>
      </c>
      <c r="H284" s="173">
        <f t="shared" si="42"/>
        <v>0</v>
      </c>
      <c r="I284" s="173">
        <f t="shared" si="43"/>
        <v>0</v>
      </c>
      <c r="J284" s="173">
        <f t="shared" si="39"/>
        <v>0</v>
      </c>
      <c r="K284" s="173">
        <f>SUM($I$17:$I284)</f>
        <v>1804594.2884207652</v>
      </c>
      <c r="L284" s="168"/>
      <c r="M284" s="168"/>
      <c r="N284" s="150"/>
    </row>
    <row r="285" spans="1:14" ht="12.75">
      <c r="A285" s="191">
        <f t="shared" si="40"/>
        <v>269</v>
      </c>
      <c r="B285" s="171"/>
      <c r="C285" s="172">
        <f t="shared" si="36"/>
        <v>52902</v>
      </c>
      <c r="D285" s="173">
        <f t="shared" si="41"/>
        <v>0</v>
      </c>
      <c r="E285" s="173">
        <f t="shared" si="44"/>
        <v>53274.285736839716</v>
      </c>
      <c r="F285" s="174">
        <f t="shared" si="37"/>
        <v>0</v>
      </c>
      <c r="G285" s="173">
        <f t="shared" si="38"/>
        <v>0</v>
      </c>
      <c r="H285" s="173">
        <f t="shared" si="42"/>
        <v>0</v>
      </c>
      <c r="I285" s="173">
        <f t="shared" si="43"/>
        <v>0</v>
      </c>
      <c r="J285" s="173">
        <f t="shared" si="39"/>
        <v>0</v>
      </c>
      <c r="K285" s="173">
        <f>SUM($I$17:$I285)</f>
        <v>1804594.2884207652</v>
      </c>
      <c r="L285" s="168"/>
      <c r="M285" s="168"/>
      <c r="N285" s="150"/>
    </row>
    <row r="286" spans="1:14" ht="12.75">
      <c r="A286" s="191">
        <f t="shared" si="40"/>
        <v>270</v>
      </c>
      <c r="B286" s="171"/>
      <c r="C286" s="172">
        <f t="shared" si="36"/>
        <v>52932</v>
      </c>
      <c r="D286" s="173">
        <f t="shared" si="41"/>
        <v>0</v>
      </c>
      <c r="E286" s="173">
        <f t="shared" si="44"/>
        <v>53274.285736839716</v>
      </c>
      <c r="F286" s="174">
        <f t="shared" si="37"/>
        <v>0</v>
      </c>
      <c r="G286" s="173">
        <f t="shared" si="38"/>
        <v>0</v>
      </c>
      <c r="H286" s="173">
        <f t="shared" si="42"/>
        <v>0</v>
      </c>
      <c r="I286" s="173">
        <f t="shared" si="43"/>
        <v>0</v>
      </c>
      <c r="J286" s="173">
        <f t="shared" si="39"/>
        <v>0</v>
      </c>
      <c r="K286" s="173">
        <f>SUM($I$17:$I286)</f>
        <v>1804594.2884207652</v>
      </c>
      <c r="L286" s="168"/>
      <c r="M286" s="168"/>
      <c r="N286" s="150"/>
    </row>
    <row r="287" spans="1:14" ht="12.75">
      <c r="A287" s="191">
        <f t="shared" si="40"/>
        <v>271</v>
      </c>
      <c r="B287" s="171"/>
      <c r="C287" s="172">
        <f t="shared" si="36"/>
        <v>52963</v>
      </c>
      <c r="D287" s="173">
        <f t="shared" si="41"/>
        <v>0</v>
      </c>
      <c r="E287" s="173">
        <f t="shared" si="44"/>
        <v>53274.285736839716</v>
      </c>
      <c r="F287" s="174">
        <f t="shared" si="37"/>
        <v>0</v>
      </c>
      <c r="G287" s="173">
        <f t="shared" si="38"/>
        <v>0</v>
      </c>
      <c r="H287" s="173">
        <f t="shared" si="42"/>
        <v>0</v>
      </c>
      <c r="I287" s="173">
        <f t="shared" si="43"/>
        <v>0</v>
      </c>
      <c r="J287" s="173">
        <f t="shared" si="39"/>
        <v>0</v>
      </c>
      <c r="K287" s="173">
        <f>SUM($I$17:$I287)</f>
        <v>1804594.2884207652</v>
      </c>
      <c r="L287" s="168"/>
      <c r="M287" s="168"/>
      <c r="N287" s="150"/>
    </row>
    <row r="288" spans="1:14" ht="12.75">
      <c r="A288" s="191">
        <f t="shared" si="40"/>
        <v>272</v>
      </c>
      <c r="B288" s="171"/>
      <c r="C288" s="172">
        <f t="shared" si="36"/>
        <v>52994</v>
      </c>
      <c r="D288" s="173">
        <f t="shared" si="41"/>
        <v>0</v>
      </c>
      <c r="E288" s="173">
        <f t="shared" si="44"/>
        <v>53274.285736839716</v>
      </c>
      <c r="F288" s="174">
        <f t="shared" si="37"/>
        <v>0</v>
      </c>
      <c r="G288" s="173">
        <f t="shared" si="38"/>
        <v>0</v>
      </c>
      <c r="H288" s="173">
        <f t="shared" si="42"/>
        <v>0</v>
      </c>
      <c r="I288" s="173">
        <f t="shared" si="43"/>
        <v>0</v>
      </c>
      <c r="J288" s="173">
        <f t="shared" si="39"/>
        <v>0</v>
      </c>
      <c r="K288" s="173">
        <f>SUM($I$17:$I288)</f>
        <v>1804594.2884207652</v>
      </c>
      <c r="L288" s="168"/>
      <c r="M288" s="168"/>
      <c r="N288" s="150"/>
    </row>
    <row r="289" spans="1:14" ht="12.75">
      <c r="A289" s="191">
        <f t="shared" si="40"/>
        <v>273</v>
      </c>
      <c r="B289" s="171"/>
      <c r="C289" s="172">
        <f t="shared" si="36"/>
        <v>53022</v>
      </c>
      <c r="D289" s="173">
        <f t="shared" si="41"/>
        <v>0</v>
      </c>
      <c r="E289" s="173">
        <f t="shared" si="44"/>
        <v>53274.285736839716</v>
      </c>
      <c r="F289" s="174">
        <f t="shared" si="37"/>
        <v>0</v>
      </c>
      <c r="G289" s="173">
        <f t="shared" si="38"/>
        <v>0</v>
      </c>
      <c r="H289" s="173">
        <f t="shared" si="42"/>
        <v>0</v>
      </c>
      <c r="I289" s="173">
        <f t="shared" si="43"/>
        <v>0</v>
      </c>
      <c r="J289" s="173">
        <f t="shared" si="39"/>
        <v>0</v>
      </c>
      <c r="K289" s="173">
        <f>SUM($I$17:$I289)</f>
        <v>1804594.2884207652</v>
      </c>
      <c r="L289" s="168"/>
      <c r="M289" s="168"/>
      <c r="N289" s="150"/>
    </row>
    <row r="290" spans="1:14" ht="12.75">
      <c r="A290" s="191">
        <f t="shared" si="40"/>
        <v>274</v>
      </c>
      <c r="B290" s="171"/>
      <c r="C290" s="172">
        <f t="shared" si="36"/>
        <v>53053</v>
      </c>
      <c r="D290" s="173">
        <f t="shared" si="41"/>
        <v>0</v>
      </c>
      <c r="E290" s="173">
        <f t="shared" si="44"/>
        <v>53274.285736839716</v>
      </c>
      <c r="F290" s="174">
        <f t="shared" si="37"/>
        <v>0</v>
      </c>
      <c r="G290" s="173">
        <f t="shared" si="38"/>
        <v>0</v>
      </c>
      <c r="H290" s="173">
        <f t="shared" si="42"/>
        <v>0</v>
      </c>
      <c r="I290" s="173">
        <f t="shared" si="43"/>
        <v>0</v>
      </c>
      <c r="J290" s="173">
        <f t="shared" si="39"/>
        <v>0</v>
      </c>
      <c r="K290" s="173">
        <f>SUM($I$17:$I290)</f>
        <v>1804594.2884207652</v>
      </c>
      <c r="L290" s="168"/>
      <c r="M290" s="168"/>
      <c r="N290" s="150"/>
    </row>
    <row r="291" spans="1:14" ht="12.75">
      <c r="A291" s="191">
        <f t="shared" si="40"/>
        <v>275</v>
      </c>
      <c r="B291" s="171"/>
      <c r="C291" s="172">
        <f t="shared" si="36"/>
        <v>53083</v>
      </c>
      <c r="D291" s="173">
        <f t="shared" si="41"/>
        <v>0</v>
      </c>
      <c r="E291" s="173">
        <f t="shared" si="44"/>
        <v>53274.285736839716</v>
      </c>
      <c r="F291" s="174">
        <f t="shared" si="37"/>
        <v>0</v>
      </c>
      <c r="G291" s="173">
        <f t="shared" si="38"/>
        <v>0</v>
      </c>
      <c r="H291" s="173">
        <f t="shared" si="42"/>
        <v>0</v>
      </c>
      <c r="I291" s="173">
        <f t="shared" si="43"/>
        <v>0</v>
      </c>
      <c r="J291" s="173">
        <f t="shared" si="39"/>
        <v>0</v>
      </c>
      <c r="K291" s="173">
        <f>SUM($I$17:$I291)</f>
        <v>1804594.2884207652</v>
      </c>
      <c r="L291" s="168"/>
      <c r="M291" s="168"/>
      <c r="N291" s="150"/>
    </row>
    <row r="292" spans="1:14" ht="12.75">
      <c r="A292" s="191">
        <f t="shared" si="40"/>
        <v>276</v>
      </c>
      <c r="B292" s="171"/>
      <c r="C292" s="172">
        <f t="shared" si="36"/>
        <v>53114</v>
      </c>
      <c r="D292" s="173">
        <f t="shared" si="41"/>
        <v>0</v>
      </c>
      <c r="E292" s="173">
        <f t="shared" si="44"/>
        <v>53274.285736839716</v>
      </c>
      <c r="F292" s="174">
        <f t="shared" si="37"/>
        <v>0</v>
      </c>
      <c r="G292" s="173">
        <f t="shared" si="38"/>
        <v>0</v>
      </c>
      <c r="H292" s="173">
        <f t="shared" si="42"/>
        <v>0</v>
      </c>
      <c r="I292" s="173">
        <f t="shared" si="43"/>
        <v>0</v>
      </c>
      <c r="J292" s="173">
        <f t="shared" si="39"/>
        <v>0</v>
      </c>
      <c r="K292" s="173">
        <f>SUM($I$17:$I292)</f>
        <v>1804594.2884207652</v>
      </c>
      <c r="L292" s="168"/>
      <c r="M292" s="168"/>
      <c r="N292" s="150"/>
    </row>
    <row r="293" spans="1:14" ht="12.75">
      <c r="A293" s="191">
        <f t="shared" si="40"/>
        <v>277</v>
      </c>
      <c r="B293" s="171"/>
      <c r="C293" s="172">
        <f t="shared" si="36"/>
        <v>53144</v>
      </c>
      <c r="D293" s="173">
        <f t="shared" si="41"/>
        <v>0</v>
      </c>
      <c r="E293" s="173">
        <f t="shared" si="44"/>
        <v>53274.285736839716</v>
      </c>
      <c r="F293" s="174">
        <f t="shared" si="37"/>
        <v>0</v>
      </c>
      <c r="G293" s="173">
        <f t="shared" si="38"/>
        <v>0</v>
      </c>
      <c r="H293" s="173">
        <f t="shared" si="42"/>
        <v>0</v>
      </c>
      <c r="I293" s="173">
        <f t="shared" si="43"/>
        <v>0</v>
      </c>
      <c r="J293" s="173">
        <f t="shared" si="39"/>
        <v>0</v>
      </c>
      <c r="K293" s="173">
        <f>SUM($I$17:$I293)</f>
        <v>1804594.2884207652</v>
      </c>
      <c r="L293" s="168"/>
      <c r="M293" s="168"/>
      <c r="N293" s="150"/>
    </row>
    <row r="294" spans="1:14" ht="12.75">
      <c r="A294" s="191">
        <f t="shared" si="40"/>
        <v>278</v>
      </c>
      <c r="B294" s="171"/>
      <c r="C294" s="172">
        <f t="shared" si="36"/>
        <v>53175</v>
      </c>
      <c r="D294" s="173">
        <f t="shared" si="41"/>
        <v>0</v>
      </c>
      <c r="E294" s="173">
        <f t="shared" si="44"/>
        <v>53274.285736839716</v>
      </c>
      <c r="F294" s="174">
        <f t="shared" si="37"/>
        <v>0</v>
      </c>
      <c r="G294" s="173">
        <f t="shared" si="38"/>
        <v>0</v>
      </c>
      <c r="H294" s="173">
        <f t="shared" si="42"/>
        <v>0</v>
      </c>
      <c r="I294" s="173">
        <f t="shared" si="43"/>
        <v>0</v>
      </c>
      <c r="J294" s="173">
        <f t="shared" si="39"/>
        <v>0</v>
      </c>
      <c r="K294" s="173">
        <f>SUM($I$17:$I294)</f>
        <v>1804594.2884207652</v>
      </c>
      <c r="L294" s="168"/>
      <c r="M294" s="168"/>
      <c r="N294" s="150"/>
    </row>
    <row r="295" spans="1:14" ht="12.75">
      <c r="A295" s="191">
        <f t="shared" si="40"/>
        <v>279</v>
      </c>
      <c r="B295" s="171"/>
      <c r="C295" s="172">
        <f t="shared" si="36"/>
        <v>53206</v>
      </c>
      <c r="D295" s="173">
        <f t="shared" si="41"/>
        <v>0</v>
      </c>
      <c r="E295" s="173">
        <f t="shared" si="44"/>
        <v>53274.285736839716</v>
      </c>
      <c r="F295" s="174">
        <f t="shared" si="37"/>
        <v>0</v>
      </c>
      <c r="G295" s="173">
        <f t="shared" si="38"/>
        <v>0</v>
      </c>
      <c r="H295" s="173">
        <f t="shared" si="42"/>
        <v>0</v>
      </c>
      <c r="I295" s="173">
        <f t="shared" si="43"/>
        <v>0</v>
      </c>
      <c r="J295" s="173">
        <f t="shared" si="39"/>
        <v>0</v>
      </c>
      <c r="K295" s="173">
        <f>SUM($I$17:$I295)</f>
        <v>1804594.2884207652</v>
      </c>
      <c r="L295" s="168"/>
      <c r="M295" s="168"/>
      <c r="N295" s="150"/>
    </row>
    <row r="296" spans="1:14" ht="12.75">
      <c r="A296" s="191">
        <f t="shared" si="40"/>
        <v>280</v>
      </c>
      <c r="B296" s="171"/>
      <c r="C296" s="172">
        <f t="shared" si="36"/>
        <v>53236</v>
      </c>
      <c r="D296" s="173">
        <f t="shared" si="41"/>
        <v>0</v>
      </c>
      <c r="E296" s="173">
        <f t="shared" si="44"/>
        <v>53274.285736839716</v>
      </c>
      <c r="F296" s="174">
        <f t="shared" si="37"/>
        <v>0</v>
      </c>
      <c r="G296" s="173">
        <f t="shared" si="38"/>
        <v>0</v>
      </c>
      <c r="H296" s="173">
        <f t="shared" si="42"/>
        <v>0</v>
      </c>
      <c r="I296" s="173">
        <f t="shared" si="43"/>
        <v>0</v>
      </c>
      <c r="J296" s="173">
        <f t="shared" si="39"/>
        <v>0</v>
      </c>
      <c r="K296" s="173">
        <f>SUM($I$17:$I296)</f>
        <v>1804594.2884207652</v>
      </c>
      <c r="L296" s="168"/>
      <c r="M296" s="168"/>
      <c r="N296" s="150"/>
    </row>
    <row r="297" spans="1:14" ht="12.75">
      <c r="A297" s="191">
        <f t="shared" si="40"/>
        <v>281</v>
      </c>
      <c r="B297" s="171"/>
      <c r="C297" s="172">
        <f t="shared" si="36"/>
        <v>53267</v>
      </c>
      <c r="D297" s="173">
        <f t="shared" si="41"/>
        <v>0</v>
      </c>
      <c r="E297" s="173">
        <f t="shared" si="44"/>
        <v>53274.285736839716</v>
      </c>
      <c r="F297" s="174">
        <f t="shared" si="37"/>
        <v>0</v>
      </c>
      <c r="G297" s="173">
        <f t="shared" si="38"/>
        <v>0</v>
      </c>
      <c r="H297" s="173">
        <f t="shared" si="42"/>
        <v>0</v>
      </c>
      <c r="I297" s="173">
        <f t="shared" si="43"/>
        <v>0</v>
      </c>
      <c r="J297" s="173">
        <f t="shared" si="39"/>
        <v>0</v>
      </c>
      <c r="K297" s="173">
        <f>SUM($I$17:$I297)</f>
        <v>1804594.2884207652</v>
      </c>
      <c r="L297" s="168"/>
      <c r="M297" s="168"/>
      <c r="N297" s="150"/>
    </row>
    <row r="298" spans="1:14" ht="12.75">
      <c r="A298" s="191">
        <f t="shared" si="40"/>
        <v>282</v>
      </c>
      <c r="B298" s="171"/>
      <c r="C298" s="172">
        <f t="shared" si="36"/>
        <v>53297</v>
      </c>
      <c r="D298" s="173">
        <f t="shared" si="41"/>
        <v>0</v>
      </c>
      <c r="E298" s="173">
        <f t="shared" si="44"/>
        <v>53274.285736839716</v>
      </c>
      <c r="F298" s="174">
        <f t="shared" si="37"/>
        <v>0</v>
      </c>
      <c r="G298" s="173">
        <f t="shared" si="38"/>
        <v>0</v>
      </c>
      <c r="H298" s="173">
        <f t="shared" si="42"/>
        <v>0</v>
      </c>
      <c r="I298" s="173">
        <f t="shared" si="43"/>
        <v>0</v>
      </c>
      <c r="J298" s="173">
        <f t="shared" si="39"/>
        <v>0</v>
      </c>
      <c r="K298" s="173">
        <f>SUM($I$17:$I298)</f>
        <v>1804594.2884207652</v>
      </c>
      <c r="L298" s="168"/>
      <c r="M298" s="168"/>
      <c r="N298" s="150"/>
    </row>
    <row r="299" spans="1:14" ht="12.75">
      <c r="A299" s="191">
        <f t="shared" si="40"/>
        <v>283</v>
      </c>
      <c r="B299" s="171"/>
      <c r="C299" s="172">
        <f t="shared" si="36"/>
        <v>53328</v>
      </c>
      <c r="D299" s="173">
        <f t="shared" si="41"/>
        <v>0</v>
      </c>
      <c r="E299" s="173">
        <f t="shared" si="44"/>
        <v>53274.285736839716</v>
      </c>
      <c r="F299" s="174">
        <f t="shared" si="37"/>
        <v>0</v>
      </c>
      <c r="G299" s="173">
        <f t="shared" si="38"/>
        <v>0</v>
      </c>
      <c r="H299" s="173">
        <f t="shared" si="42"/>
        <v>0</v>
      </c>
      <c r="I299" s="173">
        <f t="shared" si="43"/>
        <v>0</v>
      </c>
      <c r="J299" s="173">
        <f t="shared" si="39"/>
        <v>0</v>
      </c>
      <c r="K299" s="173">
        <f>SUM($I$17:$I299)</f>
        <v>1804594.2884207652</v>
      </c>
      <c r="L299" s="168"/>
      <c r="M299" s="168"/>
      <c r="N299" s="150"/>
    </row>
    <row r="300" spans="1:14" ht="12.75">
      <c r="A300" s="191">
        <f t="shared" si="40"/>
        <v>284</v>
      </c>
      <c r="B300" s="171"/>
      <c r="C300" s="172">
        <f t="shared" si="36"/>
        <v>53359</v>
      </c>
      <c r="D300" s="173">
        <f t="shared" si="41"/>
        <v>0</v>
      </c>
      <c r="E300" s="173">
        <f t="shared" si="44"/>
        <v>53274.285736839716</v>
      </c>
      <c r="F300" s="174">
        <f t="shared" si="37"/>
        <v>0</v>
      </c>
      <c r="G300" s="173">
        <f t="shared" si="38"/>
        <v>0</v>
      </c>
      <c r="H300" s="173">
        <f t="shared" si="42"/>
        <v>0</v>
      </c>
      <c r="I300" s="173">
        <f t="shared" si="43"/>
        <v>0</v>
      </c>
      <c r="J300" s="173">
        <f t="shared" si="39"/>
        <v>0</v>
      </c>
      <c r="K300" s="173">
        <f>SUM($I$17:$I300)</f>
        <v>1804594.2884207652</v>
      </c>
      <c r="L300" s="168"/>
      <c r="M300" s="168"/>
      <c r="N300" s="150"/>
    </row>
    <row r="301" spans="1:14" ht="12.75">
      <c r="A301" s="191">
        <f t="shared" si="40"/>
        <v>285</v>
      </c>
      <c r="B301" s="171"/>
      <c r="C301" s="172">
        <f t="shared" si="36"/>
        <v>53387</v>
      </c>
      <c r="D301" s="173">
        <f t="shared" si="41"/>
        <v>0</v>
      </c>
      <c r="E301" s="173">
        <f t="shared" si="44"/>
        <v>53274.285736839716</v>
      </c>
      <c r="F301" s="174">
        <f t="shared" si="37"/>
        <v>0</v>
      </c>
      <c r="G301" s="173">
        <f t="shared" si="38"/>
        <v>0</v>
      </c>
      <c r="H301" s="173">
        <f t="shared" si="42"/>
        <v>0</v>
      </c>
      <c r="I301" s="173">
        <f t="shared" si="43"/>
        <v>0</v>
      </c>
      <c r="J301" s="173">
        <f t="shared" si="39"/>
        <v>0</v>
      </c>
      <c r="K301" s="173">
        <f>SUM($I$17:$I301)</f>
        <v>1804594.2884207652</v>
      </c>
      <c r="L301" s="168"/>
      <c r="M301" s="168"/>
      <c r="N301" s="150"/>
    </row>
    <row r="302" spans="1:14" ht="12.75">
      <c r="A302" s="191">
        <f t="shared" si="40"/>
        <v>286</v>
      </c>
      <c r="B302" s="171"/>
      <c r="C302" s="172">
        <f t="shared" si="36"/>
        <v>53418</v>
      </c>
      <c r="D302" s="173">
        <f t="shared" si="41"/>
        <v>0</v>
      </c>
      <c r="E302" s="173">
        <f t="shared" si="44"/>
        <v>53274.285736839716</v>
      </c>
      <c r="F302" s="174">
        <f t="shared" si="37"/>
        <v>0</v>
      </c>
      <c r="G302" s="173">
        <f t="shared" si="38"/>
        <v>0</v>
      </c>
      <c r="H302" s="173">
        <f t="shared" si="42"/>
        <v>0</v>
      </c>
      <c r="I302" s="173">
        <f t="shared" si="43"/>
        <v>0</v>
      </c>
      <c r="J302" s="173">
        <f t="shared" si="39"/>
        <v>0</v>
      </c>
      <c r="K302" s="173">
        <f>SUM($I$17:$I302)</f>
        <v>1804594.2884207652</v>
      </c>
      <c r="L302" s="168"/>
      <c r="M302" s="168"/>
      <c r="N302" s="150"/>
    </row>
    <row r="303" spans="1:14" ht="12.75">
      <c r="A303" s="191">
        <f t="shared" si="40"/>
        <v>287</v>
      </c>
      <c r="B303" s="171"/>
      <c r="C303" s="172">
        <f t="shared" si="36"/>
        <v>53448</v>
      </c>
      <c r="D303" s="173">
        <f t="shared" si="41"/>
        <v>0</v>
      </c>
      <c r="E303" s="173">
        <f t="shared" si="44"/>
        <v>53274.285736839716</v>
      </c>
      <c r="F303" s="174">
        <f t="shared" si="37"/>
        <v>0</v>
      </c>
      <c r="G303" s="173">
        <f t="shared" si="38"/>
        <v>0</v>
      </c>
      <c r="H303" s="173">
        <f t="shared" si="42"/>
        <v>0</v>
      </c>
      <c r="I303" s="173">
        <f t="shared" si="43"/>
        <v>0</v>
      </c>
      <c r="J303" s="173">
        <f t="shared" si="39"/>
        <v>0</v>
      </c>
      <c r="K303" s="173">
        <f>SUM($I$17:$I303)</f>
        <v>1804594.2884207652</v>
      </c>
      <c r="L303" s="168"/>
      <c r="M303" s="168"/>
      <c r="N303" s="150"/>
    </row>
    <row r="304" spans="1:14" ht="12.75">
      <c r="A304" s="191">
        <f t="shared" si="40"/>
        <v>288</v>
      </c>
      <c r="B304" s="171"/>
      <c r="C304" s="172">
        <f t="shared" si="36"/>
        <v>53479</v>
      </c>
      <c r="D304" s="173">
        <f t="shared" si="41"/>
        <v>0</v>
      </c>
      <c r="E304" s="173">
        <f t="shared" si="44"/>
        <v>53274.285736839716</v>
      </c>
      <c r="F304" s="174">
        <f t="shared" si="37"/>
        <v>0</v>
      </c>
      <c r="G304" s="173">
        <f t="shared" si="38"/>
        <v>0</v>
      </c>
      <c r="H304" s="173">
        <f t="shared" si="42"/>
        <v>0</v>
      </c>
      <c r="I304" s="173">
        <f t="shared" si="43"/>
        <v>0</v>
      </c>
      <c r="J304" s="173">
        <f t="shared" si="39"/>
        <v>0</v>
      </c>
      <c r="K304" s="173">
        <f>SUM($I$17:$I304)</f>
        <v>1804594.2884207652</v>
      </c>
      <c r="L304" s="168"/>
      <c r="M304" s="168"/>
      <c r="N304" s="150"/>
    </row>
    <row r="305" spans="1:14" ht="12.75">
      <c r="A305" s="191">
        <f t="shared" si="40"/>
        <v>289</v>
      </c>
      <c r="B305" s="171"/>
      <c r="C305" s="172">
        <f t="shared" si="36"/>
        <v>53509</v>
      </c>
      <c r="D305" s="173">
        <f t="shared" si="41"/>
        <v>0</v>
      </c>
      <c r="E305" s="173">
        <f t="shared" si="44"/>
        <v>53274.285736839716</v>
      </c>
      <c r="F305" s="174">
        <f t="shared" si="37"/>
        <v>0</v>
      </c>
      <c r="G305" s="173">
        <f t="shared" si="38"/>
        <v>0</v>
      </c>
      <c r="H305" s="173">
        <f t="shared" si="42"/>
        <v>0</v>
      </c>
      <c r="I305" s="173">
        <f t="shared" si="43"/>
        <v>0</v>
      </c>
      <c r="J305" s="173">
        <f t="shared" si="39"/>
        <v>0</v>
      </c>
      <c r="K305" s="173">
        <f>SUM($I$17:$I305)</f>
        <v>1804594.2884207652</v>
      </c>
      <c r="L305" s="168"/>
      <c r="M305" s="168"/>
      <c r="N305" s="150"/>
    </row>
    <row r="306" spans="1:14" ht="12.75">
      <c r="A306" s="191">
        <f t="shared" si="40"/>
        <v>290</v>
      </c>
      <c r="B306" s="171"/>
      <c r="C306" s="172">
        <f t="shared" si="36"/>
        <v>53540</v>
      </c>
      <c r="D306" s="173">
        <f t="shared" si="41"/>
        <v>0</v>
      </c>
      <c r="E306" s="173">
        <f t="shared" si="44"/>
        <v>53274.285736839716</v>
      </c>
      <c r="F306" s="174">
        <f t="shared" si="37"/>
        <v>0</v>
      </c>
      <c r="G306" s="173">
        <f t="shared" si="38"/>
        <v>0</v>
      </c>
      <c r="H306" s="173">
        <f t="shared" si="42"/>
        <v>0</v>
      </c>
      <c r="I306" s="173">
        <f t="shared" si="43"/>
        <v>0</v>
      </c>
      <c r="J306" s="173">
        <f t="shared" si="39"/>
        <v>0</v>
      </c>
      <c r="K306" s="173">
        <f>SUM($I$17:$I306)</f>
        <v>1804594.2884207652</v>
      </c>
      <c r="L306" s="168"/>
      <c r="M306" s="168"/>
      <c r="N306" s="150"/>
    </row>
    <row r="307" spans="1:14" ht="12.75">
      <c r="A307" s="191">
        <f t="shared" si="40"/>
        <v>291</v>
      </c>
      <c r="B307" s="171"/>
      <c r="C307" s="172">
        <f t="shared" si="36"/>
        <v>53571</v>
      </c>
      <c r="D307" s="173">
        <f t="shared" si="41"/>
        <v>0</v>
      </c>
      <c r="E307" s="173">
        <f t="shared" si="44"/>
        <v>53274.285736839716</v>
      </c>
      <c r="F307" s="174">
        <f t="shared" si="37"/>
        <v>0</v>
      </c>
      <c r="G307" s="173">
        <f t="shared" si="38"/>
        <v>0</v>
      </c>
      <c r="H307" s="173">
        <f t="shared" si="42"/>
        <v>0</v>
      </c>
      <c r="I307" s="173">
        <f t="shared" si="43"/>
        <v>0</v>
      </c>
      <c r="J307" s="173">
        <f t="shared" si="39"/>
        <v>0</v>
      </c>
      <c r="K307" s="173">
        <f>SUM($I$17:$I307)</f>
        <v>1804594.2884207652</v>
      </c>
      <c r="L307" s="168"/>
      <c r="M307" s="168"/>
      <c r="N307" s="150"/>
    </row>
    <row r="308" spans="1:14" ht="12.75">
      <c r="A308" s="191">
        <f t="shared" si="40"/>
        <v>292</v>
      </c>
      <c r="B308" s="171"/>
      <c r="C308" s="172">
        <f t="shared" si="36"/>
        <v>53601</v>
      </c>
      <c r="D308" s="173">
        <f t="shared" si="41"/>
        <v>0</v>
      </c>
      <c r="E308" s="173">
        <f t="shared" si="44"/>
        <v>53274.285736839716</v>
      </c>
      <c r="F308" s="174">
        <f t="shared" si="37"/>
        <v>0</v>
      </c>
      <c r="G308" s="173">
        <f t="shared" si="38"/>
        <v>0</v>
      </c>
      <c r="H308" s="173">
        <f t="shared" si="42"/>
        <v>0</v>
      </c>
      <c r="I308" s="173">
        <f t="shared" si="43"/>
        <v>0</v>
      </c>
      <c r="J308" s="173">
        <f t="shared" si="39"/>
        <v>0</v>
      </c>
      <c r="K308" s="173">
        <f>SUM($I$17:$I308)</f>
        <v>1804594.2884207652</v>
      </c>
      <c r="L308" s="168"/>
      <c r="M308" s="168"/>
      <c r="N308" s="150"/>
    </row>
    <row r="309" spans="1:14" ht="12.75">
      <c r="A309" s="191">
        <f t="shared" si="40"/>
        <v>293</v>
      </c>
      <c r="B309" s="171"/>
      <c r="C309" s="172">
        <f t="shared" si="36"/>
        <v>53632</v>
      </c>
      <c r="D309" s="173">
        <f t="shared" si="41"/>
        <v>0</v>
      </c>
      <c r="E309" s="173">
        <f t="shared" si="44"/>
        <v>53274.285736839716</v>
      </c>
      <c r="F309" s="174">
        <f t="shared" si="37"/>
        <v>0</v>
      </c>
      <c r="G309" s="173">
        <f t="shared" si="38"/>
        <v>0</v>
      </c>
      <c r="H309" s="173">
        <f t="shared" si="42"/>
        <v>0</v>
      </c>
      <c r="I309" s="173">
        <f t="shared" si="43"/>
        <v>0</v>
      </c>
      <c r="J309" s="173">
        <f t="shared" si="39"/>
        <v>0</v>
      </c>
      <c r="K309" s="173">
        <f>SUM($I$17:$I309)</f>
        <v>1804594.2884207652</v>
      </c>
      <c r="L309" s="168"/>
      <c r="M309" s="168"/>
      <c r="N309" s="150"/>
    </row>
    <row r="310" spans="1:14" ht="12.75">
      <c r="A310" s="191">
        <f t="shared" si="40"/>
        <v>294</v>
      </c>
      <c r="B310" s="171"/>
      <c r="C310" s="172">
        <f t="shared" si="36"/>
        <v>53662</v>
      </c>
      <c r="D310" s="173">
        <f t="shared" si="41"/>
        <v>0</v>
      </c>
      <c r="E310" s="173">
        <f t="shared" si="44"/>
        <v>53274.285736839716</v>
      </c>
      <c r="F310" s="174">
        <f t="shared" si="37"/>
        <v>0</v>
      </c>
      <c r="G310" s="173">
        <f t="shared" si="38"/>
        <v>0</v>
      </c>
      <c r="H310" s="173">
        <f t="shared" si="42"/>
        <v>0</v>
      </c>
      <c r="I310" s="173">
        <f t="shared" si="43"/>
        <v>0</v>
      </c>
      <c r="J310" s="173">
        <f t="shared" si="39"/>
        <v>0</v>
      </c>
      <c r="K310" s="173">
        <f>SUM($I$17:$I310)</f>
        <v>1804594.2884207652</v>
      </c>
      <c r="L310" s="168"/>
      <c r="M310" s="168"/>
      <c r="N310" s="150"/>
    </row>
    <row r="311" spans="1:14" ht="12.75">
      <c r="A311" s="191">
        <f t="shared" si="40"/>
        <v>295</v>
      </c>
      <c r="B311" s="171"/>
      <c r="C311" s="172">
        <f t="shared" si="36"/>
        <v>53693</v>
      </c>
      <c r="D311" s="173">
        <f t="shared" si="41"/>
        <v>0</v>
      </c>
      <c r="E311" s="173">
        <f t="shared" si="44"/>
        <v>53274.285736839716</v>
      </c>
      <c r="F311" s="174">
        <f t="shared" si="37"/>
        <v>0</v>
      </c>
      <c r="G311" s="173">
        <f t="shared" si="38"/>
        <v>0</v>
      </c>
      <c r="H311" s="173">
        <f t="shared" si="42"/>
        <v>0</v>
      </c>
      <c r="I311" s="173">
        <f t="shared" si="43"/>
        <v>0</v>
      </c>
      <c r="J311" s="173">
        <f t="shared" si="39"/>
        <v>0</v>
      </c>
      <c r="K311" s="173">
        <f>SUM($I$17:$I311)</f>
        <v>1804594.2884207652</v>
      </c>
      <c r="L311" s="168"/>
      <c r="M311" s="168"/>
      <c r="N311" s="150"/>
    </row>
    <row r="312" spans="1:14" ht="12.75">
      <c r="A312" s="191">
        <f t="shared" si="40"/>
        <v>296</v>
      </c>
      <c r="B312" s="171"/>
      <c r="C312" s="172">
        <f t="shared" si="36"/>
        <v>53724</v>
      </c>
      <c r="D312" s="173">
        <f t="shared" si="41"/>
        <v>0</v>
      </c>
      <c r="E312" s="173">
        <f t="shared" si="44"/>
        <v>53274.285736839716</v>
      </c>
      <c r="F312" s="174">
        <f t="shared" si="37"/>
        <v>0</v>
      </c>
      <c r="G312" s="173">
        <f t="shared" si="38"/>
        <v>0</v>
      </c>
      <c r="H312" s="173">
        <f t="shared" si="42"/>
        <v>0</v>
      </c>
      <c r="I312" s="173">
        <f t="shared" si="43"/>
        <v>0</v>
      </c>
      <c r="J312" s="173">
        <f t="shared" si="39"/>
        <v>0</v>
      </c>
      <c r="K312" s="173">
        <f>SUM($I$17:$I312)</f>
        <v>1804594.2884207652</v>
      </c>
      <c r="L312" s="168"/>
      <c r="M312" s="168"/>
      <c r="N312" s="150"/>
    </row>
    <row r="313" spans="1:14" ht="12.75">
      <c r="A313" s="191">
        <f t="shared" si="40"/>
        <v>297</v>
      </c>
      <c r="B313" s="171"/>
      <c r="C313" s="172">
        <f t="shared" si="36"/>
        <v>53752</v>
      </c>
      <c r="D313" s="173">
        <f t="shared" si="41"/>
        <v>0</v>
      </c>
      <c r="E313" s="173">
        <f t="shared" si="44"/>
        <v>53274.285736839716</v>
      </c>
      <c r="F313" s="174">
        <f t="shared" si="37"/>
        <v>0</v>
      </c>
      <c r="G313" s="173">
        <f t="shared" si="38"/>
        <v>0</v>
      </c>
      <c r="H313" s="173">
        <f t="shared" si="42"/>
        <v>0</v>
      </c>
      <c r="I313" s="173">
        <f t="shared" si="43"/>
        <v>0</v>
      </c>
      <c r="J313" s="173">
        <f t="shared" si="39"/>
        <v>0</v>
      </c>
      <c r="K313" s="173">
        <f>SUM($I$17:$I313)</f>
        <v>1804594.2884207652</v>
      </c>
      <c r="L313" s="168"/>
      <c r="M313" s="168"/>
      <c r="N313" s="150"/>
    </row>
    <row r="314" spans="1:14" ht="12.75">
      <c r="A314" s="191">
        <f t="shared" si="40"/>
        <v>298</v>
      </c>
      <c r="B314" s="171"/>
      <c r="C314" s="172">
        <f t="shared" si="36"/>
        <v>53783</v>
      </c>
      <c r="D314" s="173">
        <f t="shared" si="41"/>
        <v>0</v>
      </c>
      <c r="E314" s="173">
        <f t="shared" si="44"/>
        <v>53274.285736839716</v>
      </c>
      <c r="F314" s="174">
        <f t="shared" si="37"/>
        <v>0</v>
      </c>
      <c r="G314" s="173">
        <f t="shared" si="38"/>
        <v>0</v>
      </c>
      <c r="H314" s="173">
        <f t="shared" si="42"/>
        <v>0</v>
      </c>
      <c r="I314" s="173">
        <f t="shared" si="43"/>
        <v>0</v>
      </c>
      <c r="J314" s="173">
        <f t="shared" si="39"/>
        <v>0</v>
      </c>
      <c r="K314" s="173">
        <f>SUM($I$17:$I314)</f>
        <v>1804594.2884207652</v>
      </c>
      <c r="L314" s="168"/>
      <c r="M314" s="168"/>
      <c r="N314" s="150"/>
    </row>
    <row r="315" spans="1:14" ht="12.75">
      <c r="A315" s="191">
        <f t="shared" si="40"/>
        <v>299</v>
      </c>
      <c r="B315" s="171"/>
      <c r="C315" s="172">
        <f t="shared" si="36"/>
        <v>53813</v>
      </c>
      <c r="D315" s="173">
        <f t="shared" si="41"/>
        <v>0</v>
      </c>
      <c r="E315" s="173">
        <f t="shared" si="44"/>
        <v>53274.285736839716</v>
      </c>
      <c r="F315" s="174">
        <f t="shared" si="37"/>
        <v>0</v>
      </c>
      <c r="G315" s="173">
        <f t="shared" si="38"/>
        <v>0</v>
      </c>
      <c r="H315" s="173">
        <f t="shared" si="42"/>
        <v>0</v>
      </c>
      <c r="I315" s="173">
        <f t="shared" si="43"/>
        <v>0</v>
      </c>
      <c r="J315" s="173">
        <f t="shared" si="39"/>
        <v>0</v>
      </c>
      <c r="K315" s="173">
        <f>SUM($I$17:$I315)</f>
        <v>1804594.2884207652</v>
      </c>
      <c r="L315" s="168"/>
      <c r="M315" s="168"/>
      <c r="N315" s="150"/>
    </row>
    <row r="316" spans="1:14" ht="12.75">
      <c r="A316" s="191">
        <f t="shared" si="40"/>
        <v>300</v>
      </c>
      <c r="B316" s="171"/>
      <c r="C316" s="172">
        <f t="shared" si="36"/>
        <v>53844</v>
      </c>
      <c r="D316" s="173">
        <f t="shared" si="41"/>
        <v>0</v>
      </c>
      <c r="E316" s="173">
        <f t="shared" si="44"/>
        <v>53274.285736839716</v>
      </c>
      <c r="F316" s="174">
        <f t="shared" si="37"/>
        <v>0</v>
      </c>
      <c r="G316" s="173">
        <f t="shared" si="38"/>
        <v>0</v>
      </c>
      <c r="H316" s="173">
        <f t="shared" si="42"/>
        <v>0</v>
      </c>
      <c r="I316" s="173">
        <f t="shared" si="43"/>
        <v>0</v>
      </c>
      <c r="J316" s="173">
        <f t="shared" si="39"/>
        <v>0</v>
      </c>
      <c r="K316" s="173">
        <f>SUM($I$17:$I316)</f>
        <v>1804594.2884207652</v>
      </c>
      <c r="L316" s="168"/>
      <c r="M316" s="168"/>
      <c r="N316" s="150"/>
    </row>
    <row r="317" spans="1:14" ht="12.75">
      <c r="A317" s="191">
        <f t="shared" si="40"/>
        <v>301</v>
      </c>
      <c r="B317" s="171"/>
      <c r="C317" s="172">
        <f t="shared" si="36"/>
        <v>53874</v>
      </c>
      <c r="D317" s="173">
        <f t="shared" si="41"/>
        <v>0</v>
      </c>
      <c r="E317" s="173">
        <f t="shared" si="44"/>
        <v>53274.285736839716</v>
      </c>
      <c r="F317" s="174">
        <f t="shared" si="37"/>
        <v>0</v>
      </c>
      <c r="G317" s="173">
        <f t="shared" si="38"/>
        <v>0</v>
      </c>
      <c r="H317" s="173">
        <f t="shared" si="42"/>
        <v>0</v>
      </c>
      <c r="I317" s="173">
        <f t="shared" si="43"/>
        <v>0</v>
      </c>
      <c r="J317" s="173">
        <f t="shared" si="39"/>
        <v>0</v>
      </c>
      <c r="K317" s="173">
        <f>SUM($I$17:$I317)</f>
        <v>1804594.2884207652</v>
      </c>
      <c r="L317" s="168"/>
      <c r="M317" s="168"/>
      <c r="N317" s="150"/>
    </row>
    <row r="318" spans="1:14" ht="12.75">
      <c r="A318" s="191">
        <f t="shared" si="40"/>
        <v>302</v>
      </c>
      <c r="B318" s="171"/>
      <c r="C318" s="172">
        <f t="shared" si="36"/>
        <v>53905</v>
      </c>
      <c r="D318" s="173">
        <f t="shared" si="41"/>
        <v>0</v>
      </c>
      <c r="E318" s="173">
        <f t="shared" si="44"/>
        <v>53274.285736839716</v>
      </c>
      <c r="F318" s="174">
        <f t="shared" si="37"/>
        <v>0</v>
      </c>
      <c r="G318" s="173">
        <f t="shared" si="38"/>
        <v>0</v>
      </c>
      <c r="H318" s="173">
        <f t="shared" si="42"/>
        <v>0</v>
      </c>
      <c r="I318" s="173">
        <f t="shared" si="43"/>
        <v>0</v>
      </c>
      <c r="J318" s="173">
        <f t="shared" si="39"/>
        <v>0</v>
      </c>
      <c r="K318" s="173">
        <f>SUM($I$17:$I318)</f>
        <v>1804594.2884207652</v>
      </c>
      <c r="L318" s="168"/>
      <c r="M318" s="168"/>
      <c r="N318" s="150"/>
    </row>
    <row r="319" spans="1:14" ht="12.75">
      <c r="A319" s="191">
        <f t="shared" si="40"/>
        <v>303</v>
      </c>
      <c r="B319" s="171"/>
      <c r="C319" s="172">
        <f t="shared" si="36"/>
        <v>53936</v>
      </c>
      <c r="D319" s="173">
        <f t="shared" si="41"/>
        <v>0</v>
      </c>
      <c r="E319" s="173">
        <f t="shared" si="44"/>
        <v>53274.285736839716</v>
      </c>
      <c r="F319" s="174">
        <f t="shared" si="37"/>
        <v>0</v>
      </c>
      <c r="G319" s="173">
        <f t="shared" si="38"/>
        <v>0</v>
      </c>
      <c r="H319" s="173">
        <f t="shared" si="42"/>
        <v>0</v>
      </c>
      <c r="I319" s="173">
        <f t="shared" si="43"/>
        <v>0</v>
      </c>
      <c r="J319" s="173">
        <f t="shared" si="39"/>
        <v>0</v>
      </c>
      <c r="K319" s="173">
        <f>SUM($I$17:$I319)</f>
        <v>1804594.2884207652</v>
      </c>
      <c r="L319" s="168"/>
      <c r="M319" s="168"/>
      <c r="N319" s="150"/>
    </row>
    <row r="320" spans="1:14" ht="12.75">
      <c r="A320" s="191">
        <f t="shared" si="40"/>
        <v>304</v>
      </c>
      <c r="B320" s="171"/>
      <c r="C320" s="172">
        <f t="shared" si="36"/>
        <v>53966</v>
      </c>
      <c r="D320" s="173">
        <f t="shared" si="41"/>
        <v>0</v>
      </c>
      <c r="E320" s="173">
        <f t="shared" si="44"/>
        <v>53274.285736839716</v>
      </c>
      <c r="F320" s="174">
        <f t="shared" si="37"/>
        <v>0</v>
      </c>
      <c r="G320" s="173">
        <f t="shared" si="38"/>
        <v>0</v>
      </c>
      <c r="H320" s="173">
        <f t="shared" si="42"/>
        <v>0</v>
      </c>
      <c r="I320" s="173">
        <f t="shared" si="43"/>
        <v>0</v>
      </c>
      <c r="J320" s="173">
        <f t="shared" si="39"/>
        <v>0</v>
      </c>
      <c r="K320" s="173">
        <f>SUM($I$17:$I320)</f>
        <v>1804594.2884207652</v>
      </c>
      <c r="L320" s="168"/>
      <c r="M320" s="168"/>
      <c r="N320" s="150"/>
    </row>
    <row r="321" spans="1:14" ht="12.75">
      <c r="A321" s="191">
        <f t="shared" si="40"/>
        <v>305</v>
      </c>
      <c r="B321" s="171"/>
      <c r="C321" s="172">
        <f t="shared" si="36"/>
        <v>53997</v>
      </c>
      <c r="D321" s="173">
        <f t="shared" si="41"/>
        <v>0</v>
      </c>
      <c r="E321" s="173">
        <f t="shared" si="44"/>
        <v>53274.285736839716</v>
      </c>
      <c r="F321" s="174">
        <f t="shared" si="37"/>
        <v>0</v>
      </c>
      <c r="G321" s="173">
        <f t="shared" si="38"/>
        <v>0</v>
      </c>
      <c r="H321" s="173">
        <f t="shared" si="42"/>
        <v>0</v>
      </c>
      <c r="I321" s="173">
        <f t="shared" si="43"/>
        <v>0</v>
      </c>
      <c r="J321" s="173">
        <f t="shared" si="39"/>
        <v>0</v>
      </c>
      <c r="K321" s="173">
        <f>SUM($I$17:$I321)</f>
        <v>1804594.2884207652</v>
      </c>
      <c r="L321" s="168"/>
      <c r="M321" s="168"/>
      <c r="N321" s="150"/>
    </row>
    <row r="322" spans="1:14" ht="12.75">
      <c r="A322" s="191">
        <f t="shared" si="40"/>
        <v>306</v>
      </c>
      <c r="B322" s="171"/>
      <c r="C322" s="172">
        <f t="shared" si="36"/>
        <v>54027</v>
      </c>
      <c r="D322" s="173">
        <f t="shared" si="41"/>
        <v>0</v>
      </c>
      <c r="E322" s="173">
        <f t="shared" si="44"/>
        <v>53274.285736839716</v>
      </c>
      <c r="F322" s="174">
        <f t="shared" si="37"/>
        <v>0</v>
      </c>
      <c r="G322" s="173">
        <f t="shared" si="38"/>
        <v>0</v>
      </c>
      <c r="H322" s="173">
        <f t="shared" si="42"/>
        <v>0</v>
      </c>
      <c r="I322" s="173">
        <f t="shared" si="43"/>
        <v>0</v>
      </c>
      <c r="J322" s="173">
        <f t="shared" si="39"/>
        <v>0</v>
      </c>
      <c r="K322" s="173">
        <f>SUM($I$17:$I322)</f>
        <v>1804594.2884207652</v>
      </c>
      <c r="L322" s="168"/>
      <c r="M322" s="168"/>
      <c r="N322" s="150"/>
    </row>
    <row r="323" spans="1:14" ht="12.75">
      <c r="A323" s="191">
        <f t="shared" si="40"/>
        <v>307</v>
      </c>
      <c r="B323" s="171"/>
      <c r="C323" s="172">
        <f t="shared" si="36"/>
        <v>54058</v>
      </c>
      <c r="D323" s="173">
        <f t="shared" si="41"/>
        <v>0</v>
      </c>
      <c r="E323" s="173">
        <f t="shared" si="44"/>
        <v>53274.285736839716</v>
      </c>
      <c r="F323" s="174">
        <f t="shared" si="37"/>
        <v>0</v>
      </c>
      <c r="G323" s="173">
        <f t="shared" si="38"/>
        <v>0</v>
      </c>
      <c r="H323" s="173">
        <f t="shared" si="42"/>
        <v>0</v>
      </c>
      <c r="I323" s="173">
        <f t="shared" si="43"/>
        <v>0</v>
      </c>
      <c r="J323" s="173">
        <f t="shared" si="39"/>
        <v>0</v>
      </c>
      <c r="K323" s="173">
        <f>SUM($I$17:$I323)</f>
        <v>1804594.2884207652</v>
      </c>
      <c r="L323" s="168"/>
      <c r="M323" s="168"/>
      <c r="N323" s="150"/>
    </row>
    <row r="324" spans="1:14" ht="12.75">
      <c r="A324" s="191">
        <f t="shared" si="40"/>
        <v>308</v>
      </c>
      <c r="B324" s="171"/>
      <c r="C324" s="172">
        <f t="shared" si="36"/>
        <v>54089</v>
      </c>
      <c r="D324" s="173">
        <f t="shared" si="41"/>
        <v>0</v>
      </c>
      <c r="E324" s="173">
        <f t="shared" si="44"/>
        <v>53274.285736839716</v>
      </c>
      <c r="F324" s="174">
        <f t="shared" si="37"/>
        <v>0</v>
      </c>
      <c r="G324" s="173">
        <f t="shared" si="38"/>
        <v>0</v>
      </c>
      <c r="H324" s="173">
        <f t="shared" si="42"/>
        <v>0</v>
      </c>
      <c r="I324" s="173">
        <f t="shared" si="43"/>
        <v>0</v>
      </c>
      <c r="J324" s="173">
        <f t="shared" si="39"/>
        <v>0</v>
      </c>
      <c r="K324" s="173">
        <f>SUM($I$17:$I324)</f>
        <v>1804594.2884207652</v>
      </c>
      <c r="L324" s="168"/>
      <c r="M324" s="168"/>
      <c r="N324" s="150"/>
    </row>
    <row r="325" spans="1:14" ht="12.75">
      <c r="A325" s="191">
        <f t="shared" si="40"/>
        <v>309</v>
      </c>
      <c r="B325" s="171"/>
      <c r="C325" s="172">
        <f t="shared" si="36"/>
        <v>54118</v>
      </c>
      <c r="D325" s="173">
        <f t="shared" si="41"/>
        <v>0</v>
      </c>
      <c r="E325" s="173">
        <f t="shared" si="44"/>
        <v>53274.285736839716</v>
      </c>
      <c r="F325" s="174">
        <f t="shared" si="37"/>
        <v>0</v>
      </c>
      <c r="G325" s="173">
        <f t="shared" si="38"/>
        <v>0</v>
      </c>
      <c r="H325" s="173">
        <f t="shared" si="42"/>
        <v>0</v>
      </c>
      <c r="I325" s="173">
        <f t="shared" si="43"/>
        <v>0</v>
      </c>
      <c r="J325" s="173">
        <f t="shared" si="39"/>
        <v>0</v>
      </c>
      <c r="K325" s="173">
        <f>SUM($I$17:$I325)</f>
        <v>1804594.2884207652</v>
      </c>
      <c r="L325" s="168"/>
      <c r="M325" s="168"/>
      <c r="N325" s="150"/>
    </row>
    <row r="326" spans="1:14" ht="12.75">
      <c r="A326" s="191">
        <f t="shared" si="40"/>
        <v>310</v>
      </c>
      <c r="B326" s="171"/>
      <c r="C326" s="172">
        <f t="shared" si="36"/>
        <v>54149</v>
      </c>
      <c r="D326" s="173">
        <f t="shared" si="41"/>
        <v>0</v>
      </c>
      <c r="E326" s="173">
        <f t="shared" si="44"/>
        <v>53274.285736839716</v>
      </c>
      <c r="F326" s="174">
        <f t="shared" si="37"/>
        <v>0</v>
      </c>
      <c r="G326" s="173">
        <f t="shared" si="38"/>
        <v>0</v>
      </c>
      <c r="H326" s="173">
        <f t="shared" si="42"/>
        <v>0</v>
      </c>
      <c r="I326" s="173">
        <f t="shared" si="43"/>
        <v>0</v>
      </c>
      <c r="J326" s="173">
        <f t="shared" si="39"/>
        <v>0</v>
      </c>
      <c r="K326" s="173">
        <f>SUM($I$17:$I326)</f>
        <v>1804594.2884207652</v>
      </c>
      <c r="L326" s="168"/>
      <c r="M326" s="168"/>
      <c r="N326" s="150"/>
    </row>
    <row r="327" spans="1:14" ht="12.75">
      <c r="A327" s="191">
        <f t="shared" si="40"/>
        <v>311</v>
      </c>
      <c r="B327" s="171"/>
      <c r="C327" s="172">
        <f t="shared" si="36"/>
        <v>54179</v>
      </c>
      <c r="D327" s="173">
        <f t="shared" si="41"/>
        <v>0</v>
      </c>
      <c r="E327" s="173">
        <f t="shared" si="44"/>
        <v>53274.285736839716</v>
      </c>
      <c r="F327" s="174">
        <f t="shared" si="37"/>
        <v>0</v>
      </c>
      <c r="G327" s="173">
        <f t="shared" si="38"/>
        <v>0</v>
      </c>
      <c r="H327" s="173">
        <f t="shared" si="42"/>
        <v>0</v>
      </c>
      <c r="I327" s="173">
        <f t="shared" si="43"/>
        <v>0</v>
      </c>
      <c r="J327" s="173">
        <f t="shared" si="39"/>
        <v>0</v>
      </c>
      <c r="K327" s="173">
        <f>SUM($I$17:$I327)</f>
        <v>1804594.2884207652</v>
      </c>
      <c r="L327" s="168"/>
      <c r="M327" s="168"/>
      <c r="N327" s="150"/>
    </row>
    <row r="328" spans="1:14" ht="12.75">
      <c r="A328" s="191">
        <f t="shared" si="40"/>
        <v>312</v>
      </c>
      <c r="B328" s="171"/>
      <c r="C328" s="172">
        <f t="shared" si="36"/>
        <v>54210</v>
      </c>
      <c r="D328" s="173">
        <f t="shared" si="41"/>
        <v>0</v>
      </c>
      <c r="E328" s="173">
        <f t="shared" si="44"/>
        <v>53274.285736839716</v>
      </c>
      <c r="F328" s="174">
        <f t="shared" si="37"/>
        <v>0</v>
      </c>
      <c r="G328" s="173">
        <f t="shared" si="38"/>
        <v>0</v>
      </c>
      <c r="H328" s="173">
        <f t="shared" si="42"/>
        <v>0</v>
      </c>
      <c r="I328" s="173">
        <f t="shared" si="43"/>
        <v>0</v>
      </c>
      <c r="J328" s="173">
        <f t="shared" si="39"/>
        <v>0</v>
      </c>
      <c r="K328" s="173">
        <f>SUM($I$17:$I328)</f>
        <v>1804594.2884207652</v>
      </c>
      <c r="L328" s="168"/>
      <c r="M328" s="168"/>
      <c r="N328" s="150"/>
    </row>
    <row r="329" spans="1:14" ht="12.75">
      <c r="A329" s="191">
        <f t="shared" si="40"/>
        <v>313</v>
      </c>
      <c r="B329" s="171"/>
      <c r="C329" s="172">
        <f t="shared" si="36"/>
        <v>54240</v>
      </c>
      <c r="D329" s="173">
        <f t="shared" si="41"/>
        <v>0</v>
      </c>
      <c r="E329" s="173">
        <f t="shared" si="44"/>
        <v>53274.285736839716</v>
      </c>
      <c r="F329" s="174">
        <f t="shared" si="37"/>
        <v>0</v>
      </c>
      <c r="G329" s="173">
        <f t="shared" si="38"/>
        <v>0</v>
      </c>
      <c r="H329" s="173">
        <f t="shared" si="42"/>
        <v>0</v>
      </c>
      <c r="I329" s="173">
        <f t="shared" si="43"/>
        <v>0</v>
      </c>
      <c r="J329" s="173">
        <f t="shared" si="39"/>
        <v>0</v>
      </c>
      <c r="K329" s="173">
        <f>SUM($I$17:$I329)</f>
        <v>1804594.2884207652</v>
      </c>
      <c r="L329" s="168"/>
      <c r="M329" s="168"/>
      <c r="N329" s="150"/>
    </row>
    <row r="330" spans="1:14" ht="12.75">
      <c r="A330" s="191">
        <f t="shared" si="40"/>
        <v>314</v>
      </c>
      <c r="B330" s="171"/>
      <c r="C330" s="172">
        <f t="shared" si="36"/>
        <v>54271</v>
      </c>
      <c r="D330" s="173">
        <f t="shared" si="41"/>
        <v>0</v>
      </c>
      <c r="E330" s="173">
        <f t="shared" si="44"/>
        <v>53274.285736839716</v>
      </c>
      <c r="F330" s="174">
        <f t="shared" si="37"/>
        <v>0</v>
      </c>
      <c r="G330" s="173">
        <f t="shared" si="38"/>
        <v>0</v>
      </c>
      <c r="H330" s="173">
        <f t="shared" si="42"/>
        <v>0</v>
      </c>
      <c r="I330" s="173">
        <f t="shared" si="43"/>
        <v>0</v>
      </c>
      <c r="J330" s="173">
        <f t="shared" si="39"/>
        <v>0</v>
      </c>
      <c r="K330" s="173">
        <f>SUM($I$17:$I330)</f>
        <v>1804594.2884207652</v>
      </c>
      <c r="L330" s="168"/>
      <c r="M330" s="168"/>
      <c r="N330" s="150"/>
    </row>
    <row r="331" spans="1:14" ht="12.75">
      <c r="A331" s="191">
        <f t="shared" si="40"/>
        <v>315</v>
      </c>
      <c r="B331" s="171"/>
      <c r="C331" s="172">
        <f t="shared" si="36"/>
        <v>54302</v>
      </c>
      <c r="D331" s="173">
        <f t="shared" si="41"/>
        <v>0</v>
      </c>
      <c r="E331" s="173">
        <f t="shared" si="44"/>
        <v>53274.285736839716</v>
      </c>
      <c r="F331" s="174">
        <f t="shared" si="37"/>
        <v>0</v>
      </c>
      <c r="G331" s="173">
        <f t="shared" si="38"/>
        <v>0</v>
      </c>
      <c r="H331" s="173">
        <f t="shared" si="42"/>
        <v>0</v>
      </c>
      <c r="I331" s="173">
        <f t="shared" si="43"/>
        <v>0</v>
      </c>
      <c r="J331" s="173">
        <f t="shared" si="39"/>
        <v>0</v>
      </c>
      <c r="K331" s="173">
        <f>SUM($I$17:$I331)</f>
        <v>1804594.2884207652</v>
      </c>
      <c r="L331" s="168"/>
      <c r="M331" s="168"/>
      <c r="N331" s="150"/>
    </row>
    <row r="332" spans="1:14" ht="12.75">
      <c r="A332" s="191">
        <f t="shared" si="40"/>
        <v>316</v>
      </c>
      <c r="B332" s="171"/>
      <c r="C332" s="172">
        <f t="shared" si="36"/>
        <v>54332</v>
      </c>
      <c r="D332" s="173">
        <f t="shared" si="41"/>
        <v>0</v>
      </c>
      <c r="E332" s="173">
        <f t="shared" si="44"/>
        <v>53274.285736839716</v>
      </c>
      <c r="F332" s="174">
        <f t="shared" si="37"/>
        <v>0</v>
      </c>
      <c r="G332" s="173">
        <f t="shared" si="38"/>
        <v>0</v>
      </c>
      <c r="H332" s="173">
        <f t="shared" si="42"/>
        <v>0</v>
      </c>
      <c r="I332" s="173">
        <f t="shared" si="43"/>
        <v>0</v>
      </c>
      <c r="J332" s="173">
        <f t="shared" si="39"/>
        <v>0</v>
      </c>
      <c r="K332" s="173">
        <f>SUM($I$17:$I332)</f>
        <v>1804594.2884207652</v>
      </c>
      <c r="L332" s="168"/>
      <c r="M332" s="168"/>
      <c r="N332" s="150"/>
    </row>
    <row r="333" spans="1:14" ht="12.75">
      <c r="A333" s="191">
        <f t="shared" si="40"/>
        <v>317</v>
      </c>
      <c r="B333" s="171"/>
      <c r="C333" s="172">
        <f t="shared" si="36"/>
        <v>54363</v>
      </c>
      <c r="D333" s="173">
        <f t="shared" si="41"/>
        <v>0</v>
      </c>
      <c r="E333" s="173">
        <f t="shared" si="44"/>
        <v>53274.285736839716</v>
      </c>
      <c r="F333" s="174">
        <f t="shared" si="37"/>
        <v>0</v>
      </c>
      <c r="G333" s="173">
        <f t="shared" si="38"/>
        <v>0</v>
      </c>
      <c r="H333" s="173">
        <f t="shared" si="42"/>
        <v>0</v>
      </c>
      <c r="I333" s="173">
        <f t="shared" si="43"/>
        <v>0</v>
      </c>
      <c r="J333" s="173">
        <f t="shared" si="39"/>
        <v>0</v>
      </c>
      <c r="K333" s="173">
        <f>SUM($I$17:$I333)</f>
        <v>1804594.2884207652</v>
      </c>
      <c r="L333" s="168"/>
      <c r="M333" s="168"/>
      <c r="N333" s="150"/>
    </row>
    <row r="334" spans="1:14" ht="12.75">
      <c r="A334" s="191">
        <f t="shared" si="40"/>
        <v>318</v>
      </c>
      <c r="B334" s="171"/>
      <c r="C334" s="172">
        <f t="shared" si="36"/>
        <v>54393</v>
      </c>
      <c r="D334" s="173">
        <f t="shared" si="41"/>
        <v>0</v>
      </c>
      <c r="E334" s="173">
        <f t="shared" si="44"/>
        <v>53274.285736839716</v>
      </c>
      <c r="F334" s="174">
        <f t="shared" si="37"/>
        <v>0</v>
      </c>
      <c r="G334" s="173">
        <f t="shared" si="38"/>
        <v>0</v>
      </c>
      <c r="H334" s="173">
        <f t="shared" si="42"/>
        <v>0</v>
      </c>
      <c r="I334" s="173">
        <f t="shared" si="43"/>
        <v>0</v>
      </c>
      <c r="J334" s="173">
        <f t="shared" si="39"/>
        <v>0</v>
      </c>
      <c r="K334" s="173">
        <f>SUM($I$17:$I334)</f>
        <v>1804594.2884207652</v>
      </c>
      <c r="L334" s="168"/>
      <c r="M334" s="168"/>
      <c r="N334" s="150"/>
    </row>
    <row r="335" spans="1:14" ht="12.75">
      <c r="A335" s="191">
        <f t="shared" si="40"/>
        <v>319</v>
      </c>
      <c r="B335" s="171"/>
      <c r="C335" s="172">
        <f t="shared" si="36"/>
        <v>54424</v>
      </c>
      <c r="D335" s="173">
        <f t="shared" si="41"/>
        <v>0</v>
      </c>
      <c r="E335" s="173">
        <f t="shared" si="44"/>
        <v>53274.285736839716</v>
      </c>
      <c r="F335" s="174">
        <f t="shared" si="37"/>
        <v>0</v>
      </c>
      <c r="G335" s="173">
        <f t="shared" si="38"/>
        <v>0</v>
      </c>
      <c r="H335" s="173">
        <f t="shared" si="42"/>
        <v>0</v>
      </c>
      <c r="I335" s="173">
        <f t="shared" si="43"/>
        <v>0</v>
      </c>
      <c r="J335" s="173">
        <f t="shared" si="39"/>
        <v>0</v>
      </c>
      <c r="K335" s="173">
        <f>SUM($I$17:$I335)</f>
        <v>1804594.2884207652</v>
      </c>
      <c r="L335" s="168"/>
      <c r="M335" s="168"/>
      <c r="N335" s="150"/>
    </row>
    <row r="336" spans="1:14" ht="12.75">
      <c r="A336" s="191">
        <f t="shared" si="40"/>
        <v>320</v>
      </c>
      <c r="B336" s="171"/>
      <c r="C336" s="172">
        <f t="shared" si="36"/>
        <v>54455</v>
      </c>
      <c r="D336" s="173">
        <f t="shared" si="41"/>
        <v>0</v>
      </c>
      <c r="E336" s="173">
        <f t="shared" si="44"/>
        <v>53274.285736839716</v>
      </c>
      <c r="F336" s="174">
        <f t="shared" si="37"/>
        <v>0</v>
      </c>
      <c r="G336" s="173">
        <f t="shared" si="38"/>
        <v>0</v>
      </c>
      <c r="H336" s="173">
        <f t="shared" si="42"/>
        <v>0</v>
      </c>
      <c r="I336" s="173">
        <f t="shared" si="43"/>
        <v>0</v>
      </c>
      <c r="J336" s="173">
        <f t="shared" si="39"/>
        <v>0</v>
      </c>
      <c r="K336" s="173">
        <f>SUM($I$17:$I336)</f>
        <v>1804594.2884207652</v>
      </c>
      <c r="L336" s="168"/>
      <c r="M336" s="168"/>
      <c r="N336" s="150"/>
    </row>
    <row r="337" spans="1:14" ht="12.75">
      <c r="A337" s="191">
        <f t="shared" si="40"/>
        <v>321</v>
      </c>
      <c r="B337" s="171"/>
      <c r="C337" s="172">
        <f t="shared" ref="C337:C376" si="45">IF(Pay_Num&lt;&gt;"",DATE(YEAR(Loan_Start),MONTH(Loan_Start)+(Pay_Num)*12/Num_Pmt_Per_Year,DAY(Loan_Start)),"")</f>
        <v>54483</v>
      </c>
      <c r="D337" s="173">
        <f t="shared" si="41"/>
        <v>0</v>
      </c>
      <c r="E337" s="173">
        <f t="shared" si="44"/>
        <v>53274.285736839716</v>
      </c>
      <c r="F337" s="174">
        <f t="shared" ref="F337:F376" si="46">IF(AND(Pay_Num&lt;&gt;"",Sched_Pay+Scheduled_Extra_Payments&lt;Beg_Bal),Scheduled_Extra_Payments,IF(AND(Pay_Num&lt;&gt;"",Beg_Bal-Sched_Pay&gt;0),Beg_Bal-Sched_Pay,IF(Pay_Num&lt;&gt;"",0,"")))</f>
        <v>0</v>
      </c>
      <c r="G337" s="173">
        <f t="shared" ref="G337:G376" si="47">IF(AND(Pay_Num&lt;&gt;"",Sched_Pay+Extra_Pay&lt;Beg_Bal),Sched_Pay+Extra_Pay,IF(Pay_Num&lt;&gt;"",Beg_Bal,""))</f>
        <v>0</v>
      </c>
      <c r="H337" s="173">
        <f t="shared" si="42"/>
        <v>0</v>
      </c>
      <c r="I337" s="173">
        <f t="shared" si="43"/>
        <v>0</v>
      </c>
      <c r="J337" s="173">
        <f t="shared" ref="J337:J376" si="48">IF(AND(Pay_Num&lt;&gt;"",Sched_Pay+Extra_Pay&lt;Beg_Bal),Beg_Bal-Princ,IF(Pay_Num&lt;&gt;"",0,""))</f>
        <v>0</v>
      </c>
      <c r="K337" s="173">
        <f>SUM($I$17:$I337)</f>
        <v>1804594.2884207652</v>
      </c>
      <c r="L337" s="168"/>
      <c r="M337" s="168"/>
      <c r="N337" s="150"/>
    </row>
    <row r="338" spans="1:14" ht="12.75">
      <c r="A338" s="191">
        <f t="shared" ref="A338:A376" si="49">IF(Values_Entered,A337+1,"")</f>
        <v>322</v>
      </c>
      <c r="B338" s="171"/>
      <c r="C338" s="172">
        <f t="shared" si="45"/>
        <v>54514</v>
      </c>
      <c r="D338" s="173">
        <f t="shared" ref="D338:D376" si="50">IF(Pay_Num&lt;&gt;"",J337,"")</f>
        <v>0</v>
      </c>
      <c r="E338" s="173">
        <f t="shared" si="44"/>
        <v>53274.285736839716</v>
      </c>
      <c r="F338" s="174">
        <f t="shared" si="46"/>
        <v>0</v>
      </c>
      <c r="G338" s="173">
        <f t="shared" si="47"/>
        <v>0</v>
      </c>
      <c r="H338" s="173">
        <f t="shared" ref="H338:H376" si="51">IF(Pay_Num&lt;&gt;"",Total_Pay-Int,"")</f>
        <v>0</v>
      </c>
      <c r="I338" s="173">
        <f t="shared" ref="I338:I376" si="52">IF(Pay_Num&lt;&gt;"",Beg_Bal*Interest_Rate/Num_Pmt_Per_Year,"")</f>
        <v>0</v>
      </c>
      <c r="J338" s="173">
        <f t="shared" si="48"/>
        <v>0</v>
      </c>
      <c r="K338" s="173">
        <f>SUM($I$17:$I338)</f>
        <v>1804594.2884207652</v>
      </c>
      <c r="L338" s="168"/>
      <c r="M338" s="168"/>
      <c r="N338" s="150"/>
    </row>
    <row r="339" spans="1:14" ht="12.75">
      <c r="A339" s="191">
        <f t="shared" si="49"/>
        <v>323</v>
      </c>
      <c r="B339" s="171"/>
      <c r="C339" s="172">
        <f t="shared" si="45"/>
        <v>54544</v>
      </c>
      <c r="D339" s="173">
        <f t="shared" si="50"/>
        <v>0</v>
      </c>
      <c r="E339" s="173">
        <f t="shared" ref="E339:E376" si="53">IF(Pay_Num&lt;&gt;"",Scheduled_Monthly_Payment,"")</f>
        <v>53274.285736839716</v>
      </c>
      <c r="F339" s="174">
        <f t="shared" si="46"/>
        <v>0</v>
      </c>
      <c r="G339" s="173">
        <f t="shared" si="47"/>
        <v>0</v>
      </c>
      <c r="H339" s="173">
        <f t="shared" si="51"/>
        <v>0</v>
      </c>
      <c r="I339" s="173">
        <f t="shared" si="52"/>
        <v>0</v>
      </c>
      <c r="J339" s="173">
        <f t="shared" si="48"/>
        <v>0</v>
      </c>
      <c r="K339" s="173">
        <f>SUM($I$17:$I339)</f>
        <v>1804594.2884207652</v>
      </c>
      <c r="L339" s="168"/>
      <c r="M339" s="168"/>
      <c r="N339" s="150"/>
    </row>
    <row r="340" spans="1:14" ht="12.75">
      <c r="A340" s="191">
        <f t="shared" si="49"/>
        <v>324</v>
      </c>
      <c r="B340" s="171"/>
      <c r="C340" s="172">
        <f t="shared" si="45"/>
        <v>54575</v>
      </c>
      <c r="D340" s="173">
        <f t="shared" si="50"/>
        <v>0</v>
      </c>
      <c r="E340" s="173">
        <f t="shared" si="53"/>
        <v>53274.285736839716</v>
      </c>
      <c r="F340" s="174">
        <f t="shared" si="46"/>
        <v>0</v>
      </c>
      <c r="G340" s="173">
        <f t="shared" si="47"/>
        <v>0</v>
      </c>
      <c r="H340" s="173">
        <f t="shared" si="51"/>
        <v>0</v>
      </c>
      <c r="I340" s="173">
        <f t="shared" si="52"/>
        <v>0</v>
      </c>
      <c r="J340" s="173">
        <f t="shared" si="48"/>
        <v>0</v>
      </c>
      <c r="K340" s="173">
        <f>SUM($I$17:$I340)</f>
        <v>1804594.2884207652</v>
      </c>
      <c r="L340" s="168"/>
      <c r="M340" s="168"/>
      <c r="N340" s="150"/>
    </row>
    <row r="341" spans="1:14" ht="12.75">
      <c r="A341" s="191">
        <f t="shared" si="49"/>
        <v>325</v>
      </c>
      <c r="B341" s="171"/>
      <c r="C341" s="172">
        <f t="shared" si="45"/>
        <v>54605</v>
      </c>
      <c r="D341" s="173">
        <f t="shared" si="50"/>
        <v>0</v>
      </c>
      <c r="E341" s="173">
        <f t="shared" si="53"/>
        <v>53274.285736839716</v>
      </c>
      <c r="F341" s="174">
        <f t="shared" si="46"/>
        <v>0</v>
      </c>
      <c r="G341" s="173">
        <f t="shared" si="47"/>
        <v>0</v>
      </c>
      <c r="H341" s="173">
        <f t="shared" si="51"/>
        <v>0</v>
      </c>
      <c r="I341" s="173">
        <f t="shared" si="52"/>
        <v>0</v>
      </c>
      <c r="J341" s="173">
        <f t="shared" si="48"/>
        <v>0</v>
      </c>
      <c r="K341" s="173">
        <f>SUM($I$17:$I341)</f>
        <v>1804594.2884207652</v>
      </c>
      <c r="L341" s="168"/>
      <c r="M341" s="168"/>
      <c r="N341" s="150"/>
    </row>
    <row r="342" spans="1:14" ht="12.75">
      <c r="A342" s="191">
        <f t="shared" si="49"/>
        <v>326</v>
      </c>
      <c r="B342" s="171"/>
      <c r="C342" s="172">
        <f t="shared" si="45"/>
        <v>54636</v>
      </c>
      <c r="D342" s="173">
        <f t="shared" si="50"/>
        <v>0</v>
      </c>
      <c r="E342" s="173">
        <f t="shared" si="53"/>
        <v>53274.285736839716</v>
      </c>
      <c r="F342" s="174">
        <f t="shared" si="46"/>
        <v>0</v>
      </c>
      <c r="G342" s="173">
        <f t="shared" si="47"/>
        <v>0</v>
      </c>
      <c r="H342" s="173">
        <f t="shared" si="51"/>
        <v>0</v>
      </c>
      <c r="I342" s="173">
        <f t="shared" si="52"/>
        <v>0</v>
      </c>
      <c r="J342" s="173">
        <f t="shared" si="48"/>
        <v>0</v>
      </c>
      <c r="K342" s="173">
        <f>SUM($I$17:$I342)</f>
        <v>1804594.2884207652</v>
      </c>
      <c r="L342" s="168"/>
      <c r="M342" s="168"/>
      <c r="N342" s="150"/>
    </row>
    <row r="343" spans="1:14" ht="12.75">
      <c r="A343" s="191">
        <f t="shared" si="49"/>
        <v>327</v>
      </c>
      <c r="B343" s="171"/>
      <c r="C343" s="172">
        <f t="shared" si="45"/>
        <v>54667</v>
      </c>
      <c r="D343" s="173">
        <f t="shared" si="50"/>
        <v>0</v>
      </c>
      <c r="E343" s="173">
        <f t="shared" si="53"/>
        <v>53274.285736839716</v>
      </c>
      <c r="F343" s="174">
        <f t="shared" si="46"/>
        <v>0</v>
      </c>
      <c r="G343" s="173">
        <f t="shared" si="47"/>
        <v>0</v>
      </c>
      <c r="H343" s="173">
        <f t="shared" si="51"/>
        <v>0</v>
      </c>
      <c r="I343" s="173">
        <f t="shared" si="52"/>
        <v>0</v>
      </c>
      <c r="J343" s="173">
        <f t="shared" si="48"/>
        <v>0</v>
      </c>
      <c r="K343" s="173">
        <f>SUM($I$17:$I343)</f>
        <v>1804594.2884207652</v>
      </c>
      <c r="L343" s="168"/>
      <c r="M343" s="168"/>
      <c r="N343" s="150"/>
    </row>
    <row r="344" spans="1:14" ht="12.75">
      <c r="A344" s="191">
        <f t="shared" si="49"/>
        <v>328</v>
      </c>
      <c r="B344" s="171"/>
      <c r="C344" s="172">
        <f t="shared" si="45"/>
        <v>54697</v>
      </c>
      <c r="D344" s="173">
        <f t="shared" si="50"/>
        <v>0</v>
      </c>
      <c r="E344" s="173">
        <f t="shared" si="53"/>
        <v>53274.285736839716</v>
      </c>
      <c r="F344" s="174">
        <f t="shared" si="46"/>
        <v>0</v>
      </c>
      <c r="G344" s="173">
        <f t="shared" si="47"/>
        <v>0</v>
      </c>
      <c r="H344" s="173">
        <f t="shared" si="51"/>
        <v>0</v>
      </c>
      <c r="I344" s="173">
        <f t="shared" si="52"/>
        <v>0</v>
      </c>
      <c r="J344" s="173">
        <f t="shared" si="48"/>
        <v>0</v>
      </c>
      <c r="K344" s="173">
        <f>SUM($I$17:$I344)</f>
        <v>1804594.2884207652</v>
      </c>
      <c r="L344" s="168"/>
      <c r="M344" s="168"/>
      <c r="N344" s="150"/>
    </row>
    <row r="345" spans="1:14" ht="12.75">
      <c r="A345" s="191">
        <f t="shared" si="49"/>
        <v>329</v>
      </c>
      <c r="B345" s="171"/>
      <c r="C345" s="172">
        <f t="shared" si="45"/>
        <v>54728</v>
      </c>
      <c r="D345" s="173">
        <f t="shared" si="50"/>
        <v>0</v>
      </c>
      <c r="E345" s="173">
        <f t="shared" si="53"/>
        <v>53274.285736839716</v>
      </c>
      <c r="F345" s="174">
        <f t="shared" si="46"/>
        <v>0</v>
      </c>
      <c r="G345" s="173">
        <f t="shared" si="47"/>
        <v>0</v>
      </c>
      <c r="H345" s="173">
        <f t="shared" si="51"/>
        <v>0</v>
      </c>
      <c r="I345" s="173">
        <f t="shared" si="52"/>
        <v>0</v>
      </c>
      <c r="J345" s="173">
        <f t="shared" si="48"/>
        <v>0</v>
      </c>
      <c r="K345" s="173">
        <f>SUM($I$17:$I345)</f>
        <v>1804594.2884207652</v>
      </c>
      <c r="L345" s="168"/>
      <c r="M345" s="168"/>
      <c r="N345" s="150"/>
    </row>
    <row r="346" spans="1:14" ht="12.75">
      <c r="A346" s="191">
        <f t="shared" si="49"/>
        <v>330</v>
      </c>
      <c r="B346" s="171"/>
      <c r="C346" s="172">
        <f t="shared" si="45"/>
        <v>54758</v>
      </c>
      <c r="D346" s="173">
        <f t="shared" si="50"/>
        <v>0</v>
      </c>
      <c r="E346" s="173">
        <f t="shared" si="53"/>
        <v>53274.285736839716</v>
      </c>
      <c r="F346" s="174">
        <f t="shared" si="46"/>
        <v>0</v>
      </c>
      <c r="G346" s="173">
        <f t="shared" si="47"/>
        <v>0</v>
      </c>
      <c r="H346" s="173">
        <f t="shared" si="51"/>
        <v>0</v>
      </c>
      <c r="I346" s="173">
        <f t="shared" si="52"/>
        <v>0</v>
      </c>
      <c r="J346" s="173">
        <f t="shared" si="48"/>
        <v>0</v>
      </c>
      <c r="K346" s="173">
        <f>SUM($I$17:$I346)</f>
        <v>1804594.2884207652</v>
      </c>
      <c r="L346" s="168"/>
      <c r="M346" s="168"/>
      <c r="N346" s="150"/>
    </row>
    <row r="347" spans="1:14" ht="12.75">
      <c r="A347" s="191">
        <f t="shared" si="49"/>
        <v>331</v>
      </c>
      <c r="B347" s="171"/>
      <c r="C347" s="172">
        <f t="shared" si="45"/>
        <v>54789</v>
      </c>
      <c r="D347" s="173">
        <f t="shared" si="50"/>
        <v>0</v>
      </c>
      <c r="E347" s="173">
        <f t="shared" si="53"/>
        <v>53274.285736839716</v>
      </c>
      <c r="F347" s="174">
        <f t="shared" si="46"/>
        <v>0</v>
      </c>
      <c r="G347" s="173">
        <f t="shared" si="47"/>
        <v>0</v>
      </c>
      <c r="H347" s="173">
        <f t="shared" si="51"/>
        <v>0</v>
      </c>
      <c r="I347" s="173">
        <f t="shared" si="52"/>
        <v>0</v>
      </c>
      <c r="J347" s="173">
        <f t="shared" si="48"/>
        <v>0</v>
      </c>
      <c r="K347" s="173">
        <f>SUM($I$17:$I347)</f>
        <v>1804594.2884207652</v>
      </c>
      <c r="L347" s="168"/>
      <c r="M347" s="168"/>
      <c r="N347" s="150"/>
    </row>
    <row r="348" spans="1:14" ht="12.75">
      <c r="A348" s="191">
        <f t="shared" si="49"/>
        <v>332</v>
      </c>
      <c r="B348" s="171"/>
      <c r="C348" s="172">
        <f t="shared" si="45"/>
        <v>54820</v>
      </c>
      <c r="D348" s="173">
        <f t="shared" si="50"/>
        <v>0</v>
      </c>
      <c r="E348" s="173">
        <f t="shared" si="53"/>
        <v>53274.285736839716</v>
      </c>
      <c r="F348" s="174">
        <f t="shared" si="46"/>
        <v>0</v>
      </c>
      <c r="G348" s="173">
        <f t="shared" si="47"/>
        <v>0</v>
      </c>
      <c r="H348" s="173">
        <f t="shared" si="51"/>
        <v>0</v>
      </c>
      <c r="I348" s="173">
        <f t="shared" si="52"/>
        <v>0</v>
      </c>
      <c r="J348" s="173">
        <f t="shared" si="48"/>
        <v>0</v>
      </c>
      <c r="K348" s="173">
        <f>SUM($I$17:$I348)</f>
        <v>1804594.2884207652</v>
      </c>
      <c r="L348" s="168"/>
      <c r="M348" s="168"/>
      <c r="N348" s="150"/>
    </row>
    <row r="349" spans="1:14" ht="12.75">
      <c r="A349" s="191">
        <f t="shared" si="49"/>
        <v>333</v>
      </c>
      <c r="B349" s="171"/>
      <c r="C349" s="172">
        <f t="shared" si="45"/>
        <v>54848</v>
      </c>
      <c r="D349" s="173">
        <f t="shared" si="50"/>
        <v>0</v>
      </c>
      <c r="E349" s="173">
        <f t="shared" si="53"/>
        <v>53274.285736839716</v>
      </c>
      <c r="F349" s="174">
        <f t="shared" si="46"/>
        <v>0</v>
      </c>
      <c r="G349" s="173">
        <f t="shared" si="47"/>
        <v>0</v>
      </c>
      <c r="H349" s="173">
        <f t="shared" si="51"/>
        <v>0</v>
      </c>
      <c r="I349" s="173">
        <f t="shared" si="52"/>
        <v>0</v>
      </c>
      <c r="J349" s="173">
        <f t="shared" si="48"/>
        <v>0</v>
      </c>
      <c r="K349" s="173">
        <f>SUM($I$17:$I349)</f>
        <v>1804594.2884207652</v>
      </c>
      <c r="L349" s="168"/>
      <c r="M349" s="168"/>
      <c r="N349" s="150"/>
    </row>
    <row r="350" spans="1:14" ht="12.75">
      <c r="A350" s="191">
        <f t="shared" si="49"/>
        <v>334</v>
      </c>
      <c r="B350" s="171"/>
      <c r="C350" s="172">
        <f t="shared" si="45"/>
        <v>54879</v>
      </c>
      <c r="D350" s="173">
        <f t="shared" si="50"/>
        <v>0</v>
      </c>
      <c r="E350" s="173">
        <f t="shared" si="53"/>
        <v>53274.285736839716</v>
      </c>
      <c r="F350" s="174">
        <f t="shared" si="46"/>
        <v>0</v>
      </c>
      <c r="G350" s="173">
        <f t="shared" si="47"/>
        <v>0</v>
      </c>
      <c r="H350" s="173">
        <f t="shared" si="51"/>
        <v>0</v>
      </c>
      <c r="I350" s="173">
        <f t="shared" si="52"/>
        <v>0</v>
      </c>
      <c r="J350" s="173">
        <f t="shared" si="48"/>
        <v>0</v>
      </c>
      <c r="K350" s="173">
        <f>SUM($I$17:$I350)</f>
        <v>1804594.2884207652</v>
      </c>
      <c r="L350" s="168"/>
      <c r="M350" s="168"/>
      <c r="N350" s="150"/>
    </row>
    <row r="351" spans="1:14" ht="12.75">
      <c r="A351" s="191">
        <f t="shared" si="49"/>
        <v>335</v>
      </c>
      <c r="B351" s="171"/>
      <c r="C351" s="172">
        <f t="shared" si="45"/>
        <v>54909</v>
      </c>
      <c r="D351" s="173">
        <f t="shared" si="50"/>
        <v>0</v>
      </c>
      <c r="E351" s="173">
        <f t="shared" si="53"/>
        <v>53274.285736839716</v>
      </c>
      <c r="F351" s="174">
        <f t="shared" si="46"/>
        <v>0</v>
      </c>
      <c r="G351" s="173">
        <f t="shared" si="47"/>
        <v>0</v>
      </c>
      <c r="H351" s="173">
        <f t="shared" si="51"/>
        <v>0</v>
      </c>
      <c r="I351" s="173">
        <f t="shared" si="52"/>
        <v>0</v>
      </c>
      <c r="J351" s="173">
        <f t="shared" si="48"/>
        <v>0</v>
      </c>
      <c r="K351" s="173">
        <f>SUM($I$17:$I351)</f>
        <v>1804594.2884207652</v>
      </c>
      <c r="L351" s="168"/>
      <c r="M351" s="168"/>
      <c r="N351" s="150"/>
    </row>
    <row r="352" spans="1:14" ht="12.75">
      <c r="A352" s="191">
        <f t="shared" si="49"/>
        <v>336</v>
      </c>
      <c r="B352" s="171"/>
      <c r="C352" s="172">
        <f t="shared" si="45"/>
        <v>54940</v>
      </c>
      <c r="D352" s="173">
        <f t="shared" si="50"/>
        <v>0</v>
      </c>
      <c r="E352" s="173">
        <f t="shared" si="53"/>
        <v>53274.285736839716</v>
      </c>
      <c r="F352" s="174">
        <f t="shared" si="46"/>
        <v>0</v>
      </c>
      <c r="G352" s="173">
        <f t="shared" si="47"/>
        <v>0</v>
      </c>
      <c r="H352" s="173">
        <f t="shared" si="51"/>
        <v>0</v>
      </c>
      <c r="I352" s="173">
        <f t="shared" si="52"/>
        <v>0</v>
      </c>
      <c r="J352" s="173">
        <f t="shared" si="48"/>
        <v>0</v>
      </c>
      <c r="K352" s="173">
        <f>SUM($I$17:$I352)</f>
        <v>1804594.2884207652</v>
      </c>
      <c r="L352" s="168"/>
      <c r="M352" s="168"/>
      <c r="N352" s="150"/>
    </row>
    <row r="353" spans="1:14" ht="12.75">
      <c r="A353" s="191">
        <f t="shared" si="49"/>
        <v>337</v>
      </c>
      <c r="B353" s="171"/>
      <c r="C353" s="172">
        <f t="shared" si="45"/>
        <v>54970</v>
      </c>
      <c r="D353" s="173">
        <f t="shared" si="50"/>
        <v>0</v>
      </c>
      <c r="E353" s="173">
        <f t="shared" si="53"/>
        <v>53274.285736839716</v>
      </c>
      <c r="F353" s="174">
        <f t="shared" si="46"/>
        <v>0</v>
      </c>
      <c r="G353" s="173">
        <f t="shared" si="47"/>
        <v>0</v>
      </c>
      <c r="H353" s="173">
        <f t="shared" si="51"/>
        <v>0</v>
      </c>
      <c r="I353" s="173">
        <f t="shared" si="52"/>
        <v>0</v>
      </c>
      <c r="J353" s="173">
        <f t="shared" si="48"/>
        <v>0</v>
      </c>
      <c r="K353" s="173">
        <f>SUM($I$17:$I353)</f>
        <v>1804594.2884207652</v>
      </c>
      <c r="L353" s="168"/>
      <c r="M353" s="168"/>
      <c r="N353" s="150"/>
    </row>
    <row r="354" spans="1:14" ht="12.75">
      <c r="A354" s="191">
        <f t="shared" si="49"/>
        <v>338</v>
      </c>
      <c r="B354" s="171"/>
      <c r="C354" s="172">
        <f t="shared" si="45"/>
        <v>55001</v>
      </c>
      <c r="D354" s="173">
        <f t="shared" si="50"/>
        <v>0</v>
      </c>
      <c r="E354" s="173">
        <f t="shared" si="53"/>
        <v>53274.285736839716</v>
      </c>
      <c r="F354" s="174">
        <f t="shared" si="46"/>
        <v>0</v>
      </c>
      <c r="G354" s="173">
        <f t="shared" si="47"/>
        <v>0</v>
      </c>
      <c r="H354" s="173">
        <f t="shared" si="51"/>
        <v>0</v>
      </c>
      <c r="I354" s="173">
        <f t="shared" si="52"/>
        <v>0</v>
      </c>
      <c r="J354" s="173">
        <f t="shared" si="48"/>
        <v>0</v>
      </c>
      <c r="K354" s="173">
        <f>SUM($I$17:$I354)</f>
        <v>1804594.2884207652</v>
      </c>
      <c r="L354" s="168"/>
      <c r="M354" s="168"/>
      <c r="N354" s="150"/>
    </row>
    <row r="355" spans="1:14" ht="12.75">
      <c r="A355" s="191">
        <f t="shared" si="49"/>
        <v>339</v>
      </c>
      <c r="B355" s="171"/>
      <c r="C355" s="172">
        <f t="shared" si="45"/>
        <v>55032</v>
      </c>
      <c r="D355" s="173">
        <f t="shared" si="50"/>
        <v>0</v>
      </c>
      <c r="E355" s="173">
        <f t="shared" si="53"/>
        <v>53274.285736839716</v>
      </c>
      <c r="F355" s="174">
        <f t="shared" si="46"/>
        <v>0</v>
      </c>
      <c r="G355" s="173">
        <f t="shared" si="47"/>
        <v>0</v>
      </c>
      <c r="H355" s="173">
        <f t="shared" si="51"/>
        <v>0</v>
      </c>
      <c r="I355" s="173">
        <f t="shared" si="52"/>
        <v>0</v>
      </c>
      <c r="J355" s="173">
        <f t="shared" si="48"/>
        <v>0</v>
      </c>
      <c r="K355" s="173">
        <f>SUM($I$17:$I355)</f>
        <v>1804594.2884207652</v>
      </c>
      <c r="L355" s="168"/>
      <c r="M355" s="168"/>
      <c r="N355" s="150"/>
    </row>
    <row r="356" spans="1:14" ht="12.75">
      <c r="A356" s="191">
        <f t="shared" si="49"/>
        <v>340</v>
      </c>
      <c r="B356" s="171"/>
      <c r="C356" s="172">
        <f t="shared" si="45"/>
        <v>55062</v>
      </c>
      <c r="D356" s="173">
        <f t="shared" si="50"/>
        <v>0</v>
      </c>
      <c r="E356" s="173">
        <f t="shared" si="53"/>
        <v>53274.285736839716</v>
      </c>
      <c r="F356" s="174">
        <f t="shared" si="46"/>
        <v>0</v>
      </c>
      <c r="G356" s="173">
        <f t="shared" si="47"/>
        <v>0</v>
      </c>
      <c r="H356" s="173">
        <f t="shared" si="51"/>
        <v>0</v>
      </c>
      <c r="I356" s="173">
        <f t="shared" si="52"/>
        <v>0</v>
      </c>
      <c r="J356" s="173">
        <f t="shared" si="48"/>
        <v>0</v>
      </c>
      <c r="K356" s="173">
        <f>SUM($I$17:$I356)</f>
        <v>1804594.2884207652</v>
      </c>
      <c r="L356" s="168"/>
      <c r="M356" s="168"/>
      <c r="N356" s="150"/>
    </row>
    <row r="357" spans="1:14" ht="12.75">
      <c r="A357" s="191">
        <f t="shared" si="49"/>
        <v>341</v>
      </c>
      <c r="B357" s="171"/>
      <c r="C357" s="172">
        <f t="shared" si="45"/>
        <v>55093</v>
      </c>
      <c r="D357" s="173">
        <f t="shared" si="50"/>
        <v>0</v>
      </c>
      <c r="E357" s="173">
        <f t="shared" si="53"/>
        <v>53274.285736839716</v>
      </c>
      <c r="F357" s="174">
        <f t="shared" si="46"/>
        <v>0</v>
      </c>
      <c r="G357" s="173">
        <f t="shared" si="47"/>
        <v>0</v>
      </c>
      <c r="H357" s="173">
        <f t="shared" si="51"/>
        <v>0</v>
      </c>
      <c r="I357" s="173">
        <f t="shared" si="52"/>
        <v>0</v>
      </c>
      <c r="J357" s="173">
        <f t="shared" si="48"/>
        <v>0</v>
      </c>
      <c r="K357" s="173">
        <f>SUM($I$17:$I357)</f>
        <v>1804594.2884207652</v>
      </c>
      <c r="L357" s="168"/>
      <c r="M357" s="168"/>
      <c r="N357" s="150"/>
    </row>
    <row r="358" spans="1:14" ht="12.75">
      <c r="A358" s="191">
        <f t="shared" si="49"/>
        <v>342</v>
      </c>
      <c r="B358" s="171"/>
      <c r="C358" s="172">
        <f t="shared" si="45"/>
        <v>55123</v>
      </c>
      <c r="D358" s="173">
        <f t="shared" si="50"/>
        <v>0</v>
      </c>
      <c r="E358" s="173">
        <f t="shared" si="53"/>
        <v>53274.285736839716</v>
      </c>
      <c r="F358" s="174">
        <f t="shared" si="46"/>
        <v>0</v>
      </c>
      <c r="G358" s="173">
        <f t="shared" si="47"/>
        <v>0</v>
      </c>
      <c r="H358" s="173">
        <f t="shared" si="51"/>
        <v>0</v>
      </c>
      <c r="I358" s="173">
        <f t="shared" si="52"/>
        <v>0</v>
      </c>
      <c r="J358" s="173">
        <f t="shared" si="48"/>
        <v>0</v>
      </c>
      <c r="K358" s="173">
        <f>SUM($I$17:$I358)</f>
        <v>1804594.2884207652</v>
      </c>
      <c r="L358" s="168"/>
      <c r="M358" s="168"/>
      <c r="N358" s="150"/>
    </row>
    <row r="359" spans="1:14" ht="12.75">
      <c r="A359" s="191">
        <f t="shared" si="49"/>
        <v>343</v>
      </c>
      <c r="B359" s="171"/>
      <c r="C359" s="172">
        <f t="shared" si="45"/>
        <v>55154</v>
      </c>
      <c r="D359" s="173">
        <f t="shared" si="50"/>
        <v>0</v>
      </c>
      <c r="E359" s="173">
        <f t="shared" si="53"/>
        <v>53274.285736839716</v>
      </c>
      <c r="F359" s="174">
        <f t="shared" si="46"/>
        <v>0</v>
      </c>
      <c r="G359" s="173">
        <f t="shared" si="47"/>
        <v>0</v>
      </c>
      <c r="H359" s="173">
        <f t="shared" si="51"/>
        <v>0</v>
      </c>
      <c r="I359" s="173">
        <f t="shared" si="52"/>
        <v>0</v>
      </c>
      <c r="J359" s="173">
        <f t="shared" si="48"/>
        <v>0</v>
      </c>
      <c r="K359" s="173">
        <f>SUM($I$17:$I359)</f>
        <v>1804594.2884207652</v>
      </c>
      <c r="L359" s="168"/>
      <c r="M359" s="168"/>
      <c r="N359" s="150"/>
    </row>
    <row r="360" spans="1:14" ht="12.75">
      <c r="A360" s="191">
        <f t="shared" si="49"/>
        <v>344</v>
      </c>
      <c r="B360" s="171"/>
      <c r="C360" s="172">
        <f t="shared" si="45"/>
        <v>55185</v>
      </c>
      <c r="D360" s="173">
        <f t="shared" si="50"/>
        <v>0</v>
      </c>
      <c r="E360" s="173">
        <f t="shared" si="53"/>
        <v>53274.285736839716</v>
      </c>
      <c r="F360" s="174">
        <f t="shared" si="46"/>
        <v>0</v>
      </c>
      <c r="G360" s="173">
        <f t="shared" si="47"/>
        <v>0</v>
      </c>
      <c r="H360" s="173">
        <f t="shared" si="51"/>
        <v>0</v>
      </c>
      <c r="I360" s="173">
        <f t="shared" si="52"/>
        <v>0</v>
      </c>
      <c r="J360" s="173">
        <f t="shared" si="48"/>
        <v>0</v>
      </c>
      <c r="K360" s="173">
        <f>SUM($I$17:$I360)</f>
        <v>1804594.2884207652</v>
      </c>
      <c r="L360" s="168"/>
      <c r="M360" s="168"/>
      <c r="N360" s="150"/>
    </row>
    <row r="361" spans="1:14" ht="12.75">
      <c r="A361" s="191">
        <f t="shared" si="49"/>
        <v>345</v>
      </c>
      <c r="B361" s="171"/>
      <c r="C361" s="172">
        <f t="shared" si="45"/>
        <v>55213</v>
      </c>
      <c r="D361" s="173">
        <f t="shared" si="50"/>
        <v>0</v>
      </c>
      <c r="E361" s="173">
        <f t="shared" si="53"/>
        <v>53274.285736839716</v>
      </c>
      <c r="F361" s="174">
        <f t="shared" si="46"/>
        <v>0</v>
      </c>
      <c r="G361" s="173">
        <f t="shared" si="47"/>
        <v>0</v>
      </c>
      <c r="H361" s="173">
        <f t="shared" si="51"/>
        <v>0</v>
      </c>
      <c r="I361" s="173">
        <f t="shared" si="52"/>
        <v>0</v>
      </c>
      <c r="J361" s="173">
        <f t="shared" si="48"/>
        <v>0</v>
      </c>
      <c r="K361" s="173">
        <f>SUM($I$17:$I361)</f>
        <v>1804594.2884207652</v>
      </c>
      <c r="L361" s="168"/>
      <c r="M361" s="168"/>
      <c r="N361" s="150"/>
    </row>
    <row r="362" spans="1:14" ht="12.75">
      <c r="A362" s="191">
        <f t="shared" si="49"/>
        <v>346</v>
      </c>
      <c r="B362" s="171"/>
      <c r="C362" s="172">
        <f t="shared" si="45"/>
        <v>55244</v>
      </c>
      <c r="D362" s="173">
        <f t="shared" si="50"/>
        <v>0</v>
      </c>
      <c r="E362" s="173">
        <f t="shared" si="53"/>
        <v>53274.285736839716</v>
      </c>
      <c r="F362" s="174">
        <f t="shared" si="46"/>
        <v>0</v>
      </c>
      <c r="G362" s="173">
        <f t="shared" si="47"/>
        <v>0</v>
      </c>
      <c r="H362" s="173">
        <f t="shared" si="51"/>
        <v>0</v>
      </c>
      <c r="I362" s="173">
        <f t="shared" si="52"/>
        <v>0</v>
      </c>
      <c r="J362" s="173">
        <f t="shared" si="48"/>
        <v>0</v>
      </c>
      <c r="K362" s="173">
        <f>SUM($I$17:$I362)</f>
        <v>1804594.2884207652</v>
      </c>
      <c r="L362" s="168"/>
      <c r="M362" s="168"/>
      <c r="N362" s="150"/>
    </row>
    <row r="363" spans="1:14" ht="12.75">
      <c r="A363" s="191">
        <f t="shared" si="49"/>
        <v>347</v>
      </c>
      <c r="B363" s="171"/>
      <c r="C363" s="172">
        <f t="shared" si="45"/>
        <v>55274</v>
      </c>
      <c r="D363" s="173">
        <f t="shared" si="50"/>
        <v>0</v>
      </c>
      <c r="E363" s="173">
        <f t="shared" si="53"/>
        <v>53274.285736839716</v>
      </c>
      <c r="F363" s="174">
        <f t="shared" si="46"/>
        <v>0</v>
      </c>
      <c r="G363" s="173">
        <f t="shared" si="47"/>
        <v>0</v>
      </c>
      <c r="H363" s="173">
        <f t="shared" si="51"/>
        <v>0</v>
      </c>
      <c r="I363" s="173">
        <f t="shared" si="52"/>
        <v>0</v>
      </c>
      <c r="J363" s="173">
        <f t="shared" si="48"/>
        <v>0</v>
      </c>
      <c r="K363" s="173">
        <f>SUM($I$17:$I363)</f>
        <v>1804594.2884207652</v>
      </c>
      <c r="L363" s="168"/>
      <c r="M363" s="168"/>
      <c r="N363" s="150"/>
    </row>
    <row r="364" spans="1:14" ht="12.75">
      <c r="A364" s="191">
        <f t="shared" si="49"/>
        <v>348</v>
      </c>
      <c r="B364" s="171"/>
      <c r="C364" s="172">
        <f t="shared" si="45"/>
        <v>55305</v>
      </c>
      <c r="D364" s="173">
        <f t="shared" si="50"/>
        <v>0</v>
      </c>
      <c r="E364" s="173">
        <f t="shared" si="53"/>
        <v>53274.285736839716</v>
      </c>
      <c r="F364" s="174">
        <f t="shared" si="46"/>
        <v>0</v>
      </c>
      <c r="G364" s="173">
        <f t="shared" si="47"/>
        <v>0</v>
      </c>
      <c r="H364" s="173">
        <f t="shared" si="51"/>
        <v>0</v>
      </c>
      <c r="I364" s="173">
        <f t="shared" si="52"/>
        <v>0</v>
      </c>
      <c r="J364" s="173">
        <f t="shared" si="48"/>
        <v>0</v>
      </c>
      <c r="K364" s="173">
        <f>SUM($I$17:$I364)</f>
        <v>1804594.2884207652</v>
      </c>
      <c r="L364" s="168"/>
      <c r="M364" s="168"/>
      <c r="N364" s="150"/>
    </row>
    <row r="365" spans="1:14" ht="12.75">
      <c r="A365" s="191">
        <f t="shared" si="49"/>
        <v>349</v>
      </c>
      <c r="B365" s="171"/>
      <c r="C365" s="172">
        <f t="shared" si="45"/>
        <v>55335</v>
      </c>
      <c r="D365" s="173">
        <f t="shared" si="50"/>
        <v>0</v>
      </c>
      <c r="E365" s="173">
        <f t="shared" si="53"/>
        <v>53274.285736839716</v>
      </c>
      <c r="F365" s="174">
        <f t="shared" si="46"/>
        <v>0</v>
      </c>
      <c r="G365" s="173">
        <f t="shared" si="47"/>
        <v>0</v>
      </c>
      <c r="H365" s="173">
        <f t="shared" si="51"/>
        <v>0</v>
      </c>
      <c r="I365" s="173">
        <f t="shared" si="52"/>
        <v>0</v>
      </c>
      <c r="J365" s="173">
        <f t="shared" si="48"/>
        <v>0</v>
      </c>
      <c r="K365" s="173">
        <f>SUM($I$17:$I365)</f>
        <v>1804594.2884207652</v>
      </c>
      <c r="L365" s="168"/>
      <c r="M365" s="168"/>
      <c r="N365" s="150"/>
    </row>
    <row r="366" spans="1:14" ht="12.75">
      <c r="A366" s="191">
        <f t="shared" si="49"/>
        <v>350</v>
      </c>
      <c r="B366" s="171"/>
      <c r="C366" s="172">
        <f t="shared" si="45"/>
        <v>55366</v>
      </c>
      <c r="D366" s="173">
        <f t="shared" si="50"/>
        <v>0</v>
      </c>
      <c r="E366" s="173">
        <f t="shared" si="53"/>
        <v>53274.285736839716</v>
      </c>
      <c r="F366" s="174">
        <f t="shared" si="46"/>
        <v>0</v>
      </c>
      <c r="G366" s="173">
        <f t="shared" si="47"/>
        <v>0</v>
      </c>
      <c r="H366" s="173">
        <f t="shared" si="51"/>
        <v>0</v>
      </c>
      <c r="I366" s="173">
        <f t="shared" si="52"/>
        <v>0</v>
      </c>
      <c r="J366" s="173">
        <f t="shared" si="48"/>
        <v>0</v>
      </c>
      <c r="K366" s="173">
        <f>SUM($I$17:$I366)</f>
        <v>1804594.2884207652</v>
      </c>
      <c r="L366" s="168"/>
      <c r="M366" s="168"/>
      <c r="N366" s="150"/>
    </row>
    <row r="367" spans="1:14" ht="12.75">
      <c r="A367" s="191">
        <f t="shared" si="49"/>
        <v>351</v>
      </c>
      <c r="B367" s="171"/>
      <c r="C367" s="172">
        <f t="shared" si="45"/>
        <v>55397</v>
      </c>
      <c r="D367" s="173">
        <f t="shared" si="50"/>
        <v>0</v>
      </c>
      <c r="E367" s="173">
        <f t="shared" si="53"/>
        <v>53274.285736839716</v>
      </c>
      <c r="F367" s="174">
        <f t="shared" si="46"/>
        <v>0</v>
      </c>
      <c r="G367" s="173">
        <f t="shared" si="47"/>
        <v>0</v>
      </c>
      <c r="H367" s="173">
        <f t="shared" si="51"/>
        <v>0</v>
      </c>
      <c r="I367" s="173">
        <f t="shared" si="52"/>
        <v>0</v>
      </c>
      <c r="J367" s="173">
        <f t="shared" si="48"/>
        <v>0</v>
      </c>
      <c r="K367" s="173">
        <f>SUM($I$17:$I367)</f>
        <v>1804594.2884207652</v>
      </c>
      <c r="L367" s="168"/>
      <c r="M367" s="168"/>
      <c r="N367" s="150"/>
    </row>
    <row r="368" spans="1:14" ht="12.75">
      <c r="A368" s="191">
        <f t="shared" si="49"/>
        <v>352</v>
      </c>
      <c r="B368" s="171"/>
      <c r="C368" s="172">
        <f t="shared" si="45"/>
        <v>55427</v>
      </c>
      <c r="D368" s="173">
        <f t="shared" si="50"/>
        <v>0</v>
      </c>
      <c r="E368" s="173">
        <f t="shared" si="53"/>
        <v>53274.285736839716</v>
      </c>
      <c r="F368" s="174">
        <f t="shared" si="46"/>
        <v>0</v>
      </c>
      <c r="G368" s="173">
        <f t="shared" si="47"/>
        <v>0</v>
      </c>
      <c r="H368" s="173">
        <f t="shared" si="51"/>
        <v>0</v>
      </c>
      <c r="I368" s="173">
        <f t="shared" si="52"/>
        <v>0</v>
      </c>
      <c r="J368" s="173">
        <f t="shared" si="48"/>
        <v>0</v>
      </c>
      <c r="K368" s="173">
        <f>SUM($I$17:$I368)</f>
        <v>1804594.2884207652</v>
      </c>
      <c r="L368" s="168"/>
      <c r="M368" s="168"/>
      <c r="N368" s="150"/>
    </row>
    <row r="369" spans="1:14" ht="12.75">
      <c r="A369" s="191">
        <f t="shared" si="49"/>
        <v>353</v>
      </c>
      <c r="B369" s="171"/>
      <c r="C369" s="172">
        <f t="shared" si="45"/>
        <v>55458</v>
      </c>
      <c r="D369" s="173">
        <f t="shared" si="50"/>
        <v>0</v>
      </c>
      <c r="E369" s="173">
        <f t="shared" si="53"/>
        <v>53274.285736839716</v>
      </c>
      <c r="F369" s="174">
        <f t="shared" si="46"/>
        <v>0</v>
      </c>
      <c r="G369" s="173">
        <f t="shared" si="47"/>
        <v>0</v>
      </c>
      <c r="H369" s="173">
        <f t="shared" si="51"/>
        <v>0</v>
      </c>
      <c r="I369" s="173">
        <f t="shared" si="52"/>
        <v>0</v>
      </c>
      <c r="J369" s="173">
        <f t="shared" si="48"/>
        <v>0</v>
      </c>
      <c r="K369" s="173">
        <f>SUM($I$17:$I369)</f>
        <v>1804594.2884207652</v>
      </c>
      <c r="L369" s="168"/>
      <c r="M369" s="168"/>
      <c r="N369" s="150"/>
    </row>
    <row r="370" spans="1:14" ht="12.75">
      <c r="A370" s="191">
        <f t="shared" si="49"/>
        <v>354</v>
      </c>
      <c r="B370" s="171"/>
      <c r="C370" s="172">
        <f t="shared" si="45"/>
        <v>55488</v>
      </c>
      <c r="D370" s="173">
        <f t="shared" si="50"/>
        <v>0</v>
      </c>
      <c r="E370" s="173">
        <f t="shared" si="53"/>
        <v>53274.285736839716</v>
      </c>
      <c r="F370" s="174">
        <f t="shared" si="46"/>
        <v>0</v>
      </c>
      <c r="G370" s="173">
        <f t="shared" si="47"/>
        <v>0</v>
      </c>
      <c r="H370" s="173">
        <f t="shared" si="51"/>
        <v>0</v>
      </c>
      <c r="I370" s="173">
        <f t="shared" si="52"/>
        <v>0</v>
      </c>
      <c r="J370" s="173">
        <f t="shared" si="48"/>
        <v>0</v>
      </c>
      <c r="K370" s="173">
        <f>SUM($I$17:$I370)</f>
        <v>1804594.2884207652</v>
      </c>
      <c r="L370" s="168"/>
      <c r="M370" s="168"/>
      <c r="N370" s="150"/>
    </row>
    <row r="371" spans="1:14" ht="12.75">
      <c r="A371" s="191">
        <f t="shared" si="49"/>
        <v>355</v>
      </c>
      <c r="B371" s="171"/>
      <c r="C371" s="172">
        <f t="shared" si="45"/>
        <v>55519</v>
      </c>
      <c r="D371" s="173">
        <f t="shared" si="50"/>
        <v>0</v>
      </c>
      <c r="E371" s="173">
        <f t="shared" si="53"/>
        <v>53274.285736839716</v>
      </c>
      <c r="F371" s="174">
        <f t="shared" si="46"/>
        <v>0</v>
      </c>
      <c r="G371" s="173">
        <f t="shared" si="47"/>
        <v>0</v>
      </c>
      <c r="H371" s="173">
        <f t="shared" si="51"/>
        <v>0</v>
      </c>
      <c r="I371" s="173">
        <f t="shared" si="52"/>
        <v>0</v>
      </c>
      <c r="J371" s="173">
        <f t="shared" si="48"/>
        <v>0</v>
      </c>
      <c r="K371" s="173">
        <f>SUM($I$17:$I371)</f>
        <v>1804594.2884207652</v>
      </c>
      <c r="L371" s="168"/>
      <c r="M371" s="168"/>
      <c r="N371" s="150"/>
    </row>
    <row r="372" spans="1:14" ht="12.75">
      <c r="A372" s="191">
        <f t="shared" si="49"/>
        <v>356</v>
      </c>
      <c r="B372" s="171"/>
      <c r="C372" s="172">
        <f t="shared" si="45"/>
        <v>55550</v>
      </c>
      <c r="D372" s="173">
        <f t="shared" si="50"/>
        <v>0</v>
      </c>
      <c r="E372" s="173">
        <f t="shared" si="53"/>
        <v>53274.285736839716</v>
      </c>
      <c r="F372" s="174">
        <f t="shared" si="46"/>
        <v>0</v>
      </c>
      <c r="G372" s="173">
        <f t="shared" si="47"/>
        <v>0</v>
      </c>
      <c r="H372" s="173">
        <f t="shared" si="51"/>
        <v>0</v>
      </c>
      <c r="I372" s="173">
        <f t="shared" si="52"/>
        <v>0</v>
      </c>
      <c r="J372" s="173">
        <f t="shared" si="48"/>
        <v>0</v>
      </c>
      <c r="K372" s="173">
        <f>SUM($I$17:$I372)</f>
        <v>1804594.2884207652</v>
      </c>
      <c r="L372" s="168"/>
      <c r="M372" s="168"/>
      <c r="N372" s="150"/>
    </row>
    <row r="373" spans="1:14" ht="12.75">
      <c r="A373" s="191">
        <f t="shared" si="49"/>
        <v>357</v>
      </c>
      <c r="B373" s="171"/>
      <c r="C373" s="172">
        <f t="shared" si="45"/>
        <v>55579</v>
      </c>
      <c r="D373" s="173">
        <f t="shared" si="50"/>
        <v>0</v>
      </c>
      <c r="E373" s="173">
        <f t="shared" si="53"/>
        <v>53274.285736839716</v>
      </c>
      <c r="F373" s="174">
        <f t="shared" si="46"/>
        <v>0</v>
      </c>
      <c r="G373" s="173">
        <f t="shared" si="47"/>
        <v>0</v>
      </c>
      <c r="H373" s="173">
        <f t="shared" si="51"/>
        <v>0</v>
      </c>
      <c r="I373" s="173">
        <f t="shared" si="52"/>
        <v>0</v>
      </c>
      <c r="J373" s="173">
        <f t="shared" si="48"/>
        <v>0</v>
      </c>
      <c r="K373" s="173">
        <f>SUM($I$17:$I373)</f>
        <v>1804594.2884207652</v>
      </c>
      <c r="L373" s="168"/>
      <c r="M373" s="168"/>
      <c r="N373" s="150"/>
    </row>
    <row r="374" spans="1:14" ht="12.75">
      <c r="A374" s="191">
        <f t="shared" si="49"/>
        <v>358</v>
      </c>
      <c r="B374" s="171"/>
      <c r="C374" s="172">
        <f t="shared" si="45"/>
        <v>55610</v>
      </c>
      <c r="D374" s="173">
        <f t="shared" si="50"/>
        <v>0</v>
      </c>
      <c r="E374" s="173">
        <f t="shared" si="53"/>
        <v>53274.285736839716</v>
      </c>
      <c r="F374" s="174">
        <f t="shared" si="46"/>
        <v>0</v>
      </c>
      <c r="G374" s="173">
        <f t="shared" si="47"/>
        <v>0</v>
      </c>
      <c r="H374" s="173">
        <f t="shared" si="51"/>
        <v>0</v>
      </c>
      <c r="I374" s="173">
        <f t="shared" si="52"/>
        <v>0</v>
      </c>
      <c r="J374" s="173">
        <f t="shared" si="48"/>
        <v>0</v>
      </c>
      <c r="K374" s="173">
        <f>SUM($I$17:$I374)</f>
        <v>1804594.2884207652</v>
      </c>
      <c r="L374" s="168"/>
      <c r="M374" s="168"/>
      <c r="N374" s="150"/>
    </row>
    <row r="375" spans="1:14" ht="12.75">
      <c r="A375" s="191">
        <f t="shared" si="49"/>
        <v>359</v>
      </c>
      <c r="B375" s="171"/>
      <c r="C375" s="172">
        <f t="shared" si="45"/>
        <v>55640</v>
      </c>
      <c r="D375" s="173">
        <f t="shared" si="50"/>
        <v>0</v>
      </c>
      <c r="E375" s="173">
        <f t="shared" si="53"/>
        <v>53274.285736839716</v>
      </c>
      <c r="F375" s="174">
        <f t="shared" si="46"/>
        <v>0</v>
      </c>
      <c r="G375" s="173">
        <f t="shared" si="47"/>
        <v>0</v>
      </c>
      <c r="H375" s="173">
        <f t="shared" si="51"/>
        <v>0</v>
      </c>
      <c r="I375" s="173">
        <f t="shared" si="52"/>
        <v>0</v>
      </c>
      <c r="J375" s="173">
        <f t="shared" si="48"/>
        <v>0</v>
      </c>
      <c r="K375" s="173">
        <f>SUM($I$17:$I375)</f>
        <v>1804594.2884207652</v>
      </c>
      <c r="L375" s="168"/>
      <c r="M375" s="168"/>
      <c r="N375" s="150"/>
    </row>
    <row r="376" spans="1:14" ht="12.75">
      <c r="A376" s="191">
        <f t="shared" si="49"/>
        <v>360</v>
      </c>
      <c r="B376" s="171"/>
      <c r="C376" s="172">
        <f t="shared" si="45"/>
        <v>55671</v>
      </c>
      <c r="D376" s="173">
        <f t="shared" si="50"/>
        <v>0</v>
      </c>
      <c r="E376" s="173">
        <f t="shared" si="53"/>
        <v>53274.285736839716</v>
      </c>
      <c r="F376" s="174">
        <f t="shared" si="46"/>
        <v>0</v>
      </c>
      <c r="G376" s="173">
        <f t="shared" si="47"/>
        <v>0</v>
      </c>
      <c r="H376" s="173">
        <f t="shared" si="51"/>
        <v>0</v>
      </c>
      <c r="I376" s="173">
        <f t="shared" si="52"/>
        <v>0</v>
      </c>
      <c r="J376" s="173">
        <f t="shared" si="48"/>
        <v>0</v>
      </c>
      <c r="K376" s="173">
        <f>SUM($I$17:$I376)</f>
        <v>1804594.2884207652</v>
      </c>
      <c r="L376" s="168"/>
      <c r="M376" s="168"/>
      <c r="N376" s="150"/>
    </row>
    <row r="377" spans="1:14">
      <c r="E377" s="181"/>
      <c r="F377" s="150"/>
      <c r="G377" s="150"/>
      <c r="H377" s="150"/>
      <c r="I377" s="150"/>
      <c r="J377" s="150"/>
      <c r="K377" s="150"/>
      <c r="L377" s="150"/>
      <c r="M377" s="150"/>
    </row>
  </sheetData>
  <sheetProtection selectLockedCells="1"/>
  <mergeCells count="4">
    <mergeCell ref="C5:E5"/>
    <mergeCell ref="G5:I5"/>
    <mergeCell ref="D13:E13"/>
    <mergeCell ref="H13:I13"/>
  </mergeCells>
  <phoneticPr fontId="49" type="noConversion"/>
  <conditionalFormatting sqref="A17:F376">
    <cfRule type="expression" dxfId="87" priority="7" stopIfTrue="1">
      <formula>IF(ROW(A17)&gt;Last_Row,TRUE, FALSE)</formula>
    </cfRule>
    <cfRule type="expression" dxfId="86" priority="8" stopIfTrue="1">
      <formula>IF(ROW(A17)=Last_Row,TRUE, FALSE)</formula>
    </cfRule>
    <cfRule type="expression" dxfId="85" priority="9" stopIfTrue="1">
      <formula>IF(ROW(A17)&lt;Last_Row,TRUE, FALSE)</formula>
    </cfRule>
  </conditionalFormatting>
  <conditionalFormatting sqref="G17:K74 G77:K376">
    <cfRule type="expression" dxfId="84" priority="10" stopIfTrue="1">
      <formula>IF(ROW(G17)&gt;Last_Row,TRUE, FALSE)</formula>
    </cfRule>
    <cfRule type="expression" dxfId="83" priority="11" stopIfTrue="1">
      <formula>IF(ROW(G17)=Last_Row,TRUE, FALSE)</formula>
    </cfRule>
    <cfRule type="expression" dxfId="82" priority="12" stopIfTrue="1">
      <formula>IF(ROW(G17)&lt;=Last_Row,TRUE, FALSE)</formula>
    </cfRule>
  </conditionalFormatting>
  <conditionalFormatting sqref="G75:K76">
    <cfRule type="expression" dxfId="81" priority="4" stopIfTrue="1">
      <formula>IF(ROW(G75)&gt;Last_Row,TRUE, FALSE)</formula>
    </cfRule>
    <cfRule type="expression" dxfId="80" priority="5" stopIfTrue="1">
      <formula>IF(ROW(G75)=Last_Row,TRUE, FALSE)</formula>
    </cfRule>
    <cfRule type="expression" dxfId="79" priority="6" stopIfTrue="1">
      <formula>IF(ROW(G75)&lt;=Last_Row,TRUE, FALSE)</formula>
    </cfRule>
  </conditionalFormatting>
  <dataValidations count="1">
    <dataValidation allowBlank="1" showInputMessage="1" showErrorMessage="1" promptTitle="Extra Payments" prompt="Enter an amount here if you want to make additional principal payments every pay period._x000a__x000a_For occasional extra payments, enter the extra principal amounts directly in the 'Extra Payment' column below." sqref="E11" xr:uid="{6426DB90-B95D-48BD-AED4-442C4182065E}"/>
  </dataValidations>
  <printOptions horizontalCentered="1"/>
  <pageMargins left="0.9055118110236221" right="0.70866141732283472" top="0.74803149606299213" bottom="0.74803149606299213" header="0.31496062992125984" footer="0.31496062992125984"/>
  <pageSetup paperSize="9" scale="51" fitToHeight="0" orientation="portrait" errors="blank" r:id="rId1"/>
  <headerFooter>
    <oddFooter>&amp;L&amp;"-,Bold Italic"&amp;8&amp;K01+027Developed By: MAIUMAS Consulting
Hani Omar Skaik&amp;C&amp;A&amp;R&amp;D / &amp;T</oddFooter>
  </headerFooter>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4DD62-1C02-4B20-A286-5E3796F6164F}">
  <sheetPr codeName="Sheet15">
    <pageSetUpPr fitToPage="1"/>
  </sheetPr>
  <dimension ref="A1:N377"/>
  <sheetViews>
    <sheetView showGridLines="0" workbookViewId="0">
      <selection activeCell="E7" sqref="E7"/>
    </sheetView>
  </sheetViews>
  <sheetFormatPr defaultColWidth="8.88671875" defaultRowHeight="15"/>
  <cols>
    <col min="1" max="1" width="8.77734375" customWidth="1"/>
    <col min="2" max="2" width="7.5546875" style="155" customWidth="1"/>
    <col min="3" max="3" width="13.109375" bestFit="1" customWidth="1"/>
    <col min="4" max="4" width="13.109375" style="155" bestFit="1" customWidth="1"/>
    <col min="5" max="5" width="13.109375" style="182" bestFit="1" customWidth="1"/>
    <col min="6" max="6" width="15.88671875" style="149" customWidth="1"/>
    <col min="7" max="7" width="16.6640625" style="149" customWidth="1"/>
    <col min="8" max="8" width="13.88671875" style="149" customWidth="1"/>
    <col min="9" max="9" width="12.6640625" style="149" customWidth="1"/>
    <col min="10" max="10" width="11" style="149" customWidth="1"/>
    <col min="11" max="11" width="10.5546875" style="149" customWidth="1"/>
    <col min="12" max="12" width="13.5546875" style="149" customWidth="1"/>
    <col min="13" max="13" width="16.109375" style="149" customWidth="1"/>
    <col min="14" max="14" width="4.77734375" style="149" customWidth="1"/>
    <col min="15" max="15" width="8.88671875" style="150"/>
    <col min="16" max="16" width="11.88671875" style="150" customWidth="1"/>
    <col min="17" max="16384" width="8.88671875" style="150"/>
  </cols>
  <sheetData>
    <row r="1" spans="1:14" ht="24" customHeight="1">
      <c r="A1" s="147" t="s">
        <v>974</v>
      </c>
      <c r="B1" s="147"/>
      <c r="C1" s="148"/>
      <c r="D1" s="148"/>
      <c r="E1" s="148"/>
      <c r="F1" s="148"/>
      <c r="G1" s="148"/>
      <c r="H1" s="148"/>
      <c r="I1" s="148"/>
      <c r="J1" s="148"/>
      <c r="K1" s="148"/>
      <c r="M1" s="150"/>
      <c r="N1" s="150"/>
    </row>
    <row r="2" spans="1:14" ht="12.75" customHeight="1">
      <c r="A2" s="148"/>
      <c r="B2" s="148"/>
      <c r="C2" s="151"/>
      <c r="D2" s="151"/>
      <c r="E2" s="151"/>
      <c r="F2" s="151"/>
      <c r="G2" s="151"/>
      <c r="H2" s="151"/>
      <c r="I2" s="151"/>
      <c r="J2" s="151"/>
      <c r="K2" s="151"/>
      <c r="M2" s="150"/>
      <c r="N2" s="150"/>
    </row>
    <row r="3" spans="1:14" ht="3" customHeight="1">
      <c r="A3" s="152"/>
      <c r="B3" s="152"/>
      <c r="C3" s="153"/>
      <c r="D3" s="153"/>
      <c r="E3" s="153"/>
      <c r="F3" s="153"/>
      <c r="G3" s="153"/>
      <c r="H3" s="153"/>
      <c r="I3" s="153"/>
      <c r="J3" s="153"/>
      <c r="K3" s="153"/>
      <c r="M3" s="150"/>
      <c r="N3" s="150"/>
    </row>
    <row r="4" spans="1:14" ht="6.75" customHeight="1">
      <c r="A4" s="148"/>
      <c r="B4" s="148"/>
      <c r="C4" s="151"/>
      <c r="D4" s="151"/>
      <c r="E4" s="151"/>
      <c r="F4" s="151"/>
      <c r="G4" s="151"/>
      <c r="H4" s="151"/>
      <c r="I4" s="151"/>
      <c r="J4" s="151"/>
      <c r="K4" s="151"/>
      <c r="M4" s="150"/>
      <c r="N4" s="150"/>
    </row>
    <row r="5" spans="1:14" ht="14.25" customHeight="1">
      <c r="A5" s="148"/>
      <c r="B5" s="148"/>
      <c r="C5" s="817" t="s">
        <v>975</v>
      </c>
      <c r="D5" s="818"/>
      <c r="E5" s="819"/>
      <c r="F5" s="148"/>
      <c r="G5" s="817" t="s">
        <v>976</v>
      </c>
      <c r="H5" s="818"/>
      <c r="I5" s="819"/>
      <c r="J5" s="154"/>
      <c r="K5" s="148"/>
      <c r="L5" s="155"/>
      <c r="M5" s="150"/>
      <c r="N5" s="150"/>
    </row>
    <row r="6" spans="1:14" ht="12.75">
      <c r="A6" s="148"/>
      <c r="B6" s="148"/>
      <c r="C6" s="156"/>
      <c r="D6" s="157" t="s">
        <v>977</v>
      </c>
      <c r="E6" s="183">
        <f>'Cashflow Projection &amp; Investme'!O55</f>
        <v>0</v>
      </c>
      <c r="F6" s="148"/>
      <c r="G6" s="156"/>
      <c r="H6" s="157" t="s">
        <v>978</v>
      </c>
      <c r="I6" s="184" t="str">
        <f>IF(Values_Entered,-PMT(Interest_Rate/Num_Pmt_Per_Year,Loan_Years*Num_Pmt_Per_Year,Loan_Amount),"")</f>
        <v/>
      </c>
      <c r="J6" s="158"/>
      <c r="K6" s="148"/>
      <c r="L6" s="155"/>
      <c r="M6" s="150"/>
      <c r="N6" s="150"/>
    </row>
    <row r="7" spans="1:14" ht="12.75">
      <c r="A7" s="148"/>
      <c r="B7" s="148"/>
      <c r="C7" s="156"/>
      <c r="D7" s="157" t="s">
        <v>66</v>
      </c>
      <c r="E7" s="187">
        <f>'Summary. Assumptions. Inputs'!I33</f>
        <v>7.0000000000000007E-2</v>
      </c>
      <c r="F7" s="148"/>
      <c r="G7" s="156"/>
      <c r="H7" s="157" t="s">
        <v>979</v>
      </c>
      <c r="I7" s="160" t="str">
        <f>IF(Values_Entered,Loan_Years*Num_Pmt_Per_Year,"")</f>
        <v/>
      </c>
      <c r="J7" s="161"/>
      <c r="K7" s="148"/>
      <c r="L7" s="155"/>
      <c r="M7" s="150"/>
      <c r="N7" s="150"/>
    </row>
    <row r="8" spans="1:14" ht="12.75">
      <c r="A8" s="148"/>
      <c r="B8" s="148"/>
      <c r="C8" s="156"/>
      <c r="D8" s="157" t="s">
        <v>70</v>
      </c>
      <c r="E8" s="186">
        <f>'Summary. Assumptions. Inputs'!I34</f>
        <v>10</v>
      </c>
      <c r="F8" s="148"/>
      <c r="G8" s="156"/>
      <c r="H8" s="157" t="s">
        <v>980</v>
      </c>
      <c r="I8" s="160" t="str">
        <f>IF(Values_Entered,Number_of_Payments,"")</f>
        <v/>
      </c>
      <c r="J8" s="161"/>
      <c r="K8" s="148"/>
      <c r="L8" s="155"/>
      <c r="M8" s="150"/>
      <c r="N8" s="150"/>
    </row>
    <row r="9" spans="1:14" ht="12.75">
      <c r="A9" s="148"/>
      <c r="B9" s="148"/>
      <c r="C9" s="156"/>
      <c r="D9" s="157" t="s">
        <v>981</v>
      </c>
      <c r="E9" s="186">
        <f>'Summary. Assumptions. Inputs'!I35</f>
        <v>12</v>
      </c>
      <c r="F9" s="148"/>
      <c r="G9" s="156"/>
      <c r="H9" s="157" t="s">
        <v>982</v>
      </c>
      <c r="I9" s="184" t="str">
        <f>IF(Values_Entered,SUMIF(Beg_Bal,"&gt;0",Extra_Pay),"")</f>
        <v/>
      </c>
      <c r="J9" s="158"/>
      <c r="K9" s="148"/>
      <c r="L9" s="155"/>
      <c r="M9" s="150"/>
      <c r="N9" s="150"/>
    </row>
    <row r="10" spans="1:14" ht="12.75">
      <c r="A10" s="148"/>
      <c r="B10" s="148"/>
      <c r="C10" s="156"/>
      <c r="D10" s="157" t="s">
        <v>79</v>
      </c>
      <c r="E10" s="162">
        <v>44562</v>
      </c>
      <c r="F10" s="148"/>
      <c r="G10" s="156"/>
      <c r="H10" s="157" t="s">
        <v>983</v>
      </c>
      <c r="I10" s="184" t="str">
        <f>IF(Values_Entered,SUMIF(Beg_Bal,"&gt;0",Int),"")</f>
        <v/>
      </c>
      <c r="K10" s="148"/>
      <c r="L10" s="155"/>
      <c r="M10" s="150"/>
      <c r="N10" s="150"/>
    </row>
    <row r="11" spans="1:14" ht="12.75">
      <c r="A11" s="148"/>
      <c r="B11" s="148"/>
      <c r="C11" s="163"/>
      <c r="D11" s="164" t="s">
        <v>984</v>
      </c>
      <c r="E11" s="165"/>
      <c r="F11" s="148"/>
      <c r="G11" s="163"/>
      <c r="H11" s="164" t="s">
        <v>985</v>
      </c>
      <c r="I11" s="159">
        <f>IFERROR(Total_Interest/Loan_Amount/Loan_Years,0)</f>
        <v>0</v>
      </c>
      <c r="J11" s="151"/>
      <c r="K11" s="148"/>
      <c r="L11" s="155"/>
      <c r="M11" s="150"/>
      <c r="N11" s="150"/>
    </row>
    <row r="12" spans="1:14" ht="12.75">
      <c r="A12" s="148"/>
      <c r="B12" s="148"/>
      <c r="C12" s="151"/>
      <c r="D12" s="151"/>
      <c r="E12" s="151"/>
      <c r="F12" s="151"/>
      <c r="G12" s="151"/>
      <c r="H12" s="151"/>
      <c r="I12" s="151"/>
      <c r="J12" s="151"/>
      <c r="K12" s="151"/>
      <c r="L12" s="155"/>
      <c r="M12" s="150"/>
      <c r="N12" s="150"/>
    </row>
    <row r="13" spans="1:14" ht="17.25" customHeight="1">
      <c r="A13" s="148"/>
      <c r="B13" s="148"/>
      <c r="C13" s="199" t="s">
        <v>621</v>
      </c>
      <c r="D13" s="820" t="str">
        <f>'Summary. Assumptions. Inputs'!J7</f>
        <v>USD</v>
      </c>
      <c r="E13" s="821"/>
      <c r="F13" s="151"/>
      <c r="G13" s="166" t="s">
        <v>986</v>
      </c>
      <c r="H13" s="822">
        <f>IFERROR(Total_Interest+Loan_Amount,0)</f>
        <v>0</v>
      </c>
      <c r="I13" s="823"/>
      <c r="J13" s="151"/>
      <c r="K13" s="151"/>
      <c r="L13" s="155"/>
      <c r="M13" s="150"/>
      <c r="N13" s="150"/>
    </row>
    <row r="14" spans="1:14" ht="12.75">
      <c r="A14" s="148"/>
      <c r="B14" s="148"/>
      <c r="C14" s="166"/>
      <c r="D14" s="167"/>
      <c r="E14" s="167"/>
      <c r="F14" s="151"/>
      <c r="G14" s="151"/>
      <c r="H14" s="151"/>
      <c r="I14" s="151"/>
      <c r="J14" s="151"/>
      <c r="K14" s="151"/>
      <c r="L14" s="155"/>
      <c r="M14" s="150"/>
      <c r="N14" s="150"/>
    </row>
    <row r="15" spans="1:14" s="168" customFormat="1" ht="36" customHeight="1">
      <c r="A15" s="189" t="s">
        <v>987</v>
      </c>
      <c r="B15" s="189" t="s">
        <v>988</v>
      </c>
      <c r="C15" s="190" t="s">
        <v>989</v>
      </c>
      <c r="D15" s="190" t="s">
        <v>990</v>
      </c>
      <c r="E15" s="190" t="s">
        <v>978</v>
      </c>
      <c r="F15" s="190" t="s">
        <v>991</v>
      </c>
      <c r="G15" s="190" t="s">
        <v>992</v>
      </c>
      <c r="H15" s="190" t="s">
        <v>993</v>
      </c>
      <c r="I15" s="190" t="s">
        <v>206</v>
      </c>
      <c r="J15" s="190" t="s">
        <v>994</v>
      </c>
      <c r="K15" s="190" t="s">
        <v>995</v>
      </c>
    </row>
    <row r="16" spans="1:14" s="168" customFormat="1" ht="43.5" hidden="1" customHeight="1">
      <c r="A16" s="152"/>
      <c r="B16" s="152"/>
      <c r="C16" s="169"/>
      <c r="D16" s="169"/>
      <c r="E16" s="169"/>
      <c r="F16" s="169"/>
      <c r="G16" s="169"/>
      <c r="H16" s="169"/>
      <c r="I16" s="169"/>
      <c r="J16" s="169"/>
      <c r="K16" s="170"/>
    </row>
    <row r="17" spans="1:14" s="168" customFormat="1" ht="21.75" customHeight="1">
      <c r="A17" s="191" t="str">
        <f>IF(Values_Entered,1,"")</f>
        <v/>
      </c>
      <c r="B17" s="172" t="s">
        <v>996</v>
      </c>
      <c r="C17" s="172" t="str">
        <f t="shared" ref="C17:C80" si="0">IF(Pay_Num&lt;&gt;"",DATE(YEAR(Loan_Start),MONTH(Loan_Start)+(Pay_Num)*12/Num_Pmt_Per_Year,DAY(Loan_Start)),"")</f>
        <v/>
      </c>
      <c r="D17" s="185" t="str">
        <f>IF(Values_Entered,Loan_Amount,"")</f>
        <v/>
      </c>
      <c r="E17" s="185" t="str">
        <f>IF(Pay_Num&lt;&gt;"",Scheduled_Monthly_Payment,"")</f>
        <v/>
      </c>
      <c r="F17" s="174" t="e">
        <f t="shared" ref="F17:F80" si="1">IF(AND(Pay_Num&lt;&gt;"",Sched_Pay+Scheduled_Extra_Payments&lt;Beg_Bal),Scheduled_Extra_Payments,IF(AND(Pay_Num&lt;&gt;"",Beg_Bal-Sched_Pay&gt;0),Beg_Bal-Sched_Pay,IF(Pay_Num&lt;&gt;"",0,"")))</f>
        <v>#VALUE!</v>
      </c>
      <c r="G17" s="185" t="e">
        <f t="shared" ref="G17:G80" si="2">IF(AND(Pay_Num&lt;&gt;"",Sched_Pay+Extra_Pay&lt;Beg_Bal),Sched_Pay+Extra_Pay,IF(Pay_Num&lt;&gt;"",Beg_Bal,""))</f>
        <v>#VALUE!</v>
      </c>
      <c r="H17" s="185" t="str">
        <f>IF(Pay_Num&lt;&gt;"",Total_Pay-Int,"")</f>
        <v/>
      </c>
      <c r="I17" s="185" t="str">
        <f>IF(Pay_Num&lt;&gt;"",Beg_Bal*(Interest_Rate/Num_Pmt_Per_Year),"")</f>
        <v/>
      </c>
      <c r="J17" s="185" t="e">
        <f t="shared" ref="J17:J80" si="3">IF(AND(Pay_Num&lt;&gt;"",Sched_Pay+Extra_Pay&lt;Beg_Bal),Beg_Bal-Princ,IF(Pay_Num&lt;&gt;"",0,""))</f>
        <v>#VALUE!</v>
      </c>
      <c r="K17" s="185">
        <f>SUM($I$17:$I17)</f>
        <v>0</v>
      </c>
      <c r="M17" s="194"/>
    </row>
    <row r="18" spans="1:14" s="168" customFormat="1" ht="21.75" customHeight="1">
      <c r="A18" s="191" t="str">
        <f t="shared" ref="A18:A81" si="4">IF(Values_Entered,A17+1,"")</f>
        <v/>
      </c>
      <c r="B18" s="172" t="s">
        <v>997</v>
      </c>
      <c r="C18" s="172" t="str">
        <f t="shared" si="0"/>
        <v/>
      </c>
      <c r="D18" s="173" t="str">
        <f t="shared" ref="D18:D81" si="5">IF(Pay_Num&lt;&gt;"",J17,"")</f>
        <v/>
      </c>
      <c r="E18" s="173" t="str">
        <f>IF(Pay_Num&lt;&gt;"",Scheduled_Monthly_Payment,"")</f>
        <v/>
      </c>
      <c r="F18" s="174" t="e">
        <f t="shared" si="1"/>
        <v>#VALUE!</v>
      </c>
      <c r="G18" s="173" t="e">
        <f t="shared" si="2"/>
        <v>#VALUE!</v>
      </c>
      <c r="H18" s="173" t="str">
        <f t="shared" ref="H18:H81" si="6">IF(Pay_Num&lt;&gt;"",Total_Pay-Int,"")</f>
        <v/>
      </c>
      <c r="I18" s="173" t="str">
        <f t="shared" ref="I18:I81" si="7">IF(Pay_Num&lt;&gt;"",Beg_Bal*Interest_Rate/Num_Pmt_Per_Year,"")</f>
        <v/>
      </c>
      <c r="J18" s="173" t="e">
        <f t="shared" si="3"/>
        <v>#VALUE!</v>
      </c>
      <c r="K18" s="173">
        <f>SUM($I$17:$I18)</f>
        <v>0</v>
      </c>
    </row>
    <row r="19" spans="1:14" s="168" customFormat="1" ht="21.75" customHeight="1">
      <c r="A19" s="191" t="str">
        <f t="shared" si="4"/>
        <v/>
      </c>
      <c r="B19" s="172" t="s">
        <v>998</v>
      </c>
      <c r="C19" s="172" t="str">
        <f t="shared" si="0"/>
        <v/>
      </c>
      <c r="D19" s="173" t="str">
        <f t="shared" si="5"/>
        <v/>
      </c>
      <c r="E19" s="173" t="str">
        <f t="shared" ref="E19:E82" si="8">IF(Pay_Num&lt;&gt;"",Scheduled_Monthly_Payment,"")</f>
        <v/>
      </c>
      <c r="F19" s="174" t="e">
        <f t="shared" si="1"/>
        <v>#VALUE!</v>
      </c>
      <c r="G19" s="173" t="e">
        <f t="shared" si="2"/>
        <v>#VALUE!</v>
      </c>
      <c r="H19" s="173" t="str">
        <f t="shared" si="6"/>
        <v/>
      </c>
      <c r="I19" s="173" t="str">
        <f t="shared" si="7"/>
        <v/>
      </c>
      <c r="J19" s="173" t="e">
        <f t="shared" si="3"/>
        <v>#VALUE!</v>
      </c>
      <c r="K19" s="173">
        <f>SUM($I$17:$I19)</f>
        <v>0</v>
      </c>
    </row>
    <row r="20" spans="1:14" s="168" customFormat="1" ht="21.75" customHeight="1">
      <c r="A20" s="191" t="str">
        <f t="shared" si="4"/>
        <v/>
      </c>
      <c r="B20" s="172" t="s">
        <v>999</v>
      </c>
      <c r="C20" s="172" t="str">
        <f t="shared" si="0"/>
        <v/>
      </c>
      <c r="D20" s="173" t="str">
        <f t="shared" si="5"/>
        <v/>
      </c>
      <c r="E20" s="173" t="str">
        <f>IF(Pay_Num&lt;&gt;"",Scheduled_Monthly_Payment,"")</f>
        <v/>
      </c>
      <c r="F20" s="174" t="e">
        <f t="shared" si="1"/>
        <v>#VALUE!</v>
      </c>
      <c r="G20" s="173" t="e">
        <f t="shared" si="2"/>
        <v>#VALUE!</v>
      </c>
      <c r="H20" s="173" t="str">
        <f t="shared" si="6"/>
        <v/>
      </c>
      <c r="I20" s="173" t="str">
        <f t="shared" si="7"/>
        <v/>
      </c>
      <c r="J20" s="173" t="e">
        <f t="shared" si="3"/>
        <v>#VALUE!</v>
      </c>
      <c r="K20" s="173">
        <f>SUM($I$17:$I20)</f>
        <v>0</v>
      </c>
    </row>
    <row r="21" spans="1:14" s="168" customFormat="1" ht="21.75" customHeight="1">
      <c r="A21" s="191" t="str">
        <f t="shared" si="4"/>
        <v/>
      </c>
      <c r="B21" s="172" t="s">
        <v>1000</v>
      </c>
      <c r="C21" s="172" t="str">
        <f t="shared" si="0"/>
        <v/>
      </c>
      <c r="D21" s="173" t="str">
        <f t="shared" si="5"/>
        <v/>
      </c>
      <c r="E21" s="173" t="str">
        <f t="shared" si="8"/>
        <v/>
      </c>
      <c r="F21" s="174" t="e">
        <f t="shared" si="1"/>
        <v>#VALUE!</v>
      </c>
      <c r="G21" s="173" t="e">
        <f t="shared" si="2"/>
        <v>#VALUE!</v>
      </c>
      <c r="H21" s="173" t="str">
        <f t="shared" si="6"/>
        <v/>
      </c>
      <c r="I21" s="173" t="str">
        <f t="shared" si="7"/>
        <v/>
      </c>
      <c r="J21" s="173" t="e">
        <f t="shared" si="3"/>
        <v>#VALUE!</v>
      </c>
      <c r="K21" s="173">
        <f>SUM($I$17:$I21)</f>
        <v>0</v>
      </c>
    </row>
    <row r="22" spans="1:14" ht="21.75" customHeight="1">
      <c r="A22" s="191" t="str">
        <f t="shared" si="4"/>
        <v/>
      </c>
      <c r="B22" s="172" t="s">
        <v>1001</v>
      </c>
      <c r="C22" s="172" t="str">
        <f t="shared" si="0"/>
        <v/>
      </c>
      <c r="D22" s="173" t="str">
        <f t="shared" si="5"/>
        <v/>
      </c>
      <c r="E22" s="173" t="str">
        <f t="shared" si="8"/>
        <v/>
      </c>
      <c r="F22" s="174" t="e">
        <f t="shared" si="1"/>
        <v>#VALUE!</v>
      </c>
      <c r="G22" s="173" t="e">
        <f t="shared" si="2"/>
        <v>#VALUE!</v>
      </c>
      <c r="H22" s="173" t="str">
        <f t="shared" si="6"/>
        <v/>
      </c>
      <c r="I22" s="173" t="str">
        <f t="shared" si="7"/>
        <v/>
      </c>
      <c r="J22" s="173" t="e">
        <f t="shared" si="3"/>
        <v>#VALUE!</v>
      </c>
      <c r="K22" s="173">
        <f>SUM($I$17:$I22)</f>
        <v>0</v>
      </c>
      <c r="L22" s="168"/>
      <c r="M22" s="168"/>
      <c r="N22" s="150"/>
    </row>
    <row r="23" spans="1:14" ht="21.75" customHeight="1">
      <c r="A23" s="191" t="str">
        <f t="shared" si="4"/>
        <v/>
      </c>
      <c r="B23" s="172" t="s">
        <v>1002</v>
      </c>
      <c r="C23" s="172" t="str">
        <f t="shared" si="0"/>
        <v/>
      </c>
      <c r="D23" s="173" t="str">
        <f t="shared" si="5"/>
        <v/>
      </c>
      <c r="E23" s="173" t="str">
        <f t="shared" si="8"/>
        <v/>
      </c>
      <c r="F23" s="174" t="e">
        <f t="shared" si="1"/>
        <v>#VALUE!</v>
      </c>
      <c r="G23" s="173" t="e">
        <f t="shared" si="2"/>
        <v>#VALUE!</v>
      </c>
      <c r="H23" s="173" t="str">
        <f t="shared" si="6"/>
        <v/>
      </c>
      <c r="I23" s="173" t="str">
        <f t="shared" si="7"/>
        <v/>
      </c>
      <c r="J23" s="173" t="e">
        <f t="shared" si="3"/>
        <v>#VALUE!</v>
      </c>
      <c r="K23" s="173">
        <f>SUM($I$17:$I23)</f>
        <v>0</v>
      </c>
      <c r="L23" s="168"/>
      <c r="M23" s="168"/>
      <c r="N23" s="150"/>
    </row>
    <row r="24" spans="1:14" ht="21.75" customHeight="1">
      <c r="A24" s="191" t="str">
        <f t="shared" si="4"/>
        <v/>
      </c>
      <c r="B24" s="172" t="s">
        <v>1003</v>
      </c>
      <c r="C24" s="172" t="str">
        <f t="shared" si="0"/>
        <v/>
      </c>
      <c r="D24" s="173" t="str">
        <f t="shared" si="5"/>
        <v/>
      </c>
      <c r="E24" s="173" t="str">
        <f t="shared" si="8"/>
        <v/>
      </c>
      <c r="F24" s="174" t="e">
        <f t="shared" si="1"/>
        <v>#VALUE!</v>
      </c>
      <c r="G24" s="173" t="e">
        <f t="shared" si="2"/>
        <v>#VALUE!</v>
      </c>
      <c r="H24" s="173" t="str">
        <f t="shared" si="6"/>
        <v/>
      </c>
      <c r="I24" s="173" t="str">
        <f t="shared" si="7"/>
        <v/>
      </c>
      <c r="J24" s="173" t="e">
        <f t="shared" si="3"/>
        <v>#VALUE!</v>
      </c>
      <c r="K24" s="173">
        <f>SUM($I$17:$I24)</f>
        <v>0</v>
      </c>
      <c r="L24" s="168"/>
      <c r="M24" s="168"/>
      <c r="N24" s="150"/>
    </row>
    <row r="25" spans="1:14" ht="21.75" customHeight="1">
      <c r="A25" s="191" t="str">
        <f t="shared" si="4"/>
        <v/>
      </c>
      <c r="B25" s="172" t="s">
        <v>1004</v>
      </c>
      <c r="C25" s="172" t="str">
        <f t="shared" si="0"/>
        <v/>
      </c>
      <c r="D25" s="173" t="str">
        <f t="shared" si="5"/>
        <v/>
      </c>
      <c r="E25" s="173" t="str">
        <f t="shared" si="8"/>
        <v/>
      </c>
      <c r="F25" s="174" t="e">
        <f t="shared" si="1"/>
        <v>#VALUE!</v>
      </c>
      <c r="G25" s="173" t="e">
        <f t="shared" si="2"/>
        <v>#VALUE!</v>
      </c>
      <c r="H25" s="173" t="str">
        <f t="shared" si="6"/>
        <v/>
      </c>
      <c r="I25" s="173" t="str">
        <f t="shared" si="7"/>
        <v/>
      </c>
      <c r="J25" s="173" t="e">
        <f t="shared" si="3"/>
        <v>#VALUE!</v>
      </c>
      <c r="K25" s="173">
        <f>SUM($I$17:$I25)</f>
        <v>0</v>
      </c>
      <c r="L25" s="168"/>
      <c r="M25" s="168"/>
      <c r="N25" s="150"/>
    </row>
    <row r="26" spans="1:14" ht="21.75" customHeight="1">
      <c r="A26" s="191" t="str">
        <f t="shared" si="4"/>
        <v/>
      </c>
      <c r="B26" s="172" t="s">
        <v>1005</v>
      </c>
      <c r="C26" s="172" t="str">
        <f t="shared" si="0"/>
        <v/>
      </c>
      <c r="D26" s="173" t="str">
        <f t="shared" si="5"/>
        <v/>
      </c>
      <c r="E26" s="173" t="str">
        <f t="shared" si="8"/>
        <v/>
      </c>
      <c r="F26" s="174" t="e">
        <f t="shared" si="1"/>
        <v>#VALUE!</v>
      </c>
      <c r="G26" s="173" t="e">
        <f t="shared" si="2"/>
        <v>#VALUE!</v>
      </c>
      <c r="H26" s="173" t="str">
        <f t="shared" si="6"/>
        <v/>
      </c>
      <c r="I26" s="173" t="str">
        <f t="shared" si="7"/>
        <v/>
      </c>
      <c r="J26" s="173" t="e">
        <f t="shared" si="3"/>
        <v>#VALUE!</v>
      </c>
      <c r="K26" s="173">
        <f>SUM($I$17:$I26)</f>
        <v>0</v>
      </c>
      <c r="L26" s="168"/>
      <c r="M26" s="168"/>
      <c r="N26" s="150"/>
    </row>
    <row r="27" spans="1:14" ht="21.75" customHeight="1">
      <c r="A27" s="191" t="str">
        <f t="shared" si="4"/>
        <v/>
      </c>
      <c r="B27" s="172" t="s">
        <v>1006</v>
      </c>
      <c r="C27" s="172" t="str">
        <f t="shared" si="0"/>
        <v/>
      </c>
      <c r="D27" s="173" t="str">
        <f t="shared" si="5"/>
        <v/>
      </c>
      <c r="E27" s="173" t="str">
        <f t="shared" si="8"/>
        <v/>
      </c>
      <c r="F27" s="174" t="e">
        <f t="shared" si="1"/>
        <v>#VALUE!</v>
      </c>
      <c r="G27" s="173" t="e">
        <f t="shared" si="2"/>
        <v>#VALUE!</v>
      </c>
      <c r="H27" s="173" t="str">
        <f t="shared" si="6"/>
        <v/>
      </c>
      <c r="I27" s="173" t="str">
        <f t="shared" si="7"/>
        <v/>
      </c>
      <c r="J27" s="173" t="e">
        <f t="shared" si="3"/>
        <v>#VALUE!</v>
      </c>
      <c r="K27" s="173">
        <f>SUM($I$17:$I27)</f>
        <v>0</v>
      </c>
      <c r="L27" s="168"/>
      <c r="M27" s="168"/>
      <c r="N27" s="150"/>
    </row>
    <row r="28" spans="1:14" ht="21.75" customHeight="1">
      <c r="A28" s="191" t="str">
        <f t="shared" si="4"/>
        <v/>
      </c>
      <c r="B28" s="172" t="s">
        <v>1007</v>
      </c>
      <c r="C28" s="172" t="str">
        <f t="shared" si="0"/>
        <v/>
      </c>
      <c r="D28" s="173" t="str">
        <f t="shared" si="5"/>
        <v/>
      </c>
      <c r="E28" s="173" t="str">
        <f t="shared" si="8"/>
        <v/>
      </c>
      <c r="F28" s="174" t="e">
        <f t="shared" si="1"/>
        <v>#VALUE!</v>
      </c>
      <c r="G28" s="173" t="e">
        <f t="shared" si="2"/>
        <v>#VALUE!</v>
      </c>
      <c r="H28" s="173" t="str">
        <f t="shared" si="6"/>
        <v/>
      </c>
      <c r="I28" s="173" t="str">
        <f t="shared" si="7"/>
        <v/>
      </c>
      <c r="J28" s="173" t="e">
        <f t="shared" si="3"/>
        <v>#VALUE!</v>
      </c>
      <c r="K28" s="173">
        <f>SUM($I$17:$I28)</f>
        <v>0</v>
      </c>
      <c r="L28" s="168"/>
      <c r="M28" s="168"/>
      <c r="N28" s="150"/>
    </row>
    <row r="29" spans="1:14" ht="21.75" customHeight="1">
      <c r="A29" s="191" t="str">
        <f t="shared" si="4"/>
        <v/>
      </c>
      <c r="B29" s="172" t="s">
        <v>1008</v>
      </c>
      <c r="C29" s="172" t="str">
        <f t="shared" si="0"/>
        <v/>
      </c>
      <c r="D29" s="173" t="str">
        <f t="shared" si="5"/>
        <v/>
      </c>
      <c r="E29" s="173" t="str">
        <f t="shared" si="8"/>
        <v/>
      </c>
      <c r="F29" s="174" t="e">
        <f t="shared" si="1"/>
        <v>#VALUE!</v>
      </c>
      <c r="G29" s="173" t="e">
        <f t="shared" si="2"/>
        <v>#VALUE!</v>
      </c>
      <c r="H29" s="173" t="str">
        <f t="shared" si="6"/>
        <v/>
      </c>
      <c r="I29" s="173" t="str">
        <f t="shared" si="7"/>
        <v/>
      </c>
      <c r="J29" s="173" t="e">
        <f t="shared" si="3"/>
        <v>#VALUE!</v>
      </c>
      <c r="K29" s="173">
        <f>SUM($I$17:$I29)</f>
        <v>0</v>
      </c>
      <c r="L29" s="168"/>
      <c r="M29" s="168"/>
      <c r="N29" s="150"/>
    </row>
    <row r="30" spans="1:14" ht="21.75" customHeight="1">
      <c r="A30" s="191" t="str">
        <f t="shared" si="4"/>
        <v/>
      </c>
      <c r="B30" s="172" t="s">
        <v>1009</v>
      </c>
      <c r="C30" s="172" t="str">
        <f t="shared" si="0"/>
        <v/>
      </c>
      <c r="D30" s="173" t="str">
        <f t="shared" si="5"/>
        <v/>
      </c>
      <c r="E30" s="173" t="str">
        <f t="shared" si="8"/>
        <v/>
      </c>
      <c r="F30" s="174" t="e">
        <f t="shared" si="1"/>
        <v>#VALUE!</v>
      </c>
      <c r="G30" s="173" t="e">
        <f t="shared" si="2"/>
        <v>#VALUE!</v>
      </c>
      <c r="H30" s="173" t="str">
        <f t="shared" si="6"/>
        <v/>
      </c>
      <c r="I30" s="173" t="str">
        <f t="shared" si="7"/>
        <v/>
      </c>
      <c r="J30" s="173" t="e">
        <f t="shared" si="3"/>
        <v>#VALUE!</v>
      </c>
      <c r="K30" s="173">
        <f>SUM($I$17:$I30)</f>
        <v>0</v>
      </c>
      <c r="L30" s="168"/>
      <c r="M30" s="168"/>
      <c r="N30" s="150"/>
    </row>
    <row r="31" spans="1:14" ht="21.75" customHeight="1">
      <c r="A31" s="191" t="str">
        <f t="shared" si="4"/>
        <v/>
      </c>
      <c r="B31" s="172" t="s">
        <v>1010</v>
      </c>
      <c r="C31" s="172" t="str">
        <f t="shared" si="0"/>
        <v/>
      </c>
      <c r="D31" s="173" t="str">
        <f t="shared" si="5"/>
        <v/>
      </c>
      <c r="E31" s="173" t="str">
        <f t="shared" si="8"/>
        <v/>
      </c>
      <c r="F31" s="174" t="e">
        <f t="shared" si="1"/>
        <v>#VALUE!</v>
      </c>
      <c r="G31" s="173" t="e">
        <f t="shared" si="2"/>
        <v>#VALUE!</v>
      </c>
      <c r="H31" s="173" t="str">
        <f t="shared" si="6"/>
        <v/>
      </c>
      <c r="I31" s="173" t="str">
        <f t="shared" si="7"/>
        <v/>
      </c>
      <c r="J31" s="173" t="e">
        <f t="shared" si="3"/>
        <v>#VALUE!</v>
      </c>
      <c r="K31" s="173">
        <f>SUM($I$17:$I31)</f>
        <v>0</v>
      </c>
      <c r="L31" s="168"/>
      <c r="M31" s="168"/>
      <c r="N31" s="150"/>
    </row>
    <row r="32" spans="1:14" ht="21.75" customHeight="1">
      <c r="A32" s="191" t="str">
        <f t="shared" si="4"/>
        <v/>
      </c>
      <c r="B32" s="172" t="s">
        <v>1011</v>
      </c>
      <c r="C32" s="172" t="str">
        <f t="shared" si="0"/>
        <v/>
      </c>
      <c r="D32" s="173" t="str">
        <f t="shared" si="5"/>
        <v/>
      </c>
      <c r="E32" s="173" t="str">
        <f t="shared" si="8"/>
        <v/>
      </c>
      <c r="F32" s="174" t="e">
        <f t="shared" si="1"/>
        <v>#VALUE!</v>
      </c>
      <c r="G32" s="173" t="e">
        <f t="shared" si="2"/>
        <v>#VALUE!</v>
      </c>
      <c r="H32" s="173" t="str">
        <f t="shared" si="6"/>
        <v/>
      </c>
      <c r="I32" s="173" t="str">
        <f t="shared" si="7"/>
        <v/>
      </c>
      <c r="J32" s="173" t="e">
        <f t="shared" si="3"/>
        <v>#VALUE!</v>
      </c>
      <c r="K32" s="173">
        <f>SUM($I$17:$I32)</f>
        <v>0</v>
      </c>
      <c r="L32" s="168"/>
      <c r="M32" s="168"/>
      <c r="N32" s="150"/>
    </row>
    <row r="33" spans="1:14" ht="21.75" customHeight="1">
      <c r="A33" s="191" t="str">
        <f t="shared" si="4"/>
        <v/>
      </c>
      <c r="B33" s="172" t="s">
        <v>1012</v>
      </c>
      <c r="C33" s="172" t="str">
        <f t="shared" si="0"/>
        <v/>
      </c>
      <c r="D33" s="173" t="str">
        <f t="shared" si="5"/>
        <v/>
      </c>
      <c r="E33" s="173" t="str">
        <f t="shared" si="8"/>
        <v/>
      </c>
      <c r="F33" s="174" t="e">
        <f t="shared" si="1"/>
        <v>#VALUE!</v>
      </c>
      <c r="G33" s="173" t="e">
        <f t="shared" si="2"/>
        <v>#VALUE!</v>
      </c>
      <c r="H33" s="173" t="str">
        <f t="shared" si="6"/>
        <v/>
      </c>
      <c r="I33" s="173" t="str">
        <f t="shared" si="7"/>
        <v/>
      </c>
      <c r="J33" s="173" t="e">
        <f t="shared" si="3"/>
        <v>#VALUE!</v>
      </c>
      <c r="K33" s="173">
        <f>SUM($I$17:$I33)</f>
        <v>0</v>
      </c>
      <c r="L33" s="168"/>
      <c r="M33" s="168"/>
      <c r="N33" s="150"/>
    </row>
    <row r="34" spans="1:14" ht="21.75" customHeight="1">
      <c r="A34" s="191" t="str">
        <f t="shared" si="4"/>
        <v/>
      </c>
      <c r="B34" s="172" t="s">
        <v>1013</v>
      </c>
      <c r="C34" s="172" t="str">
        <f t="shared" si="0"/>
        <v/>
      </c>
      <c r="D34" s="173" t="str">
        <f t="shared" si="5"/>
        <v/>
      </c>
      <c r="E34" s="173" t="str">
        <f t="shared" si="8"/>
        <v/>
      </c>
      <c r="F34" s="174" t="e">
        <f t="shared" si="1"/>
        <v>#VALUE!</v>
      </c>
      <c r="G34" s="173" t="e">
        <f t="shared" si="2"/>
        <v>#VALUE!</v>
      </c>
      <c r="H34" s="173" t="str">
        <f t="shared" si="6"/>
        <v/>
      </c>
      <c r="I34" s="173" t="str">
        <f t="shared" si="7"/>
        <v/>
      </c>
      <c r="J34" s="173" t="e">
        <f t="shared" si="3"/>
        <v>#VALUE!</v>
      </c>
      <c r="K34" s="173">
        <f>SUM($I$17:$I34)</f>
        <v>0</v>
      </c>
      <c r="L34" s="168"/>
      <c r="M34" s="168"/>
      <c r="N34" s="150"/>
    </row>
    <row r="35" spans="1:14" ht="21.75" customHeight="1">
      <c r="A35" s="191" t="str">
        <f t="shared" si="4"/>
        <v/>
      </c>
      <c r="B35" s="172" t="s">
        <v>1014</v>
      </c>
      <c r="C35" s="172" t="str">
        <f t="shared" si="0"/>
        <v/>
      </c>
      <c r="D35" s="173" t="str">
        <f t="shared" si="5"/>
        <v/>
      </c>
      <c r="E35" s="173" t="str">
        <f t="shared" si="8"/>
        <v/>
      </c>
      <c r="F35" s="174" t="e">
        <f t="shared" si="1"/>
        <v>#VALUE!</v>
      </c>
      <c r="G35" s="173" t="e">
        <f t="shared" si="2"/>
        <v>#VALUE!</v>
      </c>
      <c r="H35" s="173" t="str">
        <f t="shared" si="6"/>
        <v/>
      </c>
      <c r="I35" s="173" t="str">
        <f t="shared" si="7"/>
        <v/>
      </c>
      <c r="J35" s="173" t="e">
        <f t="shared" si="3"/>
        <v>#VALUE!</v>
      </c>
      <c r="K35" s="173">
        <f>SUM($I$17:$I35)</f>
        <v>0</v>
      </c>
      <c r="L35" s="168"/>
      <c r="M35" s="168"/>
      <c r="N35" s="150"/>
    </row>
    <row r="36" spans="1:14" ht="21.75" customHeight="1">
      <c r="A36" s="191" t="str">
        <f t="shared" si="4"/>
        <v/>
      </c>
      <c r="B36" s="172" t="s">
        <v>1015</v>
      </c>
      <c r="C36" s="172" t="str">
        <f t="shared" si="0"/>
        <v/>
      </c>
      <c r="D36" s="173" t="str">
        <f t="shared" si="5"/>
        <v/>
      </c>
      <c r="E36" s="173" t="str">
        <f t="shared" si="8"/>
        <v/>
      </c>
      <c r="F36" s="174" t="e">
        <f t="shared" si="1"/>
        <v>#VALUE!</v>
      </c>
      <c r="G36" s="173" t="e">
        <f t="shared" si="2"/>
        <v>#VALUE!</v>
      </c>
      <c r="H36" s="173" t="str">
        <f t="shared" si="6"/>
        <v/>
      </c>
      <c r="I36" s="173" t="str">
        <f t="shared" si="7"/>
        <v/>
      </c>
      <c r="J36" s="173" t="e">
        <f t="shared" si="3"/>
        <v>#VALUE!</v>
      </c>
      <c r="K36" s="173">
        <f>SUM($I$17:$I36)</f>
        <v>0</v>
      </c>
      <c r="L36" s="168"/>
      <c r="M36" s="168"/>
      <c r="N36" s="150"/>
    </row>
    <row r="37" spans="1:14" ht="21.75" customHeight="1">
      <c r="A37" s="191" t="str">
        <f t="shared" si="4"/>
        <v/>
      </c>
      <c r="B37" s="172" t="s">
        <v>1016</v>
      </c>
      <c r="C37" s="172" t="str">
        <f t="shared" si="0"/>
        <v/>
      </c>
      <c r="D37" s="173" t="str">
        <f t="shared" si="5"/>
        <v/>
      </c>
      <c r="E37" s="173" t="str">
        <f t="shared" si="8"/>
        <v/>
      </c>
      <c r="F37" s="174" t="e">
        <f t="shared" si="1"/>
        <v>#VALUE!</v>
      </c>
      <c r="G37" s="173" t="e">
        <f t="shared" si="2"/>
        <v>#VALUE!</v>
      </c>
      <c r="H37" s="173" t="str">
        <f t="shared" si="6"/>
        <v/>
      </c>
      <c r="I37" s="173" t="str">
        <f t="shared" si="7"/>
        <v/>
      </c>
      <c r="J37" s="173" t="e">
        <f t="shared" si="3"/>
        <v>#VALUE!</v>
      </c>
      <c r="K37" s="173">
        <f>SUM($I$17:$I37)</f>
        <v>0</v>
      </c>
      <c r="L37" s="168"/>
      <c r="M37" s="168"/>
      <c r="N37" s="150"/>
    </row>
    <row r="38" spans="1:14" ht="21.75" customHeight="1">
      <c r="A38" s="191" t="str">
        <f t="shared" si="4"/>
        <v/>
      </c>
      <c r="B38" s="172" t="s">
        <v>1017</v>
      </c>
      <c r="C38" s="172" t="str">
        <f t="shared" si="0"/>
        <v/>
      </c>
      <c r="D38" s="173" t="str">
        <f t="shared" si="5"/>
        <v/>
      </c>
      <c r="E38" s="173" t="str">
        <f t="shared" si="8"/>
        <v/>
      </c>
      <c r="F38" s="174" t="e">
        <f t="shared" si="1"/>
        <v>#VALUE!</v>
      </c>
      <c r="G38" s="173" t="e">
        <f t="shared" si="2"/>
        <v>#VALUE!</v>
      </c>
      <c r="H38" s="173" t="str">
        <f t="shared" si="6"/>
        <v/>
      </c>
      <c r="I38" s="173" t="str">
        <f t="shared" si="7"/>
        <v/>
      </c>
      <c r="J38" s="173" t="e">
        <f t="shared" si="3"/>
        <v>#VALUE!</v>
      </c>
      <c r="K38" s="173">
        <f>SUM($I$17:$I38)</f>
        <v>0</v>
      </c>
      <c r="L38" s="168"/>
      <c r="M38" s="168"/>
      <c r="N38" s="150"/>
    </row>
    <row r="39" spans="1:14" ht="21.75" customHeight="1">
      <c r="A39" s="191" t="str">
        <f t="shared" si="4"/>
        <v/>
      </c>
      <c r="B39" s="172" t="s">
        <v>1018</v>
      </c>
      <c r="C39" s="172" t="str">
        <f t="shared" si="0"/>
        <v/>
      </c>
      <c r="D39" s="173" t="str">
        <f t="shared" si="5"/>
        <v/>
      </c>
      <c r="E39" s="173" t="str">
        <f t="shared" si="8"/>
        <v/>
      </c>
      <c r="F39" s="174" t="e">
        <f t="shared" si="1"/>
        <v>#VALUE!</v>
      </c>
      <c r="G39" s="173" t="e">
        <f t="shared" si="2"/>
        <v>#VALUE!</v>
      </c>
      <c r="H39" s="173" t="str">
        <f t="shared" si="6"/>
        <v/>
      </c>
      <c r="I39" s="173" t="str">
        <f t="shared" si="7"/>
        <v/>
      </c>
      <c r="J39" s="173" t="e">
        <f t="shared" si="3"/>
        <v>#VALUE!</v>
      </c>
      <c r="K39" s="173">
        <f>SUM($I$17:$I39)</f>
        <v>0</v>
      </c>
      <c r="L39" s="168"/>
      <c r="M39" s="168"/>
      <c r="N39" s="150"/>
    </row>
    <row r="40" spans="1:14" ht="21.75" customHeight="1">
      <c r="A40" s="191" t="str">
        <f t="shared" si="4"/>
        <v/>
      </c>
      <c r="B40" s="172" t="s">
        <v>1019</v>
      </c>
      <c r="C40" s="172" t="str">
        <f t="shared" si="0"/>
        <v/>
      </c>
      <c r="D40" s="173" t="str">
        <f t="shared" si="5"/>
        <v/>
      </c>
      <c r="E40" s="173" t="str">
        <f t="shared" si="8"/>
        <v/>
      </c>
      <c r="F40" s="174" t="e">
        <f t="shared" si="1"/>
        <v>#VALUE!</v>
      </c>
      <c r="G40" s="173" t="e">
        <f t="shared" si="2"/>
        <v>#VALUE!</v>
      </c>
      <c r="H40" s="173" t="str">
        <f t="shared" si="6"/>
        <v/>
      </c>
      <c r="I40" s="173" t="str">
        <f t="shared" si="7"/>
        <v/>
      </c>
      <c r="J40" s="173" t="e">
        <f t="shared" si="3"/>
        <v>#VALUE!</v>
      </c>
      <c r="K40" s="173">
        <f>SUM($I$17:$I40)</f>
        <v>0</v>
      </c>
      <c r="L40" s="168"/>
      <c r="M40" s="168"/>
      <c r="N40" s="150"/>
    </row>
    <row r="41" spans="1:14" ht="21.75" customHeight="1">
      <c r="A41" s="191" t="str">
        <f t="shared" si="4"/>
        <v/>
      </c>
      <c r="B41" s="172" t="s">
        <v>1020</v>
      </c>
      <c r="C41" s="172" t="str">
        <f t="shared" si="0"/>
        <v/>
      </c>
      <c r="D41" s="173" t="str">
        <f t="shared" si="5"/>
        <v/>
      </c>
      <c r="E41" s="173" t="str">
        <f t="shared" si="8"/>
        <v/>
      </c>
      <c r="F41" s="174" t="e">
        <f t="shared" si="1"/>
        <v>#VALUE!</v>
      </c>
      <c r="G41" s="173" t="e">
        <f t="shared" si="2"/>
        <v>#VALUE!</v>
      </c>
      <c r="H41" s="173" t="str">
        <f t="shared" si="6"/>
        <v/>
      </c>
      <c r="I41" s="173" t="str">
        <f t="shared" si="7"/>
        <v/>
      </c>
      <c r="J41" s="173" t="e">
        <f t="shared" si="3"/>
        <v>#VALUE!</v>
      </c>
      <c r="K41" s="173">
        <f>SUM($I$17:$I41)</f>
        <v>0</v>
      </c>
      <c r="L41" s="168"/>
      <c r="M41" s="168"/>
      <c r="N41" s="150"/>
    </row>
    <row r="42" spans="1:14" ht="21.75" customHeight="1">
      <c r="A42" s="191" t="str">
        <f t="shared" si="4"/>
        <v/>
      </c>
      <c r="B42" s="172" t="s">
        <v>1021</v>
      </c>
      <c r="C42" s="172" t="str">
        <f t="shared" si="0"/>
        <v/>
      </c>
      <c r="D42" s="173" t="str">
        <f t="shared" si="5"/>
        <v/>
      </c>
      <c r="E42" s="173" t="str">
        <f t="shared" si="8"/>
        <v/>
      </c>
      <c r="F42" s="174" t="e">
        <f t="shared" si="1"/>
        <v>#VALUE!</v>
      </c>
      <c r="G42" s="173" t="e">
        <f t="shared" si="2"/>
        <v>#VALUE!</v>
      </c>
      <c r="H42" s="173" t="str">
        <f t="shared" si="6"/>
        <v/>
      </c>
      <c r="I42" s="173" t="str">
        <f t="shared" si="7"/>
        <v/>
      </c>
      <c r="J42" s="173" t="e">
        <f t="shared" si="3"/>
        <v>#VALUE!</v>
      </c>
      <c r="K42" s="173">
        <f>SUM($I$17:$I42)</f>
        <v>0</v>
      </c>
      <c r="L42" s="168"/>
      <c r="M42" s="168"/>
      <c r="N42" s="150"/>
    </row>
    <row r="43" spans="1:14" ht="21.75" customHeight="1">
      <c r="A43" s="191" t="str">
        <f t="shared" si="4"/>
        <v/>
      </c>
      <c r="B43" s="172" t="s">
        <v>1022</v>
      </c>
      <c r="C43" s="172" t="str">
        <f t="shared" si="0"/>
        <v/>
      </c>
      <c r="D43" s="173" t="str">
        <f t="shared" si="5"/>
        <v/>
      </c>
      <c r="E43" s="173" t="str">
        <f t="shared" si="8"/>
        <v/>
      </c>
      <c r="F43" s="174" t="e">
        <f t="shared" si="1"/>
        <v>#VALUE!</v>
      </c>
      <c r="G43" s="173" t="e">
        <f t="shared" si="2"/>
        <v>#VALUE!</v>
      </c>
      <c r="H43" s="173" t="str">
        <f t="shared" si="6"/>
        <v/>
      </c>
      <c r="I43" s="173" t="str">
        <f t="shared" si="7"/>
        <v/>
      </c>
      <c r="J43" s="173" t="e">
        <f t="shared" si="3"/>
        <v>#VALUE!</v>
      </c>
      <c r="K43" s="173">
        <f>SUM($I$17:$I43)</f>
        <v>0</v>
      </c>
      <c r="L43" s="168"/>
      <c r="M43" s="168"/>
      <c r="N43" s="150"/>
    </row>
    <row r="44" spans="1:14" ht="21.75" customHeight="1">
      <c r="A44" s="191" t="str">
        <f t="shared" si="4"/>
        <v/>
      </c>
      <c r="B44" s="172" t="s">
        <v>1023</v>
      </c>
      <c r="C44" s="172" t="str">
        <f t="shared" si="0"/>
        <v/>
      </c>
      <c r="D44" s="173" t="str">
        <f t="shared" si="5"/>
        <v/>
      </c>
      <c r="E44" s="173" t="str">
        <f t="shared" si="8"/>
        <v/>
      </c>
      <c r="F44" s="174" t="e">
        <f t="shared" si="1"/>
        <v>#VALUE!</v>
      </c>
      <c r="G44" s="173" t="e">
        <f t="shared" si="2"/>
        <v>#VALUE!</v>
      </c>
      <c r="H44" s="173" t="str">
        <f t="shared" si="6"/>
        <v/>
      </c>
      <c r="I44" s="173" t="str">
        <f t="shared" si="7"/>
        <v/>
      </c>
      <c r="J44" s="173" t="e">
        <f t="shared" si="3"/>
        <v>#VALUE!</v>
      </c>
      <c r="K44" s="173">
        <f>SUM($I$17:$I44)</f>
        <v>0</v>
      </c>
      <c r="L44" s="168"/>
      <c r="M44" s="168"/>
      <c r="N44" s="150"/>
    </row>
    <row r="45" spans="1:14" ht="21.75" customHeight="1">
      <c r="A45" s="191" t="str">
        <f t="shared" si="4"/>
        <v/>
      </c>
      <c r="B45" s="172" t="s">
        <v>1024</v>
      </c>
      <c r="C45" s="172" t="str">
        <f t="shared" si="0"/>
        <v/>
      </c>
      <c r="D45" s="173" t="str">
        <f t="shared" si="5"/>
        <v/>
      </c>
      <c r="E45" s="173" t="str">
        <f t="shared" si="8"/>
        <v/>
      </c>
      <c r="F45" s="174" t="e">
        <f t="shared" si="1"/>
        <v>#VALUE!</v>
      </c>
      <c r="G45" s="173" t="e">
        <f t="shared" si="2"/>
        <v>#VALUE!</v>
      </c>
      <c r="H45" s="173" t="str">
        <f t="shared" si="6"/>
        <v/>
      </c>
      <c r="I45" s="173" t="str">
        <f t="shared" si="7"/>
        <v/>
      </c>
      <c r="J45" s="173" t="e">
        <f t="shared" si="3"/>
        <v>#VALUE!</v>
      </c>
      <c r="K45" s="173">
        <f>SUM($I$17:$I45)</f>
        <v>0</v>
      </c>
      <c r="L45" s="168"/>
      <c r="M45" s="168"/>
      <c r="N45" s="150"/>
    </row>
    <row r="46" spans="1:14" ht="21.75" customHeight="1">
      <c r="A46" s="191" t="str">
        <f t="shared" si="4"/>
        <v/>
      </c>
      <c r="B46" s="172" t="s">
        <v>1025</v>
      </c>
      <c r="C46" s="172" t="str">
        <f t="shared" si="0"/>
        <v/>
      </c>
      <c r="D46" s="173" t="str">
        <f t="shared" si="5"/>
        <v/>
      </c>
      <c r="E46" s="173" t="str">
        <f t="shared" si="8"/>
        <v/>
      </c>
      <c r="F46" s="174" t="e">
        <f t="shared" si="1"/>
        <v>#VALUE!</v>
      </c>
      <c r="G46" s="173" t="e">
        <f t="shared" si="2"/>
        <v>#VALUE!</v>
      </c>
      <c r="H46" s="173" t="str">
        <f t="shared" si="6"/>
        <v/>
      </c>
      <c r="I46" s="173" t="str">
        <f t="shared" si="7"/>
        <v/>
      </c>
      <c r="J46" s="173" t="e">
        <f t="shared" si="3"/>
        <v>#VALUE!</v>
      </c>
      <c r="K46" s="173">
        <f>SUM($I$17:$I46)</f>
        <v>0</v>
      </c>
      <c r="L46" s="168"/>
      <c r="M46" s="168"/>
      <c r="N46" s="150"/>
    </row>
    <row r="47" spans="1:14" ht="21.75" customHeight="1">
      <c r="A47" s="191" t="str">
        <f t="shared" si="4"/>
        <v/>
      </c>
      <c r="B47" s="172" t="s">
        <v>1026</v>
      </c>
      <c r="C47" s="172" t="str">
        <f t="shared" si="0"/>
        <v/>
      </c>
      <c r="D47" s="173" t="str">
        <f t="shared" si="5"/>
        <v/>
      </c>
      <c r="E47" s="173" t="str">
        <f t="shared" si="8"/>
        <v/>
      </c>
      <c r="F47" s="174" t="e">
        <f t="shared" si="1"/>
        <v>#VALUE!</v>
      </c>
      <c r="G47" s="173" t="e">
        <f t="shared" si="2"/>
        <v>#VALUE!</v>
      </c>
      <c r="H47" s="173" t="str">
        <f t="shared" si="6"/>
        <v/>
      </c>
      <c r="I47" s="173" t="str">
        <f t="shared" si="7"/>
        <v/>
      </c>
      <c r="J47" s="173" t="e">
        <f t="shared" si="3"/>
        <v>#VALUE!</v>
      </c>
      <c r="K47" s="173">
        <f>SUM($I$17:$I47)</f>
        <v>0</v>
      </c>
      <c r="L47" s="168"/>
      <c r="M47" s="168"/>
      <c r="N47" s="150"/>
    </row>
    <row r="48" spans="1:14" ht="21.75" customHeight="1">
      <c r="A48" s="191" t="str">
        <f t="shared" si="4"/>
        <v/>
      </c>
      <c r="B48" s="172" t="s">
        <v>1027</v>
      </c>
      <c r="C48" s="172" t="str">
        <f t="shared" si="0"/>
        <v/>
      </c>
      <c r="D48" s="173" t="str">
        <f t="shared" si="5"/>
        <v/>
      </c>
      <c r="E48" s="173" t="str">
        <f t="shared" si="8"/>
        <v/>
      </c>
      <c r="F48" s="174" t="e">
        <f t="shared" si="1"/>
        <v>#VALUE!</v>
      </c>
      <c r="G48" s="173" t="e">
        <f t="shared" si="2"/>
        <v>#VALUE!</v>
      </c>
      <c r="H48" s="173" t="str">
        <f t="shared" si="6"/>
        <v/>
      </c>
      <c r="I48" s="173" t="str">
        <f t="shared" si="7"/>
        <v/>
      </c>
      <c r="J48" s="173" t="e">
        <f t="shared" si="3"/>
        <v>#VALUE!</v>
      </c>
      <c r="K48" s="173">
        <f>SUM($I$17:$I48)</f>
        <v>0</v>
      </c>
      <c r="L48" s="168"/>
      <c r="M48" s="168"/>
      <c r="N48" s="150"/>
    </row>
    <row r="49" spans="1:14" ht="21.75" customHeight="1">
      <c r="A49" s="191" t="str">
        <f t="shared" si="4"/>
        <v/>
      </c>
      <c r="B49" s="172" t="s">
        <v>1028</v>
      </c>
      <c r="C49" s="172" t="str">
        <f t="shared" si="0"/>
        <v/>
      </c>
      <c r="D49" s="173" t="str">
        <f t="shared" si="5"/>
        <v/>
      </c>
      <c r="E49" s="173" t="str">
        <f t="shared" si="8"/>
        <v/>
      </c>
      <c r="F49" s="174" t="e">
        <f t="shared" si="1"/>
        <v>#VALUE!</v>
      </c>
      <c r="G49" s="173" t="e">
        <f t="shared" si="2"/>
        <v>#VALUE!</v>
      </c>
      <c r="H49" s="173" t="str">
        <f t="shared" si="6"/>
        <v/>
      </c>
      <c r="I49" s="173" t="str">
        <f t="shared" si="7"/>
        <v/>
      </c>
      <c r="J49" s="173" t="e">
        <f t="shared" si="3"/>
        <v>#VALUE!</v>
      </c>
      <c r="K49" s="173">
        <f>SUM($I$17:$I49)</f>
        <v>0</v>
      </c>
      <c r="L49" s="168"/>
      <c r="M49" s="168"/>
      <c r="N49" s="150"/>
    </row>
    <row r="50" spans="1:14" ht="21.75" customHeight="1">
      <c r="A50" s="191" t="str">
        <f t="shared" si="4"/>
        <v/>
      </c>
      <c r="B50" s="172" t="s">
        <v>1029</v>
      </c>
      <c r="C50" s="172" t="str">
        <f t="shared" si="0"/>
        <v/>
      </c>
      <c r="D50" s="173" t="str">
        <f t="shared" si="5"/>
        <v/>
      </c>
      <c r="E50" s="173" t="str">
        <f t="shared" si="8"/>
        <v/>
      </c>
      <c r="F50" s="174" t="e">
        <f t="shared" si="1"/>
        <v>#VALUE!</v>
      </c>
      <c r="G50" s="173" t="e">
        <f t="shared" si="2"/>
        <v>#VALUE!</v>
      </c>
      <c r="H50" s="173" t="str">
        <f t="shared" si="6"/>
        <v/>
      </c>
      <c r="I50" s="173" t="str">
        <f t="shared" si="7"/>
        <v/>
      </c>
      <c r="J50" s="173" t="e">
        <f t="shared" si="3"/>
        <v>#VALUE!</v>
      </c>
      <c r="K50" s="173">
        <f>SUM($I$17:$I50)</f>
        <v>0</v>
      </c>
      <c r="L50" s="168"/>
      <c r="M50" s="168"/>
      <c r="N50" s="150"/>
    </row>
    <row r="51" spans="1:14" ht="21.75" customHeight="1">
      <c r="A51" s="191" t="str">
        <f t="shared" si="4"/>
        <v/>
      </c>
      <c r="B51" s="172" t="s">
        <v>1030</v>
      </c>
      <c r="C51" s="172" t="str">
        <f t="shared" si="0"/>
        <v/>
      </c>
      <c r="D51" s="173" t="str">
        <f t="shared" si="5"/>
        <v/>
      </c>
      <c r="E51" s="173" t="str">
        <f t="shared" si="8"/>
        <v/>
      </c>
      <c r="F51" s="174" t="e">
        <f t="shared" si="1"/>
        <v>#VALUE!</v>
      </c>
      <c r="G51" s="173" t="e">
        <f t="shared" si="2"/>
        <v>#VALUE!</v>
      </c>
      <c r="H51" s="173" t="str">
        <f t="shared" si="6"/>
        <v/>
      </c>
      <c r="I51" s="173" t="str">
        <f t="shared" si="7"/>
        <v/>
      </c>
      <c r="J51" s="173" t="e">
        <f t="shared" si="3"/>
        <v>#VALUE!</v>
      </c>
      <c r="K51" s="173">
        <f>SUM($I$17:$I51)</f>
        <v>0</v>
      </c>
      <c r="L51" s="168"/>
      <c r="M51" s="168"/>
      <c r="N51" s="150"/>
    </row>
    <row r="52" spans="1:14" ht="21.75" customHeight="1">
      <c r="A52" s="191" t="str">
        <f t="shared" si="4"/>
        <v/>
      </c>
      <c r="B52" s="172" t="s">
        <v>1031</v>
      </c>
      <c r="C52" s="172" t="str">
        <f t="shared" si="0"/>
        <v/>
      </c>
      <c r="D52" s="173" t="str">
        <f t="shared" si="5"/>
        <v/>
      </c>
      <c r="E52" s="173" t="str">
        <f t="shared" si="8"/>
        <v/>
      </c>
      <c r="F52" s="174" t="e">
        <f t="shared" si="1"/>
        <v>#VALUE!</v>
      </c>
      <c r="G52" s="173" t="e">
        <f t="shared" si="2"/>
        <v>#VALUE!</v>
      </c>
      <c r="H52" s="173" t="str">
        <f t="shared" si="6"/>
        <v/>
      </c>
      <c r="I52" s="173" t="str">
        <f t="shared" si="7"/>
        <v/>
      </c>
      <c r="J52" s="173" t="e">
        <f t="shared" si="3"/>
        <v>#VALUE!</v>
      </c>
      <c r="K52" s="173">
        <f>SUM($I$17:$I52)</f>
        <v>0</v>
      </c>
      <c r="L52" s="168"/>
      <c r="M52" s="168"/>
      <c r="N52" s="150"/>
    </row>
    <row r="53" spans="1:14" ht="21.75" customHeight="1">
      <c r="A53" s="191" t="str">
        <f t="shared" si="4"/>
        <v/>
      </c>
      <c r="B53" s="172" t="s">
        <v>1032</v>
      </c>
      <c r="C53" s="172" t="str">
        <f t="shared" si="0"/>
        <v/>
      </c>
      <c r="D53" s="173" t="str">
        <f t="shared" si="5"/>
        <v/>
      </c>
      <c r="E53" s="173" t="str">
        <f t="shared" si="8"/>
        <v/>
      </c>
      <c r="F53" s="174" t="e">
        <f t="shared" si="1"/>
        <v>#VALUE!</v>
      </c>
      <c r="G53" s="173" t="e">
        <f t="shared" si="2"/>
        <v>#VALUE!</v>
      </c>
      <c r="H53" s="173" t="str">
        <f t="shared" si="6"/>
        <v/>
      </c>
      <c r="I53" s="173" t="str">
        <f t="shared" si="7"/>
        <v/>
      </c>
      <c r="J53" s="173" t="e">
        <f t="shared" si="3"/>
        <v>#VALUE!</v>
      </c>
      <c r="K53" s="173">
        <f>SUM($I$17:$I53)</f>
        <v>0</v>
      </c>
      <c r="L53" s="168"/>
      <c r="M53" s="168"/>
      <c r="N53" s="150"/>
    </row>
    <row r="54" spans="1:14" ht="21.75" customHeight="1">
      <c r="A54" s="191" t="str">
        <f t="shared" si="4"/>
        <v/>
      </c>
      <c r="B54" s="172" t="s">
        <v>1033</v>
      </c>
      <c r="C54" s="172" t="str">
        <f t="shared" si="0"/>
        <v/>
      </c>
      <c r="D54" s="173" t="str">
        <f t="shared" si="5"/>
        <v/>
      </c>
      <c r="E54" s="173" t="str">
        <f t="shared" si="8"/>
        <v/>
      </c>
      <c r="F54" s="174" t="e">
        <f t="shared" si="1"/>
        <v>#VALUE!</v>
      </c>
      <c r="G54" s="173" t="e">
        <f t="shared" si="2"/>
        <v>#VALUE!</v>
      </c>
      <c r="H54" s="173" t="str">
        <f t="shared" si="6"/>
        <v/>
      </c>
      <c r="I54" s="173" t="str">
        <f t="shared" si="7"/>
        <v/>
      </c>
      <c r="J54" s="173" t="e">
        <f t="shared" si="3"/>
        <v>#VALUE!</v>
      </c>
      <c r="K54" s="173">
        <f>SUM($I$17:$I54)</f>
        <v>0</v>
      </c>
      <c r="L54" s="168"/>
      <c r="M54" s="168"/>
      <c r="N54" s="150"/>
    </row>
    <row r="55" spans="1:14" ht="21.75" customHeight="1">
      <c r="A55" s="191" t="str">
        <f t="shared" si="4"/>
        <v/>
      </c>
      <c r="B55" s="172" t="s">
        <v>1034</v>
      </c>
      <c r="C55" s="172" t="str">
        <f t="shared" si="0"/>
        <v/>
      </c>
      <c r="D55" s="173" t="str">
        <f t="shared" si="5"/>
        <v/>
      </c>
      <c r="E55" s="173" t="str">
        <f t="shared" si="8"/>
        <v/>
      </c>
      <c r="F55" s="174" t="e">
        <f t="shared" si="1"/>
        <v>#VALUE!</v>
      </c>
      <c r="G55" s="173" t="e">
        <f t="shared" si="2"/>
        <v>#VALUE!</v>
      </c>
      <c r="H55" s="173" t="str">
        <f t="shared" si="6"/>
        <v/>
      </c>
      <c r="I55" s="173" t="str">
        <f t="shared" si="7"/>
        <v/>
      </c>
      <c r="J55" s="173" t="e">
        <f t="shared" si="3"/>
        <v>#VALUE!</v>
      </c>
      <c r="K55" s="173">
        <f>SUM($I$17:$I55)</f>
        <v>0</v>
      </c>
      <c r="L55" s="168"/>
      <c r="M55" s="168"/>
      <c r="N55" s="150"/>
    </row>
    <row r="56" spans="1:14" ht="21.75" customHeight="1">
      <c r="A56" s="191" t="str">
        <f t="shared" si="4"/>
        <v/>
      </c>
      <c r="B56" s="172" t="s">
        <v>1035</v>
      </c>
      <c r="C56" s="172" t="str">
        <f t="shared" si="0"/>
        <v/>
      </c>
      <c r="D56" s="173" t="str">
        <f t="shared" si="5"/>
        <v/>
      </c>
      <c r="E56" s="173" t="str">
        <f t="shared" si="8"/>
        <v/>
      </c>
      <c r="F56" s="174" t="e">
        <f t="shared" si="1"/>
        <v>#VALUE!</v>
      </c>
      <c r="G56" s="173" t="e">
        <f t="shared" si="2"/>
        <v>#VALUE!</v>
      </c>
      <c r="H56" s="173" t="str">
        <f t="shared" si="6"/>
        <v/>
      </c>
      <c r="I56" s="173" t="str">
        <f t="shared" si="7"/>
        <v/>
      </c>
      <c r="J56" s="173" t="e">
        <f t="shared" si="3"/>
        <v>#VALUE!</v>
      </c>
      <c r="K56" s="173">
        <f>SUM($I$17:$I56)</f>
        <v>0</v>
      </c>
      <c r="L56" s="168"/>
      <c r="M56" s="168"/>
      <c r="N56" s="150"/>
    </row>
    <row r="57" spans="1:14" ht="21.75" customHeight="1">
      <c r="A57" s="191" t="str">
        <f t="shared" si="4"/>
        <v/>
      </c>
      <c r="B57" s="172" t="s">
        <v>1036</v>
      </c>
      <c r="C57" s="172" t="str">
        <f t="shared" si="0"/>
        <v/>
      </c>
      <c r="D57" s="173" t="str">
        <f t="shared" si="5"/>
        <v/>
      </c>
      <c r="E57" s="173" t="str">
        <f t="shared" si="8"/>
        <v/>
      </c>
      <c r="F57" s="174" t="e">
        <f t="shared" si="1"/>
        <v>#VALUE!</v>
      </c>
      <c r="G57" s="173" t="e">
        <f t="shared" si="2"/>
        <v>#VALUE!</v>
      </c>
      <c r="H57" s="173" t="str">
        <f t="shared" si="6"/>
        <v/>
      </c>
      <c r="I57" s="173" t="str">
        <f t="shared" si="7"/>
        <v/>
      </c>
      <c r="J57" s="173" t="e">
        <f t="shared" si="3"/>
        <v>#VALUE!</v>
      </c>
      <c r="K57" s="173">
        <f>SUM($I$17:$I57)</f>
        <v>0</v>
      </c>
      <c r="L57" s="168"/>
      <c r="M57" s="168"/>
      <c r="N57" s="150"/>
    </row>
    <row r="58" spans="1:14" ht="21.75" customHeight="1">
      <c r="A58" s="191" t="str">
        <f t="shared" si="4"/>
        <v/>
      </c>
      <c r="B58" s="172" t="s">
        <v>1037</v>
      </c>
      <c r="C58" s="172" t="str">
        <f t="shared" si="0"/>
        <v/>
      </c>
      <c r="D58" s="173" t="str">
        <f t="shared" si="5"/>
        <v/>
      </c>
      <c r="E58" s="173" t="str">
        <f t="shared" si="8"/>
        <v/>
      </c>
      <c r="F58" s="174" t="e">
        <f t="shared" si="1"/>
        <v>#VALUE!</v>
      </c>
      <c r="G58" s="173" t="e">
        <f t="shared" si="2"/>
        <v>#VALUE!</v>
      </c>
      <c r="H58" s="173" t="str">
        <f t="shared" si="6"/>
        <v/>
      </c>
      <c r="I58" s="173" t="str">
        <f t="shared" si="7"/>
        <v/>
      </c>
      <c r="J58" s="173" t="e">
        <f t="shared" si="3"/>
        <v>#VALUE!</v>
      </c>
      <c r="K58" s="173">
        <f>SUM($I$17:$I58)</f>
        <v>0</v>
      </c>
      <c r="L58" s="168"/>
      <c r="M58" s="168"/>
      <c r="N58" s="150"/>
    </row>
    <row r="59" spans="1:14" s="180" customFormat="1" ht="21.75" customHeight="1">
      <c r="A59" s="192" t="str">
        <f t="shared" si="4"/>
        <v/>
      </c>
      <c r="B59" s="172" t="s">
        <v>1038</v>
      </c>
      <c r="C59" s="176" t="str">
        <f t="shared" si="0"/>
        <v/>
      </c>
      <c r="D59" s="177" t="str">
        <f t="shared" si="5"/>
        <v/>
      </c>
      <c r="E59" s="177" t="str">
        <f t="shared" si="8"/>
        <v/>
      </c>
      <c r="F59" s="178" t="e">
        <f t="shared" si="1"/>
        <v>#VALUE!</v>
      </c>
      <c r="G59" s="177" t="e">
        <f t="shared" si="2"/>
        <v>#VALUE!</v>
      </c>
      <c r="H59" s="177" t="str">
        <f t="shared" si="6"/>
        <v/>
      </c>
      <c r="I59" s="177" t="str">
        <f t="shared" si="7"/>
        <v/>
      </c>
      <c r="J59" s="177" t="e">
        <f t="shared" si="3"/>
        <v>#VALUE!</v>
      </c>
      <c r="K59" s="177">
        <f>SUM($I$17:$I59)</f>
        <v>0</v>
      </c>
      <c r="L59" s="179"/>
      <c r="M59" s="179"/>
    </row>
    <row r="60" spans="1:14" s="180" customFormat="1" ht="21.75" customHeight="1">
      <c r="A60" s="192" t="str">
        <f t="shared" si="4"/>
        <v/>
      </c>
      <c r="B60" s="172" t="s">
        <v>1039</v>
      </c>
      <c r="C60" s="176" t="str">
        <f t="shared" si="0"/>
        <v/>
      </c>
      <c r="D60" s="177" t="str">
        <f t="shared" si="5"/>
        <v/>
      </c>
      <c r="E60" s="177" t="str">
        <f t="shared" si="8"/>
        <v/>
      </c>
      <c r="F60" s="178" t="e">
        <f t="shared" si="1"/>
        <v>#VALUE!</v>
      </c>
      <c r="G60" s="177" t="e">
        <f t="shared" si="2"/>
        <v>#VALUE!</v>
      </c>
      <c r="H60" s="177" t="str">
        <f t="shared" si="6"/>
        <v/>
      </c>
      <c r="I60" s="177" t="str">
        <f t="shared" si="7"/>
        <v/>
      </c>
      <c r="J60" s="177" t="e">
        <f t="shared" si="3"/>
        <v>#VALUE!</v>
      </c>
      <c r="K60" s="177">
        <f>SUM($I$17:$I60)</f>
        <v>0</v>
      </c>
      <c r="L60" s="179"/>
      <c r="M60" s="179"/>
    </row>
    <row r="61" spans="1:14" s="180" customFormat="1" ht="21.75" customHeight="1">
      <c r="A61" s="192" t="str">
        <f t="shared" si="4"/>
        <v/>
      </c>
      <c r="B61" s="172" t="s">
        <v>1040</v>
      </c>
      <c r="C61" s="176" t="str">
        <f t="shared" si="0"/>
        <v/>
      </c>
      <c r="D61" s="177" t="str">
        <f t="shared" si="5"/>
        <v/>
      </c>
      <c r="E61" s="177" t="str">
        <f t="shared" si="8"/>
        <v/>
      </c>
      <c r="F61" s="178" t="e">
        <f t="shared" si="1"/>
        <v>#VALUE!</v>
      </c>
      <c r="G61" s="177" t="e">
        <f t="shared" si="2"/>
        <v>#VALUE!</v>
      </c>
      <c r="H61" s="177" t="str">
        <f t="shared" si="6"/>
        <v/>
      </c>
      <c r="I61" s="177" t="str">
        <f t="shared" si="7"/>
        <v/>
      </c>
      <c r="J61" s="177" t="e">
        <f t="shared" si="3"/>
        <v>#VALUE!</v>
      </c>
      <c r="K61" s="177">
        <f>SUM($I$17:$I61)</f>
        <v>0</v>
      </c>
      <c r="L61" s="179"/>
      <c r="M61" s="179"/>
    </row>
    <row r="62" spans="1:14" s="180" customFormat="1" ht="21.75" customHeight="1">
      <c r="A62" s="192" t="str">
        <f t="shared" si="4"/>
        <v/>
      </c>
      <c r="B62" s="172" t="s">
        <v>1041</v>
      </c>
      <c r="C62" s="176" t="str">
        <f t="shared" si="0"/>
        <v/>
      </c>
      <c r="D62" s="177" t="str">
        <f t="shared" si="5"/>
        <v/>
      </c>
      <c r="E62" s="177" t="str">
        <f t="shared" si="8"/>
        <v/>
      </c>
      <c r="F62" s="178" t="e">
        <f t="shared" si="1"/>
        <v>#VALUE!</v>
      </c>
      <c r="G62" s="177" t="e">
        <f t="shared" si="2"/>
        <v>#VALUE!</v>
      </c>
      <c r="H62" s="177" t="str">
        <f t="shared" si="6"/>
        <v/>
      </c>
      <c r="I62" s="177" t="str">
        <f t="shared" si="7"/>
        <v/>
      </c>
      <c r="J62" s="177" t="e">
        <f t="shared" si="3"/>
        <v>#VALUE!</v>
      </c>
      <c r="K62" s="177">
        <f>SUM($I$17:$I62)</f>
        <v>0</v>
      </c>
      <c r="L62" s="179"/>
      <c r="M62" s="179"/>
    </row>
    <row r="63" spans="1:14" s="180" customFormat="1" ht="21.75" customHeight="1">
      <c r="A63" s="192" t="str">
        <f t="shared" si="4"/>
        <v/>
      </c>
      <c r="B63" s="172" t="s">
        <v>1042</v>
      </c>
      <c r="C63" s="176" t="str">
        <f t="shared" si="0"/>
        <v/>
      </c>
      <c r="D63" s="177" t="str">
        <f t="shared" si="5"/>
        <v/>
      </c>
      <c r="E63" s="177" t="str">
        <f t="shared" si="8"/>
        <v/>
      </c>
      <c r="F63" s="178" t="e">
        <f t="shared" si="1"/>
        <v>#VALUE!</v>
      </c>
      <c r="G63" s="177" t="e">
        <f t="shared" si="2"/>
        <v>#VALUE!</v>
      </c>
      <c r="H63" s="177" t="str">
        <f t="shared" si="6"/>
        <v/>
      </c>
      <c r="I63" s="177" t="str">
        <f t="shared" si="7"/>
        <v/>
      </c>
      <c r="J63" s="177" t="e">
        <f t="shared" si="3"/>
        <v>#VALUE!</v>
      </c>
      <c r="K63" s="177">
        <f>SUM($I$17:$I63)</f>
        <v>0</v>
      </c>
      <c r="L63" s="179"/>
      <c r="M63" s="179"/>
    </row>
    <row r="64" spans="1:14" s="180" customFormat="1" ht="21.75" customHeight="1">
      <c r="A64" s="192" t="str">
        <f t="shared" si="4"/>
        <v/>
      </c>
      <c r="B64" s="172" t="s">
        <v>1043</v>
      </c>
      <c r="C64" s="176" t="str">
        <f t="shared" si="0"/>
        <v/>
      </c>
      <c r="D64" s="177" t="str">
        <f t="shared" si="5"/>
        <v/>
      </c>
      <c r="E64" s="177" t="str">
        <f t="shared" si="8"/>
        <v/>
      </c>
      <c r="F64" s="178" t="e">
        <f t="shared" si="1"/>
        <v>#VALUE!</v>
      </c>
      <c r="G64" s="177" t="e">
        <f t="shared" si="2"/>
        <v>#VALUE!</v>
      </c>
      <c r="H64" s="177" t="str">
        <f t="shared" si="6"/>
        <v/>
      </c>
      <c r="I64" s="177" t="str">
        <f t="shared" si="7"/>
        <v/>
      </c>
      <c r="J64" s="177" t="e">
        <f t="shared" si="3"/>
        <v>#VALUE!</v>
      </c>
      <c r="K64" s="177">
        <f>SUM($I$17:$I64)</f>
        <v>0</v>
      </c>
      <c r="L64" s="179"/>
      <c r="M64" s="179"/>
    </row>
    <row r="65" spans="1:13" s="180" customFormat="1" ht="21.75" customHeight="1">
      <c r="A65" s="192" t="str">
        <f t="shared" si="4"/>
        <v/>
      </c>
      <c r="B65" s="172" t="s">
        <v>1044</v>
      </c>
      <c r="C65" s="176" t="str">
        <f t="shared" si="0"/>
        <v/>
      </c>
      <c r="D65" s="177" t="str">
        <f t="shared" si="5"/>
        <v/>
      </c>
      <c r="E65" s="177" t="str">
        <f t="shared" si="8"/>
        <v/>
      </c>
      <c r="F65" s="178" t="e">
        <f t="shared" si="1"/>
        <v>#VALUE!</v>
      </c>
      <c r="G65" s="177" t="e">
        <f t="shared" si="2"/>
        <v>#VALUE!</v>
      </c>
      <c r="H65" s="177" t="str">
        <f t="shared" si="6"/>
        <v/>
      </c>
      <c r="I65" s="177" t="str">
        <f t="shared" si="7"/>
        <v/>
      </c>
      <c r="J65" s="177" t="e">
        <f t="shared" si="3"/>
        <v>#VALUE!</v>
      </c>
      <c r="K65" s="177">
        <f>SUM($I$17:$I65)</f>
        <v>0</v>
      </c>
      <c r="L65" s="179"/>
      <c r="M65" s="179"/>
    </row>
    <row r="66" spans="1:13" s="180" customFormat="1" ht="21.75" customHeight="1">
      <c r="A66" s="192" t="str">
        <f t="shared" si="4"/>
        <v/>
      </c>
      <c r="B66" s="172" t="s">
        <v>1045</v>
      </c>
      <c r="C66" s="176" t="str">
        <f t="shared" si="0"/>
        <v/>
      </c>
      <c r="D66" s="177" t="str">
        <f t="shared" si="5"/>
        <v/>
      </c>
      <c r="E66" s="177" t="str">
        <f t="shared" si="8"/>
        <v/>
      </c>
      <c r="F66" s="178" t="e">
        <f t="shared" si="1"/>
        <v>#VALUE!</v>
      </c>
      <c r="G66" s="177" t="e">
        <f t="shared" si="2"/>
        <v>#VALUE!</v>
      </c>
      <c r="H66" s="177" t="str">
        <f t="shared" si="6"/>
        <v/>
      </c>
      <c r="I66" s="177" t="str">
        <f t="shared" si="7"/>
        <v/>
      </c>
      <c r="J66" s="177" t="e">
        <f t="shared" si="3"/>
        <v>#VALUE!</v>
      </c>
      <c r="K66" s="177">
        <f>SUM($I$17:$I66)</f>
        <v>0</v>
      </c>
      <c r="L66" s="179"/>
      <c r="M66" s="179"/>
    </row>
    <row r="67" spans="1:13" s="180" customFormat="1" ht="21.75" customHeight="1">
      <c r="A67" s="192" t="str">
        <f t="shared" si="4"/>
        <v/>
      </c>
      <c r="B67" s="172" t="s">
        <v>1046</v>
      </c>
      <c r="C67" s="176" t="str">
        <f t="shared" si="0"/>
        <v/>
      </c>
      <c r="D67" s="177" t="str">
        <f t="shared" si="5"/>
        <v/>
      </c>
      <c r="E67" s="177" t="str">
        <f t="shared" si="8"/>
        <v/>
      </c>
      <c r="F67" s="178" t="e">
        <f t="shared" si="1"/>
        <v>#VALUE!</v>
      </c>
      <c r="G67" s="177" t="e">
        <f t="shared" si="2"/>
        <v>#VALUE!</v>
      </c>
      <c r="H67" s="177" t="str">
        <f t="shared" si="6"/>
        <v/>
      </c>
      <c r="I67" s="177" t="str">
        <f t="shared" si="7"/>
        <v/>
      </c>
      <c r="J67" s="177" t="e">
        <f t="shared" si="3"/>
        <v>#VALUE!</v>
      </c>
      <c r="K67" s="177">
        <f>SUM($I$17:$I67)</f>
        <v>0</v>
      </c>
      <c r="L67" s="179"/>
      <c r="M67" s="179"/>
    </row>
    <row r="68" spans="1:13" s="180" customFormat="1" ht="21.75" customHeight="1">
      <c r="A68" s="192" t="str">
        <f t="shared" si="4"/>
        <v/>
      </c>
      <c r="B68" s="172" t="s">
        <v>1047</v>
      </c>
      <c r="C68" s="176" t="str">
        <f t="shared" si="0"/>
        <v/>
      </c>
      <c r="D68" s="177" t="str">
        <f t="shared" si="5"/>
        <v/>
      </c>
      <c r="E68" s="177" t="str">
        <f t="shared" si="8"/>
        <v/>
      </c>
      <c r="F68" s="178" t="e">
        <f t="shared" si="1"/>
        <v>#VALUE!</v>
      </c>
      <c r="G68" s="177" t="e">
        <f t="shared" si="2"/>
        <v>#VALUE!</v>
      </c>
      <c r="H68" s="177" t="str">
        <f t="shared" si="6"/>
        <v/>
      </c>
      <c r="I68" s="177" t="str">
        <f t="shared" si="7"/>
        <v/>
      </c>
      <c r="J68" s="177" t="e">
        <f t="shared" si="3"/>
        <v>#VALUE!</v>
      </c>
      <c r="K68" s="177">
        <f>SUM($I$17:$I68)</f>
        <v>0</v>
      </c>
      <c r="L68" s="179"/>
      <c r="M68" s="179"/>
    </row>
    <row r="69" spans="1:13" s="180" customFormat="1" ht="21.75" customHeight="1">
      <c r="A69" s="192" t="str">
        <f t="shared" si="4"/>
        <v/>
      </c>
      <c r="B69" s="172" t="s">
        <v>1048</v>
      </c>
      <c r="C69" s="176" t="str">
        <f t="shared" si="0"/>
        <v/>
      </c>
      <c r="D69" s="177" t="str">
        <f t="shared" si="5"/>
        <v/>
      </c>
      <c r="E69" s="177" t="str">
        <f t="shared" si="8"/>
        <v/>
      </c>
      <c r="F69" s="178" t="e">
        <f t="shared" si="1"/>
        <v>#VALUE!</v>
      </c>
      <c r="G69" s="177" t="e">
        <f t="shared" si="2"/>
        <v>#VALUE!</v>
      </c>
      <c r="H69" s="177" t="str">
        <f t="shared" si="6"/>
        <v/>
      </c>
      <c r="I69" s="177" t="str">
        <f t="shared" si="7"/>
        <v/>
      </c>
      <c r="J69" s="177" t="e">
        <f t="shared" si="3"/>
        <v>#VALUE!</v>
      </c>
      <c r="K69" s="177">
        <f>SUM($I$17:$I69)</f>
        <v>0</v>
      </c>
      <c r="L69" s="179"/>
      <c r="M69" s="179"/>
    </row>
    <row r="70" spans="1:13" s="180" customFormat="1" ht="21.75" customHeight="1">
      <c r="A70" s="192" t="str">
        <f t="shared" si="4"/>
        <v/>
      </c>
      <c r="B70" s="172" t="s">
        <v>1049</v>
      </c>
      <c r="C70" s="176" t="str">
        <f t="shared" si="0"/>
        <v/>
      </c>
      <c r="D70" s="177" t="str">
        <f t="shared" si="5"/>
        <v/>
      </c>
      <c r="E70" s="177" t="str">
        <f t="shared" si="8"/>
        <v/>
      </c>
      <c r="F70" s="178" t="e">
        <f t="shared" si="1"/>
        <v>#VALUE!</v>
      </c>
      <c r="G70" s="177" t="e">
        <f t="shared" si="2"/>
        <v>#VALUE!</v>
      </c>
      <c r="H70" s="177" t="str">
        <f t="shared" si="6"/>
        <v/>
      </c>
      <c r="I70" s="177" t="str">
        <f t="shared" si="7"/>
        <v/>
      </c>
      <c r="J70" s="177" t="e">
        <f t="shared" si="3"/>
        <v>#VALUE!</v>
      </c>
      <c r="K70" s="177">
        <f>SUM($I$17:$I70)</f>
        <v>0</v>
      </c>
      <c r="L70" s="179"/>
      <c r="M70" s="179"/>
    </row>
    <row r="71" spans="1:13" s="180" customFormat="1" ht="21.75" customHeight="1">
      <c r="A71" s="192" t="str">
        <f t="shared" si="4"/>
        <v/>
      </c>
      <c r="B71" s="172" t="s">
        <v>1050</v>
      </c>
      <c r="C71" s="176" t="str">
        <f t="shared" si="0"/>
        <v/>
      </c>
      <c r="D71" s="177" t="str">
        <f t="shared" si="5"/>
        <v/>
      </c>
      <c r="E71" s="177" t="str">
        <f t="shared" si="8"/>
        <v/>
      </c>
      <c r="F71" s="178" t="e">
        <f t="shared" si="1"/>
        <v>#VALUE!</v>
      </c>
      <c r="G71" s="177" t="e">
        <f t="shared" si="2"/>
        <v>#VALUE!</v>
      </c>
      <c r="H71" s="177" t="str">
        <f t="shared" si="6"/>
        <v/>
      </c>
      <c r="I71" s="177" t="str">
        <f t="shared" si="7"/>
        <v/>
      </c>
      <c r="J71" s="177" t="e">
        <f t="shared" si="3"/>
        <v>#VALUE!</v>
      </c>
      <c r="K71" s="177">
        <f>SUM($I$17:$I71)</f>
        <v>0</v>
      </c>
      <c r="L71" s="179"/>
      <c r="M71" s="179"/>
    </row>
    <row r="72" spans="1:13" s="180" customFormat="1" ht="21.75" customHeight="1">
      <c r="A72" s="192" t="str">
        <f t="shared" si="4"/>
        <v/>
      </c>
      <c r="B72" s="172" t="s">
        <v>1051</v>
      </c>
      <c r="C72" s="176" t="str">
        <f t="shared" si="0"/>
        <v/>
      </c>
      <c r="D72" s="177" t="str">
        <f t="shared" si="5"/>
        <v/>
      </c>
      <c r="E72" s="177" t="str">
        <f t="shared" si="8"/>
        <v/>
      </c>
      <c r="F72" s="178" t="e">
        <f t="shared" si="1"/>
        <v>#VALUE!</v>
      </c>
      <c r="G72" s="177" t="e">
        <f t="shared" si="2"/>
        <v>#VALUE!</v>
      </c>
      <c r="H72" s="177" t="str">
        <f t="shared" si="6"/>
        <v/>
      </c>
      <c r="I72" s="177" t="str">
        <f t="shared" si="7"/>
        <v/>
      </c>
      <c r="J72" s="177" t="e">
        <f t="shared" si="3"/>
        <v>#VALUE!</v>
      </c>
      <c r="K72" s="177">
        <f>SUM($I$17:$I72)</f>
        <v>0</v>
      </c>
      <c r="L72" s="179"/>
      <c r="M72" s="179"/>
    </row>
    <row r="73" spans="1:13" s="180" customFormat="1" ht="21.75" customHeight="1">
      <c r="A73" s="192" t="str">
        <f t="shared" si="4"/>
        <v/>
      </c>
      <c r="B73" s="172" t="s">
        <v>1052</v>
      </c>
      <c r="C73" s="176" t="str">
        <f t="shared" si="0"/>
        <v/>
      </c>
      <c r="D73" s="177" t="str">
        <f t="shared" si="5"/>
        <v/>
      </c>
      <c r="E73" s="177" t="str">
        <f t="shared" si="8"/>
        <v/>
      </c>
      <c r="F73" s="178" t="e">
        <f t="shared" si="1"/>
        <v>#VALUE!</v>
      </c>
      <c r="G73" s="177" t="e">
        <f t="shared" si="2"/>
        <v>#VALUE!</v>
      </c>
      <c r="H73" s="177" t="str">
        <f t="shared" si="6"/>
        <v/>
      </c>
      <c r="I73" s="177" t="str">
        <f t="shared" si="7"/>
        <v/>
      </c>
      <c r="J73" s="177" t="e">
        <f t="shared" si="3"/>
        <v>#VALUE!</v>
      </c>
      <c r="K73" s="177">
        <f>SUM($I$17:$I73)</f>
        <v>0</v>
      </c>
      <c r="L73" s="179"/>
      <c r="M73" s="179"/>
    </row>
    <row r="74" spans="1:13" s="180" customFormat="1" ht="21.75" customHeight="1">
      <c r="A74" s="192" t="str">
        <f t="shared" si="4"/>
        <v/>
      </c>
      <c r="B74" s="172" t="s">
        <v>1053</v>
      </c>
      <c r="C74" s="176" t="str">
        <f t="shared" si="0"/>
        <v/>
      </c>
      <c r="D74" s="177" t="str">
        <f t="shared" si="5"/>
        <v/>
      </c>
      <c r="E74" s="177" t="str">
        <f t="shared" si="8"/>
        <v/>
      </c>
      <c r="F74" s="178" t="e">
        <f t="shared" si="1"/>
        <v>#VALUE!</v>
      </c>
      <c r="G74" s="177" t="e">
        <f t="shared" si="2"/>
        <v>#VALUE!</v>
      </c>
      <c r="H74" s="177" t="str">
        <f t="shared" si="6"/>
        <v/>
      </c>
      <c r="I74" s="177" t="str">
        <f t="shared" si="7"/>
        <v/>
      </c>
      <c r="J74" s="177" t="e">
        <f t="shared" si="3"/>
        <v>#VALUE!</v>
      </c>
      <c r="K74" s="177">
        <f>SUM($I$17:$I74)</f>
        <v>0</v>
      </c>
      <c r="L74" s="179"/>
      <c r="M74" s="179"/>
    </row>
    <row r="75" spans="1:13" s="180" customFormat="1" ht="21.75" customHeight="1">
      <c r="A75" s="192" t="str">
        <f t="shared" si="4"/>
        <v/>
      </c>
      <c r="B75" s="172" t="s">
        <v>1054</v>
      </c>
      <c r="C75" s="176" t="str">
        <f t="shared" si="0"/>
        <v/>
      </c>
      <c r="D75" s="177" t="str">
        <f t="shared" si="5"/>
        <v/>
      </c>
      <c r="E75" s="177" t="str">
        <f t="shared" si="8"/>
        <v/>
      </c>
      <c r="F75" s="178" t="e">
        <f t="shared" si="1"/>
        <v>#VALUE!</v>
      </c>
      <c r="G75" s="177" t="e">
        <f t="shared" si="2"/>
        <v>#VALUE!</v>
      </c>
      <c r="H75" s="177" t="str">
        <f t="shared" si="6"/>
        <v/>
      </c>
      <c r="I75" s="177" t="str">
        <f t="shared" si="7"/>
        <v/>
      </c>
      <c r="J75" s="177" t="e">
        <f t="shared" si="3"/>
        <v>#VALUE!</v>
      </c>
      <c r="K75" s="177">
        <f>SUM($I$17:$I75)</f>
        <v>0</v>
      </c>
      <c r="L75" s="179"/>
      <c r="M75" s="179"/>
    </row>
    <row r="76" spans="1:13" s="180" customFormat="1" ht="21.75" customHeight="1">
      <c r="A76" s="192" t="str">
        <f t="shared" si="4"/>
        <v/>
      </c>
      <c r="B76" s="172" t="s">
        <v>1055</v>
      </c>
      <c r="C76" s="176" t="str">
        <f t="shared" si="0"/>
        <v/>
      </c>
      <c r="D76" s="177" t="str">
        <f t="shared" si="5"/>
        <v/>
      </c>
      <c r="E76" s="177" t="str">
        <f t="shared" si="8"/>
        <v/>
      </c>
      <c r="F76" s="178" t="e">
        <f t="shared" si="1"/>
        <v>#VALUE!</v>
      </c>
      <c r="G76" s="177" t="e">
        <f t="shared" si="2"/>
        <v>#VALUE!</v>
      </c>
      <c r="H76" s="177" t="str">
        <f t="shared" si="6"/>
        <v/>
      </c>
      <c r="I76" s="177" t="str">
        <f t="shared" si="7"/>
        <v/>
      </c>
      <c r="J76" s="177" t="e">
        <f t="shared" si="3"/>
        <v>#VALUE!</v>
      </c>
      <c r="K76" s="177">
        <f>SUM($I$17:$I76)</f>
        <v>0</v>
      </c>
      <c r="L76" s="179"/>
      <c r="M76" s="179"/>
    </row>
    <row r="77" spans="1:13" s="180" customFormat="1" ht="21.75" customHeight="1">
      <c r="A77" s="192" t="str">
        <f t="shared" si="4"/>
        <v/>
      </c>
      <c r="B77" s="175"/>
      <c r="C77" s="176" t="str">
        <f t="shared" si="0"/>
        <v/>
      </c>
      <c r="D77" s="177" t="str">
        <f t="shared" si="5"/>
        <v/>
      </c>
      <c r="E77" s="177" t="str">
        <f t="shared" si="8"/>
        <v/>
      </c>
      <c r="F77" s="178" t="e">
        <f t="shared" si="1"/>
        <v>#VALUE!</v>
      </c>
      <c r="G77" s="177" t="e">
        <f t="shared" si="2"/>
        <v>#VALUE!</v>
      </c>
      <c r="H77" s="177" t="str">
        <f t="shared" si="6"/>
        <v/>
      </c>
      <c r="I77" s="177" t="str">
        <f t="shared" si="7"/>
        <v/>
      </c>
      <c r="J77" s="177" t="e">
        <f t="shared" si="3"/>
        <v>#VALUE!</v>
      </c>
      <c r="K77" s="177">
        <f>SUM($I$17:$I77)</f>
        <v>0</v>
      </c>
      <c r="L77" s="179"/>
      <c r="M77" s="179"/>
    </row>
    <row r="78" spans="1:13" s="180" customFormat="1" ht="21.75" customHeight="1">
      <c r="A78" s="192" t="str">
        <f t="shared" si="4"/>
        <v/>
      </c>
      <c r="B78" s="175"/>
      <c r="C78" s="176" t="str">
        <f t="shared" si="0"/>
        <v/>
      </c>
      <c r="D78" s="177" t="str">
        <f t="shared" si="5"/>
        <v/>
      </c>
      <c r="E78" s="177" t="str">
        <f t="shared" si="8"/>
        <v/>
      </c>
      <c r="F78" s="178" t="e">
        <f t="shared" si="1"/>
        <v>#VALUE!</v>
      </c>
      <c r="G78" s="177" t="e">
        <f t="shared" si="2"/>
        <v>#VALUE!</v>
      </c>
      <c r="H78" s="177" t="str">
        <f t="shared" si="6"/>
        <v/>
      </c>
      <c r="I78" s="177" t="str">
        <f t="shared" si="7"/>
        <v/>
      </c>
      <c r="J78" s="177" t="e">
        <f t="shared" si="3"/>
        <v>#VALUE!</v>
      </c>
      <c r="K78" s="177">
        <f>SUM($I$17:$I78)</f>
        <v>0</v>
      </c>
      <c r="L78" s="179"/>
      <c r="M78" s="179"/>
    </row>
    <row r="79" spans="1:13" s="180" customFormat="1" ht="21.75" customHeight="1">
      <c r="A79" s="192" t="str">
        <f t="shared" si="4"/>
        <v/>
      </c>
      <c r="B79" s="175"/>
      <c r="C79" s="176" t="str">
        <f t="shared" si="0"/>
        <v/>
      </c>
      <c r="D79" s="177" t="str">
        <f t="shared" si="5"/>
        <v/>
      </c>
      <c r="E79" s="177" t="str">
        <f t="shared" si="8"/>
        <v/>
      </c>
      <c r="F79" s="178" t="e">
        <f t="shared" si="1"/>
        <v>#VALUE!</v>
      </c>
      <c r="G79" s="177" t="e">
        <f t="shared" si="2"/>
        <v>#VALUE!</v>
      </c>
      <c r="H79" s="177" t="str">
        <f t="shared" si="6"/>
        <v/>
      </c>
      <c r="I79" s="177" t="str">
        <f t="shared" si="7"/>
        <v/>
      </c>
      <c r="J79" s="177" t="e">
        <f t="shared" si="3"/>
        <v>#VALUE!</v>
      </c>
      <c r="K79" s="177">
        <f>SUM($I$17:$I79)</f>
        <v>0</v>
      </c>
      <c r="L79" s="179"/>
      <c r="M79" s="179"/>
    </row>
    <row r="80" spans="1:13" s="180" customFormat="1" ht="21.75" customHeight="1">
      <c r="A80" s="192" t="str">
        <f t="shared" si="4"/>
        <v/>
      </c>
      <c r="B80" s="175"/>
      <c r="C80" s="176" t="str">
        <f t="shared" si="0"/>
        <v/>
      </c>
      <c r="D80" s="177" t="str">
        <f t="shared" si="5"/>
        <v/>
      </c>
      <c r="E80" s="177" t="str">
        <f t="shared" si="8"/>
        <v/>
      </c>
      <c r="F80" s="178" t="e">
        <f t="shared" si="1"/>
        <v>#VALUE!</v>
      </c>
      <c r="G80" s="177" t="e">
        <f t="shared" si="2"/>
        <v>#VALUE!</v>
      </c>
      <c r="H80" s="177" t="str">
        <f t="shared" si="6"/>
        <v/>
      </c>
      <c r="I80" s="177" t="str">
        <f t="shared" si="7"/>
        <v/>
      </c>
      <c r="J80" s="177" t="e">
        <f t="shared" si="3"/>
        <v>#VALUE!</v>
      </c>
      <c r="K80" s="177">
        <f>SUM($I$17:$I80)</f>
        <v>0</v>
      </c>
      <c r="L80" s="179"/>
      <c r="M80" s="179"/>
    </row>
    <row r="81" spans="1:13" s="180" customFormat="1" ht="21.75" customHeight="1">
      <c r="A81" s="192" t="str">
        <f t="shared" si="4"/>
        <v/>
      </c>
      <c r="B81" s="175"/>
      <c r="C81" s="176" t="str">
        <f t="shared" ref="C81:C144" si="9">IF(Pay_Num&lt;&gt;"",DATE(YEAR(Loan_Start),MONTH(Loan_Start)+(Pay_Num)*12/Num_Pmt_Per_Year,DAY(Loan_Start)),"")</f>
        <v/>
      </c>
      <c r="D81" s="177" t="str">
        <f t="shared" si="5"/>
        <v/>
      </c>
      <c r="E81" s="177" t="str">
        <f t="shared" si="8"/>
        <v/>
      </c>
      <c r="F81" s="178" t="e">
        <f t="shared" ref="F81:F144" si="10">IF(AND(Pay_Num&lt;&gt;"",Sched_Pay+Scheduled_Extra_Payments&lt;Beg_Bal),Scheduled_Extra_Payments,IF(AND(Pay_Num&lt;&gt;"",Beg_Bal-Sched_Pay&gt;0),Beg_Bal-Sched_Pay,IF(Pay_Num&lt;&gt;"",0,"")))</f>
        <v>#VALUE!</v>
      </c>
      <c r="G81" s="177" t="e">
        <f t="shared" ref="G81:G144" si="11">IF(AND(Pay_Num&lt;&gt;"",Sched_Pay+Extra_Pay&lt;Beg_Bal),Sched_Pay+Extra_Pay,IF(Pay_Num&lt;&gt;"",Beg_Bal,""))</f>
        <v>#VALUE!</v>
      </c>
      <c r="H81" s="177" t="str">
        <f t="shared" si="6"/>
        <v/>
      </c>
      <c r="I81" s="177" t="str">
        <f t="shared" si="7"/>
        <v/>
      </c>
      <c r="J81" s="177" t="e">
        <f t="shared" ref="J81:J144" si="12">IF(AND(Pay_Num&lt;&gt;"",Sched_Pay+Extra_Pay&lt;Beg_Bal),Beg_Bal-Princ,IF(Pay_Num&lt;&gt;"",0,""))</f>
        <v>#VALUE!</v>
      </c>
      <c r="K81" s="177">
        <f>SUM($I$17:$I81)</f>
        <v>0</v>
      </c>
      <c r="L81" s="179"/>
      <c r="M81" s="179"/>
    </row>
    <row r="82" spans="1:13" s="180" customFormat="1" ht="21.75" customHeight="1">
      <c r="A82" s="192" t="str">
        <f t="shared" ref="A82:A145" si="13">IF(Values_Entered,A81+1,"")</f>
        <v/>
      </c>
      <c r="B82" s="175"/>
      <c r="C82" s="176" t="str">
        <f t="shared" si="9"/>
        <v/>
      </c>
      <c r="D82" s="177" t="str">
        <f t="shared" ref="D82:D145" si="14">IF(Pay_Num&lt;&gt;"",J81,"")</f>
        <v/>
      </c>
      <c r="E82" s="177" t="str">
        <f t="shared" si="8"/>
        <v/>
      </c>
      <c r="F82" s="178" t="e">
        <f t="shared" si="10"/>
        <v>#VALUE!</v>
      </c>
      <c r="G82" s="177" t="e">
        <f t="shared" si="11"/>
        <v>#VALUE!</v>
      </c>
      <c r="H82" s="177" t="str">
        <f t="shared" ref="H82:H145" si="15">IF(Pay_Num&lt;&gt;"",Total_Pay-Int,"")</f>
        <v/>
      </c>
      <c r="I82" s="177" t="str">
        <f t="shared" ref="I82:I145" si="16">IF(Pay_Num&lt;&gt;"",Beg_Bal*Interest_Rate/Num_Pmt_Per_Year,"")</f>
        <v/>
      </c>
      <c r="J82" s="177" t="e">
        <f t="shared" si="12"/>
        <v>#VALUE!</v>
      </c>
      <c r="K82" s="177">
        <f>SUM($I$17:$I82)</f>
        <v>0</v>
      </c>
      <c r="L82" s="179"/>
      <c r="M82" s="179"/>
    </row>
    <row r="83" spans="1:13" s="180" customFormat="1" ht="21.75" customHeight="1">
      <c r="A83" s="192" t="str">
        <f t="shared" si="13"/>
        <v/>
      </c>
      <c r="B83" s="175"/>
      <c r="C83" s="176" t="str">
        <f t="shared" si="9"/>
        <v/>
      </c>
      <c r="D83" s="177" t="str">
        <f t="shared" si="14"/>
        <v/>
      </c>
      <c r="E83" s="177" t="str">
        <f t="shared" ref="E83:E146" si="17">IF(Pay_Num&lt;&gt;"",Scheduled_Monthly_Payment,"")</f>
        <v/>
      </c>
      <c r="F83" s="178" t="e">
        <f t="shared" si="10"/>
        <v>#VALUE!</v>
      </c>
      <c r="G83" s="177" t="e">
        <f t="shared" si="11"/>
        <v>#VALUE!</v>
      </c>
      <c r="H83" s="177" t="str">
        <f t="shared" si="15"/>
        <v/>
      </c>
      <c r="I83" s="177" t="str">
        <f t="shared" si="16"/>
        <v/>
      </c>
      <c r="J83" s="177" t="e">
        <f t="shared" si="12"/>
        <v>#VALUE!</v>
      </c>
      <c r="K83" s="177">
        <f>SUM($I$17:$I83)</f>
        <v>0</v>
      </c>
      <c r="L83" s="179"/>
      <c r="M83" s="179"/>
    </row>
    <row r="84" spans="1:13" s="180" customFormat="1" ht="21.75" customHeight="1">
      <c r="A84" s="192" t="str">
        <f t="shared" si="13"/>
        <v/>
      </c>
      <c r="B84" s="175"/>
      <c r="C84" s="176" t="str">
        <f t="shared" si="9"/>
        <v/>
      </c>
      <c r="D84" s="177" t="str">
        <f t="shared" si="14"/>
        <v/>
      </c>
      <c r="E84" s="177" t="str">
        <f t="shared" si="17"/>
        <v/>
      </c>
      <c r="F84" s="178" t="e">
        <f t="shared" si="10"/>
        <v>#VALUE!</v>
      </c>
      <c r="G84" s="177" t="e">
        <f t="shared" si="11"/>
        <v>#VALUE!</v>
      </c>
      <c r="H84" s="177" t="str">
        <f t="shared" si="15"/>
        <v/>
      </c>
      <c r="I84" s="177" t="str">
        <f t="shared" si="16"/>
        <v/>
      </c>
      <c r="J84" s="177" t="e">
        <f t="shared" si="12"/>
        <v>#VALUE!</v>
      </c>
      <c r="K84" s="177">
        <f>SUM($I$17:$I84)</f>
        <v>0</v>
      </c>
      <c r="L84" s="179"/>
      <c r="M84" s="179"/>
    </row>
    <row r="85" spans="1:13" s="180" customFormat="1" ht="21.75" customHeight="1">
      <c r="A85" s="192" t="str">
        <f t="shared" si="13"/>
        <v/>
      </c>
      <c r="B85" s="175"/>
      <c r="C85" s="176" t="str">
        <f t="shared" si="9"/>
        <v/>
      </c>
      <c r="D85" s="177" t="str">
        <f t="shared" si="14"/>
        <v/>
      </c>
      <c r="E85" s="177" t="str">
        <f t="shared" si="17"/>
        <v/>
      </c>
      <c r="F85" s="178" t="e">
        <f t="shared" si="10"/>
        <v>#VALUE!</v>
      </c>
      <c r="G85" s="177" t="e">
        <f t="shared" si="11"/>
        <v>#VALUE!</v>
      </c>
      <c r="H85" s="177" t="str">
        <f t="shared" si="15"/>
        <v/>
      </c>
      <c r="I85" s="177" t="str">
        <f t="shared" si="16"/>
        <v/>
      </c>
      <c r="J85" s="177" t="e">
        <f t="shared" si="12"/>
        <v>#VALUE!</v>
      </c>
      <c r="K85" s="177">
        <f>SUM($I$17:$I85)</f>
        <v>0</v>
      </c>
      <c r="L85" s="179"/>
      <c r="M85" s="179"/>
    </row>
    <row r="86" spans="1:13" s="180" customFormat="1" ht="21.75" customHeight="1">
      <c r="A86" s="192" t="str">
        <f t="shared" si="13"/>
        <v/>
      </c>
      <c r="B86" s="175"/>
      <c r="C86" s="176" t="str">
        <f t="shared" si="9"/>
        <v/>
      </c>
      <c r="D86" s="177" t="str">
        <f t="shared" si="14"/>
        <v/>
      </c>
      <c r="E86" s="177" t="str">
        <f t="shared" si="17"/>
        <v/>
      </c>
      <c r="F86" s="178" t="e">
        <f t="shared" si="10"/>
        <v>#VALUE!</v>
      </c>
      <c r="G86" s="177" t="e">
        <f t="shared" si="11"/>
        <v>#VALUE!</v>
      </c>
      <c r="H86" s="177" t="str">
        <f t="shared" si="15"/>
        <v/>
      </c>
      <c r="I86" s="177" t="str">
        <f t="shared" si="16"/>
        <v/>
      </c>
      <c r="J86" s="177" t="e">
        <f t="shared" si="12"/>
        <v>#VALUE!</v>
      </c>
      <c r="K86" s="177">
        <f>SUM($I$17:$I86)</f>
        <v>0</v>
      </c>
      <c r="L86" s="179"/>
      <c r="M86" s="179"/>
    </row>
    <row r="87" spans="1:13" s="180" customFormat="1" ht="21.75" customHeight="1">
      <c r="A87" s="192" t="str">
        <f t="shared" si="13"/>
        <v/>
      </c>
      <c r="B87" s="175"/>
      <c r="C87" s="176" t="str">
        <f t="shared" si="9"/>
        <v/>
      </c>
      <c r="D87" s="177" t="str">
        <f t="shared" si="14"/>
        <v/>
      </c>
      <c r="E87" s="177" t="str">
        <f t="shared" si="17"/>
        <v/>
      </c>
      <c r="F87" s="178" t="e">
        <f t="shared" si="10"/>
        <v>#VALUE!</v>
      </c>
      <c r="G87" s="177" t="e">
        <f t="shared" si="11"/>
        <v>#VALUE!</v>
      </c>
      <c r="H87" s="177" t="str">
        <f t="shared" si="15"/>
        <v/>
      </c>
      <c r="I87" s="177" t="str">
        <f t="shared" si="16"/>
        <v/>
      </c>
      <c r="J87" s="177" t="e">
        <f t="shared" si="12"/>
        <v>#VALUE!</v>
      </c>
      <c r="K87" s="177">
        <f>SUM($I$17:$I87)</f>
        <v>0</v>
      </c>
      <c r="L87" s="179"/>
      <c r="M87" s="179"/>
    </row>
    <row r="88" spans="1:13" s="180" customFormat="1" ht="21.75" customHeight="1">
      <c r="A88" s="192" t="str">
        <f t="shared" si="13"/>
        <v/>
      </c>
      <c r="B88" s="175"/>
      <c r="C88" s="176" t="str">
        <f t="shared" si="9"/>
        <v/>
      </c>
      <c r="D88" s="177" t="str">
        <f t="shared" si="14"/>
        <v/>
      </c>
      <c r="E88" s="177" t="str">
        <f t="shared" si="17"/>
        <v/>
      </c>
      <c r="F88" s="178" t="e">
        <f t="shared" si="10"/>
        <v>#VALUE!</v>
      </c>
      <c r="G88" s="177" t="e">
        <f t="shared" si="11"/>
        <v>#VALUE!</v>
      </c>
      <c r="H88" s="177" t="str">
        <f t="shared" si="15"/>
        <v/>
      </c>
      <c r="I88" s="177" t="str">
        <f t="shared" si="16"/>
        <v/>
      </c>
      <c r="J88" s="177" t="e">
        <f t="shared" si="12"/>
        <v>#VALUE!</v>
      </c>
      <c r="K88" s="177">
        <f>SUM($I$17:$I88)</f>
        <v>0</v>
      </c>
      <c r="L88" s="179"/>
      <c r="M88" s="179"/>
    </row>
    <row r="89" spans="1:13" s="180" customFormat="1" ht="21.75" customHeight="1">
      <c r="A89" s="192" t="str">
        <f t="shared" si="13"/>
        <v/>
      </c>
      <c r="B89" s="175"/>
      <c r="C89" s="176" t="str">
        <f t="shared" si="9"/>
        <v/>
      </c>
      <c r="D89" s="177" t="str">
        <f t="shared" si="14"/>
        <v/>
      </c>
      <c r="E89" s="177" t="str">
        <f t="shared" si="17"/>
        <v/>
      </c>
      <c r="F89" s="178" t="e">
        <f t="shared" si="10"/>
        <v>#VALUE!</v>
      </c>
      <c r="G89" s="177" t="e">
        <f t="shared" si="11"/>
        <v>#VALUE!</v>
      </c>
      <c r="H89" s="177" t="str">
        <f t="shared" si="15"/>
        <v/>
      </c>
      <c r="I89" s="177" t="str">
        <f t="shared" si="16"/>
        <v/>
      </c>
      <c r="J89" s="177" t="e">
        <f t="shared" si="12"/>
        <v>#VALUE!</v>
      </c>
      <c r="K89" s="177">
        <f>SUM($I$17:$I89)</f>
        <v>0</v>
      </c>
      <c r="L89" s="179"/>
      <c r="M89" s="179"/>
    </row>
    <row r="90" spans="1:13" s="180" customFormat="1" ht="21.75" customHeight="1">
      <c r="A90" s="192" t="str">
        <f t="shared" si="13"/>
        <v/>
      </c>
      <c r="B90" s="175"/>
      <c r="C90" s="176" t="str">
        <f t="shared" si="9"/>
        <v/>
      </c>
      <c r="D90" s="177" t="str">
        <f t="shared" si="14"/>
        <v/>
      </c>
      <c r="E90" s="177" t="str">
        <f t="shared" si="17"/>
        <v/>
      </c>
      <c r="F90" s="178" t="e">
        <f t="shared" si="10"/>
        <v>#VALUE!</v>
      </c>
      <c r="G90" s="177" t="e">
        <f t="shared" si="11"/>
        <v>#VALUE!</v>
      </c>
      <c r="H90" s="177" t="str">
        <f t="shared" si="15"/>
        <v/>
      </c>
      <c r="I90" s="177" t="str">
        <f t="shared" si="16"/>
        <v/>
      </c>
      <c r="J90" s="177" t="e">
        <f t="shared" si="12"/>
        <v>#VALUE!</v>
      </c>
      <c r="K90" s="177">
        <f>SUM($I$17:$I90)</f>
        <v>0</v>
      </c>
      <c r="L90" s="179"/>
      <c r="M90" s="179"/>
    </row>
    <row r="91" spans="1:13" s="180" customFormat="1" ht="21.75" customHeight="1">
      <c r="A91" s="192" t="str">
        <f t="shared" si="13"/>
        <v/>
      </c>
      <c r="B91" s="175"/>
      <c r="C91" s="176" t="str">
        <f t="shared" si="9"/>
        <v/>
      </c>
      <c r="D91" s="177" t="str">
        <f t="shared" si="14"/>
        <v/>
      </c>
      <c r="E91" s="177" t="str">
        <f t="shared" si="17"/>
        <v/>
      </c>
      <c r="F91" s="178" t="e">
        <f t="shared" si="10"/>
        <v>#VALUE!</v>
      </c>
      <c r="G91" s="177" t="e">
        <f t="shared" si="11"/>
        <v>#VALUE!</v>
      </c>
      <c r="H91" s="177" t="str">
        <f t="shared" si="15"/>
        <v/>
      </c>
      <c r="I91" s="177" t="str">
        <f t="shared" si="16"/>
        <v/>
      </c>
      <c r="J91" s="177" t="e">
        <f t="shared" si="12"/>
        <v>#VALUE!</v>
      </c>
      <c r="K91" s="177">
        <f>SUM($I$17:$I91)</f>
        <v>0</v>
      </c>
      <c r="L91" s="179"/>
      <c r="M91" s="179"/>
    </row>
    <row r="92" spans="1:13" s="180" customFormat="1" ht="21.75" customHeight="1">
      <c r="A92" s="192" t="str">
        <f t="shared" si="13"/>
        <v/>
      </c>
      <c r="B92" s="175"/>
      <c r="C92" s="176" t="str">
        <f t="shared" si="9"/>
        <v/>
      </c>
      <c r="D92" s="177" t="str">
        <f t="shared" si="14"/>
        <v/>
      </c>
      <c r="E92" s="177" t="str">
        <f t="shared" si="17"/>
        <v/>
      </c>
      <c r="F92" s="178" t="e">
        <f t="shared" si="10"/>
        <v>#VALUE!</v>
      </c>
      <c r="G92" s="177" t="e">
        <f t="shared" si="11"/>
        <v>#VALUE!</v>
      </c>
      <c r="H92" s="177" t="str">
        <f t="shared" si="15"/>
        <v/>
      </c>
      <c r="I92" s="177" t="str">
        <f t="shared" si="16"/>
        <v/>
      </c>
      <c r="J92" s="177" t="e">
        <f t="shared" si="12"/>
        <v>#VALUE!</v>
      </c>
      <c r="K92" s="177">
        <f>SUM($I$17:$I92)</f>
        <v>0</v>
      </c>
      <c r="L92" s="179"/>
      <c r="M92" s="179"/>
    </row>
    <row r="93" spans="1:13" s="180" customFormat="1" ht="21.75" customHeight="1">
      <c r="A93" s="192" t="str">
        <f t="shared" si="13"/>
        <v/>
      </c>
      <c r="B93" s="175"/>
      <c r="C93" s="176" t="str">
        <f t="shared" si="9"/>
        <v/>
      </c>
      <c r="D93" s="177" t="str">
        <f t="shared" si="14"/>
        <v/>
      </c>
      <c r="E93" s="177" t="str">
        <f t="shared" si="17"/>
        <v/>
      </c>
      <c r="F93" s="178" t="e">
        <f t="shared" si="10"/>
        <v>#VALUE!</v>
      </c>
      <c r="G93" s="177" t="e">
        <f t="shared" si="11"/>
        <v>#VALUE!</v>
      </c>
      <c r="H93" s="177" t="str">
        <f t="shared" si="15"/>
        <v/>
      </c>
      <c r="I93" s="177" t="str">
        <f t="shared" si="16"/>
        <v/>
      </c>
      <c r="J93" s="177" t="e">
        <f t="shared" si="12"/>
        <v>#VALUE!</v>
      </c>
      <c r="K93" s="177">
        <f>SUM($I$17:$I93)</f>
        <v>0</v>
      </c>
      <c r="L93" s="179"/>
      <c r="M93" s="179"/>
    </row>
    <row r="94" spans="1:13" s="180" customFormat="1" ht="21.75" customHeight="1">
      <c r="A94" s="192" t="str">
        <f t="shared" si="13"/>
        <v/>
      </c>
      <c r="B94" s="175"/>
      <c r="C94" s="176" t="str">
        <f t="shared" si="9"/>
        <v/>
      </c>
      <c r="D94" s="177" t="str">
        <f t="shared" si="14"/>
        <v/>
      </c>
      <c r="E94" s="177" t="str">
        <f t="shared" si="17"/>
        <v/>
      </c>
      <c r="F94" s="178" t="e">
        <f t="shared" si="10"/>
        <v>#VALUE!</v>
      </c>
      <c r="G94" s="177" t="e">
        <f t="shared" si="11"/>
        <v>#VALUE!</v>
      </c>
      <c r="H94" s="177" t="str">
        <f t="shared" si="15"/>
        <v/>
      </c>
      <c r="I94" s="177" t="str">
        <f t="shared" si="16"/>
        <v/>
      </c>
      <c r="J94" s="177" t="e">
        <f t="shared" si="12"/>
        <v>#VALUE!</v>
      </c>
      <c r="K94" s="177">
        <f>SUM($I$17:$I94)</f>
        <v>0</v>
      </c>
      <c r="L94" s="179"/>
      <c r="M94" s="179"/>
    </row>
    <row r="95" spans="1:13" s="180" customFormat="1" ht="21.75" customHeight="1">
      <c r="A95" s="192" t="str">
        <f t="shared" si="13"/>
        <v/>
      </c>
      <c r="B95" s="175"/>
      <c r="C95" s="176" t="str">
        <f t="shared" si="9"/>
        <v/>
      </c>
      <c r="D95" s="177" t="str">
        <f t="shared" si="14"/>
        <v/>
      </c>
      <c r="E95" s="177" t="str">
        <f t="shared" si="17"/>
        <v/>
      </c>
      <c r="F95" s="178" t="e">
        <f t="shared" si="10"/>
        <v>#VALUE!</v>
      </c>
      <c r="G95" s="177" t="e">
        <f t="shared" si="11"/>
        <v>#VALUE!</v>
      </c>
      <c r="H95" s="177" t="str">
        <f t="shared" si="15"/>
        <v/>
      </c>
      <c r="I95" s="177" t="str">
        <f t="shared" si="16"/>
        <v/>
      </c>
      <c r="J95" s="177" t="e">
        <f t="shared" si="12"/>
        <v>#VALUE!</v>
      </c>
      <c r="K95" s="177">
        <f>SUM($I$17:$I95)</f>
        <v>0</v>
      </c>
      <c r="L95" s="179"/>
      <c r="M95" s="179"/>
    </row>
    <row r="96" spans="1:13" s="180" customFormat="1" ht="21.75" customHeight="1">
      <c r="A96" s="192" t="str">
        <f t="shared" si="13"/>
        <v/>
      </c>
      <c r="B96" s="175"/>
      <c r="C96" s="176" t="str">
        <f t="shared" si="9"/>
        <v/>
      </c>
      <c r="D96" s="177" t="str">
        <f t="shared" si="14"/>
        <v/>
      </c>
      <c r="E96" s="177" t="str">
        <f t="shared" si="17"/>
        <v/>
      </c>
      <c r="F96" s="178" t="e">
        <f t="shared" si="10"/>
        <v>#VALUE!</v>
      </c>
      <c r="G96" s="177" t="e">
        <f t="shared" si="11"/>
        <v>#VALUE!</v>
      </c>
      <c r="H96" s="177" t="str">
        <f t="shared" si="15"/>
        <v/>
      </c>
      <c r="I96" s="177" t="str">
        <f t="shared" si="16"/>
        <v/>
      </c>
      <c r="J96" s="177" t="e">
        <f t="shared" si="12"/>
        <v>#VALUE!</v>
      </c>
      <c r="K96" s="177">
        <f>SUM($I$17:$I96)</f>
        <v>0</v>
      </c>
      <c r="L96" s="179"/>
      <c r="M96" s="179"/>
    </row>
    <row r="97" spans="1:13" s="180" customFormat="1" ht="21.75" customHeight="1">
      <c r="A97" s="192" t="str">
        <f t="shared" si="13"/>
        <v/>
      </c>
      <c r="B97" s="175"/>
      <c r="C97" s="176" t="str">
        <f t="shared" si="9"/>
        <v/>
      </c>
      <c r="D97" s="177" t="str">
        <f t="shared" si="14"/>
        <v/>
      </c>
      <c r="E97" s="177" t="str">
        <f t="shared" si="17"/>
        <v/>
      </c>
      <c r="F97" s="178" t="e">
        <f t="shared" si="10"/>
        <v>#VALUE!</v>
      </c>
      <c r="G97" s="177" t="e">
        <f t="shared" si="11"/>
        <v>#VALUE!</v>
      </c>
      <c r="H97" s="177" t="str">
        <f t="shared" si="15"/>
        <v/>
      </c>
      <c r="I97" s="177" t="str">
        <f t="shared" si="16"/>
        <v/>
      </c>
      <c r="J97" s="177" t="e">
        <f t="shared" si="12"/>
        <v>#VALUE!</v>
      </c>
      <c r="K97" s="177">
        <f>SUM($I$17:$I97)</f>
        <v>0</v>
      </c>
      <c r="L97" s="179"/>
      <c r="M97" s="179"/>
    </row>
    <row r="98" spans="1:13" s="180" customFormat="1" ht="21.75" customHeight="1">
      <c r="A98" s="192" t="str">
        <f t="shared" si="13"/>
        <v/>
      </c>
      <c r="B98" s="175"/>
      <c r="C98" s="176" t="str">
        <f t="shared" si="9"/>
        <v/>
      </c>
      <c r="D98" s="177" t="str">
        <f t="shared" si="14"/>
        <v/>
      </c>
      <c r="E98" s="177" t="str">
        <f t="shared" si="17"/>
        <v/>
      </c>
      <c r="F98" s="178" t="e">
        <f t="shared" si="10"/>
        <v>#VALUE!</v>
      </c>
      <c r="G98" s="177" t="e">
        <f t="shared" si="11"/>
        <v>#VALUE!</v>
      </c>
      <c r="H98" s="177" t="str">
        <f t="shared" si="15"/>
        <v/>
      </c>
      <c r="I98" s="177" t="str">
        <f t="shared" si="16"/>
        <v/>
      </c>
      <c r="J98" s="177" t="e">
        <f t="shared" si="12"/>
        <v>#VALUE!</v>
      </c>
      <c r="K98" s="177">
        <f>SUM($I$17:$I98)</f>
        <v>0</v>
      </c>
      <c r="L98" s="179"/>
      <c r="M98" s="179"/>
    </row>
    <row r="99" spans="1:13" s="180" customFormat="1" ht="21.75" customHeight="1">
      <c r="A99" s="192" t="str">
        <f t="shared" si="13"/>
        <v/>
      </c>
      <c r="B99" s="175"/>
      <c r="C99" s="176" t="str">
        <f t="shared" si="9"/>
        <v/>
      </c>
      <c r="D99" s="177" t="str">
        <f t="shared" si="14"/>
        <v/>
      </c>
      <c r="E99" s="177" t="str">
        <f t="shared" si="17"/>
        <v/>
      </c>
      <c r="F99" s="178" t="e">
        <f t="shared" si="10"/>
        <v>#VALUE!</v>
      </c>
      <c r="G99" s="177" t="e">
        <f t="shared" si="11"/>
        <v>#VALUE!</v>
      </c>
      <c r="H99" s="177" t="str">
        <f t="shared" si="15"/>
        <v/>
      </c>
      <c r="I99" s="177" t="str">
        <f t="shared" si="16"/>
        <v/>
      </c>
      <c r="J99" s="177" t="e">
        <f t="shared" si="12"/>
        <v>#VALUE!</v>
      </c>
      <c r="K99" s="177">
        <f>SUM($I$17:$I99)</f>
        <v>0</v>
      </c>
      <c r="L99" s="179"/>
      <c r="M99" s="179"/>
    </row>
    <row r="100" spans="1:13" s="180" customFormat="1" ht="21.75" customHeight="1">
      <c r="A100" s="192" t="str">
        <f t="shared" si="13"/>
        <v/>
      </c>
      <c r="B100" s="175"/>
      <c r="C100" s="176" t="str">
        <f t="shared" si="9"/>
        <v/>
      </c>
      <c r="D100" s="177" t="str">
        <f t="shared" si="14"/>
        <v/>
      </c>
      <c r="E100" s="177" t="str">
        <f t="shared" si="17"/>
        <v/>
      </c>
      <c r="F100" s="178" t="e">
        <f t="shared" si="10"/>
        <v>#VALUE!</v>
      </c>
      <c r="G100" s="177" t="e">
        <f t="shared" si="11"/>
        <v>#VALUE!</v>
      </c>
      <c r="H100" s="177" t="str">
        <f t="shared" si="15"/>
        <v/>
      </c>
      <c r="I100" s="177" t="str">
        <f t="shared" si="16"/>
        <v/>
      </c>
      <c r="J100" s="177" t="e">
        <f t="shared" si="12"/>
        <v>#VALUE!</v>
      </c>
      <c r="K100" s="177">
        <f>SUM($I$17:$I100)</f>
        <v>0</v>
      </c>
      <c r="L100" s="179"/>
      <c r="M100" s="179"/>
    </row>
    <row r="101" spans="1:13" s="180" customFormat="1" ht="21.75" customHeight="1">
      <c r="A101" s="192" t="str">
        <f t="shared" si="13"/>
        <v/>
      </c>
      <c r="B101" s="175"/>
      <c r="C101" s="176" t="str">
        <f t="shared" si="9"/>
        <v/>
      </c>
      <c r="D101" s="177" t="str">
        <f t="shared" si="14"/>
        <v/>
      </c>
      <c r="E101" s="177" t="str">
        <f t="shared" si="17"/>
        <v/>
      </c>
      <c r="F101" s="178" t="e">
        <f t="shared" si="10"/>
        <v>#VALUE!</v>
      </c>
      <c r="G101" s="177" t="e">
        <f t="shared" si="11"/>
        <v>#VALUE!</v>
      </c>
      <c r="H101" s="177" t="str">
        <f t="shared" si="15"/>
        <v/>
      </c>
      <c r="I101" s="177" t="str">
        <f t="shared" si="16"/>
        <v/>
      </c>
      <c r="J101" s="177" t="e">
        <f t="shared" si="12"/>
        <v>#VALUE!</v>
      </c>
      <c r="K101" s="177">
        <f>SUM($I$17:$I101)</f>
        <v>0</v>
      </c>
      <c r="L101" s="179"/>
      <c r="M101" s="179"/>
    </row>
    <row r="102" spans="1:13" s="180" customFormat="1" ht="21.75" customHeight="1">
      <c r="A102" s="192" t="str">
        <f t="shared" si="13"/>
        <v/>
      </c>
      <c r="B102" s="175"/>
      <c r="C102" s="176" t="str">
        <f t="shared" si="9"/>
        <v/>
      </c>
      <c r="D102" s="177" t="str">
        <f t="shared" si="14"/>
        <v/>
      </c>
      <c r="E102" s="177" t="str">
        <f t="shared" si="17"/>
        <v/>
      </c>
      <c r="F102" s="178" t="e">
        <f t="shared" si="10"/>
        <v>#VALUE!</v>
      </c>
      <c r="G102" s="177" t="e">
        <f t="shared" si="11"/>
        <v>#VALUE!</v>
      </c>
      <c r="H102" s="177" t="str">
        <f t="shared" si="15"/>
        <v/>
      </c>
      <c r="I102" s="177" t="str">
        <f t="shared" si="16"/>
        <v/>
      </c>
      <c r="J102" s="177" t="e">
        <f t="shared" si="12"/>
        <v>#VALUE!</v>
      </c>
      <c r="K102" s="177">
        <f>SUM($I$17:$I102)</f>
        <v>0</v>
      </c>
      <c r="L102" s="179"/>
      <c r="M102" s="179"/>
    </row>
    <row r="103" spans="1:13" s="180" customFormat="1" ht="21.75" customHeight="1">
      <c r="A103" s="192" t="str">
        <f t="shared" si="13"/>
        <v/>
      </c>
      <c r="B103" s="175"/>
      <c r="C103" s="176" t="str">
        <f t="shared" si="9"/>
        <v/>
      </c>
      <c r="D103" s="177" t="str">
        <f t="shared" si="14"/>
        <v/>
      </c>
      <c r="E103" s="177" t="str">
        <f t="shared" si="17"/>
        <v/>
      </c>
      <c r="F103" s="178" t="e">
        <f t="shared" si="10"/>
        <v>#VALUE!</v>
      </c>
      <c r="G103" s="177" t="e">
        <f t="shared" si="11"/>
        <v>#VALUE!</v>
      </c>
      <c r="H103" s="177" t="str">
        <f t="shared" si="15"/>
        <v/>
      </c>
      <c r="I103" s="177" t="str">
        <f t="shared" si="16"/>
        <v/>
      </c>
      <c r="J103" s="177" t="e">
        <f t="shared" si="12"/>
        <v>#VALUE!</v>
      </c>
      <c r="K103" s="177">
        <f>SUM($I$17:$I103)</f>
        <v>0</v>
      </c>
      <c r="L103" s="179"/>
      <c r="M103" s="179"/>
    </row>
    <row r="104" spans="1:13" s="180" customFormat="1" ht="21.75" customHeight="1">
      <c r="A104" s="192" t="str">
        <f t="shared" si="13"/>
        <v/>
      </c>
      <c r="B104" s="175"/>
      <c r="C104" s="176" t="str">
        <f t="shared" si="9"/>
        <v/>
      </c>
      <c r="D104" s="177" t="str">
        <f t="shared" si="14"/>
        <v/>
      </c>
      <c r="E104" s="177" t="str">
        <f t="shared" si="17"/>
        <v/>
      </c>
      <c r="F104" s="178" t="e">
        <f t="shared" si="10"/>
        <v>#VALUE!</v>
      </c>
      <c r="G104" s="177" t="e">
        <f t="shared" si="11"/>
        <v>#VALUE!</v>
      </c>
      <c r="H104" s="177" t="str">
        <f t="shared" si="15"/>
        <v/>
      </c>
      <c r="I104" s="177" t="str">
        <f t="shared" si="16"/>
        <v/>
      </c>
      <c r="J104" s="177" t="e">
        <f t="shared" si="12"/>
        <v>#VALUE!</v>
      </c>
      <c r="K104" s="177">
        <f>SUM($I$17:$I104)</f>
        <v>0</v>
      </c>
      <c r="L104" s="179"/>
      <c r="M104" s="179"/>
    </row>
    <row r="105" spans="1:13" s="180" customFormat="1" ht="21.75" customHeight="1">
      <c r="A105" s="192" t="str">
        <f t="shared" si="13"/>
        <v/>
      </c>
      <c r="B105" s="175"/>
      <c r="C105" s="176" t="str">
        <f t="shared" si="9"/>
        <v/>
      </c>
      <c r="D105" s="177" t="str">
        <f t="shared" si="14"/>
        <v/>
      </c>
      <c r="E105" s="177" t="str">
        <f t="shared" si="17"/>
        <v/>
      </c>
      <c r="F105" s="178" t="e">
        <f t="shared" si="10"/>
        <v>#VALUE!</v>
      </c>
      <c r="G105" s="177" t="e">
        <f t="shared" si="11"/>
        <v>#VALUE!</v>
      </c>
      <c r="H105" s="177" t="str">
        <f t="shared" si="15"/>
        <v/>
      </c>
      <c r="I105" s="177" t="str">
        <f t="shared" si="16"/>
        <v/>
      </c>
      <c r="J105" s="177" t="e">
        <f t="shared" si="12"/>
        <v>#VALUE!</v>
      </c>
      <c r="K105" s="177">
        <f>SUM($I$17:$I105)</f>
        <v>0</v>
      </c>
      <c r="L105" s="179"/>
      <c r="M105" s="179"/>
    </row>
    <row r="106" spans="1:13" s="180" customFormat="1" ht="21.75" customHeight="1">
      <c r="A106" s="192" t="str">
        <f t="shared" si="13"/>
        <v/>
      </c>
      <c r="B106" s="175"/>
      <c r="C106" s="176" t="str">
        <f t="shared" si="9"/>
        <v/>
      </c>
      <c r="D106" s="177" t="str">
        <f t="shared" si="14"/>
        <v/>
      </c>
      <c r="E106" s="177" t="str">
        <f t="shared" si="17"/>
        <v/>
      </c>
      <c r="F106" s="178" t="e">
        <f t="shared" si="10"/>
        <v>#VALUE!</v>
      </c>
      <c r="G106" s="177" t="e">
        <f t="shared" si="11"/>
        <v>#VALUE!</v>
      </c>
      <c r="H106" s="177" t="str">
        <f t="shared" si="15"/>
        <v/>
      </c>
      <c r="I106" s="177" t="str">
        <f t="shared" si="16"/>
        <v/>
      </c>
      <c r="J106" s="177" t="e">
        <f t="shared" si="12"/>
        <v>#VALUE!</v>
      </c>
      <c r="K106" s="177">
        <f>SUM($I$17:$I106)</f>
        <v>0</v>
      </c>
      <c r="L106" s="179"/>
      <c r="M106" s="179"/>
    </row>
    <row r="107" spans="1:13" s="180" customFormat="1" ht="21.75" customHeight="1">
      <c r="A107" s="192" t="str">
        <f t="shared" si="13"/>
        <v/>
      </c>
      <c r="B107" s="175"/>
      <c r="C107" s="176" t="str">
        <f t="shared" si="9"/>
        <v/>
      </c>
      <c r="D107" s="177" t="str">
        <f t="shared" si="14"/>
        <v/>
      </c>
      <c r="E107" s="177" t="str">
        <f t="shared" si="17"/>
        <v/>
      </c>
      <c r="F107" s="178" t="e">
        <f t="shared" si="10"/>
        <v>#VALUE!</v>
      </c>
      <c r="G107" s="177" t="e">
        <f t="shared" si="11"/>
        <v>#VALUE!</v>
      </c>
      <c r="H107" s="177" t="str">
        <f t="shared" si="15"/>
        <v/>
      </c>
      <c r="I107" s="177" t="str">
        <f t="shared" si="16"/>
        <v/>
      </c>
      <c r="J107" s="177" t="e">
        <f t="shared" si="12"/>
        <v>#VALUE!</v>
      </c>
      <c r="K107" s="177">
        <f>SUM($I$17:$I107)</f>
        <v>0</v>
      </c>
      <c r="L107" s="179"/>
      <c r="M107" s="179"/>
    </row>
    <row r="108" spans="1:13" s="180" customFormat="1" ht="21.75" customHeight="1">
      <c r="A108" s="192" t="str">
        <f t="shared" si="13"/>
        <v/>
      </c>
      <c r="B108" s="175"/>
      <c r="C108" s="176" t="str">
        <f t="shared" si="9"/>
        <v/>
      </c>
      <c r="D108" s="177" t="str">
        <f t="shared" si="14"/>
        <v/>
      </c>
      <c r="E108" s="177" t="str">
        <f t="shared" si="17"/>
        <v/>
      </c>
      <c r="F108" s="178" t="e">
        <f t="shared" si="10"/>
        <v>#VALUE!</v>
      </c>
      <c r="G108" s="177" t="e">
        <f t="shared" si="11"/>
        <v>#VALUE!</v>
      </c>
      <c r="H108" s="177" t="str">
        <f t="shared" si="15"/>
        <v/>
      </c>
      <c r="I108" s="177" t="str">
        <f t="shared" si="16"/>
        <v/>
      </c>
      <c r="J108" s="177" t="e">
        <f t="shared" si="12"/>
        <v>#VALUE!</v>
      </c>
      <c r="K108" s="177">
        <f>SUM($I$17:$I108)</f>
        <v>0</v>
      </c>
      <c r="L108" s="179"/>
      <c r="M108" s="179"/>
    </row>
    <row r="109" spans="1:13" s="180" customFormat="1" ht="21.75" customHeight="1">
      <c r="A109" s="192" t="str">
        <f t="shared" si="13"/>
        <v/>
      </c>
      <c r="B109" s="175"/>
      <c r="C109" s="176" t="str">
        <f t="shared" si="9"/>
        <v/>
      </c>
      <c r="D109" s="177" t="str">
        <f t="shared" si="14"/>
        <v/>
      </c>
      <c r="E109" s="177" t="str">
        <f t="shared" si="17"/>
        <v/>
      </c>
      <c r="F109" s="178" t="e">
        <f t="shared" si="10"/>
        <v>#VALUE!</v>
      </c>
      <c r="G109" s="177" t="e">
        <f t="shared" si="11"/>
        <v>#VALUE!</v>
      </c>
      <c r="H109" s="177" t="str">
        <f t="shared" si="15"/>
        <v/>
      </c>
      <c r="I109" s="177" t="str">
        <f t="shared" si="16"/>
        <v/>
      </c>
      <c r="J109" s="177" t="e">
        <f t="shared" si="12"/>
        <v>#VALUE!</v>
      </c>
      <c r="K109" s="177">
        <f>SUM($I$17:$I109)</f>
        <v>0</v>
      </c>
      <c r="L109" s="179"/>
      <c r="M109" s="179"/>
    </row>
    <row r="110" spans="1:13" s="180" customFormat="1" ht="21.75" customHeight="1">
      <c r="A110" s="192" t="str">
        <f t="shared" si="13"/>
        <v/>
      </c>
      <c r="B110" s="175"/>
      <c r="C110" s="176" t="str">
        <f t="shared" si="9"/>
        <v/>
      </c>
      <c r="D110" s="177" t="str">
        <f t="shared" si="14"/>
        <v/>
      </c>
      <c r="E110" s="177" t="str">
        <f t="shared" si="17"/>
        <v/>
      </c>
      <c r="F110" s="178" t="e">
        <f t="shared" si="10"/>
        <v>#VALUE!</v>
      </c>
      <c r="G110" s="177" t="e">
        <f t="shared" si="11"/>
        <v>#VALUE!</v>
      </c>
      <c r="H110" s="177" t="str">
        <f t="shared" si="15"/>
        <v/>
      </c>
      <c r="I110" s="177" t="str">
        <f t="shared" si="16"/>
        <v/>
      </c>
      <c r="J110" s="177" t="e">
        <f t="shared" si="12"/>
        <v>#VALUE!</v>
      </c>
      <c r="K110" s="177">
        <f>SUM($I$17:$I110)</f>
        <v>0</v>
      </c>
      <c r="L110" s="179"/>
      <c r="M110" s="179"/>
    </row>
    <row r="111" spans="1:13" s="180" customFormat="1" ht="21.75" customHeight="1">
      <c r="A111" s="192" t="str">
        <f t="shared" si="13"/>
        <v/>
      </c>
      <c r="B111" s="175"/>
      <c r="C111" s="176" t="str">
        <f t="shared" si="9"/>
        <v/>
      </c>
      <c r="D111" s="177" t="str">
        <f t="shared" si="14"/>
        <v/>
      </c>
      <c r="E111" s="177" t="str">
        <f t="shared" si="17"/>
        <v/>
      </c>
      <c r="F111" s="178" t="e">
        <f t="shared" si="10"/>
        <v>#VALUE!</v>
      </c>
      <c r="G111" s="177" t="e">
        <f t="shared" si="11"/>
        <v>#VALUE!</v>
      </c>
      <c r="H111" s="177" t="str">
        <f t="shared" si="15"/>
        <v/>
      </c>
      <c r="I111" s="177" t="str">
        <f t="shared" si="16"/>
        <v/>
      </c>
      <c r="J111" s="177" t="e">
        <f t="shared" si="12"/>
        <v>#VALUE!</v>
      </c>
      <c r="K111" s="177">
        <f>SUM($I$17:$I111)</f>
        <v>0</v>
      </c>
      <c r="L111" s="179"/>
      <c r="M111" s="179"/>
    </row>
    <row r="112" spans="1:13" s="180" customFormat="1" ht="21.75" customHeight="1">
      <c r="A112" s="192" t="str">
        <f t="shared" si="13"/>
        <v/>
      </c>
      <c r="B112" s="175"/>
      <c r="C112" s="176" t="str">
        <f t="shared" si="9"/>
        <v/>
      </c>
      <c r="D112" s="177" t="str">
        <f t="shared" si="14"/>
        <v/>
      </c>
      <c r="E112" s="177" t="str">
        <f t="shared" si="17"/>
        <v/>
      </c>
      <c r="F112" s="178" t="e">
        <f t="shared" si="10"/>
        <v>#VALUE!</v>
      </c>
      <c r="G112" s="177" t="e">
        <f t="shared" si="11"/>
        <v>#VALUE!</v>
      </c>
      <c r="H112" s="177" t="str">
        <f t="shared" si="15"/>
        <v/>
      </c>
      <c r="I112" s="177" t="str">
        <f t="shared" si="16"/>
        <v/>
      </c>
      <c r="J112" s="177" t="e">
        <f t="shared" si="12"/>
        <v>#VALUE!</v>
      </c>
      <c r="K112" s="177">
        <f>SUM($I$17:$I112)</f>
        <v>0</v>
      </c>
      <c r="L112" s="179"/>
      <c r="M112" s="179"/>
    </row>
    <row r="113" spans="1:13" s="180" customFormat="1" ht="12.75">
      <c r="A113" s="192" t="str">
        <f t="shared" si="13"/>
        <v/>
      </c>
      <c r="B113" s="175"/>
      <c r="C113" s="176" t="str">
        <f t="shared" si="9"/>
        <v/>
      </c>
      <c r="D113" s="177" t="str">
        <f t="shared" si="14"/>
        <v/>
      </c>
      <c r="E113" s="177" t="str">
        <f t="shared" si="17"/>
        <v/>
      </c>
      <c r="F113" s="178" t="e">
        <f t="shared" si="10"/>
        <v>#VALUE!</v>
      </c>
      <c r="G113" s="177" t="e">
        <f t="shared" si="11"/>
        <v>#VALUE!</v>
      </c>
      <c r="H113" s="177" t="str">
        <f t="shared" si="15"/>
        <v/>
      </c>
      <c r="I113" s="177" t="str">
        <f t="shared" si="16"/>
        <v/>
      </c>
      <c r="J113" s="177" t="e">
        <f t="shared" si="12"/>
        <v>#VALUE!</v>
      </c>
      <c r="K113" s="177">
        <f>SUM($I$17:$I113)</f>
        <v>0</v>
      </c>
      <c r="L113" s="179"/>
      <c r="M113" s="179"/>
    </row>
    <row r="114" spans="1:13" s="180" customFormat="1" ht="12.75">
      <c r="A114" s="192" t="str">
        <f t="shared" si="13"/>
        <v/>
      </c>
      <c r="B114" s="175"/>
      <c r="C114" s="176" t="str">
        <f t="shared" si="9"/>
        <v/>
      </c>
      <c r="D114" s="177" t="str">
        <f t="shared" si="14"/>
        <v/>
      </c>
      <c r="E114" s="177" t="str">
        <f t="shared" si="17"/>
        <v/>
      </c>
      <c r="F114" s="178" t="e">
        <f t="shared" si="10"/>
        <v>#VALUE!</v>
      </c>
      <c r="G114" s="177" t="e">
        <f t="shared" si="11"/>
        <v>#VALUE!</v>
      </c>
      <c r="H114" s="177" t="str">
        <f t="shared" si="15"/>
        <v/>
      </c>
      <c r="I114" s="177" t="str">
        <f t="shared" si="16"/>
        <v/>
      </c>
      <c r="J114" s="177" t="e">
        <f t="shared" si="12"/>
        <v>#VALUE!</v>
      </c>
      <c r="K114" s="177">
        <f>SUM($I$17:$I114)</f>
        <v>0</v>
      </c>
      <c r="L114" s="179"/>
      <c r="M114" s="179"/>
    </row>
    <row r="115" spans="1:13" s="180" customFormat="1" ht="12.75">
      <c r="A115" s="192" t="str">
        <f t="shared" si="13"/>
        <v/>
      </c>
      <c r="B115" s="175"/>
      <c r="C115" s="176" t="str">
        <f t="shared" si="9"/>
        <v/>
      </c>
      <c r="D115" s="177" t="str">
        <f t="shared" si="14"/>
        <v/>
      </c>
      <c r="E115" s="177" t="str">
        <f t="shared" si="17"/>
        <v/>
      </c>
      <c r="F115" s="178" t="e">
        <f t="shared" si="10"/>
        <v>#VALUE!</v>
      </c>
      <c r="G115" s="177" t="e">
        <f t="shared" si="11"/>
        <v>#VALUE!</v>
      </c>
      <c r="H115" s="177" t="str">
        <f t="shared" si="15"/>
        <v/>
      </c>
      <c r="I115" s="177" t="str">
        <f t="shared" si="16"/>
        <v/>
      </c>
      <c r="J115" s="177" t="e">
        <f t="shared" si="12"/>
        <v>#VALUE!</v>
      </c>
      <c r="K115" s="177">
        <f>SUM($I$17:$I115)</f>
        <v>0</v>
      </c>
      <c r="L115" s="179"/>
      <c r="M115" s="179"/>
    </row>
    <row r="116" spans="1:13" s="180" customFormat="1" ht="12.75">
      <c r="A116" s="192" t="str">
        <f t="shared" si="13"/>
        <v/>
      </c>
      <c r="B116" s="175"/>
      <c r="C116" s="176" t="str">
        <f t="shared" si="9"/>
        <v/>
      </c>
      <c r="D116" s="177" t="str">
        <f t="shared" si="14"/>
        <v/>
      </c>
      <c r="E116" s="177" t="str">
        <f t="shared" si="17"/>
        <v/>
      </c>
      <c r="F116" s="178" t="e">
        <f t="shared" si="10"/>
        <v>#VALUE!</v>
      </c>
      <c r="G116" s="177" t="e">
        <f t="shared" si="11"/>
        <v>#VALUE!</v>
      </c>
      <c r="H116" s="177" t="str">
        <f t="shared" si="15"/>
        <v/>
      </c>
      <c r="I116" s="177" t="str">
        <f t="shared" si="16"/>
        <v/>
      </c>
      <c r="J116" s="177" t="e">
        <f t="shared" si="12"/>
        <v>#VALUE!</v>
      </c>
      <c r="K116" s="177">
        <f>SUM($I$17:$I116)</f>
        <v>0</v>
      </c>
      <c r="L116" s="179"/>
      <c r="M116" s="179"/>
    </row>
    <row r="117" spans="1:13" s="180" customFormat="1" ht="12.75">
      <c r="A117" s="192" t="str">
        <f t="shared" si="13"/>
        <v/>
      </c>
      <c r="B117" s="175"/>
      <c r="C117" s="176" t="str">
        <f t="shared" si="9"/>
        <v/>
      </c>
      <c r="D117" s="177" t="str">
        <f t="shared" si="14"/>
        <v/>
      </c>
      <c r="E117" s="177" t="str">
        <f t="shared" si="17"/>
        <v/>
      </c>
      <c r="F117" s="178" t="e">
        <f t="shared" si="10"/>
        <v>#VALUE!</v>
      </c>
      <c r="G117" s="177" t="e">
        <f t="shared" si="11"/>
        <v>#VALUE!</v>
      </c>
      <c r="H117" s="177" t="str">
        <f t="shared" si="15"/>
        <v/>
      </c>
      <c r="I117" s="177" t="str">
        <f t="shared" si="16"/>
        <v/>
      </c>
      <c r="J117" s="177" t="e">
        <f t="shared" si="12"/>
        <v>#VALUE!</v>
      </c>
      <c r="K117" s="177">
        <f>SUM($I$17:$I117)</f>
        <v>0</v>
      </c>
      <c r="L117" s="179"/>
      <c r="M117" s="179"/>
    </row>
    <row r="118" spans="1:13" s="180" customFormat="1" ht="12.75">
      <c r="A118" s="192" t="str">
        <f t="shared" si="13"/>
        <v/>
      </c>
      <c r="B118" s="175"/>
      <c r="C118" s="176" t="str">
        <f t="shared" si="9"/>
        <v/>
      </c>
      <c r="D118" s="177" t="str">
        <f t="shared" si="14"/>
        <v/>
      </c>
      <c r="E118" s="177" t="str">
        <f t="shared" si="17"/>
        <v/>
      </c>
      <c r="F118" s="178" t="e">
        <f t="shared" si="10"/>
        <v>#VALUE!</v>
      </c>
      <c r="G118" s="177" t="e">
        <f t="shared" si="11"/>
        <v>#VALUE!</v>
      </c>
      <c r="H118" s="177" t="str">
        <f t="shared" si="15"/>
        <v/>
      </c>
      <c r="I118" s="177" t="str">
        <f t="shared" si="16"/>
        <v/>
      </c>
      <c r="J118" s="177" t="e">
        <f t="shared" si="12"/>
        <v>#VALUE!</v>
      </c>
      <c r="K118" s="177">
        <f>SUM($I$17:$I118)</f>
        <v>0</v>
      </c>
      <c r="L118" s="179"/>
      <c r="M118" s="179"/>
    </row>
    <row r="119" spans="1:13" s="180" customFormat="1" ht="12.75">
      <c r="A119" s="192" t="str">
        <f t="shared" si="13"/>
        <v/>
      </c>
      <c r="B119" s="175"/>
      <c r="C119" s="176" t="str">
        <f t="shared" si="9"/>
        <v/>
      </c>
      <c r="D119" s="177" t="str">
        <f t="shared" si="14"/>
        <v/>
      </c>
      <c r="E119" s="177" t="str">
        <f t="shared" si="17"/>
        <v/>
      </c>
      <c r="F119" s="178" t="e">
        <f t="shared" si="10"/>
        <v>#VALUE!</v>
      </c>
      <c r="G119" s="177" t="e">
        <f t="shared" si="11"/>
        <v>#VALUE!</v>
      </c>
      <c r="H119" s="177" t="str">
        <f t="shared" si="15"/>
        <v/>
      </c>
      <c r="I119" s="177" t="str">
        <f t="shared" si="16"/>
        <v/>
      </c>
      <c r="J119" s="177" t="e">
        <f t="shared" si="12"/>
        <v>#VALUE!</v>
      </c>
      <c r="K119" s="177">
        <f>SUM($I$17:$I119)</f>
        <v>0</v>
      </c>
      <c r="L119" s="179"/>
      <c r="M119" s="179"/>
    </row>
    <row r="120" spans="1:13" s="180" customFormat="1" ht="12.75">
      <c r="A120" s="192" t="str">
        <f t="shared" si="13"/>
        <v/>
      </c>
      <c r="B120" s="175"/>
      <c r="C120" s="176" t="str">
        <f t="shared" si="9"/>
        <v/>
      </c>
      <c r="D120" s="177" t="str">
        <f t="shared" si="14"/>
        <v/>
      </c>
      <c r="E120" s="177" t="str">
        <f t="shared" si="17"/>
        <v/>
      </c>
      <c r="F120" s="178" t="e">
        <f t="shared" si="10"/>
        <v>#VALUE!</v>
      </c>
      <c r="G120" s="177" t="e">
        <f t="shared" si="11"/>
        <v>#VALUE!</v>
      </c>
      <c r="H120" s="177" t="str">
        <f t="shared" si="15"/>
        <v/>
      </c>
      <c r="I120" s="177" t="str">
        <f t="shared" si="16"/>
        <v/>
      </c>
      <c r="J120" s="177" t="e">
        <f t="shared" si="12"/>
        <v>#VALUE!</v>
      </c>
      <c r="K120" s="177">
        <f>SUM($I$17:$I120)</f>
        <v>0</v>
      </c>
      <c r="L120" s="179"/>
      <c r="M120" s="179"/>
    </row>
    <row r="121" spans="1:13" s="180" customFormat="1" ht="12.75">
      <c r="A121" s="192" t="str">
        <f t="shared" si="13"/>
        <v/>
      </c>
      <c r="B121" s="175"/>
      <c r="C121" s="176" t="str">
        <f t="shared" si="9"/>
        <v/>
      </c>
      <c r="D121" s="177" t="str">
        <f t="shared" si="14"/>
        <v/>
      </c>
      <c r="E121" s="177" t="str">
        <f t="shared" si="17"/>
        <v/>
      </c>
      <c r="F121" s="178" t="e">
        <f t="shared" si="10"/>
        <v>#VALUE!</v>
      </c>
      <c r="G121" s="177" t="e">
        <f t="shared" si="11"/>
        <v>#VALUE!</v>
      </c>
      <c r="H121" s="177" t="str">
        <f t="shared" si="15"/>
        <v/>
      </c>
      <c r="I121" s="177" t="str">
        <f t="shared" si="16"/>
        <v/>
      </c>
      <c r="J121" s="177" t="e">
        <f t="shared" si="12"/>
        <v>#VALUE!</v>
      </c>
      <c r="K121" s="177">
        <f>SUM($I$17:$I121)</f>
        <v>0</v>
      </c>
      <c r="L121" s="179"/>
      <c r="M121" s="179"/>
    </row>
    <row r="122" spans="1:13" s="180" customFormat="1" ht="12.75">
      <c r="A122" s="192" t="str">
        <f t="shared" si="13"/>
        <v/>
      </c>
      <c r="B122" s="175"/>
      <c r="C122" s="176" t="str">
        <f t="shared" si="9"/>
        <v/>
      </c>
      <c r="D122" s="177" t="str">
        <f t="shared" si="14"/>
        <v/>
      </c>
      <c r="E122" s="177" t="str">
        <f t="shared" si="17"/>
        <v/>
      </c>
      <c r="F122" s="178" t="e">
        <f t="shared" si="10"/>
        <v>#VALUE!</v>
      </c>
      <c r="G122" s="177" t="e">
        <f t="shared" si="11"/>
        <v>#VALUE!</v>
      </c>
      <c r="H122" s="177" t="str">
        <f t="shared" si="15"/>
        <v/>
      </c>
      <c r="I122" s="177" t="str">
        <f t="shared" si="16"/>
        <v/>
      </c>
      <c r="J122" s="177" t="e">
        <f t="shared" si="12"/>
        <v>#VALUE!</v>
      </c>
      <c r="K122" s="177">
        <f>SUM($I$17:$I122)</f>
        <v>0</v>
      </c>
      <c r="L122" s="179"/>
      <c r="M122" s="179"/>
    </row>
    <row r="123" spans="1:13" s="180" customFormat="1" ht="12.75">
      <c r="A123" s="192" t="str">
        <f t="shared" si="13"/>
        <v/>
      </c>
      <c r="B123" s="175"/>
      <c r="C123" s="176" t="str">
        <f t="shared" si="9"/>
        <v/>
      </c>
      <c r="D123" s="177" t="str">
        <f t="shared" si="14"/>
        <v/>
      </c>
      <c r="E123" s="177" t="str">
        <f t="shared" si="17"/>
        <v/>
      </c>
      <c r="F123" s="178" t="e">
        <f t="shared" si="10"/>
        <v>#VALUE!</v>
      </c>
      <c r="G123" s="177" t="e">
        <f t="shared" si="11"/>
        <v>#VALUE!</v>
      </c>
      <c r="H123" s="177" t="str">
        <f t="shared" si="15"/>
        <v/>
      </c>
      <c r="I123" s="177" t="str">
        <f t="shared" si="16"/>
        <v/>
      </c>
      <c r="J123" s="177" t="e">
        <f t="shared" si="12"/>
        <v>#VALUE!</v>
      </c>
      <c r="K123" s="177">
        <f>SUM($I$17:$I123)</f>
        <v>0</v>
      </c>
      <c r="L123" s="179"/>
      <c r="M123" s="179"/>
    </row>
    <row r="124" spans="1:13" s="180" customFormat="1" ht="12.75">
      <c r="A124" s="192" t="str">
        <f t="shared" si="13"/>
        <v/>
      </c>
      <c r="B124" s="175"/>
      <c r="C124" s="176" t="str">
        <f t="shared" si="9"/>
        <v/>
      </c>
      <c r="D124" s="177" t="str">
        <f t="shared" si="14"/>
        <v/>
      </c>
      <c r="E124" s="177" t="str">
        <f t="shared" si="17"/>
        <v/>
      </c>
      <c r="F124" s="178" t="e">
        <f t="shared" si="10"/>
        <v>#VALUE!</v>
      </c>
      <c r="G124" s="177" t="e">
        <f t="shared" si="11"/>
        <v>#VALUE!</v>
      </c>
      <c r="H124" s="177" t="str">
        <f t="shared" si="15"/>
        <v/>
      </c>
      <c r="I124" s="177" t="str">
        <f t="shared" si="16"/>
        <v/>
      </c>
      <c r="J124" s="177" t="e">
        <f t="shared" si="12"/>
        <v>#VALUE!</v>
      </c>
      <c r="K124" s="177">
        <f>SUM($I$17:$I124)</f>
        <v>0</v>
      </c>
      <c r="L124" s="179"/>
      <c r="M124" s="179"/>
    </row>
    <row r="125" spans="1:13" s="180" customFormat="1" ht="12.75">
      <c r="A125" s="192" t="str">
        <f t="shared" si="13"/>
        <v/>
      </c>
      <c r="B125" s="175"/>
      <c r="C125" s="176" t="str">
        <f t="shared" si="9"/>
        <v/>
      </c>
      <c r="D125" s="177" t="str">
        <f t="shared" si="14"/>
        <v/>
      </c>
      <c r="E125" s="177" t="str">
        <f t="shared" si="17"/>
        <v/>
      </c>
      <c r="F125" s="178" t="e">
        <f t="shared" si="10"/>
        <v>#VALUE!</v>
      </c>
      <c r="G125" s="177" t="e">
        <f t="shared" si="11"/>
        <v>#VALUE!</v>
      </c>
      <c r="H125" s="177" t="str">
        <f t="shared" si="15"/>
        <v/>
      </c>
      <c r="I125" s="177" t="str">
        <f t="shared" si="16"/>
        <v/>
      </c>
      <c r="J125" s="177" t="e">
        <f t="shared" si="12"/>
        <v>#VALUE!</v>
      </c>
      <c r="K125" s="177">
        <f>SUM($I$17:$I125)</f>
        <v>0</v>
      </c>
      <c r="L125" s="179"/>
      <c r="M125" s="179"/>
    </row>
    <row r="126" spans="1:13" s="180" customFormat="1" ht="12.75">
      <c r="A126" s="192" t="str">
        <f t="shared" si="13"/>
        <v/>
      </c>
      <c r="B126" s="175"/>
      <c r="C126" s="176" t="str">
        <f t="shared" si="9"/>
        <v/>
      </c>
      <c r="D126" s="177" t="str">
        <f t="shared" si="14"/>
        <v/>
      </c>
      <c r="E126" s="177" t="str">
        <f t="shared" si="17"/>
        <v/>
      </c>
      <c r="F126" s="178" t="e">
        <f t="shared" si="10"/>
        <v>#VALUE!</v>
      </c>
      <c r="G126" s="177" t="e">
        <f t="shared" si="11"/>
        <v>#VALUE!</v>
      </c>
      <c r="H126" s="177" t="str">
        <f t="shared" si="15"/>
        <v/>
      </c>
      <c r="I126" s="177" t="str">
        <f t="shared" si="16"/>
        <v/>
      </c>
      <c r="J126" s="177" t="e">
        <f t="shared" si="12"/>
        <v>#VALUE!</v>
      </c>
      <c r="K126" s="177">
        <f>SUM($I$17:$I126)</f>
        <v>0</v>
      </c>
      <c r="L126" s="179"/>
      <c r="M126" s="179"/>
    </row>
    <row r="127" spans="1:13" s="180" customFormat="1" ht="12.75">
      <c r="A127" s="192" t="str">
        <f t="shared" si="13"/>
        <v/>
      </c>
      <c r="B127" s="175"/>
      <c r="C127" s="176" t="str">
        <f t="shared" si="9"/>
        <v/>
      </c>
      <c r="D127" s="177" t="str">
        <f t="shared" si="14"/>
        <v/>
      </c>
      <c r="E127" s="177" t="str">
        <f t="shared" si="17"/>
        <v/>
      </c>
      <c r="F127" s="178" t="e">
        <f t="shared" si="10"/>
        <v>#VALUE!</v>
      </c>
      <c r="G127" s="177" t="e">
        <f t="shared" si="11"/>
        <v>#VALUE!</v>
      </c>
      <c r="H127" s="177" t="str">
        <f t="shared" si="15"/>
        <v/>
      </c>
      <c r="I127" s="177" t="str">
        <f t="shared" si="16"/>
        <v/>
      </c>
      <c r="J127" s="177" t="e">
        <f t="shared" si="12"/>
        <v>#VALUE!</v>
      </c>
      <c r="K127" s="177">
        <f>SUM($I$17:$I127)</f>
        <v>0</v>
      </c>
      <c r="L127" s="179"/>
      <c r="M127" s="179"/>
    </row>
    <row r="128" spans="1:13" s="180" customFormat="1" ht="12.75">
      <c r="A128" s="192" t="str">
        <f t="shared" si="13"/>
        <v/>
      </c>
      <c r="B128" s="175"/>
      <c r="C128" s="176" t="str">
        <f t="shared" si="9"/>
        <v/>
      </c>
      <c r="D128" s="177" t="str">
        <f t="shared" si="14"/>
        <v/>
      </c>
      <c r="E128" s="177" t="str">
        <f t="shared" si="17"/>
        <v/>
      </c>
      <c r="F128" s="178" t="e">
        <f t="shared" si="10"/>
        <v>#VALUE!</v>
      </c>
      <c r="G128" s="177" t="e">
        <f t="shared" si="11"/>
        <v>#VALUE!</v>
      </c>
      <c r="H128" s="177" t="str">
        <f t="shared" si="15"/>
        <v/>
      </c>
      <c r="I128" s="177" t="str">
        <f t="shared" si="16"/>
        <v/>
      </c>
      <c r="J128" s="177" t="e">
        <f t="shared" si="12"/>
        <v>#VALUE!</v>
      </c>
      <c r="K128" s="177">
        <f>SUM($I$17:$I128)</f>
        <v>0</v>
      </c>
      <c r="L128" s="179"/>
      <c r="M128" s="179"/>
    </row>
    <row r="129" spans="1:13" s="180" customFormat="1" ht="12.75">
      <c r="A129" s="192" t="str">
        <f t="shared" si="13"/>
        <v/>
      </c>
      <c r="B129" s="175"/>
      <c r="C129" s="176" t="str">
        <f t="shared" si="9"/>
        <v/>
      </c>
      <c r="D129" s="177" t="str">
        <f t="shared" si="14"/>
        <v/>
      </c>
      <c r="E129" s="177" t="str">
        <f t="shared" si="17"/>
        <v/>
      </c>
      <c r="F129" s="178" t="e">
        <f t="shared" si="10"/>
        <v>#VALUE!</v>
      </c>
      <c r="G129" s="177" t="e">
        <f t="shared" si="11"/>
        <v>#VALUE!</v>
      </c>
      <c r="H129" s="177" t="str">
        <f t="shared" si="15"/>
        <v/>
      </c>
      <c r="I129" s="177" t="str">
        <f t="shared" si="16"/>
        <v/>
      </c>
      <c r="J129" s="177" t="e">
        <f t="shared" si="12"/>
        <v>#VALUE!</v>
      </c>
      <c r="K129" s="177">
        <f>SUM($I$17:$I129)</f>
        <v>0</v>
      </c>
      <c r="L129" s="179"/>
      <c r="M129" s="179"/>
    </row>
    <row r="130" spans="1:13" s="180" customFormat="1" ht="12.75">
      <c r="A130" s="192" t="str">
        <f t="shared" si="13"/>
        <v/>
      </c>
      <c r="B130" s="175"/>
      <c r="C130" s="176" t="str">
        <f t="shared" si="9"/>
        <v/>
      </c>
      <c r="D130" s="177" t="str">
        <f t="shared" si="14"/>
        <v/>
      </c>
      <c r="E130" s="177" t="str">
        <f t="shared" si="17"/>
        <v/>
      </c>
      <c r="F130" s="178" t="e">
        <f t="shared" si="10"/>
        <v>#VALUE!</v>
      </c>
      <c r="G130" s="177" t="e">
        <f t="shared" si="11"/>
        <v>#VALUE!</v>
      </c>
      <c r="H130" s="177" t="str">
        <f t="shared" si="15"/>
        <v/>
      </c>
      <c r="I130" s="177" t="str">
        <f t="shared" si="16"/>
        <v/>
      </c>
      <c r="J130" s="177" t="e">
        <f t="shared" si="12"/>
        <v>#VALUE!</v>
      </c>
      <c r="K130" s="177">
        <f>SUM($I$17:$I130)</f>
        <v>0</v>
      </c>
      <c r="L130" s="179"/>
      <c r="M130" s="179"/>
    </row>
    <row r="131" spans="1:13" s="180" customFormat="1" ht="12.75">
      <c r="A131" s="192" t="str">
        <f t="shared" si="13"/>
        <v/>
      </c>
      <c r="B131" s="175"/>
      <c r="C131" s="176" t="str">
        <f t="shared" si="9"/>
        <v/>
      </c>
      <c r="D131" s="177" t="str">
        <f t="shared" si="14"/>
        <v/>
      </c>
      <c r="E131" s="177" t="str">
        <f t="shared" si="17"/>
        <v/>
      </c>
      <c r="F131" s="178" t="e">
        <f t="shared" si="10"/>
        <v>#VALUE!</v>
      </c>
      <c r="G131" s="177" t="e">
        <f t="shared" si="11"/>
        <v>#VALUE!</v>
      </c>
      <c r="H131" s="177" t="str">
        <f t="shared" si="15"/>
        <v/>
      </c>
      <c r="I131" s="177" t="str">
        <f t="shared" si="16"/>
        <v/>
      </c>
      <c r="J131" s="177" t="e">
        <f t="shared" si="12"/>
        <v>#VALUE!</v>
      </c>
      <c r="K131" s="177">
        <f>SUM($I$17:$I131)</f>
        <v>0</v>
      </c>
      <c r="L131" s="179"/>
      <c r="M131" s="179"/>
    </row>
    <row r="132" spans="1:13" s="180" customFormat="1" ht="12.75">
      <c r="A132" s="192" t="str">
        <f t="shared" si="13"/>
        <v/>
      </c>
      <c r="B132" s="175"/>
      <c r="C132" s="176" t="str">
        <f t="shared" si="9"/>
        <v/>
      </c>
      <c r="D132" s="177" t="str">
        <f t="shared" si="14"/>
        <v/>
      </c>
      <c r="E132" s="177" t="str">
        <f t="shared" si="17"/>
        <v/>
      </c>
      <c r="F132" s="178" t="e">
        <f t="shared" si="10"/>
        <v>#VALUE!</v>
      </c>
      <c r="G132" s="177" t="e">
        <f t="shared" si="11"/>
        <v>#VALUE!</v>
      </c>
      <c r="H132" s="177" t="str">
        <f t="shared" si="15"/>
        <v/>
      </c>
      <c r="I132" s="177" t="str">
        <f t="shared" si="16"/>
        <v/>
      </c>
      <c r="J132" s="177" t="e">
        <f t="shared" si="12"/>
        <v>#VALUE!</v>
      </c>
      <c r="K132" s="177">
        <f>SUM($I$17:$I132)</f>
        <v>0</v>
      </c>
      <c r="L132" s="179"/>
      <c r="M132" s="179"/>
    </row>
    <row r="133" spans="1:13" s="180" customFormat="1" ht="12.75">
      <c r="A133" s="192" t="str">
        <f t="shared" si="13"/>
        <v/>
      </c>
      <c r="B133" s="175"/>
      <c r="C133" s="176" t="str">
        <f t="shared" si="9"/>
        <v/>
      </c>
      <c r="D133" s="177" t="str">
        <f t="shared" si="14"/>
        <v/>
      </c>
      <c r="E133" s="177" t="str">
        <f t="shared" si="17"/>
        <v/>
      </c>
      <c r="F133" s="178" t="e">
        <f t="shared" si="10"/>
        <v>#VALUE!</v>
      </c>
      <c r="G133" s="177" t="e">
        <f t="shared" si="11"/>
        <v>#VALUE!</v>
      </c>
      <c r="H133" s="177" t="str">
        <f t="shared" si="15"/>
        <v/>
      </c>
      <c r="I133" s="177" t="str">
        <f t="shared" si="16"/>
        <v/>
      </c>
      <c r="J133" s="177" t="e">
        <f t="shared" si="12"/>
        <v>#VALUE!</v>
      </c>
      <c r="K133" s="177">
        <f>SUM($I$17:$I133)</f>
        <v>0</v>
      </c>
      <c r="L133" s="179"/>
      <c r="M133" s="179"/>
    </row>
    <row r="134" spans="1:13" s="180" customFormat="1" ht="12.75">
      <c r="A134" s="192" t="str">
        <f t="shared" si="13"/>
        <v/>
      </c>
      <c r="B134" s="175"/>
      <c r="C134" s="176" t="str">
        <f t="shared" si="9"/>
        <v/>
      </c>
      <c r="D134" s="177" t="str">
        <f t="shared" si="14"/>
        <v/>
      </c>
      <c r="E134" s="177" t="str">
        <f t="shared" si="17"/>
        <v/>
      </c>
      <c r="F134" s="178" t="e">
        <f t="shared" si="10"/>
        <v>#VALUE!</v>
      </c>
      <c r="G134" s="177" t="e">
        <f t="shared" si="11"/>
        <v>#VALUE!</v>
      </c>
      <c r="H134" s="177" t="str">
        <f t="shared" si="15"/>
        <v/>
      </c>
      <c r="I134" s="177" t="str">
        <f t="shared" si="16"/>
        <v/>
      </c>
      <c r="J134" s="177" t="e">
        <f t="shared" si="12"/>
        <v>#VALUE!</v>
      </c>
      <c r="K134" s="177">
        <f>SUM($I$17:$I134)</f>
        <v>0</v>
      </c>
      <c r="L134" s="179"/>
      <c r="M134" s="179"/>
    </row>
    <row r="135" spans="1:13" s="180" customFormat="1" ht="12.75">
      <c r="A135" s="192" t="str">
        <f t="shared" si="13"/>
        <v/>
      </c>
      <c r="B135" s="175"/>
      <c r="C135" s="176" t="str">
        <f t="shared" si="9"/>
        <v/>
      </c>
      <c r="D135" s="177" t="str">
        <f t="shared" si="14"/>
        <v/>
      </c>
      <c r="E135" s="177" t="str">
        <f t="shared" si="17"/>
        <v/>
      </c>
      <c r="F135" s="178" t="e">
        <f t="shared" si="10"/>
        <v>#VALUE!</v>
      </c>
      <c r="G135" s="177" t="e">
        <f t="shared" si="11"/>
        <v>#VALUE!</v>
      </c>
      <c r="H135" s="177" t="str">
        <f t="shared" si="15"/>
        <v/>
      </c>
      <c r="I135" s="177" t="str">
        <f t="shared" si="16"/>
        <v/>
      </c>
      <c r="J135" s="177" t="e">
        <f t="shared" si="12"/>
        <v>#VALUE!</v>
      </c>
      <c r="K135" s="177">
        <f>SUM($I$17:$I135)</f>
        <v>0</v>
      </c>
      <c r="L135" s="179"/>
      <c r="M135" s="179"/>
    </row>
    <row r="136" spans="1:13" s="180" customFormat="1" ht="12.75">
      <c r="A136" s="192" t="str">
        <f t="shared" si="13"/>
        <v/>
      </c>
      <c r="B136" s="175"/>
      <c r="C136" s="176" t="str">
        <f t="shared" si="9"/>
        <v/>
      </c>
      <c r="D136" s="177" t="str">
        <f t="shared" si="14"/>
        <v/>
      </c>
      <c r="E136" s="177" t="str">
        <f t="shared" si="17"/>
        <v/>
      </c>
      <c r="F136" s="178" t="e">
        <f t="shared" si="10"/>
        <v>#VALUE!</v>
      </c>
      <c r="G136" s="177" t="e">
        <f t="shared" si="11"/>
        <v>#VALUE!</v>
      </c>
      <c r="H136" s="177" t="str">
        <f t="shared" si="15"/>
        <v/>
      </c>
      <c r="I136" s="177" t="str">
        <f t="shared" si="16"/>
        <v/>
      </c>
      <c r="J136" s="177" t="e">
        <f t="shared" si="12"/>
        <v>#VALUE!</v>
      </c>
      <c r="K136" s="177">
        <f>SUM($I$17:$I136)</f>
        <v>0</v>
      </c>
      <c r="L136" s="179"/>
      <c r="M136" s="179"/>
    </row>
    <row r="137" spans="1:13" s="180" customFormat="1" ht="12.75">
      <c r="A137" s="192" t="str">
        <f t="shared" si="13"/>
        <v/>
      </c>
      <c r="B137" s="175"/>
      <c r="C137" s="176" t="str">
        <f t="shared" si="9"/>
        <v/>
      </c>
      <c r="D137" s="177" t="str">
        <f t="shared" si="14"/>
        <v/>
      </c>
      <c r="E137" s="177" t="str">
        <f t="shared" si="17"/>
        <v/>
      </c>
      <c r="F137" s="178" t="e">
        <f t="shared" si="10"/>
        <v>#VALUE!</v>
      </c>
      <c r="G137" s="177" t="e">
        <f t="shared" si="11"/>
        <v>#VALUE!</v>
      </c>
      <c r="H137" s="177" t="str">
        <f t="shared" si="15"/>
        <v/>
      </c>
      <c r="I137" s="177" t="str">
        <f t="shared" si="16"/>
        <v/>
      </c>
      <c r="J137" s="177" t="e">
        <f t="shared" si="12"/>
        <v>#VALUE!</v>
      </c>
      <c r="K137" s="177">
        <f>SUM($I$17:$I137)</f>
        <v>0</v>
      </c>
      <c r="L137" s="179"/>
      <c r="M137" s="179"/>
    </row>
    <row r="138" spans="1:13" s="180" customFormat="1" ht="12.75">
      <c r="A138" s="192" t="str">
        <f t="shared" si="13"/>
        <v/>
      </c>
      <c r="B138" s="175"/>
      <c r="C138" s="176" t="str">
        <f t="shared" si="9"/>
        <v/>
      </c>
      <c r="D138" s="177" t="str">
        <f t="shared" si="14"/>
        <v/>
      </c>
      <c r="E138" s="177" t="str">
        <f t="shared" si="17"/>
        <v/>
      </c>
      <c r="F138" s="178" t="e">
        <f t="shared" si="10"/>
        <v>#VALUE!</v>
      </c>
      <c r="G138" s="177" t="e">
        <f t="shared" si="11"/>
        <v>#VALUE!</v>
      </c>
      <c r="H138" s="177" t="str">
        <f t="shared" si="15"/>
        <v/>
      </c>
      <c r="I138" s="177" t="str">
        <f t="shared" si="16"/>
        <v/>
      </c>
      <c r="J138" s="177" t="e">
        <f t="shared" si="12"/>
        <v>#VALUE!</v>
      </c>
      <c r="K138" s="177">
        <f>SUM($I$17:$I138)</f>
        <v>0</v>
      </c>
      <c r="L138" s="179"/>
      <c r="M138" s="179"/>
    </row>
    <row r="139" spans="1:13" s="180" customFormat="1" ht="12.75">
      <c r="A139" s="192" t="str">
        <f t="shared" si="13"/>
        <v/>
      </c>
      <c r="B139" s="175"/>
      <c r="C139" s="176" t="str">
        <f t="shared" si="9"/>
        <v/>
      </c>
      <c r="D139" s="177" t="str">
        <f t="shared" si="14"/>
        <v/>
      </c>
      <c r="E139" s="177" t="str">
        <f t="shared" si="17"/>
        <v/>
      </c>
      <c r="F139" s="178" t="e">
        <f t="shared" si="10"/>
        <v>#VALUE!</v>
      </c>
      <c r="G139" s="177" t="e">
        <f t="shared" si="11"/>
        <v>#VALUE!</v>
      </c>
      <c r="H139" s="177" t="str">
        <f t="shared" si="15"/>
        <v/>
      </c>
      <c r="I139" s="177" t="str">
        <f t="shared" si="16"/>
        <v/>
      </c>
      <c r="J139" s="177" t="e">
        <f t="shared" si="12"/>
        <v>#VALUE!</v>
      </c>
      <c r="K139" s="177">
        <f>SUM($I$17:$I139)</f>
        <v>0</v>
      </c>
      <c r="L139" s="179"/>
      <c r="M139" s="179"/>
    </row>
    <row r="140" spans="1:13" s="180" customFormat="1" ht="12.75">
      <c r="A140" s="192" t="str">
        <f t="shared" si="13"/>
        <v/>
      </c>
      <c r="B140" s="175"/>
      <c r="C140" s="176" t="str">
        <f t="shared" si="9"/>
        <v/>
      </c>
      <c r="D140" s="177" t="str">
        <f t="shared" si="14"/>
        <v/>
      </c>
      <c r="E140" s="177" t="str">
        <f t="shared" si="17"/>
        <v/>
      </c>
      <c r="F140" s="178" t="e">
        <f t="shared" si="10"/>
        <v>#VALUE!</v>
      </c>
      <c r="G140" s="177" t="e">
        <f t="shared" si="11"/>
        <v>#VALUE!</v>
      </c>
      <c r="H140" s="177" t="str">
        <f t="shared" si="15"/>
        <v/>
      </c>
      <c r="I140" s="177" t="str">
        <f t="shared" si="16"/>
        <v/>
      </c>
      <c r="J140" s="177" t="e">
        <f t="shared" si="12"/>
        <v>#VALUE!</v>
      </c>
      <c r="K140" s="177">
        <f>SUM($I$17:$I140)</f>
        <v>0</v>
      </c>
      <c r="L140" s="179"/>
      <c r="M140" s="179"/>
    </row>
    <row r="141" spans="1:13" s="180" customFormat="1" ht="12.75">
      <c r="A141" s="192" t="str">
        <f t="shared" si="13"/>
        <v/>
      </c>
      <c r="B141" s="175"/>
      <c r="C141" s="176" t="str">
        <f t="shared" si="9"/>
        <v/>
      </c>
      <c r="D141" s="177" t="str">
        <f t="shared" si="14"/>
        <v/>
      </c>
      <c r="E141" s="177" t="str">
        <f t="shared" si="17"/>
        <v/>
      </c>
      <c r="F141" s="178" t="e">
        <f t="shared" si="10"/>
        <v>#VALUE!</v>
      </c>
      <c r="G141" s="177" t="e">
        <f t="shared" si="11"/>
        <v>#VALUE!</v>
      </c>
      <c r="H141" s="177" t="str">
        <f t="shared" si="15"/>
        <v/>
      </c>
      <c r="I141" s="177" t="str">
        <f t="shared" si="16"/>
        <v/>
      </c>
      <c r="J141" s="177" t="e">
        <f t="shared" si="12"/>
        <v>#VALUE!</v>
      </c>
      <c r="K141" s="177">
        <f>SUM($I$17:$I141)</f>
        <v>0</v>
      </c>
      <c r="L141" s="179"/>
      <c r="M141" s="179"/>
    </row>
    <row r="142" spans="1:13" s="180" customFormat="1" ht="12.75">
      <c r="A142" s="192" t="str">
        <f t="shared" si="13"/>
        <v/>
      </c>
      <c r="B142" s="175"/>
      <c r="C142" s="176" t="str">
        <f t="shared" si="9"/>
        <v/>
      </c>
      <c r="D142" s="177" t="str">
        <f t="shared" si="14"/>
        <v/>
      </c>
      <c r="E142" s="177" t="str">
        <f t="shared" si="17"/>
        <v/>
      </c>
      <c r="F142" s="178" t="e">
        <f t="shared" si="10"/>
        <v>#VALUE!</v>
      </c>
      <c r="G142" s="177" t="e">
        <f t="shared" si="11"/>
        <v>#VALUE!</v>
      </c>
      <c r="H142" s="177" t="str">
        <f t="shared" si="15"/>
        <v/>
      </c>
      <c r="I142" s="177" t="str">
        <f t="shared" si="16"/>
        <v/>
      </c>
      <c r="J142" s="177" t="e">
        <f t="shared" si="12"/>
        <v>#VALUE!</v>
      </c>
      <c r="K142" s="177">
        <f>SUM($I$17:$I142)</f>
        <v>0</v>
      </c>
      <c r="L142" s="179"/>
      <c r="M142" s="179"/>
    </row>
    <row r="143" spans="1:13" s="180" customFormat="1" ht="12.75">
      <c r="A143" s="192" t="str">
        <f t="shared" si="13"/>
        <v/>
      </c>
      <c r="B143" s="175"/>
      <c r="C143" s="176" t="str">
        <f t="shared" si="9"/>
        <v/>
      </c>
      <c r="D143" s="177" t="str">
        <f t="shared" si="14"/>
        <v/>
      </c>
      <c r="E143" s="177" t="str">
        <f t="shared" si="17"/>
        <v/>
      </c>
      <c r="F143" s="178" t="e">
        <f t="shared" si="10"/>
        <v>#VALUE!</v>
      </c>
      <c r="G143" s="177" t="e">
        <f t="shared" si="11"/>
        <v>#VALUE!</v>
      </c>
      <c r="H143" s="177" t="str">
        <f t="shared" si="15"/>
        <v/>
      </c>
      <c r="I143" s="177" t="str">
        <f t="shared" si="16"/>
        <v/>
      </c>
      <c r="J143" s="177" t="e">
        <f t="shared" si="12"/>
        <v>#VALUE!</v>
      </c>
      <c r="K143" s="177">
        <f>SUM($I$17:$I143)</f>
        <v>0</v>
      </c>
      <c r="L143" s="179"/>
      <c r="M143" s="179"/>
    </row>
    <row r="144" spans="1:13" s="180" customFormat="1" ht="12.75">
      <c r="A144" s="192" t="str">
        <f t="shared" si="13"/>
        <v/>
      </c>
      <c r="B144" s="175"/>
      <c r="C144" s="176" t="str">
        <f t="shared" si="9"/>
        <v/>
      </c>
      <c r="D144" s="177" t="str">
        <f t="shared" si="14"/>
        <v/>
      </c>
      <c r="E144" s="177" t="str">
        <f t="shared" si="17"/>
        <v/>
      </c>
      <c r="F144" s="178" t="e">
        <f t="shared" si="10"/>
        <v>#VALUE!</v>
      </c>
      <c r="G144" s="177" t="e">
        <f t="shared" si="11"/>
        <v>#VALUE!</v>
      </c>
      <c r="H144" s="177" t="str">
        <f t="shared" si="15"/>
        <v/>
      </c>
      <c r="I144" s="177" t="str">
        <f t="shared" si="16"/>
        <v/>
      </c>
      <c r="J144" s="177" t="e">
        <f t="shared" si="12"/>
        <v>#VALUE!</v>
      </c>
      <c r="K144" s="177">
        <f>SUM($I$17:$I144)</f>
        <v>0</v>
      </c>
      <c r="L144" s="179"/>
      <c r="M144" s="179"/>
    </row>
    <row r="145" spans="1:13" s="180" customFormat="1" ht="12.75">
      <c r="A145" s="192" t="str">
        <f t="shared" si="13"/>
        <v/>
      </c>
      <c r="B145" s="175"/>
      <c r="C145" s="176" t="str">
        <f t="shared" ref="C145:C208" si="18">IF(Pay_Num&lt;&gt;"",DATE(YEAR(Loan_Start),MONTH(Loan_Start)+(Pay_Num)*12/Num_Pmt_Per_Year,DAY(Loan_Start)),"")</f>
        <v/>
      </c>
      <c r="D145" s="177" t="str">
        <f t="shared" si="14"/>
        <v/>
      </c>
      <c r="E145" s="177" t="str">
        <f t="shared" si="17"/>
        <v/>
      </c>
      <c r="F145" s="178" t="e">
        <f t="shared" ref="F145:F208" si="19">IF(AND(Pay_Num&lt;&gt;"",Sched_Pay+Scheduled_Extra_Payments&lt;Beg_Bal),Scheduled_Extra_Payments,IF(AND(Pay_Num&lt;&gt;"",Beg_Bal-Sched_Pay&gt;0),Beg_Bal-Sched_Pay,IF(Pay_Num&lt;&gt;"",0,"")))</f>
        <v>#VALUE!</v>
      </c>
      <c r="G145" s="177" t="e">
        <f t="shared" ref="G145:G208" si="20">IF(AND(Pay_Num&lt;&gt;"",Sched_Pay+Extra_Pay&lt;Beg_Bal),Sched_Pay+Extra_Pay,IF(Pay_Num&lt;&gt;"",Beg_Bal,""))</f>
        <v>#VALUE!</v>
      </c>
      <c r="H145" s="177" t="str">
        <f t="shared" si="15"/>
        <v/>
      </c>
      <c r="I145" s="177" t="str">
        <f t="shared" si="16"/>
        <v/>
      </c>
      <c r="J145" s="177" t="e">
        <f t="shared" ref="J145:J208" si="21">IF(AND(Pay_Num&lt;&gt;"",Sched_Pay+Extra_Pay&lt;Beg_Bal),Beg_Bal-Princ,IF(Pay_Num&lt;&gt;"",0,""))</f>
        <v>#VALUE!</v>
      </c>
      <c r="K145" s="177">
        <f>SUM($I$17:$I145)</f>
        <v>0</v>
      </c>
      <c r="L145" s="179"/>
      <c r="M145" s="179"/>
    </row>
    <row r="146" spans="1:13" s="180" customFormat="1" ht="12.75">
      <c r="A146" s="192" t="str">
        <f t="shared" ref="A146:A209" si="22">IF(Values_Entered,A145+1,"")</f>
        <v/>
      </c>
      <c r="B146" s="175"/>
      <c r="C146" s="176" t="str">
        <f t="shared" si="18"/>
        <v/>
      </c>
      <c r="D146" s="177" t="str">
        <f t="shared" ref="D146:D209" si="23">IF(Pay_Num&lt;&gt;"",J145,"")</f>
        <v/>
      </c>
      <c r="E146" s="177" t="str">
        <f t="shared" si="17"/>
        <v/>
      </c>
      <c r="F146" s="178" t="e">
        <f t="shared" si="19"/>
        <v>#VALUE!</v>
      </c>
      <c r="G146" s="177" t="e">
        <f t="shared" si="20"/>
        <v>#VALUE!</v>
      </c>
      <c r="H146" s="177" t="str">
        <f t="shared" ref="H146:H209" si="24">IF(Pay_Num&lt;&gt;"",Total_Pay-Int,"")</f>
        <v/>
      </c>
      <c r="I146" s="177" t="str">
        <f t="shared" ref="I146:I209" si="25">IF(Pay_Num&lt;&gt;"",Beg_Bal*Interest_Rate/Num_Pmt_Per_Year,"")</f>
        <v/>
      </c>
      <c r="J146" s="177" t="e">
        <f t="shared" si="21"/>
        <v>#VALUE!</v>
      </c>
      <c r="K146" s="177">
        <f>SUM($I$17:$I146)</f>
        <v>0</v>
      </c>
      <c r="L146" s="179"/>
      <c r="M146" s="179"/>
    </row>
    <row r="147" spans="1:13" s="180" customFormat="1" ht="12.75">
      <c r="A147" s="192" t="str">
        <f t="shared" si="22"/>
        <v/>
      </c>
      <c r="B147" s="175"/>
      <c r="C147" s="176" t="str">
        <f t="shared" si="18"/>
        <v/>
      </c>
      <c r="D147" s="177" t="str">
        <f t="shared" si="23"/>
        <v/>
      </c>
      <c r="E147" s="177" t="str">
        <f t="shared" ref="E147:E210" si="26">IF(Pay_Num&lt;&gt;"",Scheduled_Monthly_Payment,"")</f>
        <v/>
      </c>
      <c r="F147" s="178" t="e">
        <f t="shared" si="19"/>
        <v>#VALUE!</v>
      </c>
      <c r="G147" s="177" t="e">
        <f t="shared" si="20"/>
        <v>#VALUE!</v>
      </c>
      <c r="H147" s="177" t="str">
        <f t="shared" si="24"/>
        <v/>
      </c>
      <c r="I147" s="177" t="str">
        <f t="shared" si="25"/>
        <v/>
      </c>
      <c r="J147" s="177" t="e">
        <f t="shared" si="21"/>
        <v>#VALUE!</v>
      </c>
      <c r="K147" s="177">
        <f>SUM($I$17:$I147)</f>
        <v>0</v>
      </c>
      <c r="L147" s="179"/>
      <c r="M147" s="179"/>
    </row>
    <row r="148" spans="1:13" s="180" customFormat="1" ht="12.75">
      <c r="A148" s="192" t="str">
        <f t="shared" si="22"/>
        <v/>
      </c>
      <c r="B148" s="175"/>
      <c r="C148" s="176" t="str">
        <f t="shared" si="18"/>
        <v/>
      </c>
      <c r="D148" s="177" t="str">
        <f t="shared" si="23"/>
        <v/>
      </c>
      <c r="E148" s="177" t="str">
        <f t="shared" si="26"/>
        <v/>
      </c>
      <c r="F148" s="178" t="e">
        <f t="shared" si="19"/>
        <v>#VALUE!</v>
      </c>
      <c r="G148" s="177" t="e">
        <f t="shared" si="20"/>
        <v>#VALUE!</v>
      </c>
      <c r="H148" s="177" t="str">
        <f t="shared" si="24"/>
        <v/>
      </c>
      <c r="I148" s="177" t="str">
        <f t="shared" si="25"/>
        <v/>
      </c>
      <c r="J148" s="177" t="e">
        <f t="shared" si="21"/>
        <v>#VALUE!</v>
      </c>
      <c r="K148" s="177">
        <f>SUM($I$17:$I148)</f>
        <v>0</v>
      </c>
      <c r="L148" s="179"/>
      <c r="M148" s="179"/>
    </row>
    <row r="149" spans="1:13" s="180" customFormat="1" ht="12.75">
      <c r="A149" s="192" t="str">
        <f t="shared" si="22"/>
        <v/>
      </c>
      <c r="B149" s="175"/>
      <c r="C149" s="176" t="str">
        <f t="shared" si="18"/>
        <v/>
      </c>
      <c r="D149" s="177" t="str">
        <f t="shared" si="23"/>
        <v/>
      </c>
      <c r="E149" s="177" t="str">
        <f t="shared" si="26"/>
        <v/>
      </c>
      <c r="F149" s="178" t="e">
        <f t="shared" si="19"/>
        <v>#VALUE!</v>
      </c>
      <c r="G149" s="177" t="e">
        <f t="shared" si="20"/>
        <v>#VALUE!</v>
      </c>
      <c r="H149" s="177" t="str">
        <f t="shared" si="24"/>
        <v/>
      </c>
      <c r="I149" s="177" t="str">
        <f t="shared" si="25"/>
        <v/>
      </c>
      <c r="J149" s="177" t="e">
        <f t="shared" si="21"/>
        <v>#VALUE!</v>
      </c>
      <c r="K149" s="177">
        <f>SUM($I$17:$I149)</f>
        <v>0</v>
      </c>
      <c r="L149" s="179"/>
      <c r="M149" s="179"/>
    </row>
    <row r="150" spans="1:13" s="180" customFormat="1" ht="12.75">
      <c r="A150" s="192" t="str">
        <f t="shared" si="22"/>
        <v/>
      </c>
      <c r="B150" s="175"/>
      <c r="C150" s="176" t="str">
        <f t="shared" si="18"/>
        <v/>
      </c>
      <c r="D150" s="177" t="str">
        <f t="shared" si="23"/>
        <v/>
      </c>
      <c r="E150" s="177" t="str">
        <f t="shared" si="26"/>
        <v/>
      </c>
      <c r="F150" s="178" t="e">
        <f t="shared" si="19"/>
        <v>#VALUE!</v>
      </c>
      <c r="G150" s="177" t="e">
        <f t="shared" si="20"/>
        <v>#VALUE!</v>
      </c>
      <c r="H150" s="177" t="str">
        <f t="shared" si="24"/>
        <v/>
      </c>
      <c r="I150" s="177" t="str">
        <f t="shared" si="25"/>
        <v/>
      </c>
      <c r="J150" s="177" t="e">
        <f t="shared" si="21"/>
        <v>#VALUE!</v>
      </c>
      <c r="K150" s="177">
        <f>SUM($I$17:$I150)</f>
        <v>0</v>
      </c>
      <c r="L150" s="179"/>
      <c r="M150" s="179"/>
    </row>
    <row r="151" spans="1:13" s="180" customFormat="1" ht="12.75">
      <c r="A151" s="192" t="str">
        <f t="shared" si="22"/>
        <v/>
      </c>
      <c r="B151" s="175"/>
      <c r="C151" s="176" t="str">
        <f t="shared" si="18"/>
        <v/>
      </c>
      <c r="D151" s="177" t="str">
        <f t="shared" si="23"/>
        <v/>
      </c>
      <c r="E151" s="177" t="str">
        <f t="shared" si="26"/>
        <v/>
      </c>
      <c r="F151" s="178" t="e">
        <f t="shared" si="19"/>
        <v>#VALUE!</v>
      </c>
      <c r="G151" s="177" t="e">
        <f t="shared" si="20"/>
        <v>#VALUE!</v>
      </c>
      <c r="H151" s="177" t="str">
        <f t="shared" si="24"/>
        <v/>
      </c>
      <c r="I151" s="177" t="str">
        <f t="shared" si="25"/>
        <v/>
      </c>
      <c r="J151" s="177" t="e">
        <f t="shared" si="21"/>
        <v>#VALUE!</v>
      </c>
      <c r="K151" s="177">
        <f>SUM($I$17:$I151)</f>
        <v>0</v>
      </c>
      <c r="L151" s="179"/>
      <c r="M151" s="179"/>
    </row>
    <row r="152" spans="1:13" s="180" customFormat="1" ht="12.75">
      <c r="A152" s="192" t="str">
        <f t="shared" si="22"/>
        <v/>
      </c>
      <c r="B152" s="175"/>
      <c r="C152" s="176" t="str">
        <f t="shared" si="18"/>
        <v/>
      </c>
      <c r="D152" s="177" t="str">
        <f t="shared" si="23"/>
        <v/>
      </c>
      <c r="E152" s="177" t="str">
        <f t="shared" si="26"/>
        <v/>
      </c>
      <c r="F152" s="178" t="e">
        <f t="shared" si="19"/>
        <v>#VALUE!</v>
      </c>
      <c r="G152" s="177" t="e">
        <f t="shared" si="20"/>
        <v>#VALUE!</v>
      </c>
      <c r="H152" s="177" t="str">
        <f t="shared" si="24"/>
        <v/>
      </c>
      <c r="I152" s="177" t="str">
        <f t="shared" si="25"/>
        <v/>
      </c>
      <c r="J152" s="177" t="e">
        <f t="shared" si="21"/>
        <v>#VALUE!</v>
      </c>
      <c r="K152" s="177">
        <f>SUM($I$17:$I152)</f>
        <v>0</v>
      </c>
      <c r="L152" s="179"/>
      <c r="M152" s="179"/>
    </row>
    <row r="153" spans="1:13" s="180" customFormat="1" ht="12.75">
      <c r="A153" s="192" t="str">
        <f t="shared" si="22"/>
        <v/>
      </c>
      <c r="B153" s="175"/>
      <c r="C153" s="176" t="str">
        <f t="shared" si="18"/>
        <v/>
      </c>
      <c r="D153" s="177" t="str">
        <f t="shared" si="23"/>
        <v/>
      </c>
      <c r="E153" s="177" t="str">
        <f t="shared" si="26"/>
        <v/>
      </c>
      <c r="F153" s="178" t="e">
        <f t="shared" si="19"/>
        <v>#VALUE!</v>
      </c>
      <c r="G153" s="177" t="e">
        <f t="shared" si="20"/>
        <v>#VALUE!</v>
      </c>
      <c r="H153" s="177" t="str">
        <f t="shared" si="24"/>
        <v/>
      </c>
      <c r="I153" s="177" t="str">
        <f t="shared" si="25"/>
        <v/>
      </c>
      <c r="J153" s="177" t="e">
        <f t="shared" si="21"/>
        <v>#VALUE!</v>
      </c>
      <c r="K153" s="177">
        <f>SUM($I$17:$I153)</f>
        <v>0</v>
      </c>
      <c r="L153" s="179"/>
      <c r="M153" s="179"/>
    </row>
    <row r="154" spans="1:13" s="180" customFormat="1" ht="12.75">
      <c r="A154" s="192" t="str">
        <f t="shared" si="22"/>
        <v/>
      </c>
      <c r="B154" s="175"/>
      <c r="C154" s="176" t="str">
        <f t="shared" si="18"/>
        <v/>
      </c>
      <c r="D154" s="177" t="str">
        <f t="shared" si="23"/>
        <v/>
      </c>
      <c r="E154" s="177" t="str">
        <f t="shared" si="26"/>
        <v/>
      </c>
      <c r="F154" s="178" t="e">
        <f t="shared" si="19"/>
        <v>#VALUE!</v>
      </c>
      <c r="G154" s="177" t="e">
        <f t="shared" si="20"/>
        <v>#VALUE!</v>
      </c>
      <c r="H154" s="177" t="str">
        <f t="shared" si="24"/>
        <v/>
      </c>
      <c r="I154" s="177" t="str">
        <f t="shared" si="25"/>
        <v/>
      </c>
      <c r="J154" s="177" t="e">
        <f t="shared" si="21"/>
        <v>#VALUE!</v>
      </c>
      <c r="K154" s="177">
        <f>SUM($I$17:$I154)</f>
        <v>0</v>
      </c>
      <c r="L154" s="179"/>
      <c r="M154" s="179"/>
    </row>
    <row r="155" spans="1:13" s="180" customFormat="1" ht="12.75">
      <c r="A155" s="192" t="str">
        <f t="shared" si="22"/>
        <v/>
      </c>
      <c r="B155" s="175"/>
      <c r="C155" s="176" t="str">
        <f t="shared" si="18"/>
        <v/>
      </c>
      <c r="D155" s="177" t="str">
        <f t="shared" si="23"/>
        <v/>
      </c>
      <c r="E155" s="177" t="str">
        <f t="shared" si="26"/>
        <v/>
      </c>
      <c r="F155" s="178" t="e">
        <f t="shared" si="19"/>
        <v>#VALUE!</v>
      </c>
      <c r="G155" s="177" t="e">
        <f t="shared" si="20"/>
        <v>#VALUE!</v>
      </c>
      <c r="H155" s="177" t="str">
        <f t="shared" si="24"/>
        <v/>
      </c>
      <c r="I155" s="177" t="str">
        <f t="shared" si="25"/>
        <v/>
      </c>
      <c r="J155" s="177" t="e">
        <f t="shared" si="21"/>
        <v>#VALUE!</v>
      </c>
      <c r="K155" s="177">
        <f>SUM($I$17:$I155)</f>
        <v>0</v>
      </c>
      <c r="L155" s="179"/>
      <c r="M155" s="179"/>
    </row>
    <row r="156" spans="1:13" s="180" customFormat="1" ht="12.75">
      <c r="A156" s="192" t="str">
        <f t="shared" si="22"/>
        <v/>
      </c>
      <c r="B156" s="175"/>
      <c r="C156" s="176" t="str">
        <f t="shared" si="18"/>
        <v/>
      </c>
      <c r="D156" s="177" t="str">
        <f t="shared" si="23"/>
        <v/>
      </c>
      <c r="E156" s="177" t="str">
        <f t="shared" si="26"/>
        <v/>
      </c>
      <c r="F156" s="178" t="e">
        <f t="shared" si="19"/>
        <v>#VALUE!</v>
      </c>
      <c r="G156" s="177" t="e">
        <f t="shared" si="20"/>
        <v>#VALUE!</v>
      </c>
      <c r="H156" s="177" t="str">
        <f t="shared" si="24"/>
        <v/>
      </c>
      <c r="I156" s="177" t="str">
        <f t="shared" si="25"/>
        <v/>
      </c>
      <c r="J156" s="177" t="e">
        <f t="shared" si="21"/>
        <v>#VALUE!</v>
      </c>
      <c r="K156" s="177">
        <f>SUM($I$17:$I156)</f>
        <v>0</v>
      </c>
      <c r="L156" s="179"/>
      <c r="M156" s="179"/>
    </row>
    <row r="157" spans="1:13" s="180" customFormat="1" ht="12.75">
      <c r="A157" s="192" t="str">
        <f t="shared" si="22"/>
        <v/>
      </c>
      <c r="B157" s="175"/>
      <c r="C157" s="176" t="str">
        <f t="shared" si="18"/>
        <v/>
      </c>
      <c r="D157" s="177" t="str">
        <f t="shared" si="23"/>
        <v/>
      </c>
      <c r="E157" s="177" t="str">
        <f t="shared" si="26"/>
        <v/>
      </c>
      <c r="F157" s="178" t="e">
        <f t="shared" si="19"/>
        <v>#VALUE!</v>
      </c>
      <c r="G157" s="177" t="e">
        <f t="shared" si="20"/>
        <v>#VALUE!</v>
      </c>
      <c r="H157" s="177" t="str">
        <f t="shared" si="24"/>
        <v/>
      </c>
      <c r="I157" s="177" t="str">
        <f t="shared" si="25"/>
        <v/>
      </c>
      <c r="J157" s="177" t="e">
        <f t="shared" si="21"/>
        <v>#VALUE!</v>
      </c>
      <c r="K157" s="177">
        <f>SUM($I$17:$I157)</f>
        <v>0</v>
      </c>
      <c r="L157" s="179"/>
      <c r="M157" s="179"/>
    </row>
    <row r="158" spans="1:13" s="180" customFormat="1" ht="12.75">
      <c r="A158" s="192" t="str">
        <f t="shared" si="22"/>
        <v/>
      </c>
      <c r="B158" s="175"/>
      <c r="C158" s="176" t="str">
        <f t="shared" si="18"/>
        <v/>
      </c>
      <c r="D158" s="177" t="str">
        <f t="shared" si="23"/>
        <v/>
      </c>
      <c r="E158" s="177" t="str">
        <f t="shared" si="26"/>
        <v/>
      </c>
      <c r="F158" s="178" t="e">
        <f t="shared" si="19"/>
        <v>#VALUE!</v>
      </c>
      <c r="G158" s="177" t="e">
        <f t="shared" si="20"/>
        <v>#VALUE!</v>
      </c>
      <c r="H158" s="177" t="str">
        <f t="shared" si="24"/>
        <v/>
      </c>
      <c r="I158" s="177" t="str">
        <f t="shared" si="25"/>
        <v/>
      </c>
      <c r="J158" s="177" t="e">
        <f t="shared" si="21"/>
        <v>#VALUE!</v>
      </c>
      <c r="K158" s="177">
        <f>SUM($I$17:$I158)</f>
        <v>0</v>
      </c>
      <c r="L158" s="179"/>
      <c r="M158" s="179"/>
    </row>
    <row r="159" spans="1:13" s="180" customFormat="1" ht="12.75">
      <c r="A159" s="192" t="str">
        <f t="shared" si="22"/>
        <v/>
      </c>
      <c r="B159" s="175"/>
      <c r="C159" s="176" t="str">
        <f t="shared" si="18"/>
        <v/>
      </c>
      <c r="D159" s="177" t="str">
        <f t="shared" si="23"/>
        <v/>
      </c>
      <c r="E159" s="177" t="str">
        <f t="shared" si="26"/>
        <v/>
      </c>
      <c r="F159" s="178" t="e">
        <f t="shared" si="19"/>
        <v>#VALUE!</v>
      </c>
      <c r="G159" s="177" t="e">
        <f t="shared" si="20"/>
        <v>#VALUE!</v>
      </c>
      <c r="H159" s="177" t="str">
        <f t="shared" si="24"/>
        <v/>
      </c>
      <c r="I159" s="177" t="str">
        <f t="shared" si="25"/>
        <v/>
      </c>
      <c r="J159" s="177" t="e">
        <f t="shared" si="21"/>
        <v>#VALUE!</v>
      </c>
      <c r="K159" s="177">
        <f>SUM($I$17:$I159)</f>
        <v>0</v>
      </c>
      <c r="L159" s="179"/>
      <c r="M159" s="179"/>
    </row>
    <row r="160" spans="1:13" s="180" customFormat="1" ht="12.75">
      <c r="A160" s="192" t="str">
        <f t="shared" si="22"/>
        <v/>
      </c>
      <c r="B160" s="175"/>
      <c r="C160" s="176" t="str">
        <f t="shared" si="18"/>
        <v/>
      </c>
      <c r="D160" s="177" t="str">
        <f t="shared" si="23"/>
        <v/>
      </c>
      <c r="E160" s="177" t="str">
        <f t="shared" si="26"/>
        <v/>
      </c>
      <c r="F160" s="178" t="e">
        <f t="shared" si="19"/>
        <v>#VALUE!</v>
      </c>
      <c r="G160" s="177" t="e">
        <f t="shared" si="20"/>
        <v>#VALUE!</v>
      </c>
      <c r="H160" s="177" t="str">
        <f t="shared" si="24"/>
        <v/>
      </c>
      <c r="I160" s="177" t="str">
        <f t="shared" si="25"/>
        <v/>
      </c>
      <c r="J160" s="177" t="e">
        <f t="shared" si="21"/>
        <v>#VALUE!</v>
      </c>
      <c r="K160" s="177">
        <f>SUM($I$17:$I160)</f>
        <v>0</v>
      </c>
      <c r="L160" s="179"/>
      <c r="M160" s="179"/>
    </row>
    <row r="161" spans="1:13" s="180" customFormat="1" ht="12.75">
      <c r="A161" s="192" t="str">
        <f t="shared" si="22"/>
        <v/>
      </c>
      <c r="B161" s="175"/>
      <c r="C161" s="176" t="str">
        <f t="shared" si="18"/>
        <v/>
      </c>
      <c r="D161" s="177" t="str">
        <f t="shared" si="23"/>
        <v/>
      </c>
      <c r="E161" s="177" t="str">
        <f t="shared" si="26"/>
        <v/>
      </c>
      <c r="F161" s="178" t="e">
        <f t="shared" si="19"/>
        <v>#VALUE!</v>
      </c>
      <c r="G161" s="177" t="e">
        <f t="shared" si="20"/>
        <v>#VALUE!</v>
      </c>
      <c r="H161" s="177" t="str">
        <f t="shared" si="24"/>
        <v/>
      </c>
      <c r="I161" s="177" t="str">
        <f t="shared" si="25"/>
        <v/>
      </c>
      <c r="J161" s="177" t="e">
        <f t="shared" si="21"/>
        <v>#VALUE!</v>
      </c>
      <c r="K161" s="177">
        <f>SUM($I$17:$I161)</f>
        <v>0</v>
      </c>
      <c r="L161" s="179"/>
      <c r="M161" s="179"/>
    </row>
    <row r="162" spans="1:13" s="180" customFormat="1" ht="12.75">
      <c r="A162" s="192" t="str">
        <f t="shared" si="22"/>
        <v/>
      </c>
      <c r="B162" s="175"/>
      <c r="C162" s="176" t="str">
        <f t="shared" si="18"/>
        <v/>
      </c>
      <c r="D162" s="177" t="str">
        <f t="shared" si="23"/>
        <v/>
      </c>
      <c r="E162" s="177" t="str">
        <f t="shared" si="26"/>
        <v/>
      </c>
      <c r="F162" s="178" t="e">
        <f t="shared" si="19"/>
        <v>#VALUE!</v>
      </c>
      <c r="G162" s="177" t="e">
        <f t="shared" si="20"/>
        <v>#VALUE!</v>
      </c>
      <c r="H162" s="177" t="str">
        <f t="shared" si="24"/>
        <v/>
      </c>
      <c r="I162" s="177" t="str">
        <f t="shared" si="25"/>
        <v/>
      </c>
      <c r="J162" s="177" t="e">
        <f t="shared" si="21"/>
        <v>#VALUE!</v>
      </c>
      <c r="K162" s="177">
        <f>SUM($I$17:$I162)</f>
        <v>0</v>
      </c>
      <c r="L162" s="179"/>
      <c r="M162" s="179"/>
    </row>
    <row r="163" spans="1:13" s="180" customFormat="1" ht="12.75">
      <c r="A163" s="192" t="str">
        <f t="shared" si="22"/>
        <v/>
      </c>
      <c r="B163" s="175"/>
      <c r="C163" s="176" t="str">
        <f t="shared" si="18"/>
        <v/>
      </c>
      <c r="D163" s="177" t="str">
        <f t="shared" si="23"/>
        <v/>
      </c>
      <c r="E163" s="177" t="str">
        <f t="shared" si="26"/>
        <v/>
      </c>
      <c r="F163" s="178" t="e">
        <f t="shared" si="19"/>
        <v>#VALUE!</v>
      </c>
      <c r="G163" s="177" t="e">
        <f t="shared" si="20"/>
        <v>#VALUE!</v>
      </c>
      <c r="H163" s="177" t="str">
        <f t="shared" si="24"/>
        <v/>
      </c>
      <c r="I163" s="177" t="str">
        <f t="shared" si="25"/>
        <v/>
      </c>
      <c r="J163" s="177" t="e">
        <f t="shared" si="21"/>
        <v>#VALUE!</v>
      </c>
      <c r="K163" s="177">
        <f>SUM($I$17:$I163)</f>
        <v>0</v>
      </c>
      <c r="L163" s="179"/>
      <c r="M163" s="179"/>
    </row>
    <row r="164" spans="1:13" s="180" customFormat="1" ht="12.75">
      <c r="A164" s="192" t="str">
        <f t="shared" si="22"/>
        <v/>
      </c>
      <c r="B164" s="175"/>
      <c r="C164" s="176" t="str">
        <f t="shared" si="18"/>
        <v/>
      </c>
      <c r="D164" s="177" t="str">
        <f t="shared" si="23"/>
        <v/>
      </c>
      <c r="E164" s="177" t="str">
        <f t="shared" si="26"/>
        <v/>
      </c>
      <c r="F164" s="178" t="e">
        <f t="shared" si="19"/>
        <v>#VALUE!</v>
      </c>
      <c r="G164" s="177" t="e">
        <f t="shared" si="20"/>
        <v>#VALUE!</v>
      </c>
      <c r="H164" s="177" t="str">
        <f t="shared" si="24"/>
        <v/>
      </c>
      <c r="I164" s="177" t="str">
        <f t="shared" si="25"/>
        <v/>
      </c>
      <c r="J164" s="177" t="e">
        <f t="shared" si="21"/>
        <v>#VALUE!</v>
      </c>
      <c r="K164" s="177">
        <f>SUM($I$17:$I164)</f>
        <v>0</v>
      </c>
      <c r="L164" s="179"/>
      <c r="M164" s="179"/>
    </row>
    <row r="165" spans="1:13" s="180" customFormat="1" ht="12.75">
      <c r="A165" s="192" t="str">
        <f t="shared" si="22"/>
        <v/>
      </c>
      <c r="B165" s="175"/>
      <c r="C165" s="176" t="str">
        <f t="shared" si="18"/>
        <v/>
      </c>
      <c r="D165" s="177" t="str">
        <f t="shared" si="23"/>
        <v/>
      </c>
      <c r="E165" s="177" t="str">
        <f t="shared" si="26"/>
        <v/>
      </c>
      <c r="F165" s="178" t="e">
        <f t="shared" si="19"/>
        <v>#VALUE!</v>
      </c>
      <c r="G165" s="177" t="e">
        <f t="shared" si="20"/>
        <v>#VALUE!</v>
      </c>
      <c r="H165" s="177" t="str">
        <f t="shared" si="24"/>
        <v/>
      </c>
      <c r="I165" s="177" t="str">
        <f t="shared" si="25"/>
        <v/>
      </c>
      <c r="J165" s="177" t="e">
        <f t="shared" si="21"/>
        <v>#VALUE!</v>
      </c>
      <c r="K165" s="177">
        <f>SUM($I$17:$I165)</f>
        <v>0</v>
      </c>
      <c r="L165" s="179"/>
      <c r="M165" s="179"/>
    </row>
    <row r="166" spans="1:13" s="180" customFormat="1" ht="12.75">
      <c r="A166" s="192" t="str">
        <f t="shared" si="22"/>
        <v/>
      </c>
      <c r="B166" s="175"/>
      <c r="C166" s="176" t="str">
        <f t="shared" si="18"/>
        <v/>
      </c>
      <c r="D166" s="177" t="str">
        <f t="shared" si="23"/>
        <v/>
      </c>
      <c r="E166" s="177" t="str">
        <f t="shared" si="26"/>
        <v/>
      </c>
      <c r="F166" s="178" t="e">
        <f t="shared" si="19"/>
        <v>#VALUE!</v>
      </c>
      <c r="G166" s="177" t="e">
        <f t="shared" si="20"/>
        <v>#VALUE!</v>
      </c>
      <c r="H166" s="177" t="str">
        <f t="shared" si="24"/>
        <v/>
      </c>
      <c r="I166" s="177" t="str">
        <f t="shared" si="25"/>
        <v/>
      </c>
      <c r="J166" s="177" t="e">
        <f t="shared" si="21"/>
        <v>#VALUE!</v>
      </c>
      <c r="K166" s="177">
        <f>SUM($I$17:$I166)</f>
        <v>0</v>
      </c>
      <c r="L166" s="179"/>
      <c r="M166" s="179"/>
    </row>
    <row r="167" spans="1:13" s="180" customFormat="1" ht="12.75">
      <c r="A167" s="192" t="str">
        <f t="shared" si="22"/>
        <v/>
      </c>
      <c r="B167" s="175"/>
      <c r="C167" s="176" t="str">
        <f t="shared" si="18"/>
        <v/>
      </c>
      <c r="D167" s="177" t="str">
        <f t="shared" si="23"/>
        <v/>
      </c>
      <c r="E167" s="177" t="str">
        <f t="shared" si="26"/>
        <v/>
      </c>
      <c r="F167" s="178" t="e">
        <f t="shared" si="19"/>
        <v>#VALUE!</v>
      </c>
      <c r="G167" s="177" t="e">
        <f t="shared" si="20"/>
        <v>#VALUE!</v>
      </c>
      <c r="H167" s="177" t="str">
        <f t="shared" si="24"/>
        <v/>
      </c>
      <c r="I167" s="177" t="str">
        <f t="shared" si="25"/>
        <v/>
      </c>
      <c r="J167" s="177" t="e">
        <f t="shared" si="21"/>
        <v>#VALUE!</v>
      </c>
      <c r="K167" s="177">
        <f>SUM($I$17:$I167)</f>
        <v>0</v>
      </c>
      <c r="L167" s="179"/>
      <c r="M167" s="179"/>
    </row>
    <row r="168" spans="1:13" s="180" customFormat="1" ht="12.75">
      <c r="A168" s="192" t="str">
        <f t="shared" si="22"/>
        <v/>
      </c>
      <c r="B168" s="175"/>
      <c r="C168" s="176" t="str">
        <f t="shared" si="18"/>
        <v/>
      </c>
      <c r="D168" s="177" t="str">
        <f t="shared" si="23"/>
        <v/>
      </c>
      <c r="E168" s="177" t="str">
        <f t="shared" si="26"/>
        <v/>
      </c>
      <c r="F168" s="178" t="e">
        <f t="shared" si="19"/>
        <v>#VALUE!</v>
      </c>
      <c r="G168" s="177" t="e">
        <f t="shared" si="20"/>
        <v>#VALUE!</v>
      </c>
      <c r="H168" s="177" t="str">
        <f t="shared" si="24"/>
        <v/>
      </c>
      <c r="I168" s="177" t="str">
        <f t="shared" si="25"/>
        <v/>
      </c>
      <c r="J168" s="177" t="e">
        <f t="shared" si="21"/>
        <v>#VALUE!</v>
      </c>
      <c r="K168" s="177">
        <f>SUM($I$17:$I168)</f>
        <v>0</v>
      </c>
      <c r="L168" s="179"/>
      <c r="M168" s="179"/>
    </row>
    <row r="169" spans="1:13" s="180" customFormat="1" ht="12.75">
      <c r="A169" s="192" t="str">
        <f t="shared" si="22"/>
        <v/>
      </c>
      <c r="B169" s="175"/>
      <c r="C169" s="176" t="str">
        <f t="shared" si="18"/>
        <v/>
      </c>
      <c r="D169" s="177" t="str">
        <f t="shared" si="23"/>
        <v/>
      </c>
      <c r="E169" s="177" t="str">
        <f t="shared" si="26"/>
        <v/>
      </c>
      <c r="F169" s="178" t="e">
        <f t="shared" si="19"/>
        <v>#VALUE!</v>
      </c>
      <c r="G169" s="177" t="e">
        <f t="shared" si="20"/>
        <v>#VALUE!</v>
      </c>
      <c r="H169" s="177" t="str">
        <f t="shared" si="24"/>
        <v/>
      </c>
      <c r="I169" s="177" t="str">
        <f t="shared" si="25"/>
        <v/>
      </c>
      <c r="J169" s="177" t="e">
        <f t="shared" si="21"/>
        <v>#VALUE!</v>
      </c>
      <c r="K169" s="177">
        <f>SUM($I$17:$I169)</f>
        <v>0</v>
      </c>
      <c r="L169" s="179"/>
      <c r="M169" s="179"/>
    </row>
    <row r="170" spans="1:13" s="180" customFormat="1" ht="12.75">
      <c r="A170" s="192" t="str">
        <f t="shared" si="22"/>
        <v/>
      </c>
      <c r="B170" s="175"/>
      <c r="C170" s="176" t="str">
        <f t="shared" si="18"/>
        <v/>
      </c>
      <c r="D170" s="177" t="str">
        <f t="shared" si="23"/>
        <v/>
      </c>
      <c r="E170" s="177" t="str">
        <f t="shared" si="26"/>
        <v/>
      </c>
      <c r="F170" s="178" t="e">
        <f t="shared" si="19"/>
        <v>#VALUE!</v>
      </c>
      <c r="G170" s="177" t="e">
        <f t="shared" si="20"/>
        <v>#VALUE!</v>
      </c>
      <c r="H170" s="177" t="str">
        <f t="shared" si="24"/>
        <v/>
      </c>
      <c r="I170" s="177" t="str">
        <f t="shared" si="25"/>
        <v/>
      </c>
      <c r="J170" s="177" t="e">
        <f t="shared" si="21"/>
        <v>#VALUE!</v>
      </c>
      <c r="K170" s="177">
        <f>SUM($I$17:$I170)</f>
        <v>0</v>
      </c>
      <c r="L170" s="179"/>
      <c r="M170" s="179"/>
    </row>
    <row r="171" spans="1:13" s="180" customFormat="1" ht="12.75">
      <c r="A171" s="192" t="str">
        <f t="shared" si="22"/>
        <v/>
      </c>
      <c r="B171" s="175"/>
      <c r="C171" s="176" t="str">
        <f t="shared" si="18"/>
        <v/>
      </c>
      <c r="D171" s="177" t="str">
        <f t="shared" si="23"/>
        <v/>
      </c>
      <c r="E171" s="177" t="str">
        <f t="shared" si="26"/>
        <v/>
      </c>
      <c r="F171" s="178" t="e">
        <f t="shared" si="19"/>
        <v>#VALUE!</v>
      </c>
      <c r="G171" s="177" t="e">
        <f t="shared" si="20"/>
        <v>#VALUE!</v>
      </c>
      <c r="H171" s="177" t="str">
        <f t="shared" si="24"/>
        <v/>
      </c>
      <c r="I171" s="177" t="str">
        <f t="shared" si="25"/>
        <v/>
      </c>
      <c r="J171" s="177" t="e">
        <f t="shared" si="21"/>
        <v>#VALUE!</v>
      </c>
      <c r="K171" s="177">
        <f>SUM($I$17:$I171)</f>
        <v>0</v>
      </c>
      <c r="L171" s="179"/>
      <c r="M171" s="179"/>
    </row>
    <row r="172" spans="1:13" s="180" customFormat="1" ht="12.75">
      <c r="A172" s="192" t="str">
        <f t="shared" si="22"/>
        <v/>
      </c>
      <c r="B172" s="175"/>
      <c r="C172" s="176" t="str">
        <f t="shared" si="18"/>
        <v/>
      </c>
      <c r="D172" s="177" t="str">
        <f t="shared" si="23"/>
        <v/>
      </c>
      <c r="E172" s="177" t="str">
        <f t="shared" si="26"/>
        <v/>
      </c>
      <c r="F172" s="178" t="e">
        <f t="shared" si="19"/>
        <v>#VALUE!</v>
      </c>
      <c r="G172" s="177" t="e">
        <f t="shared" si="20"/>
        <v>#VALUE!</v>
      </c>
      <c r="H172" s="177" t="str">
        <f t="shared" si="24"/>
        <v/>
      </c>
      <c r="I172" s="177" t="str">
        <f t="shared" si="25"/>
        <v/>
      </c>
      <c r="J172" s="177" t="e">
        <f t="shared" si="21"/>
        <v>#VALUE!</v>
      </c>
      <c r="K172" s="177">
        <f>SUM($I$17:$I172)</f>
        <v>0</v>
      </c>
      <c r="L172" s="179"/>
      <c r="M172" s="179"/>
    </row>
    <row r="173" spans="1:13" s="180" customFormat="1" ht="12.75">
      <c r="A173" s="192" t="str">
        <f t="shared" si="22"/>
        <v/>
      </c>
      <c r="B173" s="175"/>
      <c r="C173" s="176" t="str">
        <f t="shared" si="18"/>
        <v/>
      </c>
      <c r="D173" s="177" t="str">
        <f t="shared" si="23"/>
        <v/>
      </c>
      <c r="E173" s="177" t="str">
        <f t="shared" si="26"/>
        <v/>
      </c>
      <c r="F173" s="178" t="e">
        <f t="shared" si="19"/>
        <v>#VALUE!</v>
      </c>
      <c r="G173" s="177" t="e">
        <f t="shared" si="20"/>
        <v>#VALUE!</v>
      </c>
      <c r="H173" s="177" t="str">
        <f t="shared" si="24"/>
        <v/>
      </c>
      <c r="I173" s="177" t="str">
        <f t="shared" si="25"/>
        <v/>
      </c>
      <c r="J173" s="177" t="e">
        <f t="shared" si="21"/>
        <v>#VALUE!</v>
      </c>
      <c r="K173" s="177">
        <f>SUM($I$17:$I173)</f>
        <v>0</v>
      </c>
      <c r="L173" s="179"/>
      <c r="M173" s="179"/>
    </row>
    <row r="174" spans="1:13" s="180" customFormat="1" ht="12.75">
      <c r="A174" s="192" t="str">
        <f t="shared" si="22"/>
        <v/>
      </c>
      <c r="B174" s="175"/>
      <c r="C174" s="176" t="str">
        <f t="shared" si="18"/>
        <v/>
      </c>
      <c r="D174" s="177" t="str">
        <f t="shared" si="23"/>
        <v/>
      </c>
      <c r="E174" s="177" t="str">
        <f t="shared" si="26"/>
        <v/>
      </c>
      <c r="F174" s="178" t="e">
        <f t="shared" si="19"/>
        <v>#VALUE!</v>
      </c>
      <c r="G174" s="177" t="e">
        <f t="shared" si="20"/>
        <v>#VALUE!</v>
      </c>
      <c r="H174" s="177" t="str">
        <f t="shared" si="24"/>
        <v/>
      </c>
      <c r="I174" s="177" t="str">
        <f t="shared" si="25"/>
        <v/>
      </c>
      <c r="J174" s="177" t="e">
        <f t="shared" si="21"/>
        <v>#VALUE!</v>
      </c>
      <c r="K174" s="177">
        <f>SUM($I$17:$I174)</f>
        <v>0</v>
      </c>
      <c r="L174" s="179"/>
      <c r="M174" s="179"/>
    </row>
    <row r="175" spans="1:13" s="180" customFormat="1" ht="12.75">
      <c r="A175" s="192" t="str">
        <f t="shared" si="22"/>
        <v/>
      </c>
      <c r="B175" s="175"/>
      <c r="C175" s="176" t="str">
        <f t="shared" si="18"/>
        <v/>
      </c>
      <c r="D175" s="177" t="str">
        <f t="shared" si="23"/>
        <v/>
      </c>
      <c r="E175" s="177" t="str">
        <f t="shared" si="26"/>
        <v/>
      </c>
      <c r="F175" s="178" t="e">
        <f t="shared" si="19"/>
        <v>#VALUE!</v>
      </c>
      <c r="G175" s="177" t="e">
        <f t="shared" si="20"/>
        <v>#VALUE!</v>
      </c>
      <c r="H175" s="177" t="str">
        <f t="shared" si="24"/>
        <v/>
      </c>
      <c r="I175" s="177" t="str">
        <f t="shared" si="25"/>
        <v/>
      </c>
      <c r="J175" s="177" t="e">
        <f t="shared" si="21"/>
        <v>#VALUE!</v>
      </c>
      <c r="K175" s="177">
        <f>SUM($I$17:$I175)</f>
        <v>0</v>
      </c>
      <c r="L175" s="179"/>
      <c r="M175" s="179"/>
    </row>
    <row r="176" spans="1:13" s="180" customFormat="1" ht="12.75">
      <c r="A176" s="192" t="str">
        <f t="shared" si="22"/>
        <v/>
      </c>
      <c r="B176" s="175"/>
      <c r="C176" s="176" t="str">
        <f t="shared" si="18"/>
        <v/>
      </c>
      <c r="D176" s="177" t="str">
        <f t="shared" si="23"/>
        <v/>
      </c>
      <c r="E176" s="177" t="str">
        <f t="shared" si="26"/>
        <v/>
      </c>
      <c r="F176" s="178" t="e">
        <f t="shared" si="19"/>
        <v>#VALUE!</v>
      </c>
      <c r="G176" s="177" t="e">
        <f t="shared" si="20"/>
        <v>#VALUE!</v>
      </c>
      <c r="H176" s="177" t="str">
        <f t="shared" si="24"/>
        <v/>
      </c>
      <c r="I176" s="177" t="str">
        <f t="shared" si="25"/>
        <v/>
      </c>
      <c r="J176" s="177" t="e">
        <f t="shared" si="21"/>
        <v>#VALUE!</v>
      </c>
      <c r="K176" s="177">
        <f>SUM($I$17:$I176)</f>
        <v>0</v>
      </c>
      <c r="L176" s="179"/>
      <c r="M176" s="179"/>
    </row>
    <row r="177" spans="1:13" s="180" customFormat="1" ht="12.75">
      <c r="A177" s="192" t="str">
        <f t="shared" si="22"/>
        <v/>
      </c>
      <c r="B177" s="175"/>
      <c r="C177" s="176" t="str">
        <f t="shared" si="18"/>
        <v/>
      </c>
      <c r="D177" s="177" t="str">
        <f t="shared" si="23"/>
        <v/>
      </c>
      <c r="E177" s="177" t="str">
        <f t="shared" si="26"/>
        <v/>
      </c>
      <c r="F177" s="178" t="e">
        <f t="shared" si="19"/>
        <v>#VALUE!</v>
      </c>
      <c r="G177" s="177" t="e">
        <f t="shared" si="20"/>
        <v>#VALUE!</v>
      </c>
      <c r="H177" s="177" t="str">
        <f t="shared" si="24"/>
        <v/>
      </c>
      <c r="I177" s="177" t="str">
        <f t="shared" si="25"/>
        <v/>
      </c>
      <c r="J177" s="177" t="e">
        <f t="shared" si="21"/>
        <v>#VALUE!</v>
      </c>
      <c r="K177" s="177">
        <f>SUM($I$17:$I177)</f>
        <v>0</v>
      </c>
      <c r="L177" s="179"/>
      <c r="M177" s="179"/>
    </row>
    <row r="178" spans="1:13" s="180" customFormat="1" ht="12.75">
      <c r="A178" s="192" t="str">
        <f t="shared" si="22"/>
        <v/>
      </c>
      <c r="B178" s="175"/>
      <c r="C178" s="176" t="str">
        <f t="shared" si="18"/>
        <v/>
      </c>
      <c r="D178" s="177" t="str">
        <f t="shared" si="23"/>
        <v/>
      </c>
      <c r="E178" s="177" t="str">
        <f t="shared" si="26"/>
        <v/>
      </c>
      <c r="F178" s="178" t="e">
        <f t="shared" si="19"/>
        <v>#VALUE!</v>
      </c>
      <c r="G178" s="177" t="e">
        <f t="shared" si="20"/>
        <v>#VALUE!</v>
      </c>
      <c r="H178" s="177" t="str">
        <f t="shared" si="24"/>
        <v/>
      </c>
      <c r="I178" s="177" t="str">
        <f t="shared" si="25"/>
        <v/>
      </c>
      <c r="J178" s="177" t="e">
        <f t="shared" si="21"/>
        <v>#VALUE!</v>
      </c>
      <c r="K178" s="177">
        <f>SUM($I$17:$I178)</f>
        <v>0</v>
      </c>
      <c r="L178" s="179"/>
      <c r="M178" s="179"/>
    </row>
    <row r="179" spans="1:13" s="180" customFormat="1" ht="12.75">
      <c r="A179" s="192" t="str">
        <f t="shared" si="22"/>
        <v/>
      </c>
      <c r="B179" s="175"/>
      <c r="C179" s="176" t="str">
        <f t="shared" si="18"/>
        <v/>
      </c>
      <c r="D179" s="177" t="str">
        <f t="shared" si="23"/>
        <v/>
      </c>
      <c r="E179" s="177" t="str">
        <f t="shared" si="26"/>
        <v/>
      </c>
      <c r="F179" s="178" t="e">
        <f t="shared" si="19"/>
        <v>#VALUE!</v>
      </c>
      <c r="G179" s="177" t="e">
        <f t="shared" si="20"/>
        <v>#VALUE!</v>
      </c>
      <c r="H179" s="177" t="str">
        <f t="shared" si="24"/>
        <v/>
      </c>
      <c r="I179" s="177" t="str">
        <f t="shared" si="25"/>
        <v/>
      </c>
      <c r="J179" s="177" t="e">
        <f t="shared" si="21"/>
        <v>#VALUE!</v>
      </c>
      <c r="K179" s="177">
        <f>SUM($I$17:$I179)</f>
        <v>0</v>
      </c>
      <c r="L179" s="179"/>
      <c r="M179" s="179"/>
    </row>
    <row r="180" spans="1:13" s="180" customFormat="1" ht="12.75">
      <c r="A180" s="192" t="str">
        <f t="shared" si="22"/>
        <v/>
      </c>
      <c r="B180" s="175"/>
      <c r="C180" s="176" t="str">
        <f t="shared" si="18"/>
        <v/>
      </c>
      <c r="D180" s="177" t="str">
        <f t="shared" si="23"/>
        <v/>
      </c>
      <c r="E180" s="177" t="str">
        <f t="shared" si="26"/>
        <v/>
      </c>
      <c r="F180" s="178" t="e">
        <f t="shared" si="19"/>
        <v>#VALUE!</v>
      </c>
      <c r="G180" s="177" t="e">
        <f t="shared" si="20"/>
        <v>#VALUE!</v>
      </c>
      <c r="H180" s="177" t="str">
        <f t="shared" si="24"/>
        <v/>
      </c>
      <c r="I180" s="177" t="str">
        <f t="shared" si="25"/>
        <v/>
      </c>
      <c r="J180" s="177" t="e">
        <f t="shared" si="21"/>
        <v>#VALUE!</v>
      </c>
      <c r="K180" s="177">
        <f>SUM($I$17:$I180)</f>
        <v>0</v>
      </c>
      <c r="L180" s="179"/>
      <c r="M180" s="179"/>
    </row>
    <row r="181" spans="1:13" s="180" customFormat="1" ht="12.75">
      <c r="A181" s="192" t="str">
        <f t="shared" si="22"/>
        <v/>
      </c>
      <c r="B181" s="175"/>
      <c r="C181" s="176" t="str">
        <f t="shared" si="18"/>
        <v/>
      </c>
      <c r="D181" s="177" t="str">
        <f t="shared" si="23"/>
        <v/>
      </c>
      <c r="E181" s="177" t="str">
        <f t="shared" si="26"/>
        <v/>
      </c>
      <c r="F181" s="178" t="e">
        <f t="shared" si="19"/>
        <v>#VALUE!</v>
      </c>
      <c r="G181" s="177" t="e">
        <f t="shared" si="20"/>
        <v>#VALUE!</v>
      </c>
      <c r="H181" s="177" t="str">
        <f t="shared" si="24"/>
        <v/>
      </c>
      <c r="I181" s="177" t="str">
        <f t="shared" si="25"/>
        <v/>
      </c>
      <c r="J181" s="177" t="e">
        <f t="shared" si="21"/>
        <v>#VALUE!</v>
      </c>
      <c r="K181" s="177">
        <f>SUM($I$17:$I181)</f>
        <v>0</v>
      </c>
      <c r="L181" s="179"/>
      <c r="M181" s="179"/>
    </row>
    <row r="182" spans="1:13" s="180" customFormat="1" ht="12.75">
      <c r="A182" s="192" t="str">
        <f t="shared" si="22"/>
        <v/>
      </c>
      <c r="B182" s="175"/>
      <c r="C182" s="176" t="str">
        <f t="shared" si="18"/>
        <v/>
      </c>
      <c r="D182" s="177" t="str">
        <f t="shared" si="23"/>
        <v/>
      </c>
      <c r="E182" s="177" t="str">
        <f t="shared" si="26"/>
        <v/>
      </c>
      <c r="F182" s="178" t="e">
        <f t="shared" si="19"/>
        <v>#VALUE!</v>
      </c>
      <c r="G182" s="177" t="e">
        <f t="shared" si="20"/>
        <v>#VALUE!</v>
      </c>
      <c r="H182" s="177" t="str">
        <f t="shared" si="24"/>
        <v/>
      </c>
      <c r="I182" s="177" t="str">
        <f t="shared" si="25"/>
        <v/>
      </c>
      <c r="J182" s="177" t="e">
        <f t="shared" si="21"/>
        <v>#VALUE!</v>
      </c>
      <c r="K182" s="177">
        <f>SUM($I$17:$I182)</f>
        <v>0</v>
      </c>
      <c r="L182" s="179"/>
      <c r="M182" s="179"/>
    </row>
    <row r="183" spans="1:13" s="180" customFormat="1" ht="12.75">
      <c r="A183" s="192" t="str">
        <f t="shared" si="22"/>
        <v/>
      </c>
      <c r="B183" s="175"/>
      <c r="C183" s="176" t="str">
        <f t="shared" si="18"/>
        <v/>
      </c>
      <c r="D183" s="177" t="str">
        <f t="shared" si="23"/>
        <v/>
      </c>
      <c r="E183" s="177" t="str">
        <f t="shared" si="26"/>
        <v/>
      </c>
      <c r="F183" s="178" t="e">
        <f t="shared" si="19"/>
        <v>#VALUE!</v>
      </c>
      <c r="G183" s="177" t="e">
        <f t="shared" si="20"/>
        <v>#VALUE!</v>
      </c>
      <c r="H183" s="177" t="str">
        <f t="shared" si="24"/>
        <v/>
      </c>
      <c r="I183" s="177" t="str">
        <f t="shared" si="25"/>
        <v/>
      </c>
      <c r="J183" s="177" t="e">
        <f t="shared" si="21"/>
        <v>#VALUE!</v>
      </c>
      <c r="K183" s="177">
        <f>SUM($I$17:$I183)</f>
        <v>0</v>
      </c>
      <c r="L183" s="179"/>
      <c r="M183" s="179"/>
    </row>
    <row r="184" spans="1:13" s="180" customFormat="1" ht="12.75">
      <c r="A184" s="192" t="str">
        <f t="shared" si="22"/>
        <v/>
      </c>
      <c r="B184" s="175"/>
      <c r="C184" s="176" t="str">
        <f t="shared" si="18"/>
        <v/>
      </c>
      <c r="D184" s="177" t="str">
        <f t="shared" si="23"/>
        <v/>
      </c>
      <c r="E184" s="177" t="str">
        <f t="shared" si="26"/>
        <v/>
      </c>
      <c r="F184" s="178" t="e">
        <f t="shared" si="19"/>
        <v>#VALUE!</v>
      </c>
      <c r="G184" s="177" t="e">
        <f t="shared" si="20"/>
        <v>#VALUE!</v>
      </c>
      <c r="H184" s="177" t="str">
        <f t="shared" si="24"/>
        <v/>
      </c>
      <c r="I184" s="177" t="str">
        <f t="shared" si="25"/>
        <v/>
      </c>
      <c r="J184" s="177" t="e">
        <f t="shared" si="21"/>
        <v>#VALUE!</v>
      </c>
      <c r="K184" s="177">
        <f>SUM($I$17:$I184)</f>
        <v>0</v>
      </c>
      <c r="L184" s="179"/>
      <c r="M184" s="179"/>
    </row>
    <row r="185" spans="1:13" s="180" customFormat="1" ht="12.75">
      <c r="A185" s="192" t="str">
        <f t="shared" si="22"/>
        <v/>
      </c>
      <c r="B185" s="175"/>
      <c r="C185" s="176" t="str">
        <f t="shared" si="18"/>
        <v/>
      </c>
      <c r="D185" s="177" t="str">
        <f t="shared" si="23"/>
        <v/>
      </c>
      <c r="E185" s="177" t="str">
        <f t="shared" si="26"/>
        <v/>
      </c>
      <c r="F185" s="178" t="e">
        <f t="shared" si="19"/>
        <v>#VALUE!</v>
      </c>
      <c r="G185" s="177" t="e">
        <f t="shared" si="20"/>
        <v>#VALUE!</v>
      </c>
      <c r="H185" s="177" t="str">
        <f t="shared" si="24"/>
        <v/>
      </c>
      <c r="I185" s="177" t="str">
        <f t="shared" si="25"/>
        <v/>
      </c>
      <c r="J185" s="177" t="e">
        <f t="shared" si="21"/>
        <v>#VALUE!</v>
      </c>
      <c r="K185" s="177">
        <f>SUM($I$17:$I185)</f>
        <v>0</v>
      </c>
      <c r="L185" s="179"/>
      <c r="M185" s="179"/>
    </row>
    <row r="186" spans="1:13" s="180" customFormat="1" ht="12.75">
      <c r="A186" s="192" t="str">
        <f t="shared" si="22"/>
        <v/>
      </c>
      <c r="B186" s="175"/>
      <c r="C186" s="176" t="str">
        <f t="shared" si="18"/>
        <v/>
      </c>
      <c r="D186" s="177" t="str">
        <f t="shared" si="23"/>
        <v/>
      </c>
      <c r="E186" s="177" t="str">
        <f t="shared" si="26"/>
        <v/>
      </c>
      <c r="F186" s="178" t="e">
        <f t="shared" si="19"/>
        <v>#VALUE!</v>
      </c>
      <c r="G186" s="177" t="e">
        <f t="shared" si="20"/>
        <v>#VALUE!</v>
      </c>
      <c r="H186" s="177" t="str">
        <f t="shared" si="24"/>
        <v/>
      </c>
      <c r="I186" s="177" t="str">
        <f t="shared" si="25"/>
        <v/>
      </c>
      <c r="J186" s="177" t="e">
        <f t="shared" si="21"/>
        <v>#VALUE!</v>
      </c>
      <c r="K186" s="177">
        <f>SUM($I$17:$I186)</f>
        <v>0</v>
      </c>
      <c r="L186" s="179"/>
      <c r="M186" s="179"/>
    </row>
    <row r="187" spans="1:13" s="180" customFormat="1" ht="12.75">
      <c r="A187" s="192" t="str">
        <f t="shared" si="22"/>
        <v/>
      </c>
      <c r="B187" s="175"/>
      <c r="C187" s="176" t="str">
        <f t="shared" si="18"/>
        <v/>
      </c>
      <c r="D187" s="177" t="str">
        <f t="shared" si="23"/>
        <v/>
      </c>
      <c r="E187" s="177" t="str">
        <f t="shared" si="26"/>
        <v/>
      </c>
      <c r="F187" s="178" t="e">
        <f t="shared" si="19"/>
        <v>#VALUE!</v>
      </c>
      <c r="G187" s="177" t="e">
        <f t="shared" si="20"/>
        <v>#VALUE!</v>
      </c>
      <c r="H187" s="177" t="str">
        <f t="shared" si="24"/>
        <v/>
      </c>
      <c r="I187" s="177" t="str">
        <f t="shared" si="25"/>
        <v/>
      </c>
      <c r="J187" s="177" t="e">
        <f t="shared" si="21"/>
        <v>#VALUE!</v>
      </c>
      <c r="K187" s="177">
        <f>SUM($I$17:$I187)</f>
        <v>0</v>
      </c>
      <c r="L187" s="179"/>
      <c r="M187" s="179"/>
    </row>
    <row r="188" spans="1:13" s="180" customFormat="1" ht="12.75">
      <c r="A188" s="192" t="str">
        <f t="shared" si="22"/>
        <v/>
      </c>
      <c r="B188" s="175"/>
      <c r="C188" s="176" t="str">
        <f t="shared" si="18"/>
        <v/>
      </c>
      <c r="D188" s="177" t="str">
        <f t="shared" si="23"/>
        <v/>
      </c>
      <c r="E188" s="177" t="str">
        <f t="shared" si="26"/>
        <v/>
      </c>
      <c r="F188" s="178" t="e">
        <f t="shared" si="19"/>
        <v>#VALUE!</v>
      </c>
      <c r="G188" s="177" t="e">
        <f t="shared" si="20"/>
        <v>#VALUE!</v>
      </c>
      <c r="H188" s="177" t="str">
        <f t="shared" si="24"/>
        <v/>
      </c>
      <c r="I188" s="177" t="str">
        <f t="shared" si="25"/>
        <v/>
      </c>
      <c r="J188" s="177" t="e">
        <f t="shared" si="21"/>
        <v>#VALUE!</v>
      </c>
      <c r="K188" s="177">
        <f>SUM($I$17:$I188)</f>
        <v>0</v>
      </c>
      <c r="L188" s="179"/>
      <c r="M188" s="179"/>
    </row>
    <row r="189" spans="1:13" s="180" customFormat="1" ht="12.75">
      <c r="A189" s="192" t="str">
        <f t="shared" si="22"/>
        <v/>
      </c>
      <c r="B189" s="175"/>
      <c r="C189" s="176" t="str">
        <f t="shared" si="18"/>
        <v/>
      </c>
      <c r="D189" s="177" t="str">
        <f t="shared" si="23"/>
        <v/>
      </c>
      <c r="E189" s="177" t="str">
        <f t="shared" si="26"/>
        <v/>
      </c>
      <c r="F189" s="178" t="e">
        <f t="shared" si="19"/>
        <v>#VALUE!</v>
      </c>
      <c r="G189" s="177" t="e">
        <f t="shared" si="20"/>
        <v>#VALUE!</v>
      </c>
      <c r="H189" s="177" t="str">
        <f t="shared" si="24"/>
        <v/>
      </c>
      <c r="I189" s="177" t="str">
        <f t="shared" si="25"/>
        <v/>
      </c>
      <c r="J189" s="177" t="e">
        <f t="shared" si="21"/>
        <v>#VALUE!</v>
      </c>
      <c r="K189" s="177">
        <f>SUM($I$17:$I189)</f>
        <v>0</v>
      </c>
      <c r="L189" s="179"/>
      <c r="M189" s="179"/>
    </row>
    <row r="190" spans="1:13" s="180" customFormat="1" ht="12.75">
      <c r="A190" s="192" t="str">
        <f t="shared" si="22"/>
        <v/>
      </c>
      <c r="B190" s="175"/>
      <c r="C190" s="176" t="str">
        <f t="shared" si="18"/>
        <v/>
      </c>
      <c r="D190" s="177" t="str">
        <f t="shared" si="23"/>
        <v/>
      </c>
      <c r="E190" s="177" t="str">
        <f t="shared" si="26"/>
        <v/>
      </c>
      <c r="F190" s="178" t="e">
        <f t="shared" si="19"/>
        <v>#VALUE!</v>
      </c>
      <c r="G190" s="177" t="e">
        <f t="shared" si="20"/>
        <v>#VALUE!</v>
      </c>
      <c r="H190" s="177" t="str">
        <f t="shared" si="24"/>
        <v/>
      </c>
      <c r="I190" s="177" t="str">
        <f t="shared" si="25"/>
        <v/>
      </c>
      <c r="J190" s="177" t="e">
        <f t="shared" si="21"/>
        <v>#VALUE!</v>
      </c>
      <c r="K190" s="177">
        <f>SUM($I$17:$I190)</f>
        <v>0</v>
      </c>
      <c r="L190" s="179"/>
      <c r="M190" s="179"/>
    </row>
    <row r="191" spans="1:13" s="180" customFormat="1" ht="12.75">
      <c r="A191" s="192" t="str">
        <f t="shared" si="22"/>
        <v/>
      </c>
      <c r="B191" s="175"/>
      <c r="C191" s="176" t="str">
        <f t="shared" si="18"/>
        <v/>
      </c>
      <c r="D191" s="177" t="str">
        <f t="shared" si="23"/>
        <v/>
      </c>
      <c r="E191" s="177" t="str">
        <f t="shared" si="26"/>
        <v/>
      </c>
      <c r="F191" s="178" t="e">
        <f t="shared" si="19"/>
        <v>#VALUE!</v>
      </c>
      <c r="G191" s="177" t="e">
        <f t="shared" si="20"/>
        <v>#VALUE!</v>
      </c>
      <c r="H191" s="177" t="str">
        <f t="shared" si="24"/>
        <v/>
      </c>
      <c r="I191" s="177" t="str">
        <f t="shared" si="25"/>
        <v/>
      </c>
      <c r="J191" s="177" t="e">
        <f t="shared" si="21"/>
        <v>#VALUE!</v>
      </c>
      <c r="K191" s="177">
        <f>SUM($I$17:$I191)</f>
        <v>0</v>
      </c>
      <c r="L191" s="179"/>
      <c r="M191" s="179"/>
    </row>
    <row r="192" spans="1:13" s="180" customFormat="1" ht="12.75">
      <c r="A192" s="192" t="str">
        <f t="shared" si="22"/>
        <v/>
      </c>
      <c r="B192" s="175"/>
      <c r="C192" s="176" t="str">
        <f t="shared" si="18"/>
        <v/>
      </c>
      <c r="D192" s="177" t="str">
        <f t="shared" si="23"/>
        <v/>
      </c>
      <c r="E192" s="177" t="str">
        <f t="shared" si="26"/>
        <v/>
      </c>
      <c r="F192" s="178" t="e">
        <f t="shared" si="19"/>
        <v>#VALUE!</v>
      </c>
      <c r="G192" s="177" t="e">
        <f t="shared" si="20"/>
        <v>#VALUE!</v>
      </c>
      <c r="H192" s="177" t="str">
        <f t="shared" si="24"/>
        <v/>
      </c>
      <c r="I192" s="177" t="str">
        <f t="shared" si="25"/>
        <v/>
      </c>
      <c r="J192" s="177" t="e">
        <f t="shared" si="21"/>
        <v>#VALUE!</v>
      </c>
      <c r="K192" s="177">
        <f>SUM($I$17:$I192)</f>
        <v>0</v>
      </c>
      <c r="L192" s="179"/>
      <c r="M192" s="179"/>
    </row>
    <row r="193" spans="1:13" s="180" customFormat="1" ht="12.75">
      <c r="A193" s="192" t="str">
        <f t="shared" si="22"/>
        <v/>
      </c>
      <c r="B193" s="175"/>
      <c r="C193" s="176" t="str">
        <f t="shared" si="18"/>
        <v/>
      </c>
      <c r="D193" s="177" t="str">
        <f t="shared" si="23"/>
        <v/>
      </c>
      <c r="E193" s="177" t="str">
        <f t="shared" si="26"/>
        <v/>
      </c>
      <c r="F193" s="178" t="e">
        <f t="shared" si="19"/>
        <v>#VALUE!</v>
      </c>
      <c r="G193" s="177" t="e">
        <f t="shared" si="20"/>
        <v>#VALUE!</v>
      </c>
      <c r="H193" s="177" t="str">
        <f t="shared" si="24"/>
        <v/>
      </c>
      <c r="I193" s="177" t="str">
        <f t="shared" si="25"/>
        <v/>
      </c>
      <c r="J193" s="177" t="e">
        <f t="shared" si="21"/>
        <v>#VALUE!</v>
      </c>
      <c r="K193" s="177">
        <f>SUM($I$17:$I193)</f>
        <v>0</v>
      </c>
      <c r="L193" s="179"/>
      <c r="M193" s="179"/>
    </row>
    <row r="194" spans="1:13" s="180" customFormat="1" ht="12.75">
      <c r="A194" s="192" t="str">
        <f t="shared" si="22"/>
        <v/>
      </c>
      <c r="B194" s="175"/>
      <c r="C194" s="176" t="str">
        <f t="shared" si="18"/>
        <v/>
      </c>
      <c r="D194" s="177" t="str">
        <f t="shared" si="23"/>
        <v/>
      </c>
      <c r="E194" s="177" t="str">
        <f t="shared" si="26"/>
        <v/>
      </c>
      <c r="F194" s="178" t="e">
        <f t="shared" si="19"/>
        <v>#VALUE!</v>
      </c>
      <c r="G194" s="177" t="e">
        <f t="shared" si="20"/>
        <v>#VALUE!</v>
      </c>
      <c r="H194" s="177" t="str">
        <f t="shared" si="24"/>
        <v/>
      </c>
      <c r="I194" s="177" t="str">
        <f t="shared" si="25"/>
        <v/>
      </c>
      <c r="J194" s="177" t="e">
        <f t="shared" si="21"/>
        <v>#VALUE!</v>
      </c>
      <c r="K194" s="177">
        <f>SUM($I$17:$I194)</f>
        <v>0</v>
      </c>
      <c r="L194" s="179"/>
      <c r="M194" s="179"/>
    </row>
    <row r="195" spans="1:13" s="180" customFormat="1" ht="12.75">
      <c r="A195" s="192" t="str">
        <f t="shared" si="22"/>
        <v/>
      </c>
      <c r="B195" s="175"/>
      <c r="C195" s="176" t="str">
        <f t="shared" si="18"/>
        <v/>
      </c>
      <c r="D195" s="177" t="str">
        <f t="shared" si="23"/>
        <v/>
      </c>
      <c r="E195" s="177" t="str">
        <f t="shared" si="26"/>
        <v/>
      </c>
      <c r="F195" s="178" t="e">
        <f t="shared" si="19"/>
        <v>#VALUE!</v>
      </c>
      <c r="G195" s="177" t="e">
        <f t="shared" si="20"/>
        <v>#VALUE!</v>
      </c>
      <c r="H195" s="177" t="str">
        <f t="shared" si="24"/>
        <v/>
      </c>
      <c r="I195" s="177" t="str">
        <f t="shared" si="25"/>
        <v/>
      </c>
      <c r="J195" s="177" t="e">
        <f t="shared" si="21"/>
        <v>#VALUE!</v>
      </c>
      <c r="K195" s="177">
        <f>SUM($I$17:$I195)</f>
        <v>0</v>
      </c>
      <c r="L195" s="179"/>
      <c r="M195" s="179"/>
    </row>
    <row r="196" spans="1:13" s="180" customFormat="1" ht="12.75">
      <c r="A196" s="192" t="str">
        <f t="shared" si="22"/>
        <v/>
      </c>
      <c r="B196" s="175"/>
      <c r="C196" s="176" t="str">
        <f t="shared" si="18"/>
        <v/>
      </c>
      <c r="D196" s="177" t="str">
        <f t="shared" si="23"/>
        <v/>
      </c>
      <c r="E196" s="177" t="str">
        <f t="shared" si="26"/>
        <v/>
      </c>
      <c r="F196" s="178" t="e">
        <f t="shared" si="19"/>
        <v>#VALUE!</v>
      </c>
      <c r="G196" s="177" t="e">
        <f t="shared" si="20"/>
        <v>#VALUE!</v>
      </c>
      <c r="H196" s="177" t="str">
        <f t="shared" si="24"/>
        <v/>
      </c>
      <c r="I196" s="177" t="str">
        <f t="shared" si="25"/>
        <v/>
      </c>
      <c r="J196" s="177" t="e">
        <f t="shared" si="21"/>
        <v>#VALUE!</v>
      </c>
      <c r="K196" s="177">
        <f>SUM($I$17:$I196)</f>
        <v>0</v>
      </c>
      <c r="L196" s="179"/>
      <c r="M196" s="179"/>
    </row>
    <row r="197" spans="1:13" s="180" customFormat="1" ht="12.75">
      <c r="A197" s="192" t="str">
        <f t="shared" si="22"/>
        <v/>
      </c>
      <c r="B197" s="175"/>
      <c r="C197" s="176" t="str">
        <f t="shared" si="18"/>
        <v/>
      </c>
      <c r="D197" s="177" t="str">
        <f t="shared" si="23"/>
        <v/>
      </c>
      <c r="E197" s="177" t="str">
        <f t="shared" si="26"/>
        <v/>
      </c>
      <c r="F197" s="178" t="e">
        <f t="shared" si="19"/>
        <v>#VALUE!</v>
      </c>
      <c r="G197" s="177" t="e">
        <f t="shared" si="20"/>
        <v>#VALUE!</v>
      </c>
      <c r="H197" s="177" t="str">
        <f t="shared" si="24"/>
        <v/>
      </c>
      <c r="I197" s="177" t="str">
        <f t="shared" si="25"/>
        <v/>
      </c>
      <c r="J197" s="177" t="e">
        <f t="shared" si="21"/>
        <v>#VALUE!</v>
      </c>
      <c r="K197" s="177">
        <f>SUM($I$17:$I197)</f>
        <v>0</v>
      </c>
      <c r="L197" s="179"/>
      <c r="M197" s="179"/>
    </row>
    <row r="198" spans="1:13" s="180" customFormat="1" ht="12.75">
      <c r="A198" s="192" t="str">
        <f t="shared" si="22"/>
        <v/>
      </c>
      <c r="B198" s="175"/>
      <c r="C198" s="176" t="str">
        <f t="shared" si="18"/>
        <v/>
      </c>
      <c r="D198" s="177" t="str">
        <f t="shared" si="23"/>
        <v/>
      </c>
      <c r="E198" s="177" t="str">
        <f t="shared" si="26"/>
        <v/>
      </c>
      <c r="F198" s="178" t="e">
        <f t="shared" si="19"/>
        <v>#VALUE!</v>
      </c>
      <c r="G198" s="177" t="e">
        <f t="shared" si="20"/>
        <v>#VALUE!</v>
      </c>
      <c r="H198" s="177" t="str">
        <f t="shared" si="24"/>
        <v/>
      </c>
      <c r="I198" s="177" t="str">
        <f t="shared" si="25"/>
        <v/>
      </c>
      <c r="J198" s="177" t="e">
        <f t="shared" si="21"/>
        <v>#VALUE!</v>
      </c>
      <c r="K198" s="177">
        <f>SUM($I$17:$I198)</f>
        <v>0</v>
      </c>
      <c r="L198" s="179"/>
      <c r="M198" s="179"/>
    </row>
    <row r="199" spans="1:13" s="180" customFormat="1" ht="12.75">
      <c r="A199" s="192" t="str">
        <f t="shared" si="22"/>
        <v/>
      </c>
      <c r="B199" s="175"/>
      <c r="C199" s="176" t="str">
        <f t="shared" si="18"/>
        <v/>
      </c>
      <c r="D199" s="177" t="str">
        <f t="shared" si="23"/>
        <v/>
      </c>
      <c r="E199" s="177" t="str">
        <f t="shared" si="26"/>
        <v/>
      </c>
      <c r="F199" s="178" t="e">
        <f t="shared" si="19"/>
        <v>#VALUE!</v>
      </c>
      <c r="G199" s="177" t="e">
        <f t="shared" si="20"/>
        <v>#VALUE!</v>
      </c>
      <c r="H199" s="177" t="str">
        <f t="shared" si="24"/>
        <v/>
      </c>
      <c r="I199" s="177" t="str">
        <f t="shared" si="25"/>
        <v/>
      </c>
      <c r="J199" s="177" t="e">
        <f t="shared" si="21"/>
        <v>#VALUE!</v>
      </c>
      <c r="K199" s="177">
        <f>SUM($I$17:$I199)</f>
        <v>0</v>
      </c>
      <c r="L199" s="179"/>
      <c r="M199" s="179"/>
    </row>
    <row r="200" spans="1:13" s="180" customFormat="1" ht="12.75">
      <c r="A200" s="192" t="str">
        <f t="shared" si="22"/>
        <v/>
      </c>
      <c r="B200" s="175"/>
      <c r="C200" s="176" t="str">
        <f t="shared" si="18"/>
        <v/>
      </c>
      <c r="D200" s="177" t="str">
        <f t="shared" si="23"/>
        <v/>
      </c>
      <c r="E200" s="177" t="str">
        <f t="shared" si="26"/>
        <v/>
      </c>
      <c r="F200" s="178" t="e">
        <f t="shared" si="19"/>
        <v>#VALUE!</v>
      </c>
      <c r="G200" s="177" t="e">
        <f t="shared" si="20"/>
        <v>#VALUE!</v>
      </c>
      <c r="H200" s="177" t="str">
        <f t="shared" si="24"/>
        <v/>
      </c>
      <c r="I200" s="177" t="str">
        <f t="shared" si="25"/>
        <v/>
      </c>
      <c r="J200" s="177" t="e">
        <f t="shared" si="21"/>
        <v>#VALUE!</v>
      </c>
      <c r="K200" s="177">
        <f>SUM($I$17:$I200)</f>
        <v>0</v>
      </c>
      <c r="L200" s="179"/>
      <c r="M200" s="179"/>
    </row>
    <row r="201" spans="1:13" s="180" customFormat="1" ht="12.75">
      <c r="A201" s="192" t="str">
        <f t="shared" si="22"/>
        <v/>
      </c>
      <c r="B201" s="175"/>
      <c r="C201" s="176" t="str">
        <f t="shared" si="18"/>
        <v/>
      </c>
      <c r="D201" s="177" t="str">
        <f t="shared" si="23"/>
        <v/>
      </c>
      <c r="E201" s="177" t="str">
        <f t="shared" si="26"/>
        <v/>
      </c>
      <c r="F201" s="178" t="e">
        <f t="shared" si="19"/>
        <v>#VALUE!</v>
      </c>
      <c r="G201" s="177" t="e">
        <f t="shared" si="20"/>
        <v>#VALUE!</v>
      </c>
      <c r="H201" s="177" t="str">
        <f t="shared" si="24"/>
        <v/>
      </c>
      <c r="I201" s="177" t="str">
        <f t="shared" si="25"/>
        <v/>
      </c>
      <c r="J201" s="177" t="e">
        <f t="shared" si="21"/>
        <v>#VALUE!</v>
      </c>
      <c r="K201" s="177">
        <f>SUM($I$17:$I201)</f>
        <v>0</v>
      </c>
      <c r="L201" s="179"/>
      <c r="M201" s="179"/>
    </row>
    <row r="202" spans="1:13" s="180" customFormat="1" ht="12.75">
      <c r="A202" s="192" t="str">
        <f t="shared" si="22"/>
        <v/>
      </c>
      <c r="B202" s="175"/>
      <c r="C202" s="176" t="str">
        <f t="shared" si="18"/>
        <v/>
      </c>
      <c r="D202" s="177" t="str">
        <f t="shared" si="23"/>
        <v/>
      </c>
      <c r="E202" s="177" t="str">
        <f t="shared" si="26"/>
        <v/>
      </c>
      <c r="F202" s="178" t="e">
        <f t="shared" si="19"/>
        <v>#VALUE!</v>
      </c>
      <c r="G202" s="177" t="e">
        <f t="shared" si="20"/>
        <v>#VALUE!</v>
      </c>
      <c r="H202" s="177" t="str">
        <f t="shared" si="24"/>
        <v/>
      </c>
      <c r="I202" s="177" t="str">
        <f t="shared" si="25"/>
        <v/>
      </c>
      <c r="J202" s="177" t="e">
        <f t="shared" si="21"/>
        <v>#VALUE!</v>
      </c>
      <c r="K202" s="177">
        <f>SUM($I$17:$I202)</f>
        <v>0</v>
      </c>
      <c r="L202" s="179"/>
      <c r="M202" s="179"/>
    </row>
    <row r="203" spans="1:13" s="180" customFormat="1" ht="12.75">
      <c r="A203" s="192" t="str">
        <f t="shared" si="22"/>
        <v/>
      </c>
      <c r="B203" s="175"/>
      <c r="C203" s="176" t="str">
        <f t="shared" si="18"/>
        <v/>
      </c>
      <c r="D203" s="177" t="str">
        <f t="shared" si="23"/>
        <v/>
      </c>
      <c r="E203" s="177" t="str">
        <f t="shared" si="26"/>
        <v/>
      </c>
      <c r="F203" s="178" t="e">
        <f t="shared" si="19"/>
        <v>#VALUE!</v>
      </c>
      <c r="G203" s="177" t="e">
        <f t="shared" si="20"/>
        <v>#VALUE!</v>
      </c>
      <c r="H203" s="177" t="str">
        <f t="shared" si="24"/>
        <v/>
      </c>
      <c r="I203" s="177" t="str">
        <f t="shared" si="25"/>
        <v/>
      </c>
      <c r="J203" s="177" t="e">
        <f t="shared" si="21"/>
        <v>#VALUE!</v>
      </c>
      <c r="K203" s="177">
        <f>SUM($I$17:$I203)</f>
        <v>0</v>
      </c>
      <c r="L203" s="179"/>
      <c r="M203" s="179"/>
    </row>
    <row r="204" spans="1:13" s="180" customFormat="1" ht="12.75">
      <c r="A204" s="192" t="str">
        <f t="shared" si="22"/>
        <v/>
      </c>
      <c r="B204" s="175"/>
      <c r="C204" s="176" t="str">
        <f t="shared" si="18"/>
        <v/>
      </c>
      <c r="D204" s="177" t="str">
        <f t="shared" si="23"/>
        <v/>
      </c>
      <c r="E204" s="177" t="str">
        <f t="shared" si="26"/>
        <v/>
      </c>
      <c r="F204" s="178" t="e">
        <f t="shared" si="19"/>
        <v>#VALUE!</v>
      </c>
      <c r="G204" s="177" t="e">
        <f t="shared" si="20"/>
        <v>#VALUE!</v>
      </c>
      <c r="H204" s="177" t="str">
        <f t="shared" si="24"/>
        <v/>
      </c>
      <c r="I204" s="177" t="str">
        <f t="shared" si="25"/>
        <v/>
      </c>
      <c r="J204" s="177" t="e">
        <f t="shared" si="21"/>
        <v>#VALUE!</v>
      </c>
      <c r="K204" s="177">
        <f>SUM($I$17:$I204)</f>
        <v>0</v>
      </c>
      <c r="L204" s="179"/>
      <c r="M204" s="179"/>
    </row>
    <row r="205" spans="1:13" s="180" customFormat="1" ht="12.75">
      <c r="A205" s="192" t="str">
        <f t="shared" si="22"/>
        <v/>
      </c>
      <c r="B205" s="175"/>
      <c r="C205" s="176" t="str">
        <f t="shared" si="18"/>
        <v/>
      </c>
      <c r="D205" s="177" t="str">
        <f t="shared" si="23"/>
        <v/>
      </c>
      <c r="E205" s="177" t="str">
        <f t="shared" si="26"/>
        <v/>
      </c>
      <c r="F205" s="178" t="e">
        <f t="shared" si="19"/>
        <v>#VALUE!</v>
      </c>
      <c r="G205" s="177" t="e">
        <f t="shared" si="20"/>
        <v>#VALUE!</v>
      </c>
      <c r="H205" s="177" t="str">
        <f t="shared" si="24"/>
        <v/>
      </c>
      <c r="I205" s="177" t="str">
        <f t="shared" si="25"/>
        <v/>
      </c>
      <c r="J205" s="177" t="e">
        <f t="shared" si="21"/>
        <v>#VALUE!</v>
      </c>
      <c r="K205" s="177">
        <f>SUM($I$17:$I205)</f>
        <v>0</v>
      </c>
      <c r="L205" s="179"/>
      <c r="M205" s="179"/>
    </row>
    <row r="206" spans="1:13" s="180" customFormat="1" ht="12.75">
      <c r="A206" s="192" t="str">
        <f t="shared" si="22"/>
        <v/>
      </c>
      <c r="B206" s="175"/>
      <c r="C206" s="176" t="str">
        <f t="shared" si="18"/>
        <v/>
      </c>
      <c r="D206" s="177" t="str">
        <f t="shared" si="23"/>
        <v/>
      </c>
      <c r="E206" s="177" t="str">
        <f t="shared" si="26"/>
        <v/>
      </c>
      <c r="F206" s="178" t="e">
        <f t="shared" si="19"/>
        <v>#VALUE!</v>
      </c>
      <c r="G206" s="177" t="e">
        <f t="shared" si="20"/>
        <v>#VALUE!</v>
      </c>
      <c r="H206" s="177" t="str">
        <f t="shared" si="24"/>
        <v/>
      </c>
      <c r="I206" s="177" t="str">
        <f t="shared" si="25"/>
        <v/>
      </c>
      <c r="J206" s="177" t="e">
        <f t="shared" si="21"/>
        <v>#VALUE!</v>
      </c>
      <c r="K206" s="177">
        <f>SUM($I$17:$I206)</f>
        <v>0</v>
      </c>
      <c r="L206" s="179"/>
      <c r="M206" s="179"/>
    </row>
    <row r="207" spans="1:13" s="180" customFormat="1" ht="12.75">
      <c r="A207" s="192" t="str">
        <f t="shared" si="22"/>
        <v/>
      </c>
      <c r="B207" s="175"/>
      <c r="C207" s="176" t="str">
        <f t="shared" si="18"/>
        <v/>
      </c>
      <c r="D207" s="177" t="str">
        <f t="shared" si="23"/>
        <v/>
      </c>
      <c r="E207" s="177" t="str">
        <f t="shared" si="26"/>
        <v/>
      </c>
      <c r="F207" s="178" t="e">
        <f t="shared" si="19"/>
        <v>#VALUE!</v>
      </c>
      <c r="G207" s="177" t="e">
        <f t="shared" si="20"/>
        <v>#VALUE!</v>
      </c>
      <c r="H207" s="177" t="str">
        <f t="shared" si="24"/>
        <v/>
      </c>
      <c r="I207" s="177" t="str">
        <f t="shared" si="25"/>
        <v/>
      </c>
      <c r="J207" s="177" t="e">
        <f t="shared" si="21"/>
        <v>#VALUE!</v>
      </c>
      <c r="K207" s="177">
        <f>SUM($I$17:$I207)</f>
        <v>0</v>
      </c>
      <c r="L207" s="179"/>
      <c r="M207" s="179"/>
    </row>
    <row r="208" spans="1:13" s="180" customFormat="1" ht="12.75">
      <c r="A208" s="192" t="str">
        <f t="shared" si="22"/>
        <v/>
      </c>
      <c r="B208" s="175"/>
      <c r="C208" s="176" t="str">
        <f t="shared" si="18"/>
        <v/>
      </c>
      <c r="D208" s="177" t="str">
        <f t="shared" si="23"/>
        <v/>
      </c>
      <c r="E208" s="177" t="str">
        <f t="shared" si="26"/>
        <v/>
      </c>
      <c r="F208" s="178" t="e">
        <f t="shared" si="19"/>
        <v>#VALUE!</v>
      </c>
      <c r="G208" s="177" t="e">
        <f t="shared" si="20"/>
        <v>#VALUE!</v>
      </c>
      <c r="H208" s="177" t="str">
        <f t="shared" si="24"/>
        <v/>
      </c>
      <c r="I208" s="177" t="str">
        <f t="shared" si="25"/>
        <v/>
      </c>
      <c r="J208" s="177" t="e">
        <f t="shared" si="21"/>
        <v>#VALUE!</v>
      </c>
      <c r="K208" s="177">
        <f>SUM($I$17:$I208)</f>
        <v>0</v>
      </c>
      <c r="L208" s="179"/>
      <c r="M208" s="179"/>
    </row>
    <row r="209" spans="1:13" s="180" customFormat="1" ht="12.75">
      <c r="A209" s="192" t="str">
        <f t="shared" si="22"/>
        <v/>
      </c>
      <c r="B209" s="175"/>
      <c r="C209" s="176" t="str">
        <f t="shared" ref="C209:C272" si="27">IF(Pay_Num&lt;&gt;"",DATE(YEAR(Loan_Start),MONTH(Loan_Start)+(Pay_Num)*12/Num_Pmt_Per_Year,DAY(Loan_Start)),"")</f>
        <v/>
      </c>
      <c r="D209" s="177" t="str">
        <f t="shared" si="23"/>
        <v/>
      </c>
      <c r="E209" s="177" t="str">
        <f t="shared" si="26"/>
        <v/>
      </c>
      <c r="F209" s="178" t="e">
        <f t="shared" ref="F209:F272" si="28">IF(AND(Pay_Num&lt;&gt;"",Sched_Pay+Scheduled_Extra_Payments&lt;Beg_Bal),Scheduled_Extra_Payments,IF(AND(Pay_Num&lt;&gt;"",Beg_Bal-Sched_Pay&gt;0),Beg_Bal-Sched_Pay,IF(Pay_Num&lt;&gt;"",0,"")))</f>
        <v>#VALUE!</v>
      </c>
      <c r="G209" s="177" t="e">
        <f t="shared" ref="G209:G272" si="29">IF(AND(Pay_Num&lt;&gt;"",Sched_Pay+Extra_Pay&lt;Beg_Bal),Sched_Pay+Extra_Pay,IF(Pay_Num&lt;&gt;"",Beg_Bal,""))</f>
        <v>#VALUE!</v>
      </c>
      <c r="H209" s="177" t="str">
        <f t="shared" si="24"/>
        <v/>
      </c>
      <c r="I209" s="177" t="str">
        <f t="shared" si="25"/>
        <v/>
      </c>
      <c r="J209" s="177" t="e">
        <f t="shared" ref="J209:J272" si="30">IF(AND(Pay_Num&lt;&gt;"",Sched_Pay+Extra_Pay&lt;Beg_Bal),Beg_Bal-Princ,IF(Pay_Num&lt;&gt;"",0,""))</f>
        <v>#VALUE!</v>
      </c>
      <c r="K209" s="177">
        <f>SUM($I$17:$I209)</f>
        <v>0</v>
      </c>
      <c r="L209" s="179"/>
      <c r="M209" s="179"/>
    </row>
    <row r="210" spans="1:13" s="180" customFormat="1" ht="12.75">
      <c r="A210" s="192" t="str">
        <f t="shared" ref="A210:A273" si="31">IF(Values_Entered,A209+1,"")</f>
        <v/>
      </c>
      <c r="B210" s="175"/>
      <c r="C210" s="176" t="str">
        <f t="shared" si="27"/>
        <v/>
      </c>
      <c r="D210" s="177" t="str">
        <f t="shared" ref="D210:D273" si="32">IF(Pay_Num&lt;&gt;"",J209,"")</f>
        <v/>
      </c>
      <c r="E210" s="177" t="str">
        <f t="shared" si="26"/>
        <v/>
      </c>
      <c r="F210" s="178" t="e">
        <f t="shared" si="28"/>
        <v>#VALUE!</v>
      </c>
      <c r="G210" s="177" t="e">
        <f t="shared" si="29"/>
        <v>#VALUE!</v>
      </c>
      <c r="H210" s="177" t="str">
        <f t="shared" ref="H210:H273" si="33">IF(Pay_Num&lt;&gt;"",Total_Pay-Int,"")</f>
        <v/>
      </c>
      <c r="I210" s="177" t="str">
        <f t="shared" ref="I210:I273" si="34">IF(Pay_Num&lt;&gt;"",Beg_Bal*Interest_Rate/Num_Pmt_Per_Year,"")</f>
        <v/>
      </c>
      <c r="J210" s="177" t="e">
        <f t="shared" si="30"/>
        <v>#VALUE!</v>
      </c>
      <c r="K210" s="177">
        <f>SUM($I$17:$I210)</f>
        <v>0</v>
      </c>
      <c r="L210" s="179"/>
      <c r="M210" s="179"/>
    </row>
    <row r="211" spans="1:13" s="180" customFormat="1" ht="12.75">
      <c r="A211" s="192" t="str">
        <f t="shared" si="31"/>
        <v/>
      </c>
      <c r="B211" s="175"/>
      <c r="C211" s="176" t="str">
        <f t="shared" si="27"/>
        <v/>
      </c>
      <c r="D211" s="177" t="str">
        <f t="shared" si="32"/>
        <v/>
      </c>
      <c r="E211" s="177" t="str">
        <f t="shared" ref="E211:E274" si="35">IF(Pay_Num&lt;&gt;"",Scheduled_Monthly_Payment,"")</f>
        <v/>
      </c>
      <c r="F211" s="178" t="e">
        <f t="shared" si="28"/>
        <v>#VALUE!</v>
      </c>
      <c r="G211" s="177" t="e">
        <f t="shared" si="29"/>
        <v>#VALUE!</v>
      </c>
      <c r="H211" s="177" t="str">
        <f t="shared" si="33"/>
        <v/>
      </c>
      <c r="I211" s="177" t="str">
        <f t="shared" si="34"/>
        <v/>
      </c>
      <c r="J211" s="177" t="e">
        <f t="shared" si="30"/>
        <v>#VALUE!</v>
      </c>
      <c r="K211" s="177">
        <f>SUM($I$17:$I211)</f>
        <v>0</v>
      </c>
      <c r="L211" s="179"/>
      <c r="M211" s="179"/>
    </row>
    <row r="212" spans="1:13" s="180" customFormat="1" ht="12.75">
      <c r="A212" s="192" t="str">
        <f t="shared" si="31"/>
        <v/>
      </c>
      <c r="B212" s="175"/>
      <c r="C212" s="176" t="str">
        <f t="shared" si="27"/>
        <v/>
      </c>
      <c r="D212" s="177" t="str">
        <f t="shared" si="32"/>
        <v/>
      </c>
      <c r="E212" s="177" t="str">
        <f t="shared" si="35"/>
        <v/>
      </c>
      <c r="F212" s="178" t="e">
        <f t="shared" si="28"/>
        <v>#VALUE!</v>
      </c>
      <c r="G212" s="177" t="e">
        <f t="shared" si="29"/>
        <v>#VALUE!</v>
      </c>
      <c r="H212" s="177" t="str">
        <f t="shared" si="33"/>
        <v/>
      </c>
      <c r="I212" s="177" t="str">
        <f t="shared" si="34"/>
        <v/>
      </c>
      <c r="J212" s="177" t="e">
        <f t="shared" si="30"/>
        <v>#VALUE!</v>
      </c>
      <c r="K212" s="177">
        <f>SUM($I$17:$I212)</f>
        <v>0</v>
      </c>
      <c r="L212" s="179"/>
      <c r="M212" s="179"/>
    </row>
    <row r="213" spans="1:13" s="180" customFormat="1" ht="12.75">
      <c r="A213" s="192" t="str">
        <f t="shared" si="31"/>
        <v/>
      </c>
      <c r="B213" s="175"/>
      <c r="C213" s="176" t="str">
        <f t="shared" si="27"/>
        <v/>
      </c>
      <c r="D213" s="177" t="str">
        <f t="shared" si="32"/>
        <v/>
      </c>
      <c r="E213" s="177" t="str">
        <f t="shared" si="35"/>
        <v/>
      </c>
      <c r="F213" s="178" t="e">
        <f t="shared" si="28"/>
        <v>#VALUE!</v>
      </c>
      <c r="G213" s="177" t="e">
        <f t="shared" si="29"/>
        <v>#VALUE!</v>
      </c>
      <c r="H213" s="177" t="str">
        <f t="shared" si="33"/>
        <v/>
      </c>
      <c r="I213" s="177" t="str">
        <f t="shared" si="34"/>
        <v/>
      </c>
      <c r="J213" s="177" t="e">
        <f t="shared" si="30"/>
        <v>#VALUE!</v>
      </c>
      <c r="K213" s="177">
        <f>SUM($I$17:$I213)</f>
        <v>0</v>
      </c>
      <c r="L213" s="179"/>
      <c r="M213" s="179"/>
    </row>
    <row r="214" spans="1:13" s="180" customFormat="1" ht="12.75">
      <c r="A214" s="192" t="str">
        <f t="shared" si="31"/>
        <v/>
      </c>
      <c r="B214" s="175"/>
      <c r="C214" s="176" t="str">
        <f t="shared" si="27"/>
        <v/>
      </c>
      <c r="D214" s="177" t="str">
        <f t="shared" si="32"/>
        <v/>
      </c>
      <c r="E214" s="177" t="str">
        <f t="shared" si="35"/>
        <v/>
      </c>
      <c r="F214" s="178" t="e">
        <f t="shared" si="28"/>
        <v>#VALUE!</v>
      </c>
      <c r="G214" s="177" t="e">
        <f t="shared" si="29"/>
        <v>#VALUE!</v>
      </c>
      <c r="H214" s="177" t="str">
        <f t="shared" si="33"/>
        <v/>
      </c>
      <c r="I214" s="177" t="str">
        <f t="shared" si="34"/>
        <v/>
      </c>
      <c r="J214" s="177" t="e">
        <f t="shared" si="30"/>
        <v>#VALUE!</v>
      </c>
      <c r="K214" s="177">
        <f>SUM($I$17:$I214)</f>
        <v>0</v>
      </c>
      <c r="L214" s="179"/>
      <c r="M214" s="179"/>
    </row>
    <row r="215" spans="1:13" s="180" customFormat="1" ht="12.75">
      <c r="A215" s="192" t="str">
        <f t="shared" si="31"/>
        <v/>
      </c>
      <c r="B215" s="175"/>
      <c r="C215" s="176" t="str">
        <f t="shared" si="27"/>
        <v/>
      </c>
      <c r="D215" s="177" t="str">
        <f t="shared" si="32"/>
        <v/>
      </c>
      <c r="E215" s="177" t="str">
        <f t="shared" si="35"/>
        <v/>
      </c>
      <c r="F215" s="178" t="e">
        <f t="shared" si="28"/>
        <v>#VALUE!</v>
      </c>
      <c r="G215" s="177" t="e">
        <f t="shared" si="29"/>
        <v>#VALUE!</v>
      </c>
      <c r="H215" s="177" t="str">
        <f t="shared" si="33"/>
        <v/>
      </c>
      <c r="I215" s="177" t="str">
        <f t="shared" si="34"/>
        <v/>
      </c>
      <c r="J215" s="177" t="e">
        <f t="shared" si="30"/>
        <v>#VALUE!</v>
      </c>
      <c r="K215" s="177">
        <f>SUM($I$17:$I215)</f>
        <v>0</v>
      </c>
      <c r="L215" s="179"/>
      <c r="M215" s="179"/>
    </row>
    <row r="216" spans="1:13" s="180" customFormat="1" ht="12.75">
      <c r="A216" s="192" t="str">
        <f t="shared" si="31"/>
        <v/>
      </c>
      <c r="B216" s="175"/>
      <c r="C216" s="176" t="str">
        <f t="shared" si="27"/>
        <v/>
      </c>
      <c r="D216" s="177" t="str">
        <f t="shared" si="32"/>
        <v/>
      </c>
      <c r="E216" s="177" t="str">
        <f t="shared" si="35"/>
        <v/>
      </c>
      <c r="F216" s="178" t="e">
        <f t="shared" si="28"/>
        <v>#VALUE!</v>
      </c>
      <c r="G216" s="177" t="e">
        <f t="shared" si="29"/>
        <v>#VALUE!</v>
      </c>
      <c r="H216" s="177" t="str">
        <f t="shared" si="33"/>
        <v/>
      </c>
      <c r="I216" s="177" t="str">
        <f t="shared" si="34"/>
        <v/>
      </c>
      <c r="J216" s="177" t="e">
        <f t="shared" si="30"/>
        <v>#VALUE!</v>
      </c>
      <c r="K216" s="177">
        <f>SUM($I$17:$I216)</f>
        <v>0</v>
      </c>
      <c r="L216" s="179"/>
      <c r="M216" s="179"/>
    </row>
    <row r="217" spans="1:13" s="180" customFormat="1" ht="12.75">
      <c r="A217" s="192" t="str">
        <f t="shared" si="31"/>
        <v/>
      </c>
      <c r="B217" s="175"/>
      <c r="C217" s="176" t="str">
        <f t="shared" si="27"/>
        <v/>
      </c>
      <c r="D217" s="177" t="str">
        <f t="shared" si="32"/>
        <v/>
      </c>
      <c r="E217" s="177" t="str">
        <f t="shared" si="35"/>
        <v/>
      </c>
      <c r="F217" s="178" t="e">
        <f t="shared" si="28"/>
        <v>#VALUE!</v>
      </c>
      <c r="G217" s="177" t="e">
        <f t="shared" si="29"/>
        <v>#VALUE!</v>
      </c>
      <c r="H217" s="177" t="str">
        <f t="shared" si="33"/>
        <v/>
      </c>
      <c r="I217" s="177" t="str">
        <f t="shared" si="34"/>
        <v/>
      </c>
      <c r="J217" s="177" t="e">
        <f t="shared" si="30"/>
        <v>#VALUE!</v>
      </c>
      <c r="K217" s="177">
        <f>SUM($I$17:$I217)</f>
        <v>0</v>
      </c>
      <c r="L217" s="179"/>
      <c r="M217" s="179"/>
    </row>
    <row r="218" spans="1:13" s="180" customFormat="1" ht="12.75">
      <c r="A218" s="192" t="str">
        <f t="shared" si="31"/>
        <v/>
      </c>
      <c r="B218" s="175"/>
      <c r="C218" s="176" t="str">
        <f t="shared" si="27"/>
        <v/>
      </c>
      <c r="D218" s="177" t="str">
        <f t="shared" si="32"/>
        <v/>
      </c>
      <c r="E218" s="177" t="str">
        <f t="shared" si="35"/>
        <v/>
      </c>
      <c r="F218" s="178" t="e">
        <f t="shared" si="28"/>
        <v>#VALUE!</v>
      </c>
      <c r="G218" s="177" t="e">
        <f t="shared" si="29"/>
        <v>#VALUE!</v>
      </c>
      <c r="H218" s="177" t="str">
        <f t="shared" si="33"/>
        <v/>
      </c>
      <c r="I218" s="177" t="str">
        <f t="shared" si="34"/>
        <v/>
      </c>
      <c r="J218" s="177" t="e">
        <f t="shared" si="30"/>
        <v>#VALUE!</v>
      </c>
      <c r="K218" s="177">
        <f>SUM($I$17:$I218)</f>
        <v>0</v>
      </c>
      <c r="L218" s="179"/>
      <c r="M218" s="179"/>
    </row>
    <row r="219" spans="1:13" s="180" customFormat="1" ht="12.75">
      <c r="A219" s="192" t="str">
        <f t="shared" si="31"/>
        <v/>
      </c>
      <c r="B219" s="175"/>
      <c r="C219" s="176" t="str">
        <f t="shared" si="27"/>
        <v/>
      </c>
      <c r="D219" s="177" t="str">
        <f t="shared" si="32"/>
        <v/>
      </c>
      <c r="E219" s="177" t="str">
        <f t="shared" si="35"/>
        <v/>
      </c>
      <c r="F219" s="178" t="e">
        <f t="shared" si="28"/>
        <v>#VALUE!</v>
      </c>
      <c r="G219" s="177" t="e">
        <f t="shared" si="29"/>
        <v>#VALUE!</v>
      </c>
      <c r="H219" s="177" t="str">
        <f t="shared" si="33"/>
        <v/>
      </c>
      <c r="I219" s="177" t="str">
        <f t="shared" si="34"/>
        <v/>
      </c>
      <c r="J219" s="177" t="e">
        <f t="shared" si="30"/>
        <v>#VALUE!</v>
      </c>
      <c r="K219" s="177">
        <f>SUM($I$17:$I219)</f>
        <v>0</v>
      </c>
      <c r="L219" s="179"/>
      <c r="M219" s="179"/>
    </row>
    <row r="220" spans="1:13" s="180" customFormat="1" ht="12.75">
      <c r="A220" s="192" t="str">
        <f t="shared" si="31"/>
        <v/>
      </c>
      <c r="B220" s="175"/>
      <c r="C220" s="176" t="str">
        <f t="shared" si="27"/>
        <v/>
      </c>
      <c r="D220" s="177" t="str">
        <f t="shared" si="32"/>
        <v/>
      </c>
      <c r="E220" s="177" t="str">
        <f t="shared" si="35"/>
        <v/>
      </c>
      <c r="F220" s="178" t="e">
        <f t="shared" si="28"/>
        <v>#VALUE!</v>
      </c>
      <c r="G220" s="177" t="e">
        <f t="shared" si="29"/>
        <v>#VALUE!</v>
      </c>
      <c r="H220" s="177" t="str">
        <f t="shared" si="33"/>
        <v/>
      </c>
      <c r="I220" s="177" t="str">
        <f t="shared" si="34"/>
        <v/>
      </c>
      <c r="J220" s="177" t="e">
        <f t="shared" si="30"/>
        <v>#VALUE!</v>
      </c>
      <c r="K220" s="177">
        <f>SUM($I$17:$I220)</f>
        <v>0</v>
      </c>
      <c r="L220" s="179"/>
      <c r="M220" s="179"/>
    </row>
    <row r="221" spans="1:13" s="180" customFormat="1" ht="12.75">
      <c r="A221" s="192" t="str">
        <f t="shared" si="31"/>
        <v/>
      </c>
      <c r="B221" s="175"/>
      <c r="C221" s="176" t="str">
        <f t="shared" si="27"/>
        <v/>
      </c>
      <c r="D221" s="177" t="str">
        <f t="shared" si="32"/>
        <v/>
      </c>
      <c r="E221" s="177" t="str">
        <f t="shared" si="35"/>
        <v/>
      </c>
      <c r="F221" s="178" t="e">
        <f t="shared" si="28"/>
        <v>#VALUE!</v>
      </c>
      <c r="G221" s="177" t="e">
        <f t="shared" si="29"/>
        <v>#VALUE!</v>
      </c>
      <c r="H221" s="177" t="str">
        <f t="shared" si="33"/>
        <v/>
      </c>
      <c r="I221" s="177" t="str">
        <f t="shared" si="34"/>
        <v/>
      </c>
      <c r="J221" s="177" t="e">
        <f t="shared" si="30"/>
        <v>#VALUE!</v>
      </c>
      <c r="K221" s="177">
        <f>SUM($I$17:$I221)</f>
        <v>0</v>
      </c>
      <c r="L221" s="179"/>
      <c r="M221" s="179"/>
    </row>
    <row r="222" spans="1:13" s="180" customFormat="1" ht="12.75">
      <c r="A222" s="192" t="str">
        <f t="shared" si="31"/>
        <v/>
      </c>
      <c r="B222" s="175"/>
      <c r="C222" s="176" t="str">
        <f t="shared" si="27"/>
        <v/>
      </c>
      <c r="D222" s="177" t="str">
        <f t="shared" si="32"/>
        <v/>
      </c>
      <c r="E222" s="177" t="str">
        <f t="shared" si="35"/>
        <v/>
      </c>
      <c r="F222" s="178" t="e">
        <f t="shared" si="28"/>
        <v>#VALUE!</v>
      </c>
      <c r="G222" s="177" t="e">
        <f t="shared" si="29"/>
        <v>#VALUE!</v>
      </c>
      <c r="H222" s="177" t="str">
        <f t="shared" si="33"/>
        <v/>
      </c>
      <c r="I222" s="177" t="str">
        <f t="shared" si="34"/>
        <v/>
      </c>
      <c r="J222" s="177" t="e">
        <f t="shared" si="30"/>
        <v>#VALUE!</v>
      </c>
      <c r="K222" s="177">
        <f>SUM($I$17:$I222)</f>
        <v>0</v>
      </c>
      <c r="L222" s="179"/>
      <c r="M222" s="179"/>
    </row>
    <row r="223" spans="1:13" s="180" customFormat="1" ht="12.75">
      <c r="A223" s="192" t="str">
        <f t="shared" si="31"/>
        <v/>
      </c>
      <c r="B223" s="175"/>
      <c r="C223" s="176" t="str">
        <f t="shared" si="27"/>
        <v/>
      </c>
      <c r="D223" s="177" t="str">
        <f t="shared" si="32"/>
        <v/>
      </c>
      <c r="E223" s="177" t="str">
        <f t="shared" si="35"/>
        <v/>
      </c>
      <c r="F223" s="178" t="e">
        <f t="shared" si="28"/>
        <v>#VALUE!</v>
      </c>
      <c r="G223" s="177" t="e">
        <f t="shared" si="29"/>
        <v>#VALUE!</v>
      </c>
      <c r="H223" s="177" t="str">
        <f t="shared" si="33"/>
        <v/>
      </c>
      <c r="I223" s="177" t="str">
        <f t="shared" si="34"/>
        <v/>
      </c>
      <c r="J223" s="177" t="e">
        <f t="shared" si="30"/>
        <v>#VALUE!</v>
      </c>
      <c r="K223" s="177">
        <f>SUM($I$17:$I223)</f>
        <v>0</v>
      </c>
      <c r="L223" s="179"/>
      <c r="M223" s="179"/>
    </row>
    <row r="224" spans="1:13" s="180" customFormat="1" ht="12.75">
      <c r="A224" s="192" t="str">
        <f t="shared" si="31"/>
        <v/>
      </c>
      <c r="B224" s="175"/>
      <c r="C224" s="176" t="str">
        <f t="shared" si="27"/>
        <v/>
      </c>
      <c r="D224" s="177" t="str">
        <f t="shared" si="32"/>
        <v/>
      </c>
      <c r="E224" s="177" t="str">
        <f t="shared" si="35"/>
        <v/>
      </c>
      <c r="F224" s="178" t="e">
        <f t="shared" si="28"/>
        <v>#VALUE!</v>
      </c>
      <c r="G224" s="177" t="e">
        <f t="shared" si="29"/>
        <v>#VALUE!</v>
      </c>
      <c r="H224" s="177" t="str">
        <f t="shared" si="33"/>
        <v/>
      </c>
      <c r="I224" s="177" t="str">
        <f t="shared" si="34"/>
        <v/>
      </c>
      <c r="J224" s="177" t="e">
        <f t="shared" si="30"/>
        <v>#VALUE!</v>
      </c>
      <c r="K224" s="177">
        <f>SUM($I$17:$I224)</f>
        <v>0</v>
      </c>
      <c r="L224" s="179"/>
      <c r="M224" s="179"/>
    </row>
    <row r="225" spans="1:13" s="180" customFormat="1" ht="12.75">
      <c r="A225" s="192" t="str">
        <f t="shared" si="31"/>
        <v/>
      </c>
      <c r="B225" s="175"/>
      <c r="C225" s="176" t="str">
        <f t="shared" si="27"/>
        <v/>
      </c>
      <c r="D225" s="177" t="str">
        <f t="shared" si="32"/>
        <v/>
      </c>
      <c r="E225" s="177" t="str">
        <f t="shared" si="35"/>
        <v/>
      </c>
      <c r="F225" s="178" t="e">
        <f t="shared" si="28"/>
        <v>#VALUE!</v>
      </c>
      <c r="G225" s="177" t="e">
        <f t="shared" si="29"/>
        <v>#VALUE!</v>
      </c>
      <c r="H225" s="177" t="str">
        <f t="shared" si="33"/>
        <v/>
      </c>
      <c r="I225" s="177" t="str">
        <f t="shared" si="34"/>
        <v/>
      </c>
      <c r="J225" s="177" t="e">
        <f t="shared" si="30"/>
        <v>#VALUE!</v>
      </c>
      <c r="K225" s="177">
        <f>SUM($I$17:$I225)</f>
        <v>0</v>
      </c>
      <c r="L225" s="179"/>
      <c r="M225" s="179"/>
    </row>
    <row r="226" spans="1:13" s="180" customFormat="1" ht="12.75">
      <c r="A226" s="192" t="str">
        <f t="shared" si="31"/>
        <v/>
      </c>
      <c r="B226" s="175"/>
      <c r="C226" s="176" t="str">
        <f t="shared" si="27"/>
        <v/>
      </c>
      <c r="D226" s="177" t="str">
        <f t="shared" si="32"/>
        <v/>
      </c>
      <c r="E226" s="177" t="str">
        <f t="shared" si="35"/>
        <v/>
      </c>
      <c r="F226" s="178" t="e">
        <f t="shared" si="28"/>
        <v>#VALUE!</v>
      </c>
      <c r="G226" s="177" t="e">
        <f t="shared" si="29"/>
        <v>#VALUE!</v>
      </c>
      <c r="H226" s="177" t="str">
        <f t="shared" si="33"/>
        <v/>
      </c>
      <c r="I226" s="177" t="str">
        <f t="shared" si="34"/>
        <v/>
      </c>
      <c r="J226" s="177" t="e">
        <f t="shared" si="30"/>
        <v>#VALUE!</v>
      </c>
      <c r="K226" s="177">
        <f>SUM($I$17:$I226)</f>
        <v>0</v>
      </c>
      <c r="L226" s="179"/>
      <c r="M226" s="179"/>
    </row>
    <row r="227" spans="1:13" s="180" customFormat="1" ht="12.75">
      <c r="A227" s="192" t="str">
        <f t="shared" si="31"/>
        <v/>
      </c>
      <c r="B227" s="175"/>
      <c r="C227" s="176" t="str">
        <f t="shared" si="27"/>
        <v/>
      </c>
      <c r="D227" s="177" t="str">
        <f t="shared" si="32"/>
        <v/>
      </c>
      <c r="E227" s="177" t="str">
        <f t="shared" si="35"/>
        <v/>
      </c>
      <c r="F227" s="178" t="e">
        <f t="shared" si="28"/>
        <v>#VALUE!</v>
      </c>
      <c r="G227" s="177" t="e">
        <f t="shared" si="29"/>
        <v>#VALUE!</v>
      </c>
      <c r="H227" s="177" t="str">
        <f t="shared" si="33"/>
        <v/>
      </c>
      <c r="I227" s="177" t="str">
        <f t="shared" si="34"/>
        <v/>
      </c>
      <c r="J227" s="177" t="e">
        <f t="shared" si="30"/>
        <v>#VALUE!</v>
      </c>
      <c r="K227" s="177">
        <f>SUM($I$17:$I227)</f>
        <v>0</v>
      </c>
      <c r="L227" s="179"/>
      <c r="M227" s="179"/>
    </row>
    <row r="228" spans="1:13" s="180" customFormat="1" ht="12.75">
      <c r="A228" s="192" t="str">
        <f t="shared" si="31"/>
        <v/>
      </c>
      <c r="B228" s="175"/>
      <c r="C228" s="176" t="str">
        <f t="shared" si="27"/>
        <v/>
      </c>
      <c r="D228" s="177" t="str">
        <f t="shared" si="32"/>
        <v/>
      </c>
      <c r="E228" s="177" t="str">
        <f t="shared" si="35"/>
        <v/>
      </c>
      <c r="F228" s="178" t="e">
        <f t="shared" si="28"/>
        <v>#VALUE!</v>
      </c>
      <c r="G228" s="177" t="e">
        <f t="shared" si="29"/>
        <v>#VALUE!</v>
      </c>
      <c r="H228" s="177" t="str">
        <f t="shared" si="33"/>
        <v/>
      </c>
      <c r="I228" s="177" t="str">
        <f t="shared" si="34"/>
        <v/>
      </c>
      <c r="J228" s="177" t="e">
        <f t="shared" si="30"/>
        <v>#VALUE!</v>
      </c>
      <c r="K228" s="177">
        <f>SUM($I$17:$I228)</f>
        <v>0</v>
      </c>
      <c r="L228" s="179"/>
      <c r="M228" s="179"/>
    </row>
    <row r="229" spans="1:13" s="180" customFormat="1" ht="12.75">
      <c r="A229" s="192" t="str">
        <f t="shared" si="31"/>
        <v/>
      </c>
      <c r="B229" s="175"/>
      <c r="C229" s="176" t="str">
        <f t="shared" si="27"/>
        <v/>
      </c>
      <c r="D229" s="177" t="str">
        <f t="shared" si="32"/>
        <v/>
      </c>
      <c r="E229" s="177" t="str">
        <f t="shared" si="35"/>
        <v/>
      </c>
      <c r="F229" s="178" t="e">
        <f t="shared" si="28"/>
        <v>#VALUE!</v>
      </c>
      <c r="G229" s="177" t="e">
        <f t="shared" si="29"/>
        <v>#VALUE!</v>
      </c>
      <c r="H229" s="177" t="str">
        <f t="shared" si="33"/>
        <v/>
      </c>
      <c r="I229" s="177" t="str">
        <f t="shared" si="34"/>
        <v/>
      </c>
      <c r="J229" s="177" t="e">
        <f t="shared" si="30"/>
        <v>#VALUE!</v>
      </c>
      <c r="K229" s="177">
        <f>SUM($I$17:$I229)</f>
        <v>0</v>
      </c>
      <c r="L229" s="179"/>
      <c r="M229" s="179"/>
    </row>
    <row r="230" spans="1:13" s="180" customFormat="1" ht="12.75">
      <c r="A230" s="192" t="str">
        <f t="shared" si="31"/>
        <v/>
      </c>
      <c r="B230" s="175"/>
      <c r="C230" s="176" t="str">
        <f t="shared" si="27"/>
        <v/>
      </c>
      <c r="D230" s="177" t="str">
        <f t="shared" si="32"/>
        <v/>
      </c>
      <c r="E230" s="177" t="str">
        <f t="shared" si="35"/>
        <v/>
      </c>
      <c r="F230" s="178" t="e">
        <f t="shared" si="28"/>
        <v>#VALUE!</v>
      </c>
      <c r="G230" s="177" t="e">
        <f t="shared" si="29"/>
        <v>#VALUE!</v>
      </c>
      <c r="H230" s="177" t="str">
        <f t="shared" si="33"/>
        <v/>
      </c>
      <c r="I230" s="177" t="str">
        <f t="shared" si="34"/>
        <v/>
      </c>
      <c r="J230" s="177" t="e">
        <f t="shared" si="30"/>
        <v>#VALUE!</v>
      </c>
      <c r="K230" s="177">
        <f>SUM($I$17:$I230)</f>
        <v>0</v>
      </c>
      <c r="L230" s="179"/>
      <c r="M230" s="179"/>
    </row>
    <row r="231" spans="1:13" s="180" customFormat="1" ht="12.75">
      <c r="A231" s="192" t="str">
        <f t="shared" si="31"/>
        <v/>
      </c>
      <c r="B231" s="175"/>
      <c r="C231" s="176" t="str">
        <f t="shared" si="27"/>
        <v/>
      </c>
      <c r="D231" s="177" t="str">
        <f t="shared" si="32"/>
        <v/>
      </c>
      <c r="E231" s="177" t="str">
        <f t="shared" si="35"/>
        <v/>
      </c>
      <c r="F231" s="178" t="e">
        <f t="shared" si="28"/>
        <v>#VALUE!</v>
      </c>
      <c r="G231" s="177" t="e">
        <f t="shared" si="29"/>
        <v>#VALUE!</v>
      </c>
      <c r="H231" s="177" t="str">
        <f t="shared" si="33"/>
        <v/>
      </c>
      <c r="I231" s="177" t="str">
        <f t="shared" si="34"/>
        <v/>
      </c>
      <c r="J231" s="177" t="e">
        <f t="shared" si="30"/>
        <v>#VALUE!</v>
      </c>
      <c r="K231" s="177">
        <f>SUM($I$17:$I231)</f>
        <v>0</v>
      </c>
      <c r="L231" s="179"/>
      <c r="M231" s="179"/>
    </row>
    <row r="232" spans="1:13" s="180" customFormat="1" ht="12.75">
      <c r="A232" s="192" t="str">
        <f t="shared" si="31"/>
        <v/>
      </c>
      <c r="B232" s="175"/>
      <c r="C232" s="176" t="str">
        <f t="shared" si="27"/>
        <v/>
      </c>
      <c r="D232" s="177" t="str">
        <f t="shared" si="32"/>
        <v/>
      </c>
      <c r="E232" s="177" t="str">
        <f t="shared" si="35"/>
        <v/>
      </c>
      <c r="F232" s="178" t="e">
        <f t="shared" si="28"/>
        <v>#VALUE!</v>
      </c>
      <c r="G232" s="177" t="e">
        <f t="shared" si="29"/>
        <v>#VALUE!</v>
      </c>
      <c r="H232" s="177" t="str">
        <f t="shared" si="33"/>
        <v/>
      </c>
      <c r="I232" s="177" t="str">
        <f t="shared" si="34"/>
        <v/>
      </c>
      <c r="J232" s="177" t="e">
        <f t="shared" si="30"/>
        <v>#VALUE!</v>
      </c>
      <c r="K232" s="177">
        <f>SUM($I$17:$I232)</f>
        <v>0</v>
      </c>
      <c r="L232" s="179"/>
      <c r="M232" s="179"/>
    </row>
    <row r="233" spans="1:13" s="180" customFormat="1" ht="12.75">
      <c r="A233" s="192" t="str">
        <f t="shared" si="31"/>
        <v/>
      </c>
      <c r="B233" s="175"/>
      <c r="C233" s="176" t="str">
        <f t="shared" si="27"/>
        <v/>
      </c>
      <c r="D233" s="177" t="str">
        <f t="shared" si="32"/>
        <v/>
      </c>
      <c r="E233" s="177" t="str">
        <f t="shared" si="35"/>
        <v/>
      </c>
      <c r="F233" s="178" t="e">
        <f t="shared" si="28"/>
        <v>#VALUE!</v>
      </c>
      <c r="G233" s="177" t="e">
        <f t="shared" si="29"/>
        <v>#VALUE!</v>
      </c>
      <c r="H233" s="177" t="str">
        <f t="shared" si="33"/>
        <v/>
      </c>
      <c r="I233" s="177" t="str">
        <f t="shared" si="34"/>
        <v/>
      </c>
      <c r="J233" s="177" t="e">
        <f t="shared" si="30"/>
        <v>#VALUE!</v>
      </c>
      <c r="K233" s="177">
        <f>SUM($I$17:$I233)</f>
        <v>0</v>
      </c>
      <c r="L233" s="179"/>
      <c r="M233" s="179"/>
    </row>
    <row r="234" spans="1:13" s="180" customFormat="1" ht="12.75">
      <c r="A234" s="192" t="str">
        <f t="shared" si="31"/>
        <v/>
      </c>
      <c r="B234" s="175"/>
      <c r="C234" s="176" t="str">
        <f t="shared" si="27"/>
        <v/>
      </c>
      <c r="D234" s="177" t="str">
        <f t="shared" si="32"/>
        <v/>
      </c>
      <c r="E234" s="177" t="str">
        <f t="shared" si="35"/>
        <v/>
      </c>
      <c r="F234" s="178" t="e">
        <f t="shared" si="28"/>
        <v>#VALUE!</v>
      </c>
      <c r="G234" s="177" t="e">
        <f t="shared" si="29"/>
        <v>#VALUE!</v>
      </c>
      <c r="H234" s="177" t="str">
        <f t="shared" si="33"/>
        <v/>
      </c>
      <c r="I234" s="177" t="str">
        <f t="shared" si="34"/>
        <v/>
      </c>
      <c r="J234" s="177" t="e">
        <f t="shared" si="30"/>
        <v>#VALUE!</v>
      </c>
      <c r="K234" s="177">
        <f>SUM($I$17:$I234)</f>
        <v>0</v>
      </c>
      <c r="L234" s="179"/>
      <c r="M234" s="179"/>
    </row>
    <row r="235" spans="1:13" s="180" customFormat="1" ht="12.75">
      <c r="A235" s="192" t="str">
        <f t="shared" si="31"/>
        <v/>
      </c>
      <c r="B235" s="175"/>
      <c r="C235" s="176" t="str">
        <f t="shared" si="27"/>
        <v/>
      </c>
      <c r="D235" s="177" t="str">
        <f t="shared" si="32"/>
        <v/>
      </c>
      <c r="E235" s="177" t="str">
        <f t="shared" si="35"/>
        <v/>
      </c>
      <c r="F235" s="178" t="e">
        <f t="shared" si="28"/>
        <v>#VALUE!</v>
      </c>
      <c r="G235" s="177" t="e">
        <f t="shared" si="29"/>
        <v>#VALUE!</v>
      </c>
      <c r="H235" s="177" t="str">
        <f t="shared" si="33"/>
        <v/>
      </c>
      <c r="I235" s="177" t="str">
        <f t="shared" si="34"/>
        <v/>
      </c>
      <c r="J235" s="177" t="e">
        <f t="shared" si="30"/>
        <v>#VALUE!</v>
      </c>
      <c r="K235" s="177">
        <f>SUM($I$17:$I235)</f>
        <v>0</v>
      </c>
      <c r="L235" s="179"/>
      <c r="M235" s="179"/>
    </row>
    <row r="236" spans="1:13" s="180" customFormat="1" ht="12.75">
      <c r="A236" s="192" t="str">
        <f t="shared" si="31"/>
        <v/>
      </c>
      <c r="B236" s="175"/>
      <c r="C236" s="176" t="str">
        <f t="shared" si="27"/>
        <v/>
      </c>
      <c r="D236" s="177" t="str">
        <f t="shared" si="32"/>
        <v/>
      </c>
      <c r="E236" s="177" t="str">
        <f t="shared" si="35"/>
        <v/>
      </c>
      <c r="F236" s="178" t="e">
        <f t="shared" si="28"/>
        <v>#VALUE!</v>
      </c>
      <c r="G236" s="177" t="e">
        <f t="shared" si="29"/>
        <v>#VALUE!</v>
      </c>
      <c r="H236" s="177" t="str">
        <f t="shared" si="33"/>
        <v/>
      </c>
      <c r="I236" s="177" t="str">
        <f t="shared" si="34"/>
        <v/>
      </c>
      <c r="J236" s="177" t="e">
        <f t="shared" si="30"/>
        <v>#VALUE!</v>
      </c>
      <c r="K236" s="177">
        <f>SUM($I$17:$I236)</f>
        <v>0</v>
      </c>
      <c r="L236" s="179"/>
      <c r="M236" s="179"/>
    </row>
    <row r="237" spans="1:13" s="180" customFormat="1" ht="12.75">
      <c r="A237" s="192" t="str">
        <f t="shared" si="31"/>
        <v/>
      </c>
      <c r="B237" s="175"/>
      <c r="C237" s="176" t="str">
        <f t="shared" si="27"/>
        <v/>
      </c>
      <c r="D237" s="177" t="str">
        <f t="shared" si="32"/>
        <v/>
      </c>
      <c r="E237" s="177" t="str">
        <f t="shared" si="35"/>
        <v/>
      </c>
      <c r="F237" s="178" t="e">
        <f t="shared" si="28"/>
        <v>#VALUE!</v>
      </c>
      <c r="G237" s="177" t="e">
        <f t="shared" si="29"/>
        <v>#VALUE!</v>
      </c>
      <c r="H237" s="177" t="str">
        <f t="shared" si="33"/>
        <v/>
      </c>
      <c r="I237" s="177" t="str">
        <f t="shared" si="34"/>
        <v/>
      </c>
      <c r="J237" s="177" t="e">
        <f t="shared" si="30"/>
        <v>#VALUE!</v>
      </c>
      <c r="K237" s="177">
        <f>SUM($I$17:$I237)</f>
        <v>0</v>
      </c>
      <c r="L237" s="179"/>
      <c r="M237" s="179"/>
    </row>
    <row r="238" spans="1:13" s="180" customFormat="1" ht="12.75">
      <c r="A238" s="192" t="str">
        <f t="shared" si="31"/>
        <v/>
      </c>
      <c r="B238" s="175"/>
      <c r="C238" s="176" t="str">
        <f t="shared" si="27"/>
        <v/>
      </c>
      <c r="D238" s="177" t="str">
        <f t="shared" si="32"/>
        <v/>
      </c>
      <c r="E238" s="177" t="str">
        <f t="shared" si="35"/>
        <v/>
      </c>
      <c r="F238" s="178" t="e">
        <f t="shared" si="28"/>
        <v>#VALUE!</v>
      </c>
      <c r="G238" s="177" t="e">
        <f t="shared" si="29"/>
        <v>#VALUE!</v>
      </c>
      <c r="H238" s="177" t="str">
        <f t="shared" si="33"/>
        <v/>
      </c>
      <c r="I238" s="177" t="str">
        <f t="shared" si="34"/>
        <v/>
      </c>
      <c r="J238" s="177" t="e">
        <f t="shared" si="30"/>
        <v>#VALUE!</v>
      </c>
      <c r="K238" s="177">
        <f>SUM($I$17:$I238)</f>
        <v>0</v>
      </c>
      <c r="L238" s="179"/>
      <c r="M238" s="179"/>
    </row>
    <row r="239" spans="1:13" s="180" customFormat="1" ht="12.75">
      <c r="A239" s="192" t="str">
        <f t="shared" si="31"/>
        <v/>
      </c>
      <c r="B239" s="175"/>
      <c r="C239" s="176" t="str">
        <f t="shared" si="27"/>
        <v/>
      </c>
      <c r="D239" s="177" t="str">
        <f t="shared" si="32"/>
        <v/>
      </c>
      <c r="E239" s="177" t="str">
        <f t="shared" si="35"/>
        <v/>
      </c>
      <c r="F239" s="178" t="e">
        <f t="shared" si="28"/>
        <v>#VALUE!</v>
      </c>
      <c r="G239" s="177" t="e">
        <f t="shared" si="29"/>
        <v>#VALUE!</v>
      </c>
      <c r="H239" s="177" t="str">
        <f t="shared" si="33"/>
        <v/>
      </c>
      <c r="I239" s="177" t="str">
        <f t="shared" si="34"/>
        <v/>
      </c>
      <c r="J239" s="177" t="e">
        <f t="shared" si="30"/>
        <v>#VALUE!</v>
      </c>
      <c r="K239" s="177">
        <f>SUM($I$17:$I239)</f>
        <v>0</v>
      </c>
      <c r="L239" s="179"/>
      <c r="M239" s="179"/>
    </row>
    <row r="240" spans="1:13" s="180" customFormat="1" ht="12.75">
      <c r="A240" s="192" t="str">
        <f t="shared" si="31"/>
        <v/>
      </c>
      <c r="B240" s="175"/>
      <c r="C240" s="176" t="str">
        <f t="shared" si="27"/>
        <v/>
      </c>
      <c r="D240" s="177" t="str">
        <f t="shared" si="32"/>
        <v/>
      </c>
      <c r="E240" s="177" t="str">
        <f t="shared" si="35"/>
        <v/>
      </c>
      <c r="F240" s="178" t="e">
        <f t="shared" si="28"/>
        <v>#VALUE!</v>
      </c>
      <c r="G240" s="177" t="e">
        <f t="shared" si="29"/>
        <v>#VALUE!</v>
      </c>
      <c r="H240" s="177" t="str">
        <f t="shared" si="33"/>
        <v/>
      </c>
      <c r="I240" s="177" t="str">
        <f t="shared" si="34"/>
        <v/>
      </c>
      <c r="J240" s="177" t="e">
        <f t="shared" si="30"/>
        <v>#VALUE!</v>
      </c>
      <c r="K240" s="177">
        <f>SUM($I$17:$I240)</f>
        <v>0</v>
      </c>
      <c r="L240" s="179"/>
      <c r="M240" s="179"/>
    </row>
    <row r="241" spans="1:13" s="180" customFormat="1" ht="12.75">
      <c r="A241" s="192" t="str">
        <f t="shared" si="31"/>
        <v/>
      </c>
      <c r="B241" s="175"/>
      <c r="C241" s="176" t="str">
        <f t="shared" si="27"/>
        <v/>
      </c>
      <c r="D241" s="177" t="str">
        <f t="shared" si="32"/>
        <v/>
      </c>
      <c r="E241" s="177" t="str">
        <f t="shared" si="35"/>
        <v/>
      </c>
      <c r="F241" s="178" t="e">
        <f t="shared" si="28"/>
        <v>#VALUE!</v>
      </c>
      <c r="G241" s="177" t="e">
        <f t="shared" si="29"/>
        <v>#VALUE!</v>
      </c>
      <c r="H241" s="177" t="str">
        <f t="shared" si="33"/>
        <v/>
      </c>
      <c r="I241" s="177" t="str">
        <f t="shared" si="34"/>
        <v/>
      </c>
      <c r="J241" s="177" t="e">
        <f t="shared" si="30"/>
        <v>#VALUE!</v>
      </c>
      <c r="K241" s="177">
        <f>SUM($I$17:$I241)</f>
        <v>0</v>
      </c>
      <c r="L241" s="179"/>
      <c r="M241" s="179"/>
    </row>
    <row r="242" spans="1:13" s="180" customFormat="1" ht="12.75">
      <c r="A242" s="192" t="str">
        <f t="shared" si="31"/>
        <v/>
      </c>
      <c r="B242" s="175"/>
      <c r="C242" s="176" t="str">
        <f t="shared" si="27"/>
        <v/>
      </c>
      <c r="D242" s="177" t="str">
        <f t="shared" si="32"/>
        <v/>
      </c>
      <c r="E242" s="177" t="str">
        <f t="shared" si="35"/>
        <v/>
      </c>
      <c r="F242" s="178" t="e">
        <f t="shared" si="28"/>
        <v>#VALUE!</v>
      </c>
      <c r="G242" s="177" t="e">
        <f t="shared" si="29"/>
        <v>#VALUE!</v>
      </c>
      <c r="H242" s="177" t="str">
        <f t="shared" si="33"/>
        <v/>
      </c>
      <c r="I242" s="177" t="str">
        <f t="shared" si="34"/>
        <v/>
      </c>
      <c r="J242" s="177" t="e">
        <f t="shared" si="30"/>
        <v>#VALUE!</v>
      </c>
      <c r="K242" s="177">
        <f>SUM($I$17:$I242)</f>
        <v>0</v>
      </c>
      <c r="L242" s="179"/>
      <c r="M242" s="179"/>
    </row>
    <row r="243" spans="1:13" s="180" customFormat="1" ht="12.75">
      <c r="A243" s="192" t="str">
        <f t="shared" si="31"/>
        <v/>
      </c>
      <c r="B243" s="175"/>
      <c r="C243" s="176" t="str">
        <f t="shared" si="27"/>
        <v/>
      </c>
      <c r="D243" s="177" t="str">
        <f t="shared" si="32"/>
        <v/>
      </c>
      <c r="E243" s="177" t="str">
        <f t="shared" si="35"/>
        <v/>
      </c>
      <c r="F243" s="178" t="e">
        <f t="shared" si="28"/>
        <v>#VALUE!</v>
      </c>
      <c r="G243" s="177" t="e">
        <f t="shared" si="29"/>
        <v>#VALUE!</v>
      </c>
      <c r="H243" s="177" t="str">
        <f t="shared" si="33"/>
        <v/>
      </c>
      <c r="I243" s="177" t="str">
        <f t="shared" si="34"/>
        <v/>
      </c>
      <c r="J243" s="177" t="e">
        <f t="shared" si="30"/>
        <v>#VALUE!</v>
      </c>
      <c r="K243" s="177">
        <f>SUM($I$17:$I243)</f>
        <v>0</v>
      </c>
      <c r="L243" s="179"/>
      <c r="M243" s="179"/>
    </row>
    <row r="244" spans="1:13" s="180" customFormat="1" ht="12.75">
      <c r="A244" s="192" t="str">
        <f t="shared" si="31"/>
        <v/>
      </c>
      <c r="B244" s="175"/>
      <c r="C244" s="176" t="str">
        <f t="shared" si="27"/>
        <v/>
      </c>
      <c r="D244" s="177" t="str">
        <f t="shared" si="32"/>
        <v/>
      </c>
      <c r="E244" s="177" t="str">
        <f t="shared" si="35"/>
        <v/>
      </c>
      <c r="F244" s="178" t="e">
        <f t="shared" si="28"/>
        <v>#VALUE!</v>
      </c>
      <c r="G244" s="177" t="e">
        <f t="shared" si="29"/>
        <v>#VALUE!</v>
      </c>
      <c r="H244" s="177" t="str">
        <f t="shared" si="33"/>
        <v/>
      </c>
      <c r="I244" s="177" t="str">
        <f t="shared" si="34"/>
        <v/>
      </c>
      <c r="J244" s="177" t="e">
        <f t="shared" si="30"/>
        <v>#VALUE!</v>
      </c>
      <c r="K244" s="177">
        <f>SUM($I$17:$I244)</f>
        <v>0</v>
      </c>
      <c r="L244" s="179"/>
      <c r="M244" s="179"/>
    </row>
    <row r="245" spans="1:13" s="180" customFormat="1" ht="12.75">
      <c r="A245" s="192" t="str">
        <f t="shared" si="31"/>
        <v/>
      </c>
      <c r="B245" s="175"/>
      <c r="C245" s="176" t="str">
        <f t="shared" si="27"/>
        <v/>
      </c>
      <c r="D245" s="177" t="str">
        <f t="shared" si="32"/>
        <v/>
      </c>
      <c r="E245" s="177" t="str">
        <f t="shared" si="35"/>
        <v/>
      </c>
      <c r="F245" s="178" t="e">
        <f t="shared" si="28"/>
        <v>#VALUE!</v>
      </c>
      <c r="G245" s="177" t="e">
        <f t="shared" si="29"/>
        <v>#VALUE!</v>
      </c>
      <c r="H245" s="177" t="str">
        <f t="shared" si="33"/>
        <v/>
      </c>
      <c r="I245" s="177" t="str">
        <f t="shared" si="34"/>
        <v/>
      </c>
      <c r="J245" s="177" t="e">
        <f t="shared" si="30"/>
        <v>#VALUE!</v>
      </c>
      <c r="K245" s="177">
        <f>SUM($I$17:$I245)</f>
        <v>0</v>
      </c>
      <c r="L245" s="179"/>
      <c r="M245" s="179"/>
    </row>
    <row r="246" spans="1:13" s="180" customFormat="1" ht="12.75">
      <c r="A246" s="192" t="str">
        <f t="shared" si="31"/>
        <v/>
      </c>
      <c r="B246" s="175"/>
      <c r="C246" s="176" t="str">
        <f t="shared" si="27"/>
        <v/>
      </c>
      <c r="D246" s="177" t="str">
        <f t="shared" si="32"/>
        <v/>
      </c>
      <c r="E246" s="177" t="str">
        <f t="shared" si="35"/>
        <v/>
      </c>
      <c r="F246" s="178" t="e">
        <f t="shared" si="28"/>
        <v>#VALUE!</v>
      </c>
      <c r="G246" s="177" t="e">
        <f t="shared" si="29"/>
        <v>#VALUE!</v>
      </c>
      <c r="H246" s="177" t="str">
        <f t="shared" si="33"/>
        <v/>
      </c>
      <c r="I246" s="177" t="str">
        <f t="shared" si="34"/>
        <v/>
      </c>
      <c r="J246" s="177" t="e">
        <f t="shared" si="30"/>
        <v>#VALUE!</v>
      </c>
      <c r="K246" s="177">
        <f>SUM($I$17:$I246)</f>
        <v>0</v>
      </c>
      <c r="L246" s="179"/>
      <c r="M246" s="179"/>
    </row>
    <row r="247" spans="1:13" s="180" customFormat="1" ht="12.75">
      <c r="A247" s="192" t="str">
        <f t="shared" si="31"/>
        <v/>
      </c>
      <c r="B247" s="175"/>
      <c r="C247" s="176" t="str">
        <f t="shared" si="27"/>
        <v/>
      </c>
      <c r="D247" s="177" t="str">
        <f t="shared" si="32"/>
        <v/>
      </c>
      <c r="E247" s="177" t="str">
        <f t="shared" si="35"/>
        <v/>
      </c>
      <c r="F247" s="178" t="e">
        <f t="shared" si="28"/>
        <v>#VALUE!</v>
      </c>
      <c r="G247" s="177" t="e">
        <f t="shared" si="29"/>
        <v>#VALUE!</v>
      </c>
      <c r="H247" s="177" t="str">
        <f t="shared" si="33"/>
        <v/>
      </c>
      <c r="I247" s="177" t="str">
        <f t="shared" si="34"/>
        <v/>
      </c>
      <c r="J247" s="177" t="e">
        <f t="shared" si="30"/>
        <v>#VALUE!</v>
      </c>
      <c r="K247" s="177">
        <f>SUM($I$17:$I247)</f>
        <v>0</v>
      </c>
      <c r="L247" s="179"/>
      <c r="M247" s="179"/>
    </row>
    <row r="248" spans="1:13" s="180" customFormat="1" ht="12.75">
      <c r="A248" s="192" t="str">
        <f t="shared" si="31"/>
        <v/>
      </c>
      <c r="B248" s="175"/>
      <c r="C248" s="176" t="str">
        <f t="shared" si="27"/>
        <v/>
      </c>
      <c r="D248" s="177" t="str">
        <f t="shared" si="32"/>
        <v/>
      </c>
      <c r="E248" s="177" t="str">
        <f t="shared" si="35"/>
        <v/>
      </c>
      <c r="F248" s="178" t="e">
        <f t="shared" si="28"/>
        <v>#VALUE!</v>
      </c>
      <c r="G248" s="177" t="e">
        <f t="shared" si="29"/>
        <v>#VALUE!</v>
      </c>
      <c r="H248" s="177" t="str">
        <f t="shared" si="33"/>
        <v/>
      </c>
      <c r="I248" s="177" t="str">
        <f t="shared" si="34"/>
        <v/>
      </c>
      <c r="J248" s="177" t="e">
        <f t="shared" si="30"/>
        <v>#VALUE!</v>
      </c>
      <c r="K248" s="177">
        <f>SUM($I$17:$I248)</f>
        <v>0</v>
      </c>
      <c r="L248" s="179"/>
      <c r="M248" s="179"/>
    </row>
    <row r="249" spans="1:13" s="180" customFormat="1" ht="12.75">
      <c r="A249" s="192" t="str">
        <f t="shared" si="31"/>
        <v/>
      </c>
      <c r="B249" s="175"/>
      <c r="C249" s="176" t="str">
        <f t="shared" si="27"/>
        <v/>
      </c>
      <c r="D249" s="177" t="str">
        <f t="shared" si="32"/>
        <v/>
      </c>
      <c r="E249" s="177" t="str">
        <f t="shared" si="35"/>
        <v/>
      </c>
      <c r="F249" s="178" t="e">
        <f t="shared" si="28"/>
        <v>#VALUE!</v>
      </c>
      <c r="G249" s="177" t="e">
        <f t="shared" si="29"/>
        <v>#VALUE!</v>
      </c>
      <c r="H249" s="177" t="str">
        <f t="shared" si="33"/>
        <v/>
      </c>
      <c r="I249" s="177" t="str">
        <f t="shared" si="34"/>
        <v/>
      </c>
      <c r="J249" s="177" t="e">
        <f t="shared" si="30"/>
        <v>#VALUE!</v>
      </c>
      <c r="K249" s="177">
        <f>SUM($I$17:$I249)</f>
        <v>0</v>
      </c>
      <c r="L249" s="179"/>
      <c r="M249" s="179"/>
    </row>
    <row r="250" spans="1:13" s="180" customFormat="1" ht="12.75">
      <c r="A250" s="192" t="str">
        <f t="shared" si="31"/>
        <v/>
      </c>
      <c r="B250" s="175"/>
      <c r="C250" s="176" t="str">
        <f t="shared" si="27"/>
        <v/>
      </c>
      <c r="D250" s="177" t="str">
        <f t="shared" si="32"/>
        <v/>
      </c>
      <c r="E250" s="177" t="str">
        <f t="shared" si="35"/>
        <v/>
      </c>
      <c r="F250" s="178" t="e">
        <f t="shared" si="28"/>
        <v>#VALUE!</v>
      </c>
      <c r="G250" s="177" t="e">
        <f t="shared" si="29"/>
        <v>#VALUE!</v>
      </c>
      <c r="H250" s="177" t="str">
        <f t="shared" si="33"/>
        <v/>
      </c>
      <c r="I250" s="177" t="str">
        <f t="shared" si="34"/>
        <v/>
      </c>
      <c r="J250" s="177" t="e">
        <f t="shared" si="30"/>
        <v>#VALUE!</v>
      </c>
      <c r="K250" s="177">
        <f>SUM($I$17:$I250)</f>
        <v>0</v>
      </c>
      <c r="L250" s="179"/>
      <c r="M250" s="179"/>
    </row>
    <row r="251" spans="1:13" s="180" customFormat="1" ht="12.75">
      <c r="A251" s="192" t="str">
        <f t="shared" si="31"/>
        <v/>
      </c>
      <c r="B251" s="175"/>
      <c r="C251" s="176" t="str">
        <f t="shared" si="27"/>
        <v/>
      </c>
      <c r="D251" s="177" t="str">
        <f t="shared" si="32"/>
        <v/>
      </c>
      <c r="E251" s="177" t="str">
        <f t="shared" si="35"/>
        <v/>
      </c>
      <c r="F251" s="178" t="e">
        <f t="shared" si="28"/>
        <v>#VALUE!</v>
      </c>
      <c r="G251" s="177" t="e">
        <f t="shared" si="29"/>
        <v>#VALUE!</v>
      </c>
      <c r="H251" s="177" t="str">
        <f t="shared" si="33"/>
        <v/>
      </c>
      <c r="I251" s="177" t="str">
        <f t="shared" si="34"/>
        <v/>
      </c>
      <c r="J251" s="177" t="e">
        <f t="shared" si="30"/>
        <v>#VALUE!</v>
      </c>
      <c r="K251" s="177">
        <f>SUM($I$17:$I251)</f>
        <v>0</v>
      </c>
      <c r="L251" s="179"/>
      <c r="M251" s="179"/>
    </row>
    <row r="252" spans="1:13" s="180" customFormat="1" ht="12.75">
      <c r="A252" s="192" t="str">
        <f t="shared" si="31"/>
        <v/>
      </c>
      <c r="B252" s="175"/>
      <c r="C252" s="176" t="str">
        <f t="shared" si="27"/>
        <v/>
      </c>
      <c r="D252" s="177" t="str">
        <f t="shared" si="32"/>
        <v/>
      </c>
      <c r="E252" s="177" t="str">
        <f t="shared" si="35"/>
        <v/>
      </c>
      <c r="F252" s="178" t="e">
        <f t="shared" si="28"/>
        <v>#VALUE!</v>
      </c>
      <c r="G252" s="177" t="e">
        <f t="shared" si="29"/>
        <v>#VALUE!</v>
      </c>
      <c r="H252" s="177" t="str">
        <f t="shared" si="33"/>
        <v/>
      </c>
      <c r="I252" s="177" t="str">
        <f t="shared" si="34"/>
        <v/>
      </c>
      <c r="J252" s="177" t="e">
        <f t="shared" si="30"/>
        <v>#VALUE!</v>
      </c>
      <c r="K252" s="177">
        <f>SUM($I$17:$I252)</f>
        <v>0</v>
      </c>
      <c r="L252" s="179"/>
      <c r="M252" s="179"/>
    </row>
    <row r="253" spans="1:13" s="180" customFormat="1" ht="12.75">
      <c r="A253" s="192" t="str">
        <f t="shared" si="31"/>
        <v/>
      </c>
      <c r="B253" s="175"/>
      <c r="C253" s="176" t="str">
        <f t="shared" si="27"/>
        <v/>
      </c>
      <c r="D253" s="177" t="str">
        <f t="shared" si="32"/>
        <v/>
      </c>
      <c r="E253" s="177" t="str">
        <f t="shared" si="35"/>
        <v/>
      </c>
      <c r="F253" s="178" t="e">
        <f t="shared" si="28"/>
        <v>#VALUE!</v>
      </c>
      <c r="G253" s="177" t="e">
        <f t="shared" si="29"/>
        <v>#VALUE!</v>
      </c>
      <c r="H253" s="177" t="str">
        <f t="shared" si="33"/>
        <v/>
      </c>
      <c r="I253" s="177" t="str">
        <f t="shared" si="34"/>
        <v/>
      </c>
      <c r="J253" s="177" t="e">
        <f t="shared" si="30"/>
        <v>#VALUE!</v>
      </c>
      <c r="K253" s="177">
        <f>SUM($I$17:$I253)</f>
        <v>0</v>
      </c>
      <c r="L253" s="179"/>
      <c r="M253" s="179"/>
    </row>
    <row r="254" spans="1:13" s="180" customFormat="1" ht="12.75">
      <c r="A254" s="192" t="str">
        <f t="shared" si="31"/>
        <v/>
      </c>
      <c r="B254" s="175"/>
      <c r="C254" s="176" t="str">
        <f t="shared" si="27"/>
        <v/>
      </c>
      <c r="D254" s="177" t="str">
        <f t="shared" si="32"/>
        <v/>
      </c>
      <c r="E254" s="177" t="str">
        <f t="shared" si="35"/>
        <v/>
      </c>
      <c r="F254" s="178" t="e">
        <f t="shared" si="28"/>
        <v>#VALUE!</v>
      </c>
      <c r="G254" s="177" t="e">
        <f t="shared" si="29"/>
        <v>#VALUE!</v>
      </c>
      <c r="H254" s="177" t="str">
        <f t="shared" si="33"/>
        <v/>
      </c>
      <c r="I254" s="177" t="str">
        <f t="shared" si="34"/>
        <v/>
      </c>
      <c r="J254" s="177" t="e">
        <f t="shared" si="30"/>
        <v>#VALUE!</v>
      </c>
      <c r="K254" s="177">
        <f>SUM($I$17:$I254)</f>
        <v>0</v>
      </c>
      <c r="L254" s="179"/>
      <c r="M254" s="179"/>
    </row>
    <row r="255" spans="1:13" s="180" customFormat="1" ht="12.75">
      <c r="A255" s="192" t="str">
        <f t="shared" si="31"/>
        <v/>
      </c>
      <c r="B255" s="175"/>
      <c r="C255" s="176" t="str">
        <f t="shared" si="27"/>
        <v/>
      </c>
      <c r="D255" s="177" t="str">
        <f t="shared" si="32"/>
        <v/>
      </c>
      <c r="E255" s="177" t="str">
        <f t="shared" si="35"/>
        <v/>
      </c>
      <c r="F255" s="178" t="e">
        <f t="shared" si="28"/>
        <v>#VALUE!</v>
      </c>
      <c r="G255" s="177" t="e">
        <f t="shared" si="29"/>
        <v>#VALUE!</v>
      </c>
      <c r="H255" s="177" t="str">
        <f t="shared" si="33"/>
        <v/>
      </c>
      <c r="I255" s="177" t="str">
        <f t="shared" si="34"/>
        <v/>
      </c>
      <c r="J255" s="177" t="e">
        <f t="shared" si="30"/>
        <v>#VALUE!</v>
      </c>
      <c r="K255" s="177">
        <f>SUM($I$17:$I255)</f>
        <v>0</v>
      </c>
      <c r="L255" s="179"/>
      <c r="M255" s="179"/>
    </row>
    <row r="256" spans="1:13" s="180" customFormat="1" ht="12.75">
      <c r="A256" s="192" t="str">
        <f t="shared" si="31"/>
        <v/>
      </c>
      <c r="B256" s="175"/>
      <c r="C256" s="176" t="str">
        <f t="shared" si="27"/>
        <v/>
      </c>
      <c r="D256" s="177" t="str">
        <f t="shared" si="32"/>
        <v/>
      </c>
      <c r="E256" s="177" t="str">
        <f t="shared" si="35"/>
        <v/>
      </c>
      <c r="F256" s="178" t="e">
        <f t="shared" si="28"/>
        <v>#VALUE!</v>
      </c>
      <c r="G256" s="177" t="e">
        <f t="shared" si="29"/>
        <v>#VALUE!</v>
      </c>
      <c r="H256" s="177" t="str">
        <f t="shared" si="33"/>
        <v/>
      </c>
      <c r="I256" s="177" t="str">
        <f t="shared" si="34"/>
        <v/>
      </c>
      <c r="J256" s="177" t="e">
        <f t="shared" si="30"/>
        <v>#VALUE!</v>
      </c>
      <c r="K256" s="177">
        <f>SUM($I$17:$I256)</f>
        <v>0</v>
      </c>
      <c r="L256" s="179"/>
      <c r="M256" s="179"/>
    </row>
    <row r="257" spans="1:13" s="180" customFormat="1" ht="12.75">
      <c r="A257" s="192" t="str">
        <f t="shared" si="31"/>
        <v/>
      </c>
      <c r="B257" s="175"/>
      <c r="C257" s="176" t="str">
        <f t="shared" si="27"/>
        <v/>
      </c>
      <c r="D257" s="177" t="str">
        <f t="shared" si="32"/>
        <v/>
      </c>
      <c r="E257" s="177" t="str">
        <f t="shared" si="35"/>
        <v/>
      </c>
      <c r="F257" s="178" t="e">
        <f t="shared" si="28"/>
        <v>#VALUE!</v>
      </c>
      <c r="G257" s="177" t="e">
        <f t="shared" si="29"/>
        <v>#VALUE!</v>
      </c>
      <c r="H257" s="177" t="str">
        <f t="shared" si="33"/>
        <v/>
      </c>
      <c r="I257" s="177" t="str">
        <f t="shared" si="34"/>
        <v/>
      </c>
      <c r="J257" s="177" t="e">
        <f t="shared" si="30"/>
        <v>#VALUE!</v>
      </c>
      <c r="K257" s="177">
        <f>SUM($I$17:$I257)</f>
        <v>0</v>
      </c>
      <c r="L257" s="179"/>
      <c r="M257" s="179"/>
    </row>
    <row r="258" spans="1:13" s="180" customFormat="1" ht="12.75">
      <c r="A258" s="192" t="str">
        <f t="shared" si="31"/>
        <v/>
      </c>
      <c r="B258" s="175"/>
      <c r="C258" s="176" t="str">
        <f t="shared" si="27"/>
        <v/>
      </c>
      <c r="D258" s="177" t="str">
        <f t="shared" si="32"/>
        <v/>
      </c>
      <c r="E258" s="177" t="str">
        <f t="shared" si="35"/>
        <v/>
      </c>
      <c r="F258" s="178" t="e">
        <f t="shared" si="28"/>
        <v>#VALUE!</v>
      </c>
      <c r="G258" s="177" t="e">
        <f t="shared" si="29"/>
        <v>#VALUE!</v>
      </c>
      <c r="H258" s="177" t="str">
        <f t="shared" si="33"/>
        <v/>
      </c>
      <c r="I258" s="177" t="str">
        <f t="shared" si="34"/>
        <v/>
      </c>
      <c r="J258" s="177" t="e">
        <f t="shared" si="30"/>
        <v>#VALUE!</v>
      </c>
      <c r="K258" s="177">
        <f>SUM($I$17:$I258)</f>
        <v>0</v>
      </c>
      <c r="L258" s="179"/>
      <c r="M258" s="179"/>
    </row>
    <row r="259" spans="1:13" s="180" customFormat="1" ht="12.75">
      <c r="A259" s="192" t="str">
        <f t="shared" si="31"/>
        <v/>
      </c>
      <c r="B259" s="175"/>
      <c r="C259" s="176" t="str">
        <f t="shared" si="27"/>
        <v/>
      </c>
      <c r="D259" s="177" t="str">
        <f t="shared" si="32"/>
        <v/>
      </c>
      <c r="E259" s="177" t="str">
        <f t="shared" si="35"/>
        <v/>
      </c>
      <c r="F259" s="178" t="e">
        <f t="shared" si="28"/>
        <v>#VALUE!</v>
      </c>
      <c r="G259" s="177" t="e">
        <f t="shared" si="29"/>
        <v>#VALUE!</v>
      </c>
      <c r="H259" s="177" t="str">
        <f t="shared" si="33"/>
        <v/>
      </c>
      <c r="I259" s="177" t="str">
        <f t="shared" si="34"/>
        <v/>
      </c>
      <c r="J259" s="177" t="e">
        <f t="shared" si="30"/>
        <v>#VALUE!</v>
      </c>
      <c r="K259" s="177">
        <f>SUM($I$17:$I259)</f>
        <v>0</v>
      </c>
      <c r="L259" s="179"/>
      <c r="M259" s="179"/>
    </row>
    <row r="260" spans="1:13" s="180" customFormat="1" ht="12.75">
      <c r="A260" s="192" t="str">
        <f t="shared" si="31"/>
        <v/>
      </c>
      <c r="B260" s="175"/>
      <c r="C260" s="176" t="str">
        <f t="shared" si="27"/>
        <v/>
      </c>
      <c r="D260" s="177" t="str">
        <f t="shared" si="32"/>
        <v/>
      </c>
      <c r="E260" s="177" t="str">
        <f t="shared" si="35"/>
        <v/>
      </c>
      <c r="F260" s="178" t="e">
        <f t="shared" si="28"/>
        <v>#VALUE!</v>
      </c>
      <c r="G260" s="177" t="e">
        <f t="shared" si="29"/>
        <v>#VALUE!</v>
      </c>
      <c r="H260" s="177" t="str">
        <f t="shared" si="33"/>
        <v/>
      </c>
      <c r="I260" s="177" t="str">
        <f t="shared" si="34"/>
        <v/>
      </c>
      <c r="J260" s="177" t="e">
        <f t="shared" si="30"/>
        <v>#VALUE!</v>
      </c>
      <c r="K260" s="177">
        <f>SUM($I$17:$I260)</f>
        <v>0</v>
      </c>
      <c r="L260" s="179"/>
      <c r="M260" s="179"/>
    </row>
    <row r="261" spans="1:13" s="180" customFormat="1" ht="12.75">
      <c r="A261" s="192" t="str">
        <f t="shared" si="31"/>
        <v/>
      </c>
      <c r="B261" s="175"/>
      <c r="C261" s="176" t="str">
        <f t="shared" si="27"/>
        <v/>
      </c>
      <c r="D261" s="177" t="str">
        <f t="shared" si="32"/>
        <v/>
      </c>
      <c r="E261" s="177" t="str">
        <f t="shared" si="35"/>
        <v/>
      </c>
      <c r="F261" s="178" t="e">
        <f t="shared" si="28"/>
        <v>#VALUE!</v>
      </c>
      <c r="G261" s="177" t="e">
        <f t="shared" si="29"/>
        <v>#VALUE!</v>
      </c>
      <c r="H261" s="177" t="str">
        <f t="shared" si="33"/>
        <v/>
      </c>
      <c r="I261" s="177" t="str">
        <f t="shared" si="34"/>
        <v/>
      </c>
      <c r="J261" s="177" t="e">
        <f t="shared" si="30"/>
        <v>#VALUE!</v>
      </c>
      <c r="K261" s="177">
        <f>SUM($I$17:$I261)</f>
        <v>0</v>
      </c>
      <c r="L261" s="179"/>
      <c r="M261" s="179"/>
    </row>
    <row r="262" spans="1:13" s="180" customFormat="1" ht="12.75">
      <c r="A262" s="192" t="str">
        <f t="shared" si="31"/>
        <v/>
      </c>
      <c r="B262" s="175"/>
      <c r="C262" s="176" t="str">
        <f t="shared" si="27"/>
        <v/>
      </c>
      <c r="D262" s="177" t="str">
        <f t="shared" si="32"/>
        <v/>
      </c>
      <c r="E262" s="177" t="str">
        <f t="shared" si="35"/>
        <v/>
      </c>
      <c r="F262" s="178" t="e">
        <f t="shared" si="28"/>
        <v>#VALUE!</v>
      </c>
      <c r="G262" s="177" t="e">
        <f t="shared" si="29"/>
        <v>#VALUE!</v>
      </c>
      <c r="H262" s="177" t="str">
        <f t="shared" si="33"/>
        <v/>
      </c>
      <c r="I262" s="177" t="str">
        <f t="shared" si="34"/>
        <v/>
      </c>
      <c r="J262" s="177" t="e">
        <f t="shared" si="30"/>
        <v>#VALUE!</v>
      </c>
      <c r="K262" s="177">
        <f>SUM($I$17:$I262)</f>
        <v>0</v>
      </c>
      <c r="L262" s="179"/>
      <c r="M262" s="179"/>
    </row>
    <row r="263" spans="1:13" s="180" customFormat="1" ht="12.75">
      <c r="A263" s="192" t="str">
        <f t="shared" si="31"/>
        <v/>
      </c>
      <c r="B263" s="175"/>
      <c r="C263" s="176" t="str">
        <f t="shared" si="27"/>
        <v/>
      </c>
      <c r="D263" s="177" t="str">
        <f t="shared" si="32"/>
        <v/>
      </c>
      <c r="E263" s="177" t="str">
        <f t="shared" si="35"/>
        <v/>
      </c>
      <c r="F263" s="178" t="e">
        <f t="shared" si="28"/>
        <v>#VALUE!</v>
      </c>
      <c r="G263" s="177" t="e">
        <f t="shared" si="29"/>
        <v>#VALUE!</v>
      </c>
      <c r="H263" s="177" t="str">
        <f t="shared" si="33"/>
        <v/>
      </c>
      <c r="I263" s="177" t="str">
        <f t="shared" si="34"/>
        <v/>
      </c>
      <c r="J263" s="177" t="e">
        <f t="shared" si="30"/>
        <v>#VALUE!</v>
      </c>
      <c r="K263" s="177">
        <f>SUM($I$17:$I263)</f>
        <v>0</v>
      </c>
      <c r="L263" s="179"/>
      <c r="M263" s="179"/>
    </row>
    <row r="264" spans="1:13" s="180" customFormat="1" ht="12.75">
      <c r="A264" s="192" t="str">
        <f t="shared" si="31"/>
        <v/>
      </c>
      <c r="B264" s="175"/>
      <c r="C264" s="176" t="str">
        <f t="shared" si="27"/>
        <v/>
      </c>
      <c r="D264" s="177" t="str">
        <f t="shared" si="32"/>
        <v/>
      </c>
      <c r="E264" s="177" t="str">
        <f t="shared" si="35"/>
        <v/>
      </c>
      <c r="F264" s="178" t="e">
        <f t="shared" si="28"/>
        <v>#VALUE!</v>
      </c>
      <c r="G264" s="177" t="e">
        <f t="shared" si="29"/>
        <v>#VALUE!</v>
      </c>
      <c r="H264" s="177" t="str">
        <f t="shared" si="33"/>
        <v/>
      </c>
      <c r="I264" s="177" t="str">
        <f t="shared" si="34"/>
        <v/>
      </c>
      <c r="J264" s="177" t="e">
        <f t="shared" si="30"/>
        <v>#VALUE!</v>
      </c>
      <c r="K264" s="177">
        <f>SUM($I$17:$I264)</f>
        <v>0</v>
      </c>
      <c r="L264" s="179"/>
      <c r="M264" s="179"/>
    </row>
    <row r="265" spans="1:13" s="180" customFormat="1" ht="12.75">
      <c r="A265" s="192" t="str">
        <f t="shared" si="31"/>
        <v/>
      </c>
      <c r="B265" s="175"/>
      <c r="C265" s="176" t="str">
        <f t="shared" si="27"/>
        <v/>
      </c>
      <c r="D265" s="177" t="str">
        <f t="shared" si="32"/>
        <v/>
      </c>
      <c r="E265" s="177" t="str">
        <f t="shared" si="35"/>
        <v/>
      </c>
      <c r="F265" s="178" t="e">
        <f t="shared" si="28"/>
        <v>#VALUE!</v>
      </c>
      <c r="G265" s="177" t="e">
        <f t="shared" si="29"/>
        <v>#VALUE!</v>
      </c>
      <c r="H265" s="177" t="str">
        <f t="shared" si="33"/>
        <v/>
      </c>
      <c r="I265" s="177" t="str">
        <f t="shared" si="34"/>
        <v/>
      </c>
      <c r="J265" s="177" t="e">
        <f t="shared" si="30"/>
        <v>#VALUE!</v>
      </c>
      <c r="K265" s="177">
        <f>SUM($I$17:$I265)</f>
        <v>0</v>
      </c>
      <c r="L265" s="179"/>
      <c r="M265" s="179"/>
    </row>
    <row r="266" spans="1:13" s="180" customFormat="1" ht="12.75">
      <c r="A266" s="192" t="str">
        <f t="shared" si="31"/>
        <v/>
      </c>
      <c r="B266" s="175"/>
      <c r="C266" s="176" t="str">
        <f t="shared" si="27"/>
        <v/>
      </c>
      <c r="D266" s="177" t="str">
        <f t="shared" si="32"/>
        <v/>
      </c>
      <c r="E266" s="177" t="str">
        <f t="shared" si="35"/>
        <v/>
      </c>
      <c r="F266" s="178" t="e">
        <f t="shared" si="28"/>
        <v>#VALUE!</v>
      </c>
      <c r="G266" s="177" t="e">
        <f t="shared" si="29"/>
        <v>#VALUE!</v>
      </c>
      <c r="H266" s="177" t="str">
        <f t="shared" si="33"/>
        <v/>
      </c>
      <c r="I266" s="177" t="str">
        <f t="shared" si="34"/>
        <v/>
      </c>
      <c r="J266" s="177" t="e">
        <f t="shared" si="30"/>
        <v>#VALUE!</v>
      </c>
      <c r="K266" s="177">
        <f>SUM($I$17:$I266)</f>
        <v>0</v>
      </c>
      <c r="L266" s="179"/>
      <c r="M266" s="179"/>
    </row>
    <row r="267" spans="1:13" s="180" customFormat="1" ht="12.75">
      <c r="A267" s="192" t="str">
        <f t="shared" si="31"/>
        <v/>
      </c>
      <c r="B267" s="175"/>
      <c r="C267" s="176" t="str">
        <f t="shared" si="27"/>
        <v/>
      </c>
      <c r="D267" s="177" t="str">
        <f t="shared" si="32"/>
        <v/>
      </c>
      <c r="E267" s="177" t="str">
        <f t="shared" si="35"/>
        <v/>
      </c>
      <c r="F267" s="178" t="e">
        <f t="shared" si="28"/>
        <v>#VALUE!</v>
      </c>
      <c r="G267" s="177" t="e">
        <f t="shared" si="29"/>
        <v>#VALUE!</v>
      </c>
      <c r="H267" s="177" t="str">
        <f t="shared" si="33"/>
        <v/>
      </c>
      <c r="I267" s="177" t="str">
        <f t="shared" si="34"/>
        <v/>
      </c>
      <c r="J267" s="177" t="e">
        <f t="shared" si="30"/>
        <v>#VALUE!</v>
      </c>
      <c r="K267" s="177">
        <f>SUM($I$17:$I267)</f>
        <v>0</v>
      </c>
      <c r="L267" s="179"/>
      <c r="M267" s="179"/>
    </row>
    <row r="268" spans="1:13" s="180" customFormat="1" ht="12.75">
      <c r="A268" s="192" t="str">
        <f t="shared" si="31"/>
        <v/>
      </c>
      <c r="B268" s="175"/>
      <c r="C268" s="176" t="str">
        <f t="shared" si="27"/>
        <v/>
      </c>
      <c r="D268" s="177" t="str">
        <f t="shared" si="32"/>
        <v/>
      </c>
      <c r="E268" s="177" t="str">
        <f t="shared" si="35"/>
        <v/>
      </c>
      <c r="F268" s="178" t="e">
        <f t="shared" si="28"/>
        <v>#VALUE!</v>
      </c>
      <c r="G268" s="177" t="e">
        <f t="shared" si="29"/>
        <v>#VALUE!</v>
      </c>
      <c r="H268" s="177" t="str">
        <f t="shared" si="33"/>
        <v/>
      </c>
      <c r="I268" s="177" t="str">
        <f t="shared" si="34"/>
        <v/>
      </c>
      <c r="J268" s="177" t="e">
        <f t="shared" si="30"/>
        <v>#VALUE!</v>
      </c>
      <c r="K268" s="177">
        <f>SUM($I$17:$I268)</f>
        <v>0</v>
      </c>
      <c r="L268" s="179"/>
      <c r="M268" s="179"/>
    </row>
    <row r="269" spans="1:13" s="180" customFormat="1" ht="12.75">
      <c r="A269" s="192" t="str">
        <f t="shared" si="31"/>
        <v/>
      </c>
      <c r="B269" s="175"/>
      <c r="C269" s="176" t="str">
        <f t="shared" si="27"/>
        <v/>
      </c>
      <c r="D269" s="177" t="str">
        <f t="shared" si="32"/>
        <v/>
      </c>
      <c r="E269" s="177" t="str">
        <f t="shared" si="35"/>
        <v/>
      </c>
      <c r="F269" s="178" t="e">
        <f t="shared" si="28"/>
        <v>#VALUE!</v>
      </c>
      <c r="G269" s="177" t="e">
        <f t="shared" si="29"/>
        <v>#VALUE!</v>
      </c>
      <c r="H269" s="177" t="str">
        <f t="shared" si="33"/>
        <v/>
      </c>
      <c r="I269" s="177" t="str">
        <f t="shared" si="34"/>
        <v/>
      </c>
      <c r="J269" s="177" t="e">
        <f t="shared" si="30"/>
        <v>#VALUE!</v>
      </c>
      <c r="K269" s="177">
        <f>SUM($I$17:$I269)</f>
        <v>0</v>
      </c>
      <c r="L269" s="179"/>
      <c r="M269" s="179"/>
    </row>
    <row r="270" spans="1:13" s="180" customFormat="1" ht="12.75">
      <c r="A270" s="192" t="str">
        <f t="shared" si="31"/>
        <v/>
      </c>
      <c r="B270" s="175"/>
      <c r="C270" s="176" t="str">
        <f t="shared" si="27"/>
        <v/>
      </c>
      <c r="D270" s="177" t="str">
        <f t="shared" si="32"/>
        <v/>
      </c>
      <c r="E270" s="177" t="str">
        <f t="shared" si="35"/>
        <v/>
      </c>
      <c r="F270" s="178" t="e">
        <f t="shared" si="28"/>
        <v>#VALUE!</v>
      </c>
      <c r="G270" s="177" t="e">
        <f t="shared" si="29"/>
        <v>#VALUE!</v>
      </c>
      <c r="H270" s="177" t="str">
        <f t="shared" si="33"/>
        <v/>
      </c>
      <c r="I270" s="177" t="str">
        <f t="shared" si="34"/>
        <v/>
      </c>
      <c r="J270" s="177" t="e">
        <f t="shared" si="30"/>
        <v>#VALUE!</v>
      </c>
      <c r="K270" s="177">
        <f>SUM($I$17:$I270)</f>
        <v>0</v>
      </c>
      <c r="L270" s="179"/>
      <c r="M270" s="179"/>
    </row>
    <row r="271" spans="1:13" s="180" customFormat="1" ht="12.75">
      <c r="A271" s="192" t="str">
        <f t="shared" si="31"/>
        <v/>
      </c>
      <c r="B271" s="175"/>
      <c r="C271" s="176" t="str">
        <f t="shared" si="27"/>
        <v/>
      </c>
      <c r="D271" s="177" t="str">
        <f t="shared" si="32"/>
        <v/>
      </c>
      <c r="E271" s="177" t="str">
        <f t="shared" si="35"/>
        <v/>
      </c>
      <c r="F271" s="178" t="e">
        <f t="shared" si="28"/>
        <v>#VALUE!</v>
      </c>
      <c r="G271" s="177" t="e">
        <f t="shared" si="29"/>
        <v>#VALUE!</v>
      </c>
      <c r="H271" s="177" t="str">
        <f t="shared" si="33"/>
        <v/>
      </c>
      <c r="I271" s="177" t="str">
        <f t="shared" si="34"/>
        <v/>
      </c>
      <c r="J271" s="177" t="e">
        <f t="shared" si="30"/>
        <v>#VALUE!</v>
      </c>
      <c r="K271" s="177">
        <f>SUM($I$17:$I271)</f>
        <v>0</v>
      </c>
      <c r="L271" s="179"/>
      <c r="M271" s="179"/>
    </row>
    <row r="272" spans="1:13" s="180" customFormat="1" ht="12.75">
      <c r="A272" s="192" t="str">
        <f t="shared" si="31"/>
        <v/>
      </c>
      <c r="B272" s="175"/>
      <c r="C272" s="176" t="str">
        <f t="shared" si="27"/>
        <v/>
      </c>
      <c r="D272" s="177" t="str">
        <f t="shared" si="32"/>
        <v/>
      </c>
      <c r="E272" s="177" t="str">
        <f t="shared" si="35"/>
        <v/>
      </c>
      <c r="F272" s="178" t="e">
        <f t="shared" si="28"/>
        <v>#VALUE!</v>
      </c>
      <c r="G272" s="177" t="e">
        <f t="shared" si="29"/>
        <v>#VALUE!</v>
      </c>
      <c r="H272" s="177" t="str">
        <f t="shared" si="33"/>
        <v/>
      </c>
      <c r="I272" s="177" t="str">
        <f t="shared" si="34"/>
        <v/>
      </c>
      <c r="J272" s="177" t="e">
        <f t="shared" si="30"/>
        <v>#VALUE!</v>
      </c>
      <c r="K272" s="177">
        <f>SUM($I$17:$I272)</f>
        <v>0</v>
      </c>
      <c r="L272" s="179"/>
      <c r="M272" s="179"/>
    </row>
    <row r="273" spans="1:14" s="180" customFormat="1" ht="12.75">
      <c r="A273" s="192" t="str">
        <f t="shared" si="31"/>
        <v/>
      </c>
      <c r="B273" s="175"/>
      <c r="C273" s="176" t="str">
        <f t="shared" ref="C273:C336" si="36">IF(Pay_Num&lt;&gt;"",DATE(YEAR(Loan_Start),MONTH(Loan_Start)+(Pay_Num)*12/Num_Pmt_Per_Year,DAY(Loan_Start)),"")</f>
        <v/>
      </c>
      <c r="D273" s="177" t="str">
        <f t="shared" si="32"/>
        <v/>
      </c>
      <c r="E273" s="177" t="str">
        <f t="shared" si="35"/>
        <v/>
      </c>
      <c r="F273" s="178" t="e">
        <f t="shared" ref="F273:F336" si="37">IF(AND(Pay_Num&lt;&gt;"",Sched_Pay+Scheduled_Extra_Payments&lt;Beg_Bal),Scheduled_Extra_Payments,IF(AND(Pay_Num&lt;&gt;"",Beg_Bal-Sched_Pay&gt;0),Beg_Bal-Sched_Pay,IF(Pay_Num&lt;&gt;"",0,"")))</f>
        <v>#VALUE!</v>
      </c>
      <c r="G273" s="177" t="e">
        <f t="shared" ref="G273:G336" si="38">IF(AND(Pay_Num&lt;&gt;"",Sched_Pay+Extra_Pay&lt;Beg_Bal),Sched_Pay+Extra_Pay,IF(Pay_Num&lt;&gt;"",Beg_Bal,""))</f>
        <v>#VALUE!</v>
      </c>
      <c r="H273" s="177" t="str">
        <f t="shared" si="33"/>
        <v/>
      </c>
      <c r="I273" s="177" t="str">
        <f t="shared" si="34"/>
        <v/>
      </c>
      <c r="J273" s="177" t="e">
        <f t="shared" ref="J273:J336" si="39">IF(AND(Pay_Num&lt;&gt;"",Sched_Pay+Extra_Pay&lt;Beg_Bal),Beg_Bal-Princ,IF(Pay_Num&lt;&gt;"",0,""))</f>
        <v>#VALUE!</v>
      </c>
      <c r="K273" s="177">
        <f>SUM($I$17:$I273)</f>
        <v>0</v>
      </c>
      <c r="L273" s="179"/>
      <c r="M273" s="179"/>
    </row>
    <row r="274" spans="1:14" s="180" customFormat="1" ht="12.75">
      <c r="A274" s="192" t="str">
        <f t="shared" ref="A274:A337" si="40">IF(Values_Entered,A273+1,"")</f>
        <v/>
      </c>
      <c r="B274" s="175"/>
      <c r="C274" s="176" t="str">
        <f t="shared" si="36"/>
        <v/>
      </c>
      <c r="D274" s="177" t="str">
        <f t="shared" ref="D274:D337" si="41">IF(Pay_Num&lt;&gt;"",J273,"")</f>
        <v/>
      </c>
      <c r="E274" s="177" t="str">
        <f t="shared" si="35"/>
        <v/>
      </c>
      <c r="F274" s="178" t="e">
        <f t="shared" si="37"/>
        <v>#VALUE!</v>
      </c>
      <c r="G274" s="177" t="e">
        <f t="shared" si="38"/>
        <v>#VALUE!</v>
      </c>
      <c r="H274" s="177" t="str">
        <f t="shared" ref="H274:H337" si="42">IF(Pay_Num&lt;&gt;"",Total_Pay-Int,"")</f>
        <v/>
      </c>
      <c r="I274" s="177" t="str">
        <f t="shared" ref="I274:I337" si="43">IF(Pay_Num&lt;&gt;"",Beg_Bal*Interest_Rate/Num_Pmt_Per_Year,"")</f>
        <v/>
      </c>
      <c r="J274" s="177" t="e">
        <f t="shared" si="39"/>
        <v>#VALUE!</v>
      </c>
      <c r="K274" s="177">
        <f>SUM($I$17:$I274)</f>
        <v>0</v>
      </c>
      <c r="L274" s="179"/>
      <c r="M274" s="179"/>
    </row>
    <row r="275" spans="1:14" s="180" customFormat="1" ht="12.75">
      <c r="A275" s="192" t="str">
        <f t="shared" si="40"/>
        <v/>
      </c>
      <c r="B275" s="175"/>
      <c r="C275" s="176" t="str">
        <f t="shared" si="36"/>
        <v/>
      </c>
      <c r="D275" s="177" t="str">
        <f t="shared" si="41"/>
        <v/>
      </c>
      <c r="E275" s="177" t="str">
        <f t="shared" ref="E275:E338" si="44">IF(Pay_Num&lt;&gt;"",Scheduled_Monthly_Payment,"")</f>
        <v/>
      </c>
      <c r="F275" s="178" t="e">
        <f t="shared" si="37"/>
        <v>#VALUE!</v>
      </c>
      <c r="G275" s="177" t="e">
        <f t="shared" si="38"/>
        <v>#VALUE!</v>
      </c>
      <c r="H275" s="177" t="str">
        <f t="shared" si="42"/>
        <v/>
      </c>
      <c r="I275" s="177" t="str">
        <f t="shared" si="43"/>
        <v/>
      </c>
      <c r="J275" s="177" t="e">
        <f t="shared" si="39"/>
        <v>#VALUE!</v>
      </c>
      <c r="K275" s="177">
        <f>SUM($I$17:$I275)</f>
        <v>0</v>
      </c>
      <c r="L275" s="179"/>
      <c r="M275" s="179"/>
    </row>
    <row r="276" spans="1:14" s="180" customFormat="1" ht="12.75">
      <c r="A276" s="192" t="str">
        <f t="shared" si="40"/>
        <v/>
      </c>
      <c r="B276" s="175"/>
      <c r="C276" s="176" t="str">
        <f t="shared" si="36"/>
        <v/>
      </c>
      <c r="D276" s="177" t="str">
        <f t="shared" si="41"/>
        <v/>
      </c>
      <c r="E276" s="177" t="str">
        <f t="shared" si="44"/>
        <v/>
      </c>
      <c r="F276" s="178" t="e">
        <f t="shared" si="37"/>
        <v>#VALUE!</v>
      </c>
      <c r="G276" s="177" t="e">
        <f t="shared" si="38"/>
        <v>#VALUE!</v>
      </c>
      <c r="H276" s="177" t="str">
        <f t="shared" si="42"/>
        <v/>
      </c>
      <c r="I276" s="177" t="str">
        <f t="shared" si="43"/>
        <v/>
      </c>
      <c r="J276" s="177" t="e">
        <f t="shared" si="39"/>
        <v>#VALUE!</v>
      </c>
      <c r="K276" s="177">
        <f>SUM($I$17:$I276)</f>
        <v>0</v>
      </c>
      <c r="L276" s="179"/>
      <c r="M276" s="179"/>
    </row>
    <row r="277" spans="1:14" s="180" customFormat="1" ht="12.75">
      <c r="A277" s="192" t="str">
        <f t="shared" si="40"/>
        <v/>
      </c>
      <c r="B277" s="175"/>
      <c r="C277" s="176" t="str">
        <f t="shared" si="36"/>
        <v/>
      </c>
      <c r="D277" s="177" t="str">
        <f t="shared" si="41"/>
        <v/>
      </c>
      <c r="E277" s="177" t="str">
        <f t="shared" si="44"/>
        <v/>
      </c>
      <c r="F277" s="178" t="e">
        <f t="shared" si="37"/>
        <v>#VALUE!</v>
      </c>
      <c r="G277" s="177" t="e">
        <f t="shared" si="38"/>
        <v>#VALUE!</v>
      </c>
      <c r="H277" s="177" t="str">
        <f t="shared" si="42"/>
        <v/>
      </c>
      <c r="I277" s="177" t="str">
        <f t="shared" si="43"/>
        <v/>
      </c>
      <c r="J277" s="177" t="e">
        <f t="shared" si="39"/>
        <v>#VALUE!</v>
      </c>
      <c r="K277" s="177">
        <f>SUM($I$17:$I277)</f>
        <v>0</v>
      </c>
      <c r="L277" s="179"/>
      <c r="M277" s="179"/>
    </row>
    <row r="278" spans="1:14" s="180" customFormat="1" ht="12.75">
      <c r="A278" s="192" t="str">
        <f t="shared" si="40"/>
        <v/>
      </c>
      <c r="B278" s="175"/>
      <c r="C278" s="176" t="str">
        <f t="shared" si="36"/>
        <v/>
      </c>
      <c r="D278" s="177" t="str">
        <f t="shared" si="41"/>
        <v/>
      </c>
      <c r="E278" s="177" t="str">
        <f t="shared" si="44"/>
        <v/>
      </c>
      <c r="F278" s="178" t="e">
        <f t="shared" si="37"/>
        <v>#VALUE!</v>
      </c>
      <c r="G278" s="177" t="e">
        <f t="shared" si="38"/>
        <v>#VALUE!</v>
      </c>
      <c r="H278" s="177" t="str">
        <f t="shared" si="42"/>
        <v/>
      </c>
      <c r="I278" s="177" t="str">
        <f t="shared" si="43"/>
        <v/>
      </c>
      <c r="J278" s="177" t="e">
        <f t="shared" si="39"/>
        <v>#VALUE!</v>
      </c>
      <c r="K278" s="177">
        <f>SUM($I$17:$I278)</f>
        <v>0</v>
      </c>
      <c r="L278" s="179"/>
      <c r="M278" s="179"/>
    </row>
    <row r="279" spans="1:14" s="180" customFormat="1" ht="12.75">
      <c r="A279" s="192" t="str">
        <f t="shared" si="40"/>
        <v/>
      </c>
      <c r="B279" s="175"/>
      <c r="C279" s="176" t="str">
        <f t="shared" si="36"/>
        <v/>
      </c>
      <c r="D279" s="177" t="str">
        <f t="shared" si="41"/>
        <v/>
      </c>
      <c r="E279" s="177" t="str">
        <f t="shared" si="44"/>
        <v/>
      </c>
      <c r="F279" s="178" t="e">
        <f t="shared" si="37"/>
        <v>#VALUE!</v>
      </c>
      <c r="G279" s="177" t="e">
        <f t="shared" si="38"/>
        <v>#VALUE!</v>
      </c>
      <c r="H279" s="177" t="str">
        <f t="shared" si="42"/>
        <v/>
      </c>
      <c r="I279" s="177" t="str">
        <f t="shared" si="43"/>
        <v/>
      </c>
      <c r="J279" s="177" t="e">
        <f t="shared" si="39"/>
        <v>#VALUE!</v>
      </c>
      <c r="K279" s="177">
        <f>SUM($I$17:$I279)</f>
        <v>0</v>
      </c>
      <c r="L279" s="179"/>
      <c r="M279" s="179"/>
    </row>
    <row r="280" spans="1:14" ht="12.75">
      <c r="A280" s="191" t="str">
        <f t="shared" si="40"/>
        <v/>
      </c>
      <c r="B280" s="171"/>
      <c r="C280" s="172" t="str">
        <f t="shared" si="36"/>
        <v/>
      </c>
      <c r="D280" s="173" t="str">
        <f t="shared" si="41"/>
        <v/>
      </c>
      <c r="E280" s="173" t="str">
        <f t="shared" si="44"/>
        <v/>
      </c>
      <c r="F280" s="174" t="e">
        <f t="shared" si="37"/>
        <v>#VALUE!</v>
      </c>
      <c r="G280" s="173" t="e">
        <f t="shared" si="38"/>
        <v>#VALUE!</v>
      </c>
      <c r="H280" s="173" t="str">
        <f t="shared" si="42"/>
        <v/>
      </c>
      <c r="I280" s="173" t="str">
        <f t="shared" si="43"/>
        <v/>
      </c>
      <c r="J280" s="173" t="e">
        <f t="shared" si="39"/>
        <v>#VALUE!</v>
      </c>
      <c r="K280" s="173">
        <f>SUM($I$17:$I280)</f>
        <v>0</v>
      </c>
      <c r="L280" s="168"/>
      <c r="M280" s="168"/>
      <c r="N280" s="150"/>
    </row>
    <row r="281" spans="1:14" ht="12.75">
      <c r="A281" s="191" t="str">
        <f t="shared" si="40"/>
        <v/>
      </c>
      <c r="B281" s="171"/>
      <c r="C281" s="172" t="str">
        <f t="shared" si="36"/>
        <v/>
      </c>
      <c r="D281" s="173" t="str">
        <f t="shared" si="41"/>
        <v/>
      </c>
      <c r="E281" s="173" t="str">
        <f t="shared" si="44"/>
        <v/>
      </c>
      <c r="F281" s="174" t="e">
        <f t="shared" si="37"/>
        <v>#VALUE!</v>
      </c>
      <c r="G281" s="173" t="e">
        <f t="shared" si="38"/>
        <v>#VALUE!</v>
      </c>
      <c r="H281" s="173" t="str">
        <f t="shared" si="42"/>
        <v/>
      </c>
      <c r="I281" s="173" t="str">
        <f t="shared" si="43"/>
        <v/>
      </c>
      <c r="J281" s="173" t="e">
        <f t="shared" si="39"/>
        <v>#VALUE!</v>
      </c>
      <c r="K281" s="173">
        <f>SUM($I$17:$I281)</f>
        <v>0</v>
      </c>
      <c r="L281" s="168"/>
      <c r="M281" s="168"/>
      <c r="N281" s="150"/>
    </row>
    <row r="282" spans="1:14" ht="12.75">
      <c r="A282" s="191" t="str">
        <f t="shared" si="40"/>
        <v/>
      </c>
      <c r="B282" s="171"/>
      <c r="C282" s="172" t="str">
        <f t="shared" si="36"/>
        <v/>
      </c>
      <c r="D282" s="173" t="str">
        <f t="shared" si="41"/>
        <v/>
      </c>
      <c r="E282" s="173" t="str">
        <f t="shared" si="44"/>
        <v/>
      </c>
      <c r="F282" s="174" t="e">
        <f t="shared" si="37"/>
        <v>#VALUE!</v>
      </c>
      <c r="G282" s="173" t="e">
        <f t="shared" si="38"/>
        <v>#VALUE!</v>
      </c>
      <c r="H282" s="173" t="str">
        <f t="shared" si="42"/>
        <v/>
      </c>
      <c r="I282" s="173" t="str">
        <f t="shared" si="43"/>
        <v/>
      </c>
      <c r="J282" s="173" t="e">
        <f t="shared" si="39"/>
        <v>#VALUE!</v>
      </c>
      <c r="K282" s="173">
        <f>SUM($I$17:$I282)</f>
        <v>0</v>
      </c>
      <c r="L282" s="168"/>
      <c r="M282" s="168"/>
      <c r="N282" s="150"/>
    </row>
    <row r="283" spans="1:14" ht="12.75">
      <c r="A283" s="191" t="str">
        <f t="shared" si="40"/>
        <v/>
      </c>
      <c r="B283" s="171"/>
      <c r="C283" s="172" t="str">
        <f t="shared" si="36"/>
        <v/>
      </c>
      <c r="D283" s="173" t="str">
        <f t="shared" si="41"/>
        <v/>
      </c>
      <c r="E283" s="173" t="str">
        <f t="shared" si="44"/>
        <v/>
      </c>
      <c r="F283" s="174" t="e">
        <f t="shared" si="37"/>
        <v>#VALUE!</v>
      </c>
      <c r="G283" s="173" t="e">
        <f t="shared" si="38"/>
        <v>#VALUE!</v>
      </c>
      <c r="H283" s="173" t="str">
        <f t="shared" si="42"/>
        <v/>
      </c>
      <c r="I283" s="173" t="str">
        <f t="shared" si="43"/>
        <v/>
      </c>
      <c r="J283" s="173" t="e">
        <f t="shared" si="39"/>
        <v>#VALUE!</v>
      </c>
      <c r="K283" s="173">
        <f>SUM($I$17:$I283)</f>
        <v>0</v>
      </c>
      <c r="L283" s="168"/>
      <c r="M283" s="168"/>
      <c r="N283" s="150"/>
    </row>
    <row r="284" spans="1:14" ht="12.75">
      <c r="A284" s="191" t="str">
        <f t="shared" si="40"/>
        <v/>
      </c>
      <c r="B284" s="171"/>
      <c r="C284" s="172" t="str">
        <f t="shared" si="36"/>
        <v/>
      </c>
      <c r="D284" s="173" t="str">
        <f t="shared" si="41"/>
        <v/>
      </c>
      <c r="E284" s="173" t="str">
        <f t="shared" si="44"/>
        <v/>
      </c>
      <c r="F284" s="174" t="e">
        <f t="shared" si="37"/>
        <v>#VALUE!</v>
      </c>
      <c r="G284" s="173" t="e">
        <f t="shared" si="38"/>
        <v>#VALUE!</v>
      </c>
      <c r="H284" s="173" t="str">
        <f t="shared" si="42"/>
        <v/>
      </c>
      <c r="I284" s="173" t="str">
        <f t="shared" si="43"/>
        <v/>
      </c>
      <c r="J284" s="173" t="e">
        <f t="shared" si="39"/>
        <v>#VALUE!</v>
      </c>
      <c r="K284" s="173">
        <f>SUM($I$17:$I284)</f>
        <v>0</v>
      </c>
      <c r="L284" s="168"/>
      <c r="M284" s="168"/>
      <c r="N284" s="150"/>
    </row>
    <row r="285" spans="1:14" ht="12.75">
      <c r="A285" s="191" t="str">
        <f t="shared" si="40"/>
        <v/>
      </c>
      <c r="B285" s="171"/>
      <c r="C285" s="172" t="str">
        <f t="shared" si="36"/>
        <v/>
      </c>
      <c r="D285" s="173" t="str">
        <f t="shared" si="41"/>
        <v/>
      </c>
      <c r="E285" s="173" t="str">
        <f t="shared" si="44"/>
        <v/>
      </c>
      <c r="F285" s="174" t="e">
        <f t="shared" si="37"/>
        <v>#VALUE!</v>
      </c>
      <c r="G285" s="173" t="e">
        <f t="shared" si="38"/>
        <v>#VALUE!</v>
      </c>
      <c r="H285" s="173" t="str">
        <f t="shared" si="42"/>
        <v/>
      </c>
      <c r="I285" s="173" t="str">
        <f t="shared" si="43"/>
        <v/>
      </c>
      <c r="J285" s="173" t="e">
        <f t="shared" si="39"/>
        <v>#VALUE!</v>
      </c>
      <c r="K285" s="173">
        <f>SUM($I$17:$I285)</f>
        <v>0</v>
      </c>
      <c r="L285" s="168"/>
      <c r="M285" s="168"/>
      <c r="N285" s="150"/>
    </row>
    <row r="286" spans="1:14" ht="12.75">
      <c r="A286" s="191" t="str">
        <f t="shared" si="40"/>
        <v/>
      </c>
      <c r="B286" s="171"/>
      <c r="C286" s="172" t="str">
        <f t="shared" si="36"/>
        <v/>
      </c>
      <c r="D286" s="173" t="str">
        <f t="shared" si="41"/>
        <v/>
      </c>
      <c r="E286" s="173" t="str">
        <f t="shared" si="44"/>
        <v/>
      </c>
      <c r="F286" s="174" t="e">
        <f t="shared" si="37"/>
        <v>#VALUE!</v>
      </c>
      <c r="G286" s="173" t="e">
        <f t="shared" si="38"/>
        <v>#VALUE!</v>
      </c>
      <c r="H286" s="173" t="str">
        <f t="shared" si="42"/>
        <v/>
      </c>
      <c r="I286" s="173" t="str">
        <f t="shared" si="43"/>
        <v/>
      </c>
      <c r="J286" s="173" t="e">
        <f t="shared" si="39"/>
        <v>#VALUE!</v>
      </c>
      <c r="K286" s="173">
        <f>SUM($I$17:$I286)</f>
        <v>0</v>
      </c>
      <c r="L286" s="168"/>
      <c r="M286" s="168"/>
      <c r="N286" s="150"/>
    </row>
    <row r="287" spans="1:14" ht="12.75">
      <c r="A287" s="191" t="str">
        <f t="shared" si="40"/>
        <v/>
      </c>
      <c r="B287" s="171"/>
      <c r="C287" s="172" t="str">
        <f t="shared" si="36"/>
        <v/>
      </c>
      <c r="D287" s="173" t="str">
        <f t="shared" si="41"/>
        <v/>
      </c>
      <c r="E287" s="173" t="str">
        <f t="shared" si="44"/>
        <v/>
      </c>
      <c r="F287" s="174" t="e">
        <f t="shared" si="37"/>
        <v>#VALUE!</v>
      </c>
      <c r="G287" s="173" t="e">
        <f t="shared" si="38"/>
        <v>#VALUE!</v>
      </c>
      <c r="H287" s="173" t="str">
        <f t="shared" si="42"/>
        <v/>
      </c>
      <c r="I287" s="173" t="str">
        <f t="shared" si="43"/>
        <v/>
      </c>
      <c r="J287" s="173" t="e">
        <f t="shared" si="39"/>
        <v>#VALUE!</v>
      </c>
      <c r="K287" s="173">
        <f>SUM($I$17:$I287)</f>
        <v>0</v>
      </c>
      <c r="L287" s="168"/>
      <c r="M287" s="168"/>
      <c r="N287" s="150"/>
    </row>
    <row r="288" spans="1:14" ht="12.75">
      <c r="A288" s="191" t="str">
        <f t="shared" si="40"/>
        <v/>
      </c>
      <c r="B288" s="171"/>
      <c r="C288" s="172" t="str">
        <f t="shared" si="36"/>
        <v/>
      </c>
      <c r="D288" s="173" t="str">
        <f t="shared" si="41"/>
        <v/>
      </c>
      <c r="E288" s="173" t="str">
        <f t="shared" si="44"/>
        <v/>
      </c>
      <c r="F288" s="174" t="e">
        <f t="shared" si="37"/>
        <v>#VALUE!</v>
      </c>
      <c r="G288" s="173" t="e">
        <f t="shared" si="38"/>
        <v>#VALUE!</v>
      </c>
      <c r="H288" s="173" t="str">
        <f t="shared" si="42"/>
        <v/>
      </c>
      <c r="I288" s="173" t="str">
        <f t="shared" si="43"/>
        <v/>
      </c>
      <c r="J288" s="173" t="e">
        <f t="shared" si="39"/>
        <v>#VALUE!</v>
      </c>
      <c r="K288" s="173">
        <f>SUM($I$17:$I288)</f>
        <v>0</v>
      </c>
      <c r="L288" s="168"/>
      <c r="M288" s="168"/>
      <c r="N288" s="150"/>
    </row>
    <row r="289" spans="1:14" ht="12.75">
      <c r="A289" s="191" t="str">
        <f t="shared" si="40"/>
        <v/>
      </c>
      <c r="B289" s="171"/>
      <c r="C289" s="172" t="str">
        <f t="shared" si="36"/>
        <v/>
      </c>
      <c r="D289" s="173" t="str">
        <f t="shared" si="41"/>
        <v/>
      </c>
      <c r="E289" s="173" t="str">
        <f t="shared" si="44"/>
        <v/>
      </c>
      <c r="F289" s="174" t="e">
        <f t="shared" si="37"/>
        <v>#VALUE!</v>
      </c>
      <c r="G289" s="173" t="e">
        <f t="shared" si="38"/>
        <v>#VALUE!</v>
      </c>
      <c r="H289" s="173" t="str">
        <f t="shared" si="42"/>
        <v/>
      </c>
      <c r="I289" s="173" t="str">
        <f t="shared" si="43"/>
        <v/>
      </c>
      <c r="J289" s="173" t="e">
        <f t="shared" si="39"/>
        <v>#VALUE!</v>
      </c>
      <c r="K289" s="173">
        <f>SUM($I$17:$I289)</f>
        <v>0</v>
      </c>
      <c r="L289" s="168"/>
      <c r="M289" s="168"/>
      <c r="N289" s="150"/>
    </row>
    <row r="290" spans="1:14" ht="12.75">
      <c r="A290" s="191" t="str">
        <f t="shared" si="40"/>
        <v/>
      </c>
      <c r="B290" s="171"/>
      <c r="C290" s="172" t="str">
        <f t="shared" si="36"/>
        <v/>
      </c>
      <c r="D290" s="173" t="str">
        <f t="shared" si="41"/>
        <v/>
      </c>
      <c r="E290" s="173" t="str">
        <f t="shared" si="44"/>
        <v/>
      </c>
      <c r="F290" s="174" t="e">
        <f t="shared" si="37"/>
        <v>#VALUE!</v>
      </c>
      <c r="G290" s="173" t="e">
        <f t="shared" si="38"/>
        <v>#VALUE!</v>
      </c>
      <c r="H290" s="173" t="str">
        <f t="shared" si="42"/>
        <v/>
      </c>
      <c r="I290" s="173" t="str">
        <f t="shared" si="43"/>
        <v/>
      </c>
      <c r="J290" s="173" t="e">
        <f t="shared" si="39"/>
        <v>#VALUE!</v>
      </c>
      <c r="K290" s="173">
        <f>SUM($I$17:$I290)</f>
        <v>0</v>
      </c>
      <c r="L290" s="168"/>
      <c r="M290" s="168"/>
      <c r="N290" s="150"/>
    </row>
    <row r="291" spans="1:14" ht="12.75">
      <c r="A291" s="191" t="str">
        <f t="shared" si="40"/>
        <v/>
      </c>
      <c r="B291" s="171"/>
      <c r="C291" s="172" t="str">
        <f t="shared" si="36"/>
        <v/>
      </c>
      <c r="D291" s="173" t="str">
        <f t="shared" si="41"/>
        <v/>
      </c>
      <c r="E291" s="173" t="str">
        <f t="shared" si="44"/>
        <v/>
      </c>
      <c r="F291" s="174" t="e">
        <f t="shared" si="37"/>
        <v>#VALUE!</v>
      </c>
      <c r="G291" s="173" t="e">
        <f t="shared" si="38"/>
        <v>#VALUE!</v>
      </c>
      <c r="H291" s="173" t="str">
        <f t="shared" si="42"/>
        <v/>
      </c>
      <c r="I291" s="173" t="str">
        <f t="shared" si="43"/>
        <v/>
      </c>
      <c r="J291" s="173" t="e">
        <f t="shared" si="39"/>
        <v>#VALUE!</v>
      </c>
      <c r="K291" s="173">
        <f>SUM($I$17:$I291)</f>
        <v>0</v>
      </c>
      <c r="L291" s="168"/>
      <c r="M291" s="168"/>
      <c r="N291" s="150"/>
    </row>
    <row r="292" spans="1:14" ht="12.75">
      <c r="A292" s="191" t="str">
        <f t="shared" si="40"/>
        <v/>
      </c>
      <c r="B292" s="171"/>
      <c r="C292" s="172" t="str">
        <f t="shared" si="36"/>
        <v/>
      </c>
      <c r="D292" s="173" t="str">
        <f t="shared" si="41"/>
        <v/>
      </c>
      <c r="E292" s="173" t="str">
        <f t="shared" si="44"/>
        <v/>
      </c>
      <c r="F292" s="174" t="e">
        <f t="shared" si="37"/>
        <v>#VALUE!</v>
      </c>
      <c r="G292" s="173" t="e">
        <f t="shared" si="38"/>
        <v>#VALUE!</v>
      </c>
      <c r="H292" s="173" t="str">
        <f t="shared" si="42"/>
        <v/>
      </c>
      <c r="I292" s="173" t="str">
        <f t="shared" si="43"/>
        <v/>
      </c>
      <c r="J292" s="173" t="e">
        <f t="shared" si="39"/>
        <v>#VALUE!</v>
      </c>
      <c r="K292" s="173">
        <f>SUM($I$17:$I292)</f>
        <v>0</v>
      </c>
      <c r="L292" s="168"/>
      <c r="M292" s="168"/>
      <c r="N292" s="150"/>
    </row>
    <row r="293" spans="1:14" ht="12.75">
      <c r="A293" s="191" t="str">
        <f t="shared" si="40"/>
        <v/>
      </c>
      <c r="B293" s="171"/>
      <c r="C293" s="172" t="str">
        <f t="shared" si="36"/>
        <v/>
      </c>
      <c r="D293" s="173" t="str">
        <f t="shared" si="41"/>
        <v/>
      </c>
      <c r="E293" s="173" t="str">
        <f t="shared" si="44"/>
        <v/>
      </c>
      <c r="F293" s="174" t="e">
        <f t="shared" si="37"/>
        <v>#VALUE!</v>
      </c>
      <c r="G293" s="173" t="e">
        <f t="shared" si="38"/>
        <v>#VALUE!</v>
      </c>
      <c r="H293" s="173" t="str">
        <f t="shared" si="42"/>
        <v/>
      </c>
      <c r="I293" s="173" t="str">
        <f t="shared" si="43"/>
        <v/>
      </c>
      <c r="J293" s="173" t="e">
        <f t="shared" si="39"/>
        <v>#VALUE!</v>
      </c>
      <c r="K293" s="173">
        <f>SUM($I$17:$I293)</f>
        <v>0</v>
      </c>
      <c r="L293" s="168"/>
      <c r="M293" s="168"/>
      <c r="N293" s="150"/>
    </row>
    <row r="294" spans="1:14" ht="12.75">
      <c r="A294" s="191" t="str">
        <f t="shared" si="40"/>
        <v/>
      </c>
      <c r="B294" s="171"/>
      <c r="C294" s="172" t="str">
        <f t="shared" si="36"/>
        <v/>
      </c>
      <c r="D294" s="173" t="str">
        <f t="shared" si="41"/>
        <v/>
      </c>
      <c r="E294" s="173" t="str">
        <f t="shared" si="44"/>
        <v/>
      </c>
      <c r="F294" s="174" t="e">
        <f t="shared" si="37"/>
        <v>#VALUE!</v>
      </c>
      <c r="G294" s="173" t="e">
        <f t="shared" si="38"/>
        <v>#VALUE!</v>
      </c>
      <c r="H294" s="173" t="str">
        <f t="shared" si="42"/>
        <v/>
      </c>
      <c r="I294" s="173" t="str">
        <f t="shared" si="43"/>
        <v/>
      </c>
      <c r="J294" s="173" t="e">
        <f t="shared" si="39"/>
        <v>#VALUE!</v>
      </c>
      <c r="K294" s="173">
        <f>SUM($I$17:$I294)</f>
        <v>0</v>
      </c>
      <c r="L294" s="168"/>
      <c r="M294" s="168"/>
      <c r="N294" s="150"/>
    </row>
    <row r="295" spans="1:14" ht="12.75">
      <c r="A295" s="191" t="str">
        <f t="shared" si="40"/>
        <v/>
      </c>
      <c r="B295" s="171"/>
      <c r="C295" s="172" t="str">
        <f t="shared" si="36"/>
        <v/>
      </c>
      <c r="D295" s="173" t="str">
        <f t="shared" si="41"/>
        <v/>
      </c>
      <c r="E295" s="173" t="str">
        <f t="shared" si="44"/>
        <v/>
      </c>
      <c r="F295" s="174" t="e">
        <f t="shared" si="37"/>
        <v>#VALUE!</v>
      </c>
      <c r="G295" s="173" t="e">
        <f t="shared" si="38"/>
        <v>#VALUE!</v>
      </c>
      <c r="H295" s="173" t="str">
        <f t="shared" si="42"/>
        <v/>
      </c>
      <c r="I295" s="173" t="str">
        <f t="shared" si="43"/>
        <v/>
      </c>
      <c r="J295" s="173" t="e">
        <f t="shared" si="39"/>
        <v>#VALUE!</v>
      </c>
      <c r="K295" s="173">
        <f>SUM($I$17:$I295)</f>
        <v>0</v>
      </c>
      <c r="L295" s="168"/>
      <c r="M295" s="168"/>
      <c r="N295" s="150"/>
    </row>
    <row r="296" spans="1:14" ht="12.75">
      <c r="A296" s="191" t="str">
        <f t="shared" si="40"/>
        <v/>
      </c>
      <c r="B296" s="171"/>
      <c r="C296" s="172" t="str">
        <f t="shared" si="36"/>
        <v/>
      </c>
      <c r="D296" s="173" t="str">
        <f t="shared" si="41"/>
        <v/>
      </c>
      <c r="E296" s="173" t="str">
        <f t="shared" si="44"/>
        <v/>
      </c>
      <c r="F296" s="174" t="e">
        <f t="shared" si="37"/>
        <v>#VALUE!</v>
      </c>
      <c r="G296" s="173" t="e">
        <f t="shared" si="38"/>
        <v>#VALUE!</v>
      </c>
      <c r="H296" s="173" t="str">
        <f t="shared" si="42"/>
        <v/>
      </c>
      <c r="I296" s="173" t="str">
        <f t="shared" si="43"/>
        <v/>
      </c>
      <c r="J296" s="173" t="e">
        <f t="shared" si="39"/>
        <v>#VALUE!</v>
      </c>
      <c r="K296" s="173">
        <f>SUM($I$17:$I296)</f>
        <v>0</v>
      </c>
      <c r="L296" s="168"/>
      <c r="M296" s="168"/>
      <c r="N296" s="150"/>
    </row>
    <row r="297" spans="1:14" ht="12.75">
      <c r="A297" s="191" t="str">
        <f t="shared" si="40"/>
        <v/>
      </c>
      <c r="B297" s="171"/>
      <c r="C297" s="172" t="str">
        <f t="shared" si="36"/>
        <v/>
      </c>
      <c r="D297" s="173" t="str">
        <f t="shared" si="41"/>
        <v/>
      </c>
      <c r="E297" s="173" t="str">
        <f t="shared" si="44"/>
        <v/>
      </c>
      <c r="F297" s="174" t="e">
        <f t="shared" si="37"/>
        <v>#VALUE!</v>
      </c>
      <c r="G297" s="173" t="e">
        <f t="shared" si="38"/>
        <v>#VALUE!</v>
      </c>
      <c r="H297" s="173" t="str">
        <f t="shared" si="42"/>
        <v/>
      </c>
      <c r="I297" s="173" t="str">
        <f t="shared" si="43"/>
        <v/>
      </c>
      <c r="J297" s="173" t="e">
        <f t="shared" si="39"/>
        <v>#VALUE!</v>
      </c>
      <c r="K297" s="173">
        <f>SUM($I$17:$I297)</f>
        <v>0</v>
      </c>
      <c r="L297" s="168"/>
      <c r="M297" s="168"/>
      <c r="N297" s="150"/>
    </row>
    <row r="298" spans="1:14" ht="12.75">
      <c r="A298" s="191" t="str">
        <f t="shared" si="40"/>
        <v/>
      </c>
      <c r="B298" s="171"/>
      <c r="C298" s="172" t="str">
        <f t="shared" si="36"/>
        <v/>
      </c>
      <c r="D298" s="173" t="str">
        <f t="shared" si="41"/>
        <v/>
      </c>
      <c r="E298" s="173" t="str">
        <f t="shared" si="44"/>
        <v/>
      </c>
      <c r="F298" s="174" t="e">
        <f t="shared" si="37"/>
        <v>#VALUE!</v>
      </c>
      <c r="G298" s="173" t="e">
        <f t="shared" si="38"/>
        <v>#VALUE!</v>
      </c>
      <c r="H298" s="173" t="str">
        <f t="shared" si="42"/>
        <v/>
      </c>
      <c r="I298" s="173" t="str">
        <f t="shared" si="43"/>
        <v/>
      </c>
      <c r="J298" s="173" t="e">
        <f t="shared" si="39"/>
        <v>#VALUE!</v>
      </c>
      <c r="K298" s="173">
        <f>SUM($I$17:$I298)</f>
        <v>0</v>
      </c>
      <c r="L298" s="168"/>
      <c r="M298" s="168"/>
      <c r="N298" s="150"/>
    </row>
    <row r="299" spans="1:14" ht="12.75">
      <c r="A299" s="191" t="str">
        <f t="shared" si="40"/>
        <v/>
      </c>
      <c r="B299" s="171"/>
      <c r="C299" s="172" t="str">
        <f t="shared" si="36"/>
        <v/>
      </c>
      <c r="D299" s="173" t="str">
        <f t="shared" si="41"/>
        <v/>
      </c>
      <c r="E299" s="173" t="str">
        <f t="shared" si="44"/>
        <v/>
      </c>
      <c r="F299" s="174" t="e">
        <f t="shared" si="37"/>
        <v>#VALUE!</v>
      </c>
      <c r="G299" s="173" t="e">
        <f t="shared" si="38"/>
        <v>#VALUE!</v>
      </c>
      <c r="H299" s="173" t="str">
        <f t="shared" si="42"/>
        <v/>
      </c>
      <c r="I299" s="173" t="str">
        <f t="shared" si="43"/>
        <v/>
      </c>
      <c r="J299" s="173" t="e">
        <f t="shared" si="39"/>
        <v>#VALUE!</v>
      </c>
      <c r="K299" s="173">
        <f>SUM($I$17:$I299)</f>
        <v>0</v>
      </c>
      <c r="L299" s="168"/>
      <c r="M299" s="168"/>
      <c r="N299" s="150"/>
    </row>
    <row r="300" spans="1:14" ht="12.75">
      <c r="A300" s="191" t="str">
        <f t="shared" si="40"/>
        <v/>
      </c>
      <c r="B300" s="171"/>
      <c r="C300" s="172" t="str">
        <f t="shared" si="36"/>
        <v/>
      </c>
      <c r="D300" s="173" t="str">
        <f t="shared" si="41"/>
        <v/>
      </c>
      <c r="E300" s="173" t="str">
        <f t="shared" si="44"/>
        <v/>
      </c>
      <c r="F300" s="174" t="e">
        <f t="shared" si="37"/>
        <v>#VALUE!</v>
      </c>
      <c r="G300" s="173" t="e">
        <f t="shared" si="38"/>
        <v>#VALUE!</v>
      </c>
      <c r="H300" s="173" t="str">
        <f t="shared" si="42"/>
        <v/>
      </c>
      <c r="I300" s="173" t="str">
        <f t="shared" si="43"/>
        <v/>
      </c>
      <c r="J300" s="173" t="e">
        <f t="shared" si="39"/>
        <v>#VALUE!</v>
      </c>
      <c r="K300" s="173">
        <f>SUM($I$17:$I300)</f>
        <v>0</v>
      </c>
      <c r="L300" s="168"/>
      <c r="M300" s="168"/>
      <c r="N300" s="150"/>
    </row>
    <row r="301" spans="1:14" ht="12.75">
      <c r="A301" s="191" t="str">
        <f t="shared" si="40"/>
        <v/>
      </c>
      <c r="B301" s="171"/>
      <c r="C301" s="172" t="str">
        <f t="shared" si="36"/>
        <v/>
      </c>
      <c r="D301" s="173" t="str">
        <f t="shared" si="41"/>
        <v/>
      </c>
      <c r="E301" s="173" t="str">
        <f t="shared" si="44"/>
        <v/>
      </c>
      <c r="F301" s="174" t="e">
        <f t="shared" si="37"/>
        <v>#VALUE!</v>
      </c>
      <c r="G301" s="173" t="e">
        <f t="shared" si="38"/>
        <v>#VALUE!</v>
      </c>
      <c r="H301" s="173" t="str">
        <f t="shared" si="42"/>
        <v/>
      </c>
      <c r="I301" s="173" t="str">
        <f t="shared" si="43"/>
        <v/>
      </c>
      <c r="J301" s="173" t="e">
        <f t="shared" si="39"/>
        <v>#VALUE!</v>
      </c>
      <c r="K301" s="173">
        <f>SUM($I$17:$I301)</f>
        <v>0</v>
      </c>
      <c r="L301" s="168"/>
      <c r="M301" s="168"/>
      <c r="N301" s="150"/>
    </row>
    <row r="302" spans="1:14" ht="12.75">
      <c r="A302" s="191" t="str">
        <f t="shared" si="40"/>
        <v/>
      </c>
      <c r="B302" s="171"/>
      <c r="C302" s="172" t="str">
        <f t="shared" si="36"/>
        <v/>
      </c>
      <c r="D302" s="173" t="str">
        <f t="shared" si="41"/>
        <v/>
      </c>
      <c r="E302" s="173" t="str">
        <f t="shared" si="44"/>
        <v/>
      </c>
      <c r="F302" s="174" t="e">
        <f t="shared" si="37"/>
        <v>#VALUE!</v>
      </c>
      <c r="G302" s="173" t="e">
        <f t="shared" si="38"/>
        <v>#VALUE!</v>
      </c>
      <c r="H302" s="173" t="str">
        <f t="shared" si="42"/>
        <v/>
      </c>
      <c r="I302" s="173" t="str">
        <f t="shared" si="43"/>
        <v/>
      </c>
      <c r="J302" s="173" t="e">
        <f t="shared" si="39"/>
        <v>#VALUE!</v>
      </c>
      <c r="K302" s="173">
        <f>SUM($I$17:$I302)</f>
        <v>0</v>
      </c>
      <c r="L302" s="168"/>
      <c r="M302" s="168"/>
      <c r="N302" s="150"/>
    </row>
    <row r="303" spans="1:14" ht="12.75">
      <c r="A303" s="191" t="str">
        <f t="shared" si="40"/>
        <v/>
      </c>
      <c r="B303" s="171"/>
      <c r="C303" s="172" t="str">
        <f t="shared" si="36"/>
        <v/>
      </c>
      <c r="D303" s="173" t="str">
        <f t="shared" si="41"/>
        <v/>
      </c>
      <c r="E303" s="173" t="str">
        <f t="shared" si="44"/>
        <v/>
      </c>
      <c r="F303" s="174" t="e">
        <f t="shared" si="37"/>
        <v>#VALUE!</v>
      </c>
      <c r="G303" s="173" t="e">
        <f t="shared" si="38"/>
        <v>#VALUE!</v>
      </c>
      <c r="H303" s="173" t="str">
        <f t="shared" si="42"/>
        <v/>
      </c>
      <c r="I303" s="173" t="str">
        <f t="shared" si="43"/>
        <v/>
      </c>
      <c r="J303" s="173" t="e">
        <f t="shared" si="39"/>
        <v>#VALUE!</v>
      </c>
      <c r="K303" s="173">
        <f>SUM($I$17:$I303)</f>
        <v>0</v>
      </c>
      <c r="L303" s="168"/>
      <c r="M303" s="168"/>
      <c r="N303" s="150"/>
    </row>
    <row r="304" spans="1:14" ht="12.75">
      <c r="A304" s="191" t="str">
        <f t="shared" si="40"/>
        <v/>
      </c>
      <c r="B304" s="171"/>
      <c r="C304" s="172" t="str">
        <f t="shared" si="36"/>
        <v/>
      </c>
      <c r="D304" s="173" t="str">
        <f t="shared" si="41"/>
        <v/>
      </c>
      <c r="E304" s="173" t="str">
        <f t="shared" si="44"/>
        <v/>
      </c>
      <c r="F304" s="174" t="e">
        <f t="shared" si="37"/>
        <v>#VALUE!</v>
      </c>
      <c r="G304" s="173" t="e">
        <f t="shared" si="38"/>
        <v>#VALUE!</v>
      </c>
      <c r="H304" s="173" t="str">
        <f t="shared" si="42"/>
        <v/>
      </c>
      <c r="I304" s="173" t="str">
        <f t="shared" si="43"/>
        <v/>
      </c>
      <c r="J304" s="173" t="e">
        <f t="shared" si="39"/>
        <v>#VALUE!</v>
      </c>
      <c r="K304" s="173">
        <f>SUM($I$17:$I304)</f>
        <v>0</v>
      </c>
      <c r="L304" s="168"/>
      <c r="M304" s="168"/>
      <c r="N304" s="150"/>
    </row>
    <row r="305" spans="1:14" ht="12.75">
      <c r="A305" s="191" t="str">
        <f t="shared" si="40"/>
        <v/>
      </c>
      <c r="B305" s="171"/>
      <c r="C305" s="172" t="str">
        <f t="shared" si="36"/>
        <v/>
      </c>
      <c r="D305" s="173" t="str">
        <f t="shared" si="41"/>
        <v/>
      </c>
      <c r="E305" s="173" t="str">
        <f t="shared" si="44"/>
        <v/>
      </c>
      <c r="F305" s="174" t="e">
        <f t="shared" si="37"/>
        <v>#VALUE!</v>
      </c>
      <c r="G305" s="173" t="e">
        <f t="shared" si="38"/>
        <v>#VALUE!</v>
      </c>
      <c r="H305" s="173" t="str">
        <f t="shared" si="42"/>
        <v/>
      </c>
      <c r="I305" s="173" t="str">
        <f t="shared" si="43"/>
        <v/>
      </c>
      <c r="J305" s="173" t="e">
        <f t="shared" si="39"/>
        <v>#VALUE!</v>
      </c>
      <c r="K305" s="173">
        <f>SUM($I$17:$I305)</f>
        <v>0</v>
      </c>
      <c r="L305" s="168"/>
      <c r="M305" s="168"/>
      <c r="N305" s="150"/>
    </row>
    <row r="306" spans="1:14" ht="12.75">
      <c r="A306" s="191" t="str">
        <f t="shared" si="40"/>
        <v/>
      </c>
      <c r="B306" s="171"/>
      <c r="C306" s="172" t="str">
        <f t="shared" si="36"/>
        <v/>
      </c>
      <c r="D306" s="173" t="str">
        <f t="shared" si="41"/>
        <v/>
      </c>
      <c r="E306" s="173" t="str">
        <f t="shared" si="44"/>
        <v/>
      </c>
      <c r="F306" s="174" t="e">
        <f t="shared" si="37"/>
        <v>#VALUE!</v>
      </c>
      <c r="G306" s="173" t="e">
        <f t="shared" si="38"/>
        <v>#VALUE!</v>
      </c>
      <c r="H306" s="173" t="str">
        <f t="shared" si="42"/>
        <v/>
      </c>
      <c r="I306" s="173" t="str">
        <f t="shared" si="43"/>
        <v/>
      </c>
      <c r="J306" s="173" t="e">
        <f t="shared" si="39"/>
        <v>#VALUE!</v>
      </c>
      <c r="K306" s="173">
        <f>SUM($I$17:$I306)</f>
        <v>0</v>
      </c>
      <c r="L306" s="168"/>
      <c r="M306" s="168"/>
      <c r="N306" s="150"/>
    </row>
    <row r="307" spans="1:14" ht="12.75">
      <c r="A307" s="191" t="str">
        <f t="shared" si="40"/>
        <v/>
      </c>
      <c r="B307" s="171"/>
      <c r="C307" s="172" t="str">
        <f t="shared" si="36"/>
        <v/>
      </c>
      <c r="D307" s="173" t="str">
        <f t="shared" si="41"/>
        <v/>
      </c>
      <c r="E307" s="173" t="str">
        <f t="shared" si="44"/>
        <v/>
      </c>
      <c r="F307" s="174" t="e">
        <f t="shared" si="37"/>
        <v>#VALUE!</v>
      </c>
      <c r="G307" s="173" t="e">
        <f t="shared" si="38"/>
        <v>#VALUE!</v>
      </c>
      <c r="H307" s="173" t="str">
        <f t="shared" si="42"/>
        <v/>
      </c>
      <c r="I307" s="173" t="str">
        <f t="shared" si="43"/>
        <v/>
      </c>
      <c r="J307" s="173" t="e">
        <f t="shared" si="39"/>
        <v>#VALUE!</v>
      </c>
      <c r="K307" s="173">
        <f>SUM($I$17:$I307)</f>
        <v>0</v>
      </c>
      <c r="L307" s="168"/>
      <c r="M307" s="168"/>
      <c r="N307" s="150"/>
    </row>
    <row r="308" spans="1:14" ht="12.75">
      <c r="A308" s="191" t="str">
        <f t="shared" si="40"/>
        <v/>
      </c>
      <c r="B308" s="171"/>
      <c r="C308" s="172" t="str">
        <f t="shared" si="36"/>
        <v/>
      </c>
      <c r="D308" s="173" t="str">
        <f t="shared" si="41"/>
        <v/>
      </c>
      <c r="E308" s="173" t="str">
        <f t="shared" si="44"/>
        <v/>
      </c>
      <c r="F308" s="174" t="e">
        <f t="shared" si="37"/>
        <v>#VALUE!</v>
      </c>
      <c r="G308" s="173" t="e">
        <f t="shared" si="38"/>
        <v>#VALUE!</v>
      </c>
      <c r="H308" s="173" t="str">
        <f t="shared" si="42"/>
        <v/>
      </c>
      <c r="I308" s="173" t="str">
        <f t="shared" si="43"/>
        <v/>
      </c>
      <c r="J308" s="173" t="e">
        <f t="shared" si="39"/>
        <v>#VALUE!</v>
      </c>
      <c r="K308" s="173">
        <f>SUM($I$17:$I308)</f>
        <v>0</v>
      </c>
      <c r="L308" s="168"/>
      <c r="M308" s="168"/>
      <c r="N308" s="150"/>
    </row>
    <row r="309" spans="1:14" ht="12.75">
      <c r="A309" s="191" t="str">
        <f t="shared" si="40"/>
        <v/>
      </c>
      <c r="B309" s="171"/>
      <c r="C309" s="172" t="str">
        <f t="shared" si="36"/>
        <v/>
      </c>
      <c r="D309" s="173" t="str">
        <f t="shared" si="41"/>
        <v/>
      </c>
      <c r="E309" s="173" t="str">
        <f t="shared" si="44"/>
        <v/>
      </c>
      <c r="F309" s="174" t="e">
        <f t="shared" si="37"/>
        <v>#VALUE!</v>
      </c>
      <c r="G309" s="173" t="e">
        <f t="shared" si="38"/>
        <v>#VALUE!</v>
      </c>
      <c r="H309" s="173" t="str">
        <f t="shared" si="42"/>
        <v/>
      </c>
      <c r="I309" s="173" t="str">
        <f t="shared" si="43"/>
        <v/>
      </c>
      <c r="J309" s="173" t="e">
        <f t="shared" si="39"/>
        <v>#VALUE!</v>
      </c>
      <c r="K309" s="173">
        <f>SUM($I$17:$I309)</f>
        <v>0</v>
      </c>
      <c r="L309" s="168"/>
      <c r="M309" s="168"/>
      <c r="N309" s="150"/>
    </row>
    <row r="310" spans="1:14" ht="12.75">
      <c r="A310" s="191" t="str">
        <f t="shared" si="40"/>
        <v/>
      </c>
      <c r="B310" s="171"/>
      <c r="C310" s="172" t="str">
        <f t="shared" si="36"/>
        <v/>
      </c>
      <c r="D310" s="173" t="str">
        <f t="shared" si="41"/>
        <v/>
      </c>
      <c r="E310" s="173" t="str">
        <f t="shared" si="44"/>
        <v/>
      </c>
      <c r="F310" s="174" t="e">
        <f t="shared" si="37"/>
        <v>#VALUE!</v>
      </c>
      <c r="G310" s="173" t="e">
        <f t="shared" si="38"/>
        <v>#VALUE!</v>
      </c>
      <c r="H310" s="173" t="str">
        <f t="shared" si="42"/>
        <v/>
      </c>
      <c r="I310" s="173" t="str">
        <f t="shared" si="43"/>
        <v/>
      </c>
      <c r="J310" s="173" t="e">
        <f t="shared" si="39"/>
        <v>#VALUE!</v>
      </c>
      <c r="K310" s="173">
        <f>SUM($I$17:$I310)</f>
        <v>0</v>
      </c>
      <c r="L310" s="168"/>
      <c r="M310" s="168"/>
      <c r="N310" s="150"/>
    </row>
    <row r="311" spans="1:14" ht="12.75">
      <c r="A311" s="191" t="str">
        <f t="shared" si="40"/>
        <v/>
      </c>
      <c r="B311" s="171"/>
      <c r="C311" s="172" t="str">
        <f t="shared" si="36"/>
        <v/>
      </c>
      <c r="D311" s="173" t="str">
        <f t="shared" si="41"/>
        <v/>
      </c>
      <c r="E311" s="173" t="str">
        <f t="shared" si="44"/>
        <v/>
      </c>
      <c r="F311" s="174" t="e">
        <f t="shared" si="37"/>
        <v>#VALUE!</v>
      </c>
      <c r="G311" s="173" t="e">
        <f t="shared" si="38"/>
        <v>#VALUE!</v>
      </c>
      <c r="H311" s="173" t="str">
        <f t="shared" si="42"/>
        <v/>
      </c>
      <c r="I311" s="173" t="str">
        <f t="shared" si="43"/>
        <v/>
      </c>
      <c r="J311" s="173" t="e">
        <f t="shared" si="39"/>
        <v>#VALUE!</v>
      </c>
      <c r="K311" s="173">
        <f>SUM($I$17:$I311)</f>
        <v>0</v>
      </c>
      <c r="L311" s="168"/>
      <c r="M311" s="168"/>
      <c r="N311" s="150"/>
    </row>
    <row r="312" spans="1:14" ht="12.75">
      <c r="A312" s="191" t="str">
        <f t="shared" si="40"/>
        <v/>
      </c>
      <c r="B312" s="171"/>
      <c r="C312" s="172" t="str">
        <f t="shared" si="36"/>
        <v/>
      </c>
      <c r="D312" s="173" t="str">
        <f t="shared" si="41"/>
        <v/>
      </c>
      <c r="E312" s="173" t="str">
        <f t="shared" si="44"/>
        <v/>
      </c>
      <c r="F312" s="174" t="e">
        <f t="shared" si="37"/>
        <v>#VALUE!</v>
      </c>
      <c r="G312" s="173" t="e">
        <f t="shared" si="38"/>
        <v>#VALUE!</v>
      </c>
      <c r="H312" s="173" t="str">
        <f t="shared" si="42"/>
        <v/>
      </c>
      <c r="I312" s="173" t="str">
        <f t="shared" si="43"/>
        <v/>
      </c>
      <c r="J312" s="173" t="e">
        <f t="shared" si="39"/>
        <v>#VALUE!</v>
      </c>
      <c r="K312" s="173">
        <f>SUM($I$17:$I312)</f>
        <v>0</v>
      </c>
      <c r="L312" s="168"/>
      <c r="M312" s="168"/>
      <c r="N312" s="150"/>
    </row>
    <row r="313" spans="1:14" ht="12.75">
      <c r="A313" s="191" t="str">
        <f t="shared" si="40"/>
        <v/>
      </c>
      <c r="B313" s="171"/>
      <c r="C313" s="172" t="str">
        <f t="shared" si="36"/>
        <v/>
      </c>
      <c r="D313" s="173" t="str">
        <f t="shared" si="41"/>
        <v/>
      </c>
      <c r="E313" s="173" t="str">
        <f t="shared" si="44"/>
        <v/>
      </c>
      <c r="F313" s="174" t="e">
        <f t="shared" si="37"/>
        <v>#VALUE!</v>
      </c>
      <c r="G313" s="173" t="e">
        <f t="shared" si="38"/>
        <v>#VALUE!</v>
      </c>
      <c r="H313" s="173" t="str">
        <f t="shared" si="42"/>
        <v/>
      </c>
      <c r="I313" s="173" t="str">
        <f t="shared" si="43"/>
        <v/>
      </c>
      <c r="J313" s="173" t="e">
        <f t="shared" si="39"/>
        <v>#VALUE!</v>
      </c>
      <c r="K313" s="173">
        <f>SUM($I$17:$I313)</f>
        <v>0</v>
      </c>
      <c r="L313" s="168"/>
      <c r="M313" s="168"/>
      <c r="N313" s="150"/>
    </row>
    <row r="314" spans="1:14" ht="12.75">
      <c r="A314" s="191" t="str">
        <f t="shared" si="40"/>
        <v/>
      </c>
      <c r="B314" s="171"/>
      <c r="C314" s="172" t="str">
        <f t="shared" si="36"/>
        <v/>
      </c>
      <c r="D314" s="173" t="str">
        <f t="shared" si="41"/>
        <v/>
      </c>
      <c r="E314" s="173" t="str">
        <f t="shared" si="44"/>
        <v/>
      </c>
      <c r="F314" s="174" t="e">
        <f t="shared" si="37"/>
        <v>#VALUE!</v>
      </c>
      <c r="G314" s="173" t="e">
        <f t="shared" si="38"/>
        <v>#VALUE!</v>
      </c>
      <c r="H314" s="173" t="str">
        <f t="shared" si="42"/>
        <v/>
      </c>
      <c r="I314" s="173" t="str">
        <f t="shared" si="43"/>
        <v/>
      </c>
      <c r="J314" s="173" t="e">
        <f t="shared" si="39"/>
        <v>#VALUE!</v>
      </c>
      <c r="K314" s="173">
        <f>SUM($I$17:$I314)</f>
        <v>0</v>
      </c>
      <c r="L314" s="168"/>
      <c r="M314" s="168"/>
      <c r="N314" s="150"/>
    </row>
    <row r="315" spans="1:14" ht="12.75">
      <c r="A315" s="191" t="str">
        <f t="shared" si="40"/>
        <v/>
      </c>
      <c r="B315" s="171"/>
      <c r="C315" s="172" t="str">
        <f t="shared" si="36"/>
        <v/>
      </c>
      <c r="D315" s="173" t="str">
        <f t="shared" si="41"/>
        <v/>
      </c>
      <c r="E315" s="173" t="str">
        <f t="shared" si="44"/>
        <v/>
      </c>
      <c r="F315" s="174" t="e">
        <f t="shared" si="37"/>
        <v>#VALUE!</v>
      </c>
      <c r="G315" s="173" t="e">
        <f t="shared" si="38"/>
        <v>#VALUE!</v>
      </c>
      <c r="H315" s="173" t="str">
        <f t="shared" si="42"/>
        <v/>
      </c>
      <c r="I315" s="173" t="str">
        <f t="shared" si="43"/>
        <v/>
      </c>
      <c r="J315" s="173" t="e">
        <f t="shared" si="39"/>
        <v>#VALUE!</v>
      </c>
      <c r="K315" s="173">
        <f>SUM($I$17:$I315)</f>
        <v>0</v>
      </c>
      <c r="L315" s="168"/>
      <c r="M315" s="168"/>
      <c r="N315" s="150"/>
    </row>
    <row r="316" spans="1:14" ht="12.75">
      <c r="A316" s="191" t="str">
        <f t="shared" si="40"/>
        <v/>
      </c>
      <c r="B316" s="171"/>
      <c r="C316" s="172" t="str">
        <f t="shared" si="36"/>
        <v/>
      </c>
      <c r="D316" s="173" t="str">
        <f t="shared" si="41"/>
        <v/>
      </c>
      <c r="E316" s="173" t="str">
        <f t="shared" si="44"/>
        <v/>
      </c>
      <c r="F316" s="174" t="e">
        <f t="shared" si="37"/>
        <v>#VALUE!</v>
      </c>
      <c r="G316" s="173" t="e">
        <f t="shared" si="38"/>
        <v>#VALUE!</v>
      </c>
      <c r="H316" s="173" t="str">
        <f t="shared" si="42"/>
        <v/>
      </c>
      <c r="I316" s="173" t="str">
        <f t="shared" si="43"/>
        <v/>
      </c>
      <c r="J316" s="173" t="e">
        <f t="shared" si="39"/>
        <v>#VALUE!</v>
      </c>
      <c r="K316" s="173">
        <f>SUM($I$17:$I316)</f>
        <v>0</v>
      </c>
      <c r="L316" s="168"/>
      <c r="M316" s="168"/>
      <c r="N316" s="150"/>
    </row>
    <row r="317" spans="1:14" ht="12.75">
      <c r="A317" s="191" t="str">
        <f t="shared" si="40"/>
        <v/>
      </c>
      <c r="B317" s="171"/>
      <c r="C317" s="172" t="str">
        <f t="shared" si="36"/>
        <v/>
      </c>
      <c r="D317" s="173" t="str">
        <f t="shared" si="41"/>
        <v/>
      </c>
      <c r="E317" s="173" t="str">
        <f t="shared" si="44"/>
        <v/>
      </c>
      <c r="F317" s="174" t="e">
        <f t="shared" si="37"/>
        <v>#VALUE!</v>
      </c>
      <c r="G317" s="173" t="e">
        <f t="shared" si="38"/>
        <v>#VALUE!</v>
      </c>
      <c r="H317" s="173" t="str">
        <f t="shared" si="42"/>
        <v/>
      </c>
      <c r="I317" s="173" t="str">
        <f t="shared" si="43"/>
        <v/>
      </c>
      <c r="J317" s="173" t="e">
        <f t="shared" si="39"/>
        <v>#VALUE!</v>
      </c>
      <c r="K317" s="173">
        <f>SUM($I$17:$I317)</f>
        <v>0</v>
      </c>
      <c r="L317" s="168"/>
      <c r="M317" s="168"/>
      <c r="N317" s="150"/>
    </row>
    <row r="318" spans="1:14" ht="12.75">
      <c r="A318" s="191" t="str">
        <f t="shared" si="40"/>
        <v/>
      </c>
      <c r="B318" s="171"/>
      <c r="C318" s="172" t="str">
        <f t="shared" si="36"/>
        <v/>
      </c>
      <c r="D318" s="173" t="str">
        <f t="shared" si="41"/>
        <v/>
      </c>
      <c r="E318" s="173" t="str">
        <f t="shared" si="44"/>
        <v/>
      </c>
      <c r="F318" s="174" t="e">
        <f t="shared" si="37"/>
        <v>#VALUE!</v>
      </c>
      <c r="G318" s="173" t="e">
        <f t="shared" si="38"/>
        <v>#VALUE!</v>
      </c>
      <c r="H318" s="173" t="str">
        <f t="shared" si="42"/>
        <v/>
      </c>
      <c r="I318" s="173" t="str">
        <f t="shared" si="43"/>
        <v/>
      </c>
      <c r="J318" s="173" t="e">
        <f t="shared" si="39"/>
        <v>#VALUE!</v>
      </c>
      <c r="K318" s="173">
        <f>SUM($I$17:$I318)</f>
        <v>0</v>
      </c>
      <c r="L318" s="168"/>
      <c r="M318" s="168"/>
      <c r="N318" s="150"/>
    </row>
    <row r="319" spans="1:14" ht="12.75">
      <c r="A319" s="191" t="str">
        <f t="shared" si="40"/>
        <v/>
      </c>
      <c r="B319" s="171"/>
      <c r="C319" s="172" t="str">
        <f t="shared" si="36"/>
        <v/>
      </c>
      <c r="D319" s="173" t="str">
        <f t="shared" si="41"/>
        <v/>
      </c>
      <c r="E319" s="173" t="str">
        <f t="shared" si="44"/>
        <v/>
      </c>
      <c r="F319" s="174" t="e">
        <f t="shared" si="37"/>
        <v>#VALUE!</v>
      </c>
      <c r="G319" s="173" t="e">
        <f t="shared" si="38"/>
        <v>#VALUE!</v>
      </c>
      <c r="H319" s="173" t="str">
        <f t="shared" si="42"/>
        <v/>
      </c>
      <c r="I319" s="173" t="str">
        <f t="shared" si="43"/>
        <v/>
      </c>
      <c r="J319" s="173" t="e">
        <f t="shared" si="39"/>
        <v>#VALUE!</v>
      </c>
      <c r="K319" s="173">
        <f>SUM($I$17:$I319)</f>
        <v>0</v>
      </c>
      <c r="L319" s="168"/>
      <c r="M319" s="168"/>
      <c r="N319" s="150"/>
    </row>
    <row r="320" spans="1:14" ht="12.75">
      <c r="A320" s="191" t="str">
        <f t="shared" si="40"/>
        <v/>
      </c>
      <c r="B320" s="171"/>
      <c r="C320" s="172" t="str">
        <f t="shared" si="36"/>
        <v/>
      </c>
      <c r="D320" s="173" t="str">
        <f t="shared" si="41"/>
        <v/>
      </c>
      <c r="E320" s="173" t="str">
        <f t="shared" si="44"/>
        <v/>
      </c>
      <c r="F320" s="174" t="e">
        <f t="shared" si="37"/>
        <v>#VALUE!</v>
      </c>
      <c r="G320" s="173" t="e">
        <f t="shared" si="38"/>
        <v>#VALUE!</v>
      </c>
      <c r="H320" s="173" t="str">
        <f t="shared" si="42"/>
        <v/>
      </c>
      <c r="I320" s="173" t="str">
        <f t="shared" si="43"/>
        <v/>
      </c>
      <c r="J320" s="173" t="e">
        <f t="shared" si="39"/>
        <v>#VALUE!</v>
      </c>
      <c r="K320" s="173">
        <f>SUM($I$17:$I320)</f>
        <v>0</v>
      </c>
      <c r="L320" s="168"/>
      <c r="M320" s="168"/>
      <c r="N320" s="150"/>
    </row>
    <row r="321" spans="1:14" ht="12.75">
      <c r="A321" s="191" t="str">
        <f t="shared" si="40"/>
        <v/>
      </c>
      <c r="B321" s="171"/>
      <c r="C321" s="172" t="str">
        <f t="shared" si="36"/>
        <v/>
      </c>
      <c r="D321" s="173" t="str">
        <f t="shared" si="41"/>
        <v/>
      </c>
      <c r="E321" s="173" t="str">
        <f t="shared" si="44"/>
        <v/>
      </c>
      <c r="F321" s="174" t="e">
        <f t="shared" si="37"/>
        <v>#VALUE!</v>
      </c>
      <c r="G321" s="173" t="e">
        <f t="shared" si="38"/>
        <v>#VALUE!</v>
      </c>
      <c r="H321" s="173" t="str">
        <f t="shared" si="42"/>
        <v/>
      </c>
      <c r="I321" s="173" t="str">
        <f t="shared" si="43"/>
        <v/>
      </c>
      <c r="J321" s="173" t="e">
        <f t="shared" si="39"/>
        <v>#VALUE!</v>
      </c>
      <c r="K321" s="173">
        <f>SUM($I$17:$I321)</f>
        <v>0</v>
      </c>
      <c r="L321" s="168"/>
      <c r="M321" s="168"/>
      <c r="N321" s="150"/>
    </row>
    <row r="322" spans="1:14" ht="12.75">
      <c r="A322" s="191" t="str">
        <f t="shared" si="40"/>
        <v/>
      </c>
      <c r="B322" s="171"/>
      <c r="C322" s="172" t="str">
        <f t="shared" si="36"/>
        <v/>
      </c>
      <c r="D322" s="173" t="str">
        <f t="shared" si="41"/>
        <v/>
      </c>
      <c r="E322" s="173" t="str">
        <f t="shared" si="44"/>
        <v/>
      </c>
      <c r="F322" s="174" t="e">
        <f t="shared" si="37"/>
        <v>#VALUE!</v>
      </c>
      <c r="G322" s="173" t="e">
        <f t="shared" si="38"/>
        <v>#VALUE!</v>
      </c>
      <c r="H322" s="173" t="str">
        <f t="shared" si="42"/>
        <v/>
      </c>
      <c r="I322" s="173" t="str">
        <f t="shared" si="43"/>
        <v/>
      </c>
      <c r="J322" s="173" t="e">
        <f t="shared" si="39"/>
        <v>#VALUE!</v>
      </c>
      <c r="K322" s="173">
        <f>SUM($I$17:$I322)</f>
        <v>0</v>
      </c>
      <c r="L322" s="168"/>
      <c r="M322" s="168"/>
      <c r="N322" s="150"/>
    </row>
    <row r="323" spans="1:14" ht="12.75">
      <c r="A323" s="191" t="str">
        <f t="shared" si="40"/>
        <v/>
      </c>
      <c r="B323" s="171"/>
      <c r="C323" s="172" t="str">
        <f t="shared" si="36"/>
        <v/>
      </c>
      <c r="D323" s="173" t="str">
        <f t="shared" si="41"/>
        <v/>
      </c>
      <c r="E323" s="173" t="str">
        <f t="shared" si="44"/>
        <v/>
      </c>
      <c r="F323" s="174" t="e">
        <f t="shared" si="37"/>
        <v>#VALUE!</v>
      </c>
      <c r="G323" s="173" t="e">
        <f t="shared" si="38"/>
        <v>#VALUE!</v>
      </c>
      <c r="H323" s="173" t="str">
        <f t="shared" si="42"/>
        <v/>
      </c>
      <c r="I323" s="173" t="str">
        <f t="shared" si="43"/>
        <v/>
      </c>
      <c r="J323" s="173" t="e">
        <f t="shared" si="39"/>
        <v>#VALUE!</v>
      </c>
      <c r="K323" s="173">
        <f>SUM($I$17:$I323)</f>
        <v>0</v>
      </c>
      <c r="L323" s="168"/>
      <c r="M323" s="168"/>
      <c r="N323" s="150"/>
    </row>
    <row r="324" spans="1:14" ht="12.75">
      <c r="A324" s="191" t="str">
        <f t="shared" si="40"/>
        <v/>
      </c>
      <c r="B324" s="171"/>
      <c r="C324" s="172" t="str">
        <f t="shared" si="36"/>
        <v/>
      </c>
      <c r="D324" s="173" t="str">
        <f t="shared" si="41"/>
        <v/>
      </c>
      <c r="E324" s="173" t="str">
        <f t="shared" si="44"/>
        <v/>
      </c>
      <c r="F324" s="174" t="e">
        <f t="shared" si="37"/>
        <v>#VALUE!</v>
      </c>
      <c r="G324" s="173" t="e">
        <f t="shared" si="38"/>
        <v>#VALUE!</v>
      </c>
      <c r="H324" s="173" t="str">
        <f t="shared" si="42"/>
        <v/>
      </c>
      <c r="I324" s="173" t="str">
        <f t="shared" si="43"/>
        <v/>
      </c>
      <c r="J324" s="173" t="e">
        <f t="shared" si="39"/>
        <v>#VALUE!</v>
      </c>
      <c r="K324" s="173">
        <f>SUM($I$17:$I324)</f>
        <v>0</v>
      </c>
      <c r="L324" s="168"/>
      <c r="M324" s="168"/>
      <c r="N324" s="150"/>
    </row>
    <row r="325" spans="1:14" ht="12.75">
      <c r="A325" s="191" t="str">
        <f t="shared" si="40"/>
        <v/>
      </c>
      <c r="B325" s="171"/>
      <c r="C325" s="172" t="str">
        <f t="shared" si="36"/>
        <v/>
      </c>
      <c r="D325" s="173" t="str">
        <f t="shared" si="41"/>
        <v/>
      </c>
      <c r="E325" s="173" t="str">
        <f t="shared" si="44"/>
        <v/>
      </c>
      <c r="F325" s="174" t="e">
        <f t="shared" si="37"/>
        <v>#VALUE!</v>
      </c>
      <c r="G325" s="173" t="e">
        <f t="shared" si="38"/>
        <v>#VALUE!</v>
      </c>
      <c r="H325" s="173" t="str">
        <f t="shared" si="42"/>
        <v/>
      </c>
      <c r="I325" s="173" t="str">
        <f t="shared" si="43"/>
        <v/>
      </c>
      <c r="J325" s="173" t="e">
        <f t="shared" si="39"/>
        <v>#VALUE!</v>
      </c>
      <c r="K325" s="173">
        <f>SUM($I$17:$I325)</f>
        <v>0</v>
      </c>
      <c r="L325" s="168"/>
      <c r="M325" s="168"/>
      <c r="N325" s="150"/>
    </row>
    <row r="326" spans="1:14" ht="12.75">
      <c r="A326" s="191" t="str">
        <f t="shared" si="40"/>
        <v/>
      </c>
      <c r="B326" s="171"/>
      <c r="C326" s="172" t="str">
        <f t="shared" si="36"/>
        <v/>
      </c>
      <c r="D326" s="173" t="str">
        <f t="shared" si="41"/>
        <v/>
      </c>
      <c r="E326" s="173" t="str">
        <f t="shared" si="44"/>
        <v/>
      </c>
      <c r="F326" s="174" t="e">
        <f t="shared" si="37"/>
        <v>#VALUE!</v>
      </c>
      <c r="G326" s="173" t="e">
        <f t="shared" si="38"/>
        <v>#VALUE!</v>
      </c>
      <c r="H326" s="173" t="str">
        <f t="shared" si="42"/>
        <v/>
      </c>
      <c r="I326" s="173" t="str">
        <f t="shared" si="43"/>
        <v/>
      </c>
      <c r="J326" s="173" t="e">
        <f t="shared" si="39"/>
        <v>#VALUE!</v>
      </c>
      <c r="K326" s="173">
        <f>SUM($I$17:$I326)</f>
        <v>0</v>
      </c>
      <c r="L326" s="168"/>
      <c r="M326" s="168"/>
      <c r="N326" s="150"/>
    </row>
    <row r="327" spans="1:14" ht="12.75">
      <c r="A327" s="191" t="str">
        <f t="shared" si="40"/>
        <v/>
      </c>
      <c r="B327" s="171"/>
      <c r="C327" s="172" t="str">
        <f t="shared" si="36"/>
        <v/>
      </c>
      <c r="D327" s="173" t="str">
        <f t="shared" si="41"/>
        <v/>
      </c>
      <c r="E327" s="173" t="str">
        <f t="shared" si="44"/>
        <v/>
      </c>
      <c r="F327" s="174" t="e">
        <f t="shared" si="37"/>
        <v>#VALUE!</v>
      </c>
      <c r="G327" s="173" t="e">
        <f t="shared" si="38"/>
        <v>#VALUE!</v>
      </c>
      <c r="H327" s="173" t="str">
        <f t="shared" si="42"/>
        <v/>
      </c>
      <c r="I327" s="173" t="str">
        <f t="shared" si="43"/>
        <v/>
      </c>
      <c r="J327" s="173" t="e">
        <f t="shared" si="39"/>
        <v>#VALUE!</v>
      </c>
      <c r="K327" s="173">
        <f>SUM($I$17:$I327)</f>
        <v>0</v>
      </c>
      <c r="L327" s="168"/>
      <c r="M327" s="168"/>
      <c r="N327" s="150"/>
    </row>
    <row r="328" spans="1:14" ht="12.75">
      <c r="A328" s="191" t="str">
        <f t="shared" si="40"/>
        <v/>
      </c>
      <c r="B328" s="171"/>
      <c r="C328" s="172" t="str">
        <f t="shared" si="36"/>
        <v/>
      </c>
      <c r="D328" s="173" t="str">
        <f t="shared" si="41"/>
        <v/>
      </c>
      <c r="E328" s="173" t="str">
        <f t="shared" si="44"/>
        <v/>
      </c>
      <c r="F328" s="174" t="e">
        <f t="shared" si="37"/>
        <v>#VALUE!</v>
      </c>
      <c r="G328" s="173" t="e">
        <f t="shared" si="38"/>
        <v>#VALUE!</v>
      </c>
      <c r="H328" s="173" t="str">
        <f t="shared" si="42"/>
        <v/>
      </c>
      <c r="I328" s="173" t="str">
        <f t="shared" si="43"/>
        <v/>
      </c>
      <c r="J328" s="173" t="e">
        <f t="shared" si="39"/>
        <v>#VALUE!</v>
      </c>
      <c r="K328" s="173">
        <f>SUM($I$17:$I328)</f>
        <v>0</v>
      </c>
      <c r="L328" s="168"/>
      <c r="M328" s="168"/>
      <c r="N328" s="150"/>
    </row>
    <row r="329" spans="1:14" ht="12.75">
      <c r="A329" s="191" t="str">
        <f t="shared" si="40"/>
        <v/>
      </c>
      <c r="B329" s="171"/>
      <c r="C329" s="172" t="str">
        <f t="shared" si="36"/>
        <v/>
      </c>
      <c r="D329" s="173" t="str">
        <f t="shared" si="41"/>
        <v/>
      </c>
      <c r="E329" s="173" t="str">
        <f t="shared" si="44"/>
        <v/>
      </c>
      <c r="F329" s="174" t="e">
        <f t="shared" si="37"/>
        <v>#VALUE!</v>
      </c>
      <c r="G329" s="173" t="e">
        <f t="shared" si="38"/>
        <v>#VALUE!</v>
      </c>
      <c r="H329" s="173" t="str">
        <f t="shared" si="42"/>
        <v/>
      </c>
      <c r="I329" s="173" t="str">
        <f t="shared" si="43"/>
        <v/>
      </c>
      <c r="J329" s="173" t="e">
        <f t="shared" si="39"/>
        <v>#VALUE!</v>
      </c>
      <c r="K329" s="173">
        <f>SUM($I$17:$I329)</f>
        <v>0</v>
      </c>
      <c r="L329" s="168"/>
      <c r="M329" s="168"/>
      <c r="N329" s="150"/>
    </row>
    <row r="330" spans="1:14" ht="12.75">
      <c r="A330" s="191" t="str">
        <f t="shared" si="40"/>
        <v/>
      </c>
      <c r="B330" s="171"/>
      <c r="C330" s="172" t="str">
        <f t="shared" si="36"/>
        <v/>
      </c>
      <c r="D330" s="173" t="str">
        <f t="shared" si="41"/>
        <v/>
      </c>
      <c r="E330" s="173" t="str">
        <f t="shared" si="44"/>
        <v/>
      </c>
      <c r="F330" s="174" t="e">
        <f t="shared" si="37"/>
        <v>#VALUE!</v>
      </c>
      <c r="G330" s="173" t="e">
        <f t="shared" si="38"/>
        <v>#VALUE!</v>
      </c>
      <c r="H330" s="173" t="str">
        <f t="shared" si="42"/>
        <v/>
      </c>
      <c r="I330" s="173" t="str">
        <f t="shared" si="43"/>
        <v/>
      </c>
      <c r="J330" s="173" t="e">
        <f t="shared" si="39"/>
        <v>#VALUE!</v>
      </c>
      <c r="K330" s="173">
        <f>SUM($I$17:$I330)</f>
        <v>0</v>
      </c>
      <c r="L330" s="168"/>
      <c r="M330" s="168"/>
      <c r="N330" s="150"/>
    </row>
    <row r="331" spans="1:14" ht="12.75">
      <c r="A331" s="191" t="str">
        <f t="shared" si="40"/>
        <v/>
      </c>
      <c r="B331" s="171"/>
      <c r="C331" s="172" t="str">
        <f t="shared" si="36"/>
        <v/>
      </c>
      <c r="D331" s="173" t="str">
        <f t="shared" si="41"/>
        <v/>
      </c>
      <c r="E331" s="173" t="str">
        <f t="shared" si="44"/>
        <v/>
      </c>
      <c r="F331" s="174" t="e">
        <f t="shared" si="37"/>
        <v>#VALUE!</v>
      </c>
      <c r="G331" s="173" t="e">
        <f t="shared" si="38"/>
        <v>#VALUE!</v>
      </c>
      <c r="H331" s="173" t="str">
        <f t="shared" si="42"/>
        <v/>
      </c>
      <c r="I331" s="173" t="str">
        <f t="shared" si="43"/>
        <v/>
      </c>
      <c r="J331" s="173" t="e">
        <f t="shared" si="39"/>
        <v>#VALUE!</v>
      </c>
      <c r="K331" s="173">
        <f>SUM($I$17:$I331)</f>
        <v>0</v>
      </c>
      <c r="L331" s="168"/>
      <c r="M331" s="168"/>
      <c r="N331" s="150"/>
    </row>
    <row r="332" spans="1:14" ht="12.75">
      <c r="A332" s="191" t="str">
        <f t="shared" si="40"/>
        <v/>
      </c>
      <c r="B332" s="171"/>
      <c r="C332" s="172" t="str">
        <f t="shared" si="36"/>
        <v/>
      </c>
      <c r="D332" s="173" t="str">
        <f t="shared" si="41"/>
        <v/>
      </c>
      <c r="E332" s="173" t="str">
        <f t="shared" si="44"/>
        <v/>
      </c>
      <c r="F332" s="174" t="e">
        <f t="shared" si="37"/>
        <v>#VALUE!</v>
      </c>
      <c r="G332" s="173" t="e">
        <f t="shared" si="38"/>
        <v>#VALUE!</v>
      </c>
      <c r="H332" s="173" t="str">
        <f t="shared" si="42"/>
        <v/>
      </c>
      <c r="I332" s="173" t="str">
        <f t="shared" si="43"/>
        <v/>
      </c>
      <c r="J332" s="173" t="e">
        <f t="shared" si="39"/>
        <v>#VALUE!</v>
      </c>
      <c r="K332" s="173">
        <f>SUM($I$17:$I332)</f>
        <v>0</v>
      </c>
      <c r="L332" s="168"/>
      <c r="M332" s="168"/>
      <c r="N332" s="150"/>
    </row>
    <row r="333" spans="1:14" ht="12.75">
      <c r="A333" s="191" t="str">
        <f t="shared" si="40"/>
        <v/>
      </c>
      <c r="B333" s="171"/>
      <c r="C333" s="172" t="str">
        <f t="shared" si="36"/>
        <v/>
      </c>
      <c r="D333" s="173" t="str">
        <f t="shared" si="41"/>
        <v/>
      </c>
      <c r="E333" s="173" t="str">
        <f t="shared" si="44"/>
        <v/>
      </c>
      <c r="F333" s="174" t="e">
        <f t="shared" si="37"/>
        <v>#VALUE!</v>
      </c>
      <c r="G333" s="173" t="e">
        <f t="shared" si="38"/>
        <v>#VALUE!</v>
      </c>
      <c r="H333" s="173" t="str">
        <f t="shared" si="42"/>
        <v/>
      </c>
      <c r="I333" s="173" t="str">
        <f t="shared" si="43"/>
        <v/>
      </c>
      <c r="J333" s="173" t="e">
        <f t="shared" si="39"/>
        <v>#VALUE!</v>
      </c>
      <c r="K333" s="173">
        <f>SUM($I$17:$I333)</f>
        <v>0</v>
      </c>
      <c r="L333" s="168"/>
      <c r="M333" s="168"/>
      <c r="N333" s="150"/>
    </row>
    <row r="334" spans="1:14" ht="12.75">
      <c r="A334" s="191" t="str">
        <f t="shared" si="40"/>
        <v/>
      </c>
      <c r="B334" s="171"/>
      <c r="C334" s="172" t="str">
        <f t="shared" si="36"/>
        <v/>
      </c>
      <c r="D334" s="173" t="str">
        <f t="shared" si="41"/>
        <v/>
      </c>
      <c r="E334" s="173" t="str">
        <f t="shared" si="44"/>
        <v/>
      </c>
      <c r="F334" s="174" t="e">
        <f t="shared" si="37"/>
        <v>#VALUE!</v>
      </c>
      <c r="G334" s="173" t="e">
        <f t="shared" si="38"/>
        <v>#VALUE!</v>
      </c>
      <c r="H334" s="173" t="str">
        <f t="shared" si="42"/>
        <v/>
      </c>
      <c r="I334" s="173" t="str">
        <f t="shared" si="43"/>
        <v/>
      </c>
      <c r="J334" s="173" t="e">
        <f t="shared" si="39"/>
        <v>#VALUE!</v>
      </c>
      <c r="K334" s="173">
        <f>SUM($I$17:$I334)</f>
        <v>0</v>
      </c>
      <c r="L334" s="168"/>
      <c r="M334" s="168"/>
      <c r="N334" s="150"/>
    </row>
    <row r="335" spans="1:14" ht="12.75">
      <c r="A335" s="191" t="str">
        <f t="shared" si="40"/>
        <v/>
      </c>
      <c r="B335" s="171"/>
      <c r="C335" s="172" t="str">
        <f t="shared" si="36"/>
        <v/>
      </c>
      <c r="D335" s="173" t="str">
        <f t="shared" si="41"/>
        <v/>
      </c>
      <c r="E335" s="173" t="str">
        <f t="shared" si="44"/>
        <v/>
      </c>
      <c r="F335" s="174" t="e">
        <f t="shared" si="37"/>
        <v>#VALUE!</v>
      </c>
      <c r="G335" s="173" t="e">
        <f t="shared" si="38"/>
        <v>#VALUE!</v>
      </c>
      <c r="H335" s="173" t="str">
        <f t="shared" si="42"/>
        <v/>
      </c>
      <c r="I335" s="173" t="str">
        <f t="shared" si="43"/>
        <v/>
      </c>
      <c r="J335" s="173" t="e">
        <f t="shared" si="39"/>
        <v>#VALUE!</v>
      </c>
      <c r="K335" s="173">
        <f>SUM($I$17:$I335)</f>
        <v>0</v>
      </c>
      <c r="L335" s="168"/>
      <c r="M335" s="168"/>
      <c r="N335" s="150"/>
    </row>
    <row r="336" spans="1:14" ht="12.75">
      <c r="A336" s="191" t="str">
        <f t="shared" si="40"/>
        <v/>
      </c>
      <c r="B336" s="171"/>
      <c r="C336" s="172" t="str">
        <f t="shared" si="36"/>
        <v/>
      </c>
      <c r="D336" s="173" t="str">
        <f t="shared" si="41"/>
        <v/>
      </c>
      <c r="E336" s="173" t="str">
        <f t="shared" si="44"/>
        <v/>
      </c>
      <c r="F336" s="174" t="e">
        <f t="shared" si="37"/>
        <v>#VALUE!</v>
      </c>
      <c r="G336" s="173" t="e">
        <f t="shared" si="38"/>
        <v>#VALUE!</v>
      </c>
      <c r="H336" s="173" t="str">
        <f t="shared" si="42"/>
        <v/>
      </c>
      <c r="I336" s="173" t="str">
        <f t="shared" si="43"/>
        <v/>
      </c>
      <c r="J336" s="173" t="e">
        <f t="shared" si="39"/>
        <v>#VALUE!</v>
      </c>
      <c r="K336" s="173">
        <f>SUM($I$17:$I336)</f>
        <v>0</v>
      </c>
      <c r="L336" s="168"/>
      <c r="M336" s="168"/>
      <c r="N336" s="150"/>
    </row>
    <row r="337" spans="1:14" ht="12.75">
      <c r="A337" s="191" t="str">
        <f t="shared" si="40"/>
        <v/>
      </c>
      <c r="B337" s="171"/>
      <c r="C337" s="172" t="str">
        <f t="shared" ref="C337:C376" si="45">IF(Pay_Num&lt;&gt;"",DATE(YEAR(Loan_Start),MONTH(Loan_Start)+(Pay_Num)*12/Num_Pmt_Per_Year,DAY(Loan_Start)),"")</f>
        <v/>
      </c>
      <c r="D337" s="173" t="str">
        <f t="shared" si="41"/>
        <v/>
      </c>
      <c r="E337" s="173" t="str">
        <f t="shared" si="44"/>
        <v/>
      </c>
      <c r="F337" s="174" t="e">
        <f t="shared" ref="F337:F376" si="46">IF(AND(Pay_Num&lt;&gt;"",Sched_Pay+Scheduled_Extra_Payments&lt;Beg_Bal),Scheduled_Extra_Payments,IF(AND(Pay_Num&lt;&gt;"",Beg_Bal-Sched_Pay&gt;0),Beg_Bal-Sched_Pay,IF(Pay_Num&lt;&gt;"",0,"")))</f>
        <v>#VALUE!</v>
      </c>
      <c r="G337" s="173" t="e">
        <f t="shared" ref="G337:G376" si="47">IF(AND(Pay_Num&lt;&gt;"",Sched_Pay+Extra_Pay&lt;Beg_Bal),Sched_Pay+Extra_Pay,IF(Pay_Num&lt;&gt;"",Beg_Bal,""))</f>
        <v>#VALUE!</v>
      </c>
      <c r="H337" s="173" t="str">
        <f t="shared" si="42"/>
        <v/>
      </c>
      <c r="I337" s="173" t="str">
        <f t="shared" si="43"/>
        <v/>
      </c>
      <c r="J337" s="173" t="e">
        <f t="shared" ref="J337:J376" si="48">IF(AND(Pay_Num&lt;&gt;"",Sched_Pay+Extra_Pay&lt;Beg_Bal),Beg_Bal-Princ,IF(Pay_Num&lt;&gt;"",0,""))</f>
        <v>#VALUE!</v>
      </c>
      <c r="K337" s="173">
        <f>SUM($I$17:$I337)</f>
        <v>0</v>
      </c>
      <c r="L337" s="168"/>
      <c r="M337" s="168"/>
      <c r="N337" s="150"/>
    </row>
    <row r="338" spans="1:14" ht="12.75">
      <c r="A338" s="191" t="str">
        <f t="shared" ref="A338:A376" si="49">IF(Values_Entered,A337+1,"")</f>
        <v/>
      </c>
      <c r="B338" s="171"/>
      <c r="C338" s="172" t="str">
        <f t="shared" si="45"/>
        <v/>
      </c>
      <c r="D338" s="173" t="str">
        <f t="shared" ref="D338:D376" si="50">IF(Pay_Num&lt;&gt;"",J337,"")</f>
        <v/>
      </c>
      <c r="E338" s="173" t="str">
        <f t="shared" si="44"/>
        <v/>
      </c>
      <c r="F338" s="174" t="e">
        <f t="shared" si="46"/>
        <v>#VALUE!</v>
      </c>
      <c r="G338" s="173" t="e">
        <f t="shared" si="47"/>
        <v>#VALUE!</v>
      </c>
      <c r="H338" s="173" t="str">
        <f t="shared" ref="H338:H376" si="51">IF(Pay_Num&lt;&gt;"",Total_Pay-Int,"")</f>
        <v/>
      </c>
      <c r="I338" s="173" t="str">
        <f t="shared" ref="I338:I376" si="52">IF(Pay_Num&lt;&gt;"",Beg_Bal*Interest_Rate/Num_Pmt_Per_Year,"")</f>
        <v/>
      </c>
      <c r="J338" s="173" t="e">
        <f t="shared" si="48"/>
        <v>#VALUE!</v>
      </c>
      <c r="K338" s="173">
        <f>SUM($I$17:$I338)</f>
        <v>0</v>
      </c>
      <c r="L338" s="168"/>
      <c r="M338" s="168"/>
      <c r="N338" s="150"/>
    </row>
    <row r="339" spans="1:14" ht="12.75">
      <c r="A339" s="191" t="str">
        <f t="shared" si="49"/>
        <v/>
      </c>
      <c r="B339" s="171"/>
      <c r="C339" s="172" t="str">
        <f t="shared" si="45"/>
        <v/>
      </c>
      <c r="D339" s="173" t="str">
        <f t="shared" si="50"/>
        <v/>
      </c>
      <c r="E339" s="173" t="str">
        <f t="shared" ref="E339:E376" si="53">IF(Pay_Num&lt;&gt;"",Scheduled_Monthly_Payment,"")</f>
        <v/>
      </c>
      <c r="F339" s="174" t="e">
        <f t="shared" si="46"/>
        <v>#VALUE!</v>
      </c>
      <c r="G339" s="173" t="e">
        <f t="shared" si="47"/>
        <v>#VALUE!</v>
      </c>
      <c r="H339" s="173" t="str">
        <f t="shared" si="51"/>
        <v/>
      </c>
      <c r="I339" s="173" t="str">
        <f t="shared" si="52"/>
        <v/>
      </c>
      <c r="J339" s="173" t="e">
        <f t="shared" si="48"/>
        <v>#VALUE!</v>
      </c>
      <c r="K339" s="173">
        <f>SUM($I$17:$I339)</f>
        <v>0</v>
      </c>
      <c r="L339" s="168"/>
      <c r="M339" s="168"/>
      <c r="N339" s="150"/>
    </row>
    <row r="340" spans="1:14" ht="12.75">
      <c r="A340" s="191" t="str">
        <f t="shared" si="49"/>
        <v/>
      </c>
      <c r="B340" s="171"/>
      <c r="C340" s="172" t="str">
        <f t="shared" si="45"/>
        <v/>
      </c>
      <c r="D340" s="173" t="str">
        <f t="shared" si="50"/>
        <v/>
      </c>
      <c r="E340" s="173" t="str">
        <f t="shared" si="53"/>
        <v/>
      </c>
      <c r="F340" s="174" t="e">
        <f t="shared" si="46"/>
        <v>#VALUE!</v>
      </c>
      <c r="G340" s="173" t="e">
        <f t="shared" si="47"/>
        <v>#VALUE!</v>
      </c>
      <c r="H340" s="173" t="str">
        <f t="shared" si="51"/>
        <v/>
      </c>
      <c r="I340" s="173" t="str">
        <f t="shared" si="52"/>
        <v/>
      </c>
      <c r="J340" s="173" t="e">
        <f t="shared" si="48"/>
        <v>#VALUE!</v>
      </c>
      <c r="K340" s="173">
        <f>SUM($I$17:$I340)</f>
        <v>0</v>
      </c>
      <c r="L340" s="168"/>
      <c r="M340" s="168"/>
      <c r="N340" s="150"/>
    </row>
    <row r="341" spans="1:14" ht="12.75">
      <c r="A341" s="191" t="str">
        <f t="shared" si="49"/>
        <v/>
      </c>
      <c r="B341" s="171"/>
      <c r="C341" s="172" t="str">
        <f t="shared" si="45"/>
        <v/>
      </c>
      <c r="D341" s="173" t="str">
        <f t="shared" si="50"/>
        <v/>
      </c>
      <c r="E341" s="173" t="str">
        <f t="shared" si="53"/>
        <v/>
      </c>
      <c r="F341" s="174" t="e">
        <f t="shared" si="46"/>
        <v>#VALUE!</v>
      </c>
      <c r="G341" s="173" t="e">
        <f t="shared" si="47"/>
        <v>#VALUE!</v>
      </c>
      <c r="H341" s="173" t="str">
        <f t="shared" si="51"/>
        <v/>
      </c>
      <c r="I341" s="173" t="str">
        <f t="shared" si="52"/>
        <v/>
      </c>
      <c r="J341" s="173" t="e">
        <f t="shared" si="48"/>
        <v>#VALUE!</v>
      </c>
      <c r="K341" s="173">
        <f>SUM($I$17:$I341)</f>
        <v>0</v>
      </c>
      <c r="L341" s="168"/>
      <c r="M341" s="168"/>
      <c r="N341" s="150"/>
    </row>
    <row r="342" spans="1:14" ht="12.75">
      <c r="A342" s="191" t="str">
        <f t="shared" si="49"/>
        <v/>
      </c>
      <c r="B342" s="171"/>
      <c r="C342" s="172" t="str">
        <f t="shared" si="45"/>
        <v/>
      </c>
      <c r="D342" s="173" t="str">
        <f t="shared" si="50"/>
        <v/>
      </c>
      <c r="E342" s="173" t="str">
        <f t="shared" si="53"/>
        <v/>
      </c>
      <c r="F342" s="174" t="e">
        <f t="shared" si="46"/>
        <v>#VALUE!</v>
      </c>
      <c r="G342" s="173" t="e">
        <f t="shared" si="47"/>
        <v>#VALUE!</v>
      </c>
      <c r="H342" s="173" t="str">
        <f t="shared" si="51"/>
        <v/>
      </c>
      <c r="I342" s="173" t="str">
        <f t="shared" si="52"/>
        <v/>
      </c>
      <c r="J342" s="173" t="e">
        <f t="shared" si="48"/>
        <v>#VALUE!</v>
      </c>
      <c r="K342" s="173">
        <f>SUM($I$17:$I342)</f>
        <v>0</v>
      </c>
      <c r="L342" s="168"/>
      <c r="M342" s="168"/>
      <c r="N342" s="150"/>
    </row>
    <row r="343" spans="1:14" ht="12.75">
      <c r="A343" s="191" t="str">
        <f t="shared" si="49"/>
        <v/>
      </c>
      <c r="B343" s="171"/>
      <c r="C343" s="172" t="str">
        <f t="shared" si="45"/>
        <v/>
      </c>
      <c r="D343" s="173" t="str">
        <f t="shared" si="50"/>
        <v/>
      </c>
      <c r="E343" s="173" t="str">
        <f t="shared" si="53"/>
        <v/>
      </c>
      <c r="F343" s="174" t="e">
        <f t="shared" si="46"/>
        <v>#VALUE!</v>
      </c>
      <c r="G343" s="173" t="e">
        <f t="shared" si="47"/>
        <v>#VALUE!</v>
      </c>
      <c r="H343" s="173" t="str">
        <f t="shared" si="51"/>
        <v/>
      </c>
      <c r="I343" s="173" t="str">
        <f t="shared" si="52"/>
        <v/>
      </c>
      <c r="J343" s="173" t="e">
        <f t="shared" si="48"/>
        <v>#VALUE!</v>
      </c>
      <c r="K343" s="173">
        <f>SUM($I$17:$I343)</f>
        <v>0</v>
      </c>
      <c r="L343" s="168"/>
      <c r="M343" s="168"/>
      <c r="N343" s="150"/>
    </row>
    <row r="344" spans="1:14" ht="12.75">
      <c r="A344" s="191" t="str">
        <f t="shared" si="49"/>
        <v/>
      </c>
      <c r="B344" s="171"/>
      <c r="C344" s="172" t="str">
        <f t="shared" si="45"/>
        <v/>
      </c>
      <c r="D344" s="173" t="str">
        <f t="shared" si="50"/>
        <v/>
      </c>
      <c r="E344" s="173" t="str">
        <f t="shared" si="53"/>
        <v/>
      </c>
      <c r="F344" s="174" t="e">
        <f t="shared" si="46"/>
        <v>#VALUE!</v>
      </c>
      <c r="G344" s="173" t="e">
        <f t="shared" si="47"/>
        <v>#VALUE!</v>
      </c>
      <c r="H344" s="173" t="str">
        <f t="shared" si="51"/>
        <v/>
      </c>
      <c r="I344" s="173" t="str">
        <f t="shared" si="52"/>
        <v/>
      </c>
      <c r="J344" s="173" t="e">
        <f t="shared" si="48"/>
        <v>#VALUE!</v>
      </c>
      <c r="K344" s="173">
        <f>SUM($I$17:$I344)</f>
        <v>0</v>
      </c>
      <c r="L344" s="168"/>
      <c r="M344" s="168"/>
      <c r="N344" s="150"/>
    </row>
    <row r="345" spans="1:14" ht="12.75">
      <c r="A345" s="191" t="str">
        <f t="shared" si="49"/>
        <v/>
      </c>
      <c r="B345" s="171"/>
      <c r="C345" s="172" t="str">
        <f t="shared" si="45"/>
        <v/>
      </c>
      <c r="D345" s="173" t="str">
        <f t="shared" si="50"/>
        <v/>
      </c>
      <c r="E345" s="173" t="str">
        <f t="shared" si="53"/>
        <v/>
      </c>
      <c r="F345" s="174" t="e">
        <f t="shared" si="46"/>
        <v>#VALUE!</v>
      </c>
      <c r="G345" s="173" t="e">
        <f t="shared" si="47"/>
        <v>#VALUE!</v>
      </c>
      <c r="H345" s="173" t="str">
        <f t="shared" si="51"/>
        <v/>
      </c>
      <c r="I345" s="173" t="str">
        <f t="shared" si="52"/>
        <v/>
      </c>
      <c r="J345" s="173" t="e">
        <f t="shared" si="48"/>
        <v>#VALUE!</v>
      </c>
      <c r="K345" s="173">
        <f>SUM($I$17:$I345)</f>
        <v>0</v>
      </c>
      <c r="L345" s="168"/>
      <c r="M345" s="168"/>
      <c r="N345" s="150"/>
    </row>
    <row r="346" spans="1:14" ht="12.75">
      <c r="A346" s="191" t="str">
        <f t="shared" si="49"/>
        <v/>
      </c>
      <c r="B346" s="171"/>
      <c r="C346" s="172" t="str">
        <f t="shared" si="45"/>
        <v/>
      </c>
      <c r="D346" s="173" t="str">
        <f t="shared" si="50"/>
        <v/>
      </c>
      <c r="E346" s="173" t="str">
        <f t="shared" si="53"/>
        <v/>
      </c>
      <c r="F346" s="174" t="e">
        <f t="shared" si="46"/>
        <v>#VALUE!</v>
      </c>
      <c r="G346" s="173" t="e">
        <f t="shared" si="47"/>
        <v>#VALUE!</v>
      </c>
      <c r="H346" s="173" t="str">
        <f t="shared" si="51"/>
        <v/>
      </c>
      <c r="I346" s="173" t="str">
        <f t="shared" si="52"/>
        <v/>
      </c>
      <c r="J346" s="173" t="e">
        <f t="shared" si="48"/>
        <v>#VALUE!</v>
      </c>
      <c r="K346" s="173">
        <f>SUM($I$17:$I346)</f>
        <v>0</v>
      </c>
      <c r="L346" s="168"/>
      <c r="M346" s="168"/>
      <c r="N346" s="150"/>
    </row>
    <row r="347" spans="1:14" ht="12.75">
      <c r="A347" s="191" t="str">
        <f t="shared" si="49"/>
        <v/>
      </c>
      <c r="B347" s="171"/>
      <c r="C347" s="172" t="str">
        <f t="shared" si="45"/>
        <v/>
      </c>
      <c r="D347" s="173" t="str">
        <f t="shared" si="50"/>
        <v/>
      </c>
      <c r="E347" s="173" t="str">
        <f t="shared" si="53"/>
        <v/>
      </c>
      <c r="F347" s="174" t="e">
        <f t="shared" si="46"/>
        <v>#VALUE!</v>
      </c>
      <c r="G347" s="173" t="e">
        <f t="shared" si="47"/>
        <v>#VALUE!</v>
      </c>
      <c r="H347" s="173" t="str">
        <f t="shared" si="51"/>
        <v/>
      </c>
      <c r="I347" s="173" t="str">
        <f t="shared" si="52"/>
        <v/>
      </c>
      <c r="J347" s="173" t="e">
        <f t="shared" si="48"/>
        <v>#VALUE!</v>
      </c>
      <c r="K347" s="173">
        <f>SUM($I$17:$I347)</f>
        <v>0</v>
      </c>
      <c r="L347" s="168"/>
      <c r="M347" s="168"/>
      <c r="N347" s="150"/>
    </row>
    <row r="348" spans="1:14" ht="12.75">
      <c r="A348" s="191" t="str">
        <f t="shared" si="49"/>
        <v/>
      </c>
      <c r="B348" s="171"/>
      <c r="C348" s="172" t="str">
        <f t="shared" si="45"/>
        <v/>
      </c>
      <c r="D348" s="173" t="str">
        <f t="shared" si="50"/>
        <v/>
      </c>
      <c r="E348" s="173" t="str">
        <f t="shared" si="53"/>
        <v/>
      </c>
      <c r="F348" s="174" t="e">
        <f t="shared" si="46"/>
        <v>#VALUE!</v>
      </c>
      <c r="G348" s="173" t="e">
        <f t="shared" si="47"/>
        <v>#VALUE!</v>
      </c>
      <c r="H348" s="173" t="str">
        <f t="shared" si="51"/>
        <v/>
      </c>
      <c r="I348" s="173" t="str">
        <f t="shared" si="52"/>
        <v/>
      </c>
      <c r="J348" s="173" t="e">
        <f t="shared" si="48"/>
        <v>#VALUE!</v>
      </c>
      <c r="K348" s="173">
        <f>SUM($I$17:$I348)</f>
        <v>0</v>
      </c>
      <c r="L348" s="168"/>
      <c r="M348" s="168"/>
      <c r="N348" s="150"/>
    </row>
    <row r="349" spans="1:14" ht="12.75">
      <c r="A349" s="191" t="str">
        <f t="shared" si="49"/>
        <v/>
      </c>
      <c r="B349" s="171"/>
      <c r="C349" s="172" t="str">
        <f t="shared" si="45"/>
        <v/>
      </c>
      <c r="D349" s="173" t="str">
        <f t="shared" si="50"/>
        <v/>
      </c>
      <c r="E349" s="173" t="str">
        <f t="shared" si="53"/>
        <v/>
      </c>
      <c r="F349" s="174" t="e">
        <f t="shared" si="46"/>
        <v>#VALUE!</v>
      </c>
      <c r="G349" s="173" t="e">
        <f t="shared" si="47"/>
        <v>#VALUE!</v>
      </c>
      <c r="H349" s="173" t="str">
        <f t="shared" si="51"/>
        <v/>
      </c>
      <c r="I349" s="173" t="str">
        <f t="shared" si="52"/>
        <v/>
      </c>
      <c r="J349" s="173" t="e">
        <f t="shared" si="48"/>
        <v>#VALUE!</v>
      </c>
      <c r="K349" s="173">
        <f>SUM($I$17:$I349)</f>
        <v>0</v>
      </c>
      <c r="L349" s="168"/>
      <c r="M349" s="168"/>
      <c r="N349" s="150"/>
    </row>
    <row r="350" spans="1:14" ht="12.75">
      <c r="A350" s="191" t="str">
        <f t="shared" si="49"/>
        <v/>
      </c>
      <c r="B350" s="171"/>
      <c r="C350" s="172" t="str">
        <f t="shared" si="45"/>
        <v/>
      </c>
      <c r="D350" s="173" t="str">
        <f t="shared" si="50"/>
        <v/>
      </c>
      <c r="E350" s="173" t="str">
        <f t="shared" si="53"/>
        <v/>
      </c>
      <c r="F350" s="174" t="e">
        <f t="shared" si="46"/>
        <v>#VALUE!</v>
      </c>
      <c r="G350" s="173" t="e">
        <f t="shared" si="47"/>
        <v>#VALUE!</v>
      </c>
      <c r="H350" s="173" t="str">
        <f t="shared" si="51"/>
        <v/>
      </c>
      <c r="I350" s="173" t="str">
        <f t="shared" si="52"/>
        <v/>
      </c>
      <c r="J350" s="173" t="e">
        <f t="shared" si="48"/>
        <v>#VALUE!</v>
      </c>
      <c r="K350" s="173">
        <f>SUM($I$17:$I350)</f>
        <v>0</v>
      </c>
      <c r="L350" s="168"/>
      <c r="M350" s="168"/>
      <c r="N350" s="150"/>
    </row>
    <row r="351" spans="1:14" ht="12.75">
      <c r="A351" s="191" t="str">
        <f t="shared" si="49"/>
        <v/>
      </c>
      <c r="B351" s="171"/>
      <c r="C351" s="172" t="str">
        <f t="shared" si="45"/>
        <v/>
      </c>
      <c r="D351" s="173" t="str">
        <f t="shared" si="50"/>
        <v/>
      </c>
      <c r="E351" s="173" t="str">
        <f t="shared" si="53"/>
        <v/>
      </c>
      <c r="F351" s="174" t="e">
        <f t="shared" si="46"/>
        <v>#VALUE!</v>
      </c>
      <c r="G351" s="173" t="e">
        <f t="shared" si="47"/>
        <v>#VALUE!</v>
      </c>
      <c r="H351" s="173" t="str">
        <f t="shared" si="51"/>
        <v/>
      </c>
      <c r="I351" s="173" t="str">
        <f t="shared" si="52"/>
        <v/>
      </c>
      <c r="J351" s="173" t="e">
        <f t="shared" si="48"/>
        <v>#VALUE!</v>
      </c>
      <c r="K351" s="173">
        <f>SUM($I$17:$I351)</f>
        <v>0</v>
      </c>
      <c r="L351" s="168"/>
      <c r="M351" s="168"/>
      <c r="N351" s="150"/>
    </row>
    <row r="352" spans="1:14" ht="12.75">
      <c r="A352" s="191" t="str">
        <f t="shared" si="49"/>
        <v/>
      </c>
      <c r="B352" s="171"/>
      <c r="C352" s="172" t="str">
        <f t="shared" si="45"/>
        <v/>
      </c>
      <c r="D352" s="173" t="str">
        <f t="shared" si="50"/>
        <v/>
      </c>
      <c r="E352" s="173" t="str">
        <f t="shared" si="53"/>
        <v/>
      </c>
      <c r="F352" s="174" t="e">
        <f t="shared" si="46"/>
        <v>#VALUE!</v>
      </c>
      <c r="G352" s="173" t="e">
        <f t="shared" si="47"/>
        <v>#VALUE!</v>
      </c>
      <c r="H352" s="173" t="str">
        <f t="shared" si="51"/>
        <v/>
      </c>
      <c r="I352" s="173" t="str">
        <f t="shared" si="52"/>
        <v/>
      </c>
      <c r="J352" s="173" t="e">
        <f t="shared" si="48"/>
        <v>#VALUE!</v>
      </c>
      <c r="K352" s="173">
        <f>SUM($I$17:$I352)</f>
        <v>0</v>
      </c>
      <c r="L352" s="168"/>
      <c r="M352" s="168"/>
      <c r="N352" s="150"/>
    </row>
    <row r="353" spans="1:14" ht="12.75">
      <c r="A353" s="191" t="str">
        <f t="shared" si="49"/>
        <v/>
      </c>
      <c r="B353" s="171"/>
      <c r="C353" s="172" t="str">
        <f t="shared" si="45"/>
        <v/>
      </c>
      <c r="D353" s="173" t="str">
        <f t="shared" si="50"/>
        <v/>
      </c>
      <c r="E353" s="173" t="str">
        <f t="shared" si="53"/>
        <v/>
      </c>
      <c r="F353" s="174" t="e">
        <f t="shared" si="46"/>
        <v>#VALUE!</v>
      </c>
      <c r="G353" s="173" t="e">
        <f t="shared" si="47"/>
        <v>#VALUE!</v>
      </c>
      <c r="H353" s="173" t="str">
        <f t="shared" si="51"/>
        <v/>
      </c>
      <c r="I353" s="173" t="str">
        <f t="shared" si="52"/>
        <v/>
      </c>
      <c r="J353" s="173" t="e">
        <f t="shared" si="48"/>
        <v>#VALUE!</v>
      </c>
      <c r="K353" s="173">
        <f>SUM($I$17:$I353)</f>
        <v>0</v>
      </c>
      <c r="L353" s="168"/>
      <c r="M353" s="168"/>
      <c r="N353" s="150"/>
    </row>
    <row r="354" spans="1:14" ht="12.75">
      <c r="A354" s="191" t="str">
        <f t="shared" si="49"/>
        <v/>
      </c>
      <c r="B354" s="171"/>
      <c r="C354" s="172" t="str">
        <f t="shared" si="45"/>
        <v/>
      </c>
      <c r="D354" s="173" t="str">
        <f t="shared" si="50"/>
        <v/>
      </c>
      <c r="E354" s="173" t="str">
        <f t="shared" si="53"/>
        <v/>
      </c>
      <c r="F354" s="174" t="e">
        <f t="shared" si="46"/>
        <v>#VALUE!</v>
      </c>
      <c r="G354" s="173" t="e">
        <f t="shared" si="47"/>
        <v>#VALUE!</v>
      </c>
      <c r="H354" s="173" t="str">
        <f t="shared" si="51"/>
        <v/>
      </c>
      <c r="I354" s="173" t="str">
        <f t="shared" si="52"/>
        <v/>
      </c>
      <c r="J354" s="173" t="e">
        <f t="shared" si="48"/>
        <v>#VALUE!</v>
      </c>
      <c r="K354" s="173">
        <f>SUM($I$17:$I354)</f>
        <v>0</v>
      </c>
      <c r="L354" s="168"/>
      <c r="M354" s="168"/>
      <c r="N354" s="150"/>
    </row>
    <row r="355" spans="1:14" ht="12.75">
      <c r="A355" s="191" t="str">
        <f t="shared" si="49"/>
        <v/>
      </c>
      <c r="B355" s="171"/>
      <c r="C355" s="172" t="str">
        <f t="shared" si="45"/>
        <v/>
      </c>
      <c r="D355" s="173" t="str">
        <f t="shared" si="50"/>
        <v/>
      </c>
      <c r="E355" s="173" t="str">
        <f t="shared" si="53"/>
        <v/>
      </c>
      <c r="F355" s="174" t="e">
        <f t="shared" si="46"/>
        <v>#VALUE!</v>
      </c>
      <c r="G355" s="173" t="e">
        <f t="shared" si="47"/>
        <v>#VALUE!</v>
      </c>
      <c r="H355" s="173" t="str">
        <f t="shared" si="51"/>
        <v/>
      </c>
      <c r="I355" s="173" t="str">
        <f t="shared" si="52"/>
        <v/>
      </c>
      <c r="J355" s="173" t="e">
        <f t="shared" si="48"/>
        <v>#VALUE!</v>
      </c>
      <c r="K355" s="173">
        <f>SUM($I$17:$I355)</f>
        <v>0</v>
      </c>
      <c r="L355" s="168"/>
      <c r="M355" s="168"/>
      <c r="N355" s="150"/>
    </row>
    <row r="356" spans="1:14" ht="12.75">
      <c r="A356" s="191" t="str">
        <f t="shared" si="49"/>
        <v/>
      </c>
      <c r="B356" s="171"/>
      <c r="C356" s="172" t="str">
        <f t="shared" si="45"/>
        <v/>
      </c>
      <c r="D356" s="173" t="str">
        <f t="shared" si="50"/>
        <v/>
      </c>
      <c r="E356" s="173" t="str">
        <f t="shared" si="53"/>
        <v/>
      </c>
      <c r="F356" s="174" t="e">
        <f t="shared" si="46"/>
        <v>#VALUE!</v>
      </c>
      <c r="G356" s="173" t="e">
        <f t="shared" si="47"/>
        <v>#VALUE!</v>
      </c>
      <c r="H356" s="173" t="str">
        <f t="shared" si="51"/>
        <v/>
      </c>
      <c r="I356" s="173" t="str">
        <f t="shared" si="52"/>
        <v/>
      </c>
      <c r="J356" s="173" t="e">
        <f t="shared" si="48"/>
        <v>#VALUE!</v>
      </c>
      <c r="K356" s="173">
        <f>SUM($I$17:$I356)</f>
        <v>0</v>
      </c>
      <c r="L356" s="168"/>
      <c r="M356" s="168"/>
      <c r="N356" s="150"/>
    </row>
    <row r="357" spans="1:14" ht="12.75">
      <c r="A357" s="191" t="str">
        <f t="shared" si="49"/>
        <v/>
      </c>
      <c r="B357" s="171"/>
      <c r="C357" s="172" t="str">
        <f t="shared" si="45"/>
        <v/>
      </c>
      <c r="D357" s="173" t="str">
        <f t="shared" si="50"/>
        <v/>
      </c>
      <c r="E357" s="173" t="str">
        <f t="shared" si="53"/>
        <v/>
      </c>
      <c r="F357" s="174" t="e">
        <f t="shared" si="46"/>
        <v>#VALUE!</v>
      </c>
      <c r="G357" s="173" t="e">
        <f t="shared" si="47"/>
        <v>#VALUE!</v>
      </c>
      <c r="H357" s="173" t="str">
        <f t="shared" si="51"/>
        <v/>
      </c>
      <c r="I357" s="173" t="str">
        <f t="shared" si="52"/>
        <v/>
      </c>
      <c r="J357" s="173" t="e">
        <f t="shared" si="48"/>
        <v>#VALUE!</v>
      </c>
      <c r="K357" s="173">
        <f>SUM($I$17:$I357)</f>
        <v>0</v>
      </c>
      <c r="L357" s="168"/>
      <c r="M357" s="168"/>
      <c r="N357" s="150"/>
    </row>
    <row r="358" spans="1:14" ht="12.75">
      <c r="A358" s="191" t="str">
        <f t="shared" si="49"/>
        <v/>
      </c>
      <c r="B358" s="171"/>
      <c r="C358" s="172" t="str">
        <f t="shared" si="45"/>
        <v/>
      </c>
      <c r="D358" s="173" t="str">
        <f t="shared" si="50"/>
        <v/>
      </c>
      <c r="E358" s="173" t="str">
        <f t="shared" si="53"/>
        <v/>
      </c>
      <c r="F358" s="174" t="e">
        <f t="shared" si="46"/>
        <v>#VALUE!</v>
      </c>
      <c r="G358" s="173" t="e">
        <f t="shared" si="47"/>
        <v>#VALUE!</v>
      </c>
      <c r="H358" s="173" t="str">
        <f t="shared" si="51"/>
        <v/>
      </c>
      <c r="I358" s="173" t="str">
        <f t="shared" si="52"/>
        <v/>
      </c>
      <c r="J358" s="173" t="e">
        <f t="shared" si="48"/>
        <v>#VALUE!</v>
      </c>
      <c r="K358" s="173">
        <f>SUM($I$17:$I358)</f>
        <v>0</v>
      </c>
      <c r="L358" s="168"/>
      <c r="M358" s="168"/>
      <c r="N358" s="150"/>
    </row>
    <row r="359" spans="1:14" ht="12.75">
      <c r="A359" s="191" t="str">
        <f t="shared" si="49"/>
        <v/>
      </c>
      <c r="B359" s="171"/>
      <c r="C359" s="172" t="str">
        <f t="shared" si="45"/>
        <v/>
      </c>
      <c r="D359" s="173" t="str">
        <f t="shared" si="50"/>
        <v/>
      </c>
      <c r="E359" s="173" t="str">
        <f t="shared" si="53"/>
        <v/>
      </c>
      <c r="F359" s="174" t="e">
        <f t="shared" si="46"/>
        <v>#VALUE!</v>
      </c>
      <c r="G359" s="173" t="e">
        <f t="shared" si="47"/>
        <v>#VALUE!</v>
      </c>
      <c r="H359" s="173" t="str">
        <f t="shared" si="51"/>
        <v/>
      </c>
      <c r="I359" s="173" t="str">
        <f t="shared" si="52"/>
        <v/>
      </c>
      <c r="J359" s="173" t="e">
        <f t="shared" si="48"/>
        <v>#VALUE!</v>
      </c>
      <c r="K359" s="173">
        <f>SUM($I$17:$I359)</f>
        <v>0</v>
      </c>
      <c r="L359" s="168"/>
      <c r="M359" s="168"/>
      <c r="N359" s="150"/>
    </row>
    <row r="360" spans="1:14" ht="12.75">
      <c r="A360" s="191" t="str">
        <f t="shared" si="49"/>
        <v/>
      </c>
      <c r="B360" s="171"/>
      <c r="C360" s="172" t="str">
        <f t="shared" si="45"/>
        <v/>
      </c>
      <c r="D360" s="173" t="str">
        <f t="shared" si="50"/>
        <v/>
      </c>
      <c r="E360" s="173" t="str">
        <f t="shared" si="53"/>
        <v/>
      </c>
      <c r="F360" s="174" t="e">
        <f t="shared" si="46"/>
        <v>#VALUE!</v>
      </c>
      <c r="G360" s="173" t="e">
        <f t="shared" si="47"/>
        <v>#VALUE!</v>
      </c>
      <c r="H360" s="173" t="str">
        <f t="shared" si="51"/>
        <v/>
      </c>
      <c r="I360" s="173" t="str">
        <f t="shared" si="52"/>
        <v/>
      </c>
      <c r="J360" s="173" t="e">
        <f t="shared" si="48"/>
        <v>#VALUE!</v>
      </c>
      <c r="K360" s="173">
        <f>SUM($I$17:$I360)</f>
        <v>0</v>
      </c>
      <c r="L360" s="168"/>
      <c r="M360" s="168"/>
      <c r="N360" s="150"/>
    </row>
    <row r="361" spans="1:14" ht="12.75">
      <c r="A361" s="191" t="str">
        <f t="shared" si="49"/>
        <v/>
      </c>
      <c r="B361" s="171"/>
      <c r="C361" s="172" t="str">
        <f t="shared" si="45"/>
        <v/>
      </c>
      <c r="D361" s="173" t="str">
        <f t="shared" si="50"/>
        <v/>
      </c>
      <c r="E361" s="173" t="str">
        <f t="shared" si="53"/>
        <v/>
      </c>
      <c r="F361" s="174" t="e">
        <f t="shared" si="46"/>
        <v>#VALUE!</v>
      </c>
      <c r="G361" s="173" t="e">
        <f t="shared" si="47"/>
        <v>#VALUE!</v>
      </c>
      <c r="H361" s="173" t="str">
        <f t="shared" si="51"/>
        <v/>
      </c>
      <c r="I361" s="173" t="str">
        <f t="shared" si="52"/>
        <v/>
      </c>
      <c r="J361" s="173" t="e">
        <f t="shared" si="48"/>
        <v>#VALUE!</v>
      </c>
      <c r="K361" s="173">
        <f>SUM($I$17:$I361)</f>
        <v>0</v>
      </c>
      <c r="L361" s="168"/>
      <c r="M361" s="168"/>
      <c r="N361" s="150"/>
    </row>
    <row r="362" spans="1:14" ht="12.75">
      <c r="A362" s="191" t="str">
        <f t="shared" si="49"/>
        <v/>
      </c>
      <c r="B362" s="171"/>
      <c r="C362" s="172" t="str">
        <f t="shared" si="45"/>
        <v/>
      </c>
      <c r="D362" s="173" t="str">
        <f t="shared" si="50"/>
        <v/>
      </c>
      <c r="E362" s="173" t="str">
        <f t="shared" si="53"/>
        <v/>
      </c>
      <c r="F362" s="174" t="e">
        <f t="shared" si="46"/>
        <v>#VALUE!</v>
      </c>
      <c r="G362" s="173" t="e">
        <f t="shared" si="47"/>
        <v>#VALUE!</v>
      </c>
      <c r="H362" s="173" t="str">
        <f t="shared" si="51"/>
        <v/>
      </c>
      <c r="I362" s="173" t="str">
        <f t="shared" si="52"/>
        <v/>
      </c>
      <c r="J362" s="173" t="e">
        <f t="shared" si="48"/>
        <v>#VALUE!</v>
      </c>
      <c r="K362" s="173">
        <f>SUM($I$17:$I362)</f>
        <v>0</v>
      </c>
      <c r="L362" s="168"/>
      <c r="M362" s="168"/>
      <c r="N362" s="150"/>
    </row>
    <row r="363" spans="1:14" ht="12.75">
      <c r="A363" s="191" t="str">
        <f t="shared" si="49"/>
        <v/>
      </c>
      <c r="B363" s="171"/>
      <c r="C363" s="172" t="str">
        <f t="shared" si="45"/>
        <v/>
      </c>
      <c r="D363" s="173" t="str">
        <f t="shared" si="50"/>
        <v/>
      </c>
      <c r="E363" s="173" t="str">
        <f t="shared" si="53"/>
        <v/>
      </c>
      <c r="F363" s="174" t="e">
        <f t="shared" si="46"/>
        <v>#VALUE!</v>
      </c>
      <c r="G363" s="173" t="e">
        <f t="shared" si="47"/>
        <v>#VALUE!</v>
      </c>
      <c r="H363" s="173" t="str">
        <f t="shared" si="51"/>
        <v/>
      </c>
      <c r="I363" s="173" t="str">
        <f t="shared" si="52"/>
        <v/>
      </c>
      <c r="J363" s="173" t="e">
        <f t="shared" si="48"/>
        <v>#VALUE!</v>
      </c>
      <c r="K363" s="173">
        <f>SUM($I$17:$I363)</f>
        <v>0</v>
      </c>
      <c r="L363" s="168"/>
      <c r="M363" s="168"/>
      <c r="N363" s="150"/>
    </row>
    <row r="364" spans="1:14" ht="12.75">
      <c r="A364" s="191" t="str">
        <f t="shared" si="49"/>
        <v/>
      </c>
      <c r="B364" s="171"/>
      <c r="C364" s="172" t="str">
        <f t="shared" si="45"/>
        <v/>
      </c>
      <c r="D364" s="173" t="str">
        <f t="shared" si="50"/>
        <v/>
      </c>
      <c r="E364" s="173" t="str">
        <f t="shared" si="53"/>
        <v/>
      </c>
      <c r="F364" s="174" t="e">
        <f t="shared" si="46"/>
        <v>#VALUE!</v>
      </c>
      <c r="G364" s="173" t="e">
        <f t="shared" si="47"/>
        <v>#VALUE!</v>
      </c>
      <c r="H364" s="173" t="str">
        <f t="shared" si="51"/>
        <v/>
      </c>
      <c r="I364" s="173" t="str">
        <f t="shared" si="52"/>
        <v/>
      </c>
      <c r="J364" s="173" t="e">
        <f t="shared" si="48"/>
        <v>#VALUE!</v>
      </c>
      <c r="K364" s="173">
        <f>SUM($I$17:$I364)</f>
        <v>0</v>
      </c>
      <c r="L364" s="168"/>
      <c r="M364" s="168"/>
      <c r="N364" s="150"/>
    </row>
    <row r="365" spans="1:14" ht="12.75">
      <c r="A365" s="191" t="str">
        <f t="shared" si="49"/>
        <v/>
      </c>
      <c r="B365" s="171"/>
      <c r="C365" s="172" t="str">
        <f t="shared" si="45"/>
        <v/>
      </c>
      <c r="D365" s="173" t="str">
        <f t="shared" si="50"/>
        <v/>
      </c>
      <c r="E365" s="173" t="str">
        <f t="shared" si="53"/>
        <v/>
      </c>
      <c r="F365" s="174" t="e">
        <f t="shared" si="46"/>
        <v>#VALUE!</v>
      </c>
      <c r="G365" s="173" t="e">
        <f t="shared" si="47"/>
        <v>#VALUE!</v>
      </c>
      <c r="H365" s="173" t="str">
        <f t="shared" si="51"/>
        <v/>
      </c>
      <c r="I365" s="173" t="str">
        <f t="shared" si="52"/>
        <v/>
      </c>
      <c r="J365" s="173" t="e">
        <f t="shared" si="48"/>
        <v>#VALUE!</v>
      </c>
      <c r="K365" s="173">
        <f>SUM($I$17:$I365)</f>
        <v>0</v>
      </c>
      <c r="L365" s="168"/>
      <c r="M365" s="168"/>
      <c r="N365" s="150"/>
    </row>
    <row r="366" spans="1:14" ht="12.75">
      <c r="A366" s="191" t="str">
        <f t="shared" si="49"/>
        <v/>
      </c>
      <c r="B366" s="171"/>
      <c r="C366" s="172" t="str">
        <f t="shared" si="45"/>
        <v/>
      </c>
      <c r="D366" s="173" t="str">
        <f t="shared" si="50"/>
        <v/>
      </c>
      <c r="E366" s="173" t="str">
        <f t="shared" si="53"/>
        <v/>
      </c>
      <c r="F366" s="174" t="e">
        <f t="shared" si="46"/>
        <v>#VALUE!</v>
      </c>
      <c r="G366" s="173" t="e">
        <f t="shared" si="47"/>
        <v>#VALUE!</v>
      </c>
      <c r="H366" s="173" t="str">
        <f t="shared" si="51"/>
        <v/>
      </c>
      <c r="I366" s="173" t="str">
        <f t="shared" si="52"/>
        <v/>
      </c>
      <c r="J366" s="173" t="e">
        <f t="shared" si="48"/>
        <v>#VALUE!</v>
      </c>
      <c r="K366" s="173">
        <f>SUM($I$17:$I366)</f>
        <v>0</v>
      </c>
      <c r="L366" s="168"/>
      <c r="M366" s="168"/>
      <c r="N366" s="150"/>
    </row>
    <row r="367" spans="1:14" ht="12.75">
      <c r="A367" s="191" t="str">
        <f t="shared" si="49"/>
        <v/>
      </c>
      <c r="B367" s="171"/>
      <c r="C367" s="172" t="str">
        <f t="shared" si="45"/>
        <v/>
      </c>
      <c r="D367" s="173" t="str">
        <f t="shared" si="50"/>
        <v/>
      </c>
      <c r="E367" s="173" t="str">
        <f t="shared" si="53"/>
        <v/>
      </c>
      <c r="F367" s="174" t="e">
        <f t="shared" si="46"/>
        <v>#VALUE!</v>
      </c>
      <c r="G367" s="173" t="e">
        <f t="shared" si="47"/>
        <v>#VALUE!</v>
      </c>
      <c r="H367" s="173" t="str">
        <f t="shared" si="51"/>
        <v/>
      </c>
      <c r="I367" s="173" t="str">
        <f t="shared" si="52"/>
        <v/>
      </c>
      <c r="J367" s="173" t="e">
        <f t="shared" si="48"/>
        <v>#VALUE!</v>
      </c>
      <c r="K367" s="173">
        <f>SUM($I$17:$I367)</f>
        <v>0</v>
      </c>
      <c r="L367" s="168"/>
      <c r="M367" s="168"/>
      <c r="N367" s="150"/>
    </row>
    <row r="368" spans="1:14" ht="12.75">
      <c r="A368" s="191" t="str">
        <f t="shared" si="49"/>
        <v/>
      </c>
      <c r="B368" s="171"/>
      <c r="C368" s="172" t="str">
        <f t="shared" si="45"/>
        <v/>
      </c>
      <c r="D368" s="173" t="str">
        <f t="shared" si="50"/>
        <v/>
      </c>
      <c r="E368" s="173" t="str">
        <f t="shared" si="53"/>
        <v/>
      </c>
      <c r="F368" s="174" t="e">
        <f t="shared" si="46"/>
        <v>#VALUE!</v>
      </c>
      <c r="G368" s="173" t="e">
        <f t="shared" si="47"/>
        <v>#VALUE!</v>
      </c>
      <c r="H368" s="173" t="str">
        <f t="shared" si="51"/>
        <v/>
      </c>
      <c r="I368" s="173" t="str">
        <f t="shared" si="52"/>
        <v/>
      </c>
      <c r="J368" s="173" t="e">
        <f t="shared" si="48"/>
        <v>#VALUE!</v>
      </c>
      <c r="K368" s="173">
        <f>SUM($I$17:$I368)</f>
        <v>0</v>
      </c>
      <c r="L368" s="168"/>
      <c r="M368" s="168"/>
      <c r="N368" s="150"/>
    </row>
    <row r="369" spans="1:14" ht="12.75">
      <c r="A369" s="191" t="str">
        <f t="shared" si="49"/>
        <v/>
      </c>
      <c r="B369" s="171"/>
      <c r="C369" s="172" t="str">
        <f t="shared" si="45"/>
        <v/>
      </c>
      <c r="D369" s="173" t="str">
        <f t="shared" si="50"/>
        <v/>
      </c>
      <c r="E369" s="173" t="str">
        <f t="shared" si="53"/>
        <v/>
      </c>
      <c r="F369" s="174" t="e">
        <f t="shared" si="46"/>
        <v>#VALUE!</v>
      </c>
      <c r="G369" s="173" t="e">
        <f t="shared" si="47"/>
        <v>#VALUE!</v>
      </c>
      <c r="H369" s="173" t="str">
        <f t="shared" si="51"/>
        <v/>
      </c>
      <c r="I369" s="173" t="str">
        <f t="shared" si="52"/>
        <v/>
      </c>
      <c r="J369" s="173" t="e">
        <f t="shared" si="48"/>
        <v>#VALUE!</v>
      </c>
      <c r="K369" s="173">
        <f>SUM($I$17:$I369)</f>
        <v>0</v>
      </c>
      <c r="L369" s="168"/>
      <c r="M369" s="168"/>
      <c r="N369" s="150"/>
    </row>
    <row r="370" spans="1:14" ht="12.75">
      <c r="A370" s="191" t="str">
        <f t="shared" si="49"/>
        <v/>
      </c>
      <c r="B370" s="171"/>
      <c r="C370" s="172" t="str">
        <f t="shared" si="45"/>
        <v/>
      </c>
      <c r="D370" s="173" t="str">
        <f t="shared" si="50"/>
        <v/>
      </c>
      <c r="E370" s="173" t="str">
        <f t="shared" si="53"/>
        <v/>
      </c>
      <c r="F370" s="174" t="e">
        <f t="shared" si="46"/>
        <v>#VALUE!</v>
      </c>
      <c r="G370" s="173" t="e">
        <f t="shared" si="47"/>
        <v>#VALUE!</v>
      </c>
      <c r="H370" s="173" t="str">
        <f t="shared" si="51"/>
        <v/>
      </c>
      <c r="I370" s="173" t="str">
        <f t="shared" si="52"/>
        <v/>
      </c>
      <c r="J370" s="173" t="e">
        <f t="shared" si="48"/>
        <v>#VALUE!</v>
      </c>
      <c r="K370" s="173">
        <f>SUM($I$17:$I370)</f>
        <v>0</v>
      </c>
      <c r="L370" s="168"/>
      <c r="M370" s="168"/>
      <c r="N370" s="150"/>
    </row>
    <row r="371" spans="1:14" ht="12.75">
      <c r="A371" s="191" t="str">
        <f t="shared" si="49"/>
        <v/>
      </c>
      <c r="B371" s="171"/>
      <c r="C371" s="172" t="str">
        <f t="shared" si="45"/>
        <v/>
      </c>
      <c r="D371" s="173" t="str">
        <f t="shared" si="50"/>
        <v/>
      </c>
      <c r="E371" s="173" t="str">
        <f t="shared" si="53"/>
        <v/>
      </c>
      <c r="F371" s="174" t="e">
        <f t="shared" si="46"/>
        <v>#VALUE!</v>
      </c>
      <c r="G371" s="173" t="e">
        <f t="shared" si="47"/>
        <v>#VALUE!</v>
      </c>
      <c r="H371" s="173" t="str">
        <f t="shared" si="51"/>
        <v/>
      </c>
      <c r="I371" s="173" t="str">
        <f t="shared" si="52"/>
        <v/>
      </c>
      <c r="J371" s="173" t="e">
        <f t="shared" si="48"/>
        <v>#VALUE!</v>
      </c>
      <c r="K371" s="173">
        <f>SUM($I$17:$I371)</f>
        <v>0</v>
      </c>
      <c r="L371" s="168"/>
      <c r="M371" s="168"/>
      <c r="N371" s="150"/>
    </row>
    <row r="372" spans="1:14" ht="12.75">
      <c r="A372" s="191" t="str">
        <f t="shared" si="49"/>
        <v/>
      </c>
      <c r="B372" s="171"/>
      <c r="C372" s="172" t="str">
        <f t="shared" si="45"/>
        <v/>
      </c>
      <c r="D372" s="173" t="str">
        <f t="shared" si="50"/>
        <v/>
      </c>
      <c r="E372" s="173" t="str">
        <f t="shared" si="53"/>
        <v/>
      </c>
      <c r="F372" s="174" t="e">
        <f t="shared" si="46"/>
        <v>#VALUE!</v>
      </c>
      <c r="G372" s="173" t="e">
        <f t="shared" si="47"/>
        <v>#VALUE!</v>
      </c>
      <c r="H372" s="173" t="str">
        <f t="shared" si="51"/>
        <v/>
      </c>
      <c r="I372" s="173" t="str">
        <f t="shared" si="52"/>
        <v/>
      </c>
      <c r="J372" s="173" t="e">
        <f t="shared" si="48"/>
        <v>#VALUE!</v>
      </c>
      <c r="K372" s="173">
        <f>SUM($I$17:$I372)</f>
        <v>0</v>
      </c>
      <c r="L372" s="168"/>
      <c r="M372" s="168"/>
      <c r="N372" s="150"/>
    </row>
    <row r="373" spans="1:14" ht="12.75">
      <c r="A373" s="191" t="str">
        <f t="shared" si="49"/>
        <v/>
      </c>
      <c r="B373" s="171"/>
      <c r="C373" s="172" t="str">
        <f t="shared" si="45"/>
        <v/>
      </c>
      <c r="D373" s="173" t="str">
        <f t="shared" si="50"/>
        <v/>
      </c>
      <c r="E373" s="173" t="str">
        <f t="shared" si="53"/>
        <v/>
      </c>
      <c r="F373" s="174" t="e">
        <f t="shared" si="46"/>
        <v>#VALUE!</v>
      </c>
      <c r="G373" s="173" t="e">
        <f t="shared" si="47"/>
        <v>#VALUE!</v>
      </c>
      <c r="H373" s="173" t="str">
        <f t="shared" si="51"/>
        <v/>
      </c>
      <c r="I373" s="173" t="str">
        <f t="shared" si="52"/>
        <v/>
      </c>
      <c r="J373" s="173" t="e">
        <f t="shared" si="48"/>
        <v>#VALUE!</v>
      </c>
      <c r="K373" s="173">
        <f>SUM($I$17:$I373)</f>
        <v>0</v>
      </c>
      <c r="L373" s="168"/>
      <c r="M373" s="168"/>
      <c r="N373" s="150"/>
    </row>
    <row r="374" spans="1:14" ht="12.75">
      <c r="A374" s="191" t="str">
        <f t="shared" si="49"/>
        <v/>
      </c>
      <c r="B374" s="171"/>
      <c r="C374" s="172" t="str">
        <f t="shared" si="45"/>
        <v/>
      </c>
      <c r="D374" s="173" t="str">
        <f t="shared" si="50"/>
        <v/>
      </c>
      <c r="E374" s="173" t="str">
        <f t="shared" si="53"/>
        <v/>
      </c>
      <c r="F374" s="174" t="e">
        <f t="shared" si="46"/>
        <v>#VALUE!</v>
      </c>
      <c r="G374" s="173" t="e">
        <f t="shared" si="47"/>
        <v>#VALUE!</v>
      </c>
      <c r="H374" s="173" t="str">
        <f t="shared" si="51"/>
        <v/>
      </c>
      <c r="I374" s="173" t="str">
        <f t="shared" si="52"/>
        <v/>
      </c>
      <c r="J374" s="173" t="e">
        <f t="shared" si="48"/>
        <v>#VALUE!</v>
      </c>
      <c r="K374" s="173">
        <f>SUM($I$17:$I374)</f>
        <v>0</v>
      </c>
      <c r="L374" s="168"/>
      <c r="M374" s="168"/>
      <c r="N374" s="150"/>
    </row>
    <row r="375" spans="1:14" ht="12.75">
      <c r="A375" s="191" t="str">
        <f t="shared" si="49"/>
        <v/>
      </c>
      <c r="B375" s="171"/>
      <c r="C375" s="172" t="str">
        <f t="shared" si="45"/>
        <v/>
      </c>
      <c r="D375" s="173" t="str">
        <f t="shared" si="50"/>
        <v/>
      </c>
      <c r="E375" s="173" t="str">
        <f t="shared" si="53"/>
        <v/>
      </c>
      <c r="F375" s="174" t="e">
        <f t="shared" si="46"/>
        <v>#VALUE!</v>
      </c>
      <c r="G375" s="173" t="e">
        <f t="shared" si="47"/>
        <v>#VALUE!</v>
      </c>
      <c r="H375" s="173" t="str">
        <f t="shared" si="51"/>
        <v/>
      </c>
      <c r="I375" s="173" t="str">
        <f t="shared" si="52"/>
        <v/>
      </c>
      <c r="J375" s="173" t="e">
        <f t="shared" si="48"/>
        <v>#VALUE!</v>
      </c>
      <c r="K375" s="173">
        <f>SUM($I$17:$I375)</f>
        <v>0</v>
      </c>
      <c r="L375" s="168"/>
      <c r="M375" s="168"/>
      <c r="N375" s="150"/>
    </row>
    <row r="376" spans="1:14" ht="12.75">
      <c r="A376" s="191" t="str">
        <f t="shared" si="49"/>
        <v/>
      </c>
      <c r="B376" s="171"/>
      <c r="C376" s="172" t="str">
        <f t="shared" si="45"/>
        <v/>
      </c>
      <c r="D376" s="173" t="str">
        <f t="shared" si="50"/>
        <v/>
      </c>
      <c r="E376" s="173" t="str">
        <f t="shared" si="53"/>
        <v/>
      </c>
      <c r="F376" s="174" t="e">
        <f t="shared" si="46"/>
        <v>#VALUE!</v>
      </c>
      <c r="G376" s="173" t="e">
        <f t="shared" si="47"/>
        <v>#VALUE!</v>
      </c>
      <c r="H376" s="173" t="str">
        <f t="shared" si="51"/>
        <v/>
      </c>
      <c r="I376" s="173" t="str">
        <f t="shared" si="52"/>
        <v/>
      </c>
      <c r="J376" s="173" t="e">
        <f t="shared" si="48"/>
        <v>#VALUE!</v>
      </c>
      <c r="K376" s="173">
        <f>SUM($I$17:$I376)</f>
        <v>0</v>
      </c>
      <c r="L376" s="168"/>
      <c r="M376" s="168"/>
      <c r="N376" s="150"/>
    </row>
    <row r="377" spans="1:14">
      <c r="E377" s="181"/>
      <c r="F377" s="150"/>
      <c r="G377" s="150"/>
      <c r="H377" s="150"/>
      <c r="I377" s="150"/>
      <c r="J377" s="150"/>
      <c r="K377" s="150"/>
      <c r="L377" s="150"/>
      <c r="M377" s="150"/>
    </row>
  </sheetData>
  <sheetProtection selectLockedCells="1"/>
  <mergeCells count="4">
    <mergeCell ref="C5:E5"/>
    <mergeCell ref="G5:I5"/>
    <mergeCell ref="D13:E13"/>
    <mergeCell ref="H13:I13"/>
  </mergeCells>
  <conditionalFormatting sqref="A17:F376">
    <cfRule type="expression" dxfId="65" priority="4" stopIfTrue="1">
      <formula>IF(ROW(A17)&gt;Last_Row,TRUE, FALSE)</formula>
    </cfRule>
    <cfRule type="expression" dxfId="64" priority="5" stopIfTrue="1">
      <formula>IF(ROW(A17)=Last_Row,TRUE, FALSE)</formula>
    </cfRule>
    <cfRule type="expression" dxfId="63" priority="6" stopIfTrue="1">
      <formula>IF(ROW(A17)&lt;Last_Row,TRUE, FALSE)</formula>
    </cfRule>
  </conditionalFormatting>
  <conditionalFormatting sqref="G17:K74 G77:K376">
    <cfRule type="expression" dxfId="62" priority="7" stopIfTrue="1">
      <formula>IF(ROW(G17)&gt;Last_Row,TRUE, FALSE)</formula>
    </cfRule>
    <cfRule type="expression" dxfId="61" priority="8" stopIfTrue="1">
      <formula>IF(ROW(G17)=Last_Row,TRUE, FALSE)</formula>
    </cfRule>
    <cfRule type="expression" dxfId="60" priority="9" stopIfTrue="1">
      <formula>IF(ROW(G17)&lt;=Last_Row,TRUE, FALSE)</formula>
    </cfRule>
  </conditionalFormatting>
  <conditionalFormatting sqref="G75:K76">
    <cfRule type="expression" dxfId="59" priority="1" stopIfTrue="1">
      <formula>IF(ROW(G75)&gt;Last_Row,TRUE, FALSE)</formula>
    </cfRule>
    <cfRule type="expression" dxfId="58" priority="2" stopIfTrue="1">
      <formula>IF(ROW(G75)=Last_Row,TRUE, FALSE)</formula>
    </cfRule>
    <cfRule type="expression" dxfId="57" priority="3" stopIfTrue="1">
      <formula>IF(ROW(G75)&lt;=Last_Row,TRUE, FALSE)</formula>
    </cfRule>
  </conditionalFormatting>
  <dataValidations count="1">
    <dataValidation allowBlank="1" showInputMessage="1" showErrorMessage="1" promptTitle="Extra Payments" prompt="Enter an amount here if you want to make additional principal payments every pay period._x000a__x000a_For occasional extra payments, enter the extra principal amounts directly in the 'Extra Payment' column below." sqref="E11" xr:uid="{7D28831D-FBF0-4231-A1ED-7CA0D0022DDC}"/>
  </dataValidations>
  <printOptions horizontalCentered="1"/>
  <pageMargins left="0.9055118110236221" right="0.70866141732283472" top="0.74803149606299213" bottom="0.74803149606299213" header="0.31496062992125984" footer="0.31496062992125984"/>
  <pageSetup paperSize="9" scale="51" fitToHeight="0" orientation="portrait" errors="blank" r:id="rId1"/>
  <headerFooter>
    <oddFooter>&amp;L&amp;"-,Bold Italic"&amp;8&amp;K01+027Developed By: MAIUMAS Consulting
Hani Omar Skaik&amp;C&amp;A&amp;R&amp;D / &amp;T</oddFooter>
  </headerFooter>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EBEBE-1590-441C-A632-9BDFB77132B4}">
  <sheetPr codeName="Sheet16">
    <pageSetUpPr fitToPage="1"/>
  </sheetPr>
  <dimension ref="A1:N377"/>
  <sheetViews>
    <sheetView showGridLines="0" workbookViewId="0">
      <selection activeCell="E7" sqref="E7"/>
    </sheetView>
  </sheetViews>
  <sheetFormatPr defaultColWidth="8.88671875" defaultRowHeight="15"/>
  <cols>
    <col min="1" max="1" width="8.77734375" customWidth="1"/>
    <col min="2" max="2" width="7.5546875" style="155" customWidth="1"/>
    <col min="3" max="3" width="13.109375" bestFit="1" customWidth="1"/>
    <col min="4" max="4" width="13.109375" style="155" bestFit="1" customWidth="1"/>
    <col min="5" max="5" width="13.109375" style="182" bestFit="1" customWidth="1"/>
    <col min="6" max="6" width="15.88671875" style="149" customWidth="1"/>
    <col min="7" max="7" width="16.6640625" style="149" customWidth="1"/>
    <col min="8" max="8" width="13.88671875" style="149" customWidth="1"/>
    <col min="9" max="9" width="12.6640625" style="149" customWidth="1"/>
    <col min="10" max="10" width="11" style="149" customWidth="1"/>
    <col min="11" max="11" width="10.5546875" style="149" customWidth="1"/>
    <col min="12" max="12" width="13.5546875" style="149" customWidth="1"/>
    <col min="13" max="13" width="16.109375" style="149" customWidth="1"/>
    <col min="14" max="14" width="4.77734375" style="149" customWidth="1"/>
    <col min="15" max="15" width="8.88671875" style="150"/>
    <col min="16" max="16" width="11.88671875" style="150" customWidth="1"/>
    <col min="17" max="16384" width="8.88671875" style="150"/>
  </cols>
  <sheetData>
    <row r="1" spans="1:14" ht="24" customHeight="1">
      <c r="A1" s="147" t="s">
        <v>974</v>
      </c>
      <c r="B1" s="147"/>
      <c r="C1" s="148"/>
      <c r="D1" s="148"/>
      <c r="E1" s="148"/>
      <c r="F1" s="148"/>
      <c r="G1" s="148"/>
      <c r="H1" s="148"/>
      <c r="I1" s="148"/>
      <c r="J1" s="148"/>
      <c r="K1" s="148"/>
      <c r="M1" s="150"/>
      <c r="N1" s="150"/>
    </row>
    <row r="2" spans="1:14" ht="12.75" customHeight="1">
      <c r="A2" s="148"/>
      <c r="B2" s="148"/>
      <c r="C2" s="151"/>
      <c r="D2" s="151"/>
      <c r="E2" s="151"/>
      <c r="F2" s="151"/>
      <c r="G2" s="151"/>
      <c r="H2" s="151"/>
      <c r="I2" s="151"/>
      <c r="J2" s="151"/>
      <c r="K2" s="151"/>
      <c r="M2" s="150"/>
      <c r="N2" s="150"/>
    </row>
    <row r="3" spans="1:14" ht="3" customHeight="1">
      <c r="A3" s="152"/>
      <c r="B3" s="152"/>
      <c r="C3" s="153"/>
      <c r="D3" s="153"/>
      <c r="E3" s="153"/>
      <c r="F3" s="153"/>
      <c r="G3" s="153"/>
      <c r="H3" s="153"/>
      <c r="I3" s="153"/>
      <c r="J3" s="153"/>
      <c r="K3" s="153"/>
      <c r="M3" s="150"/>
      <c r="N3" s="150"/>
    </row>
    <row r="4" spans="1:14" ht="6.75" customHeight="1">
      <c r="A4" s="148"/>
      <c r="B4" s="148"/>
      <c r="C4" s="151"/>
      <c r="D4" s="151"/>
      <c r="E4" s="151"/>
      <c r="F4" s="151"/>
      <c r="G4" s="151"/>
      <c r="H4" s="151"/>
      <c r="I4" s="151"/>
      <c r="J4" s="151"/>
      <c r="K4" s="151"/>
      <c r="M4" s="150"/>
      <c r="N4" s="150"/>
    </row>
    <row r="5" spans="1:14" ht="14.25" customHeight="1">
      <c r="A5" s="148"/>
      <c r="B5" s="148"/>
      <c r="C5" s="817" t="s">
        <v>975</v>
      </c>
      <c r="D5" s="818"/>
      <c r="E5" s="819"/>
      <c r="F5" s="148"/>
      <c r="G5" s="817" t="s">
        <v>976</v>
      </c>
      <c r="H5" s="818"/>
      <c r="I5" s="819"/>
      <c r="J5" s="154"/>
      <c r="K5" s="148"/>
      <c r="L5" s="155"/>
      <c r="M5" s="150"/>
      <c r="N5" s="150"/>
    </row>
    <row r="6" spans="1:14" ht="12.75">
      <c r="A6" s="148"/>
      <c r="B6" s="148"/>
      <c r="C6" s="156"/>
      <c r="D6" s="157" t="s">
        <v>977</v>
      </c>
      <c r="E6" s="183">
        <f>'Cashflow Projection &amp; Investme'!O84</f>
        <v>0</v>
      </c>
      <c r="F6" s="148"/>
      <c r="G6" s="156"/>
      <c r="H6" s="157" t="s">
        <v>978</v>
      </c>
      <c r="I6" s="184" t="str">
        <f>IF(Values_Entered,-PMT(Interest_Rate/Num_Pmt_Per_Year,Loan_Years*Num_Pmt_Per_Year,Loan_Amount),"")</f>
        <v/>
      </c>
      <c r="J6" s="158"/>
      <c r="K6" s="148"/>
      <c r="L6" s="155"/>
      <c r="M6" s="150"/>
      <c r="N6" s="150"/>
    </row>
    <row r="7" spans="1:14" ht="12.75">
      <c r="A7" s="148"/>
      <c r="B7" s="148"/>
      <c r="C7" s="156"/>
      <c r="D7" s="157" t="s">
        <v>66</v>
      </c>
      <c r="E7" s="187">
        <f>'Summary. Assumptions. Inputs'!I33</f>
        <v>7.0000000000000007E-2</v>
      </c>
      <c r="F7" s="148"/>
      <c r="G7" s="156"/>
      <c r="H7" s="157" t="s">
        <v>979</v>
      </c>
      <c r="I7" s="160" t="str">
        <f>IF(Values_Entered,Loan_Years*Num_Pmt_Per_Year,"")</f>
        <v/>
      </c>
      <c r="J7" s="161"/>
      <c r="K7" s="148"/>
      <c r="L7" s="155"/>
      <c r="M7" s="150"/>
      <c r="N7" s="150"/>
    </row>
    <row r="8" spans="1:14" ht="12.75">
      <c r="A8" s="148"/>
      <c r="B8" s="148"/>
      <c r="C8" s="156"/>
      <c r="D8" s="157" t="s">
        <v>70</v>
      </c>
      <c r="E8" s="186">
        <f>'Summary. Assumptions. Inputs'!I34</f>
        <v>10</v>
      </c>
      <c r="F8" s="148"/>
      <c r="G8" s="156"/>
      <c r="H8" s="157" t="s">
        <v>980</v>
      </c>
      <c r="I8" s="160" t="str">
        <f>IF(Values_Entered,Number_of_Payments,"")</f>
        <v/>
      </c>
      <c r="J8" s="161"/>
      <c r="K8" s="148"/>
      <c r="L8" s="155"/>
      <c r="M8" s="150"/>
      <c r="N8" s="150"/>
    </row>
    <row r="9" spans="1:14" ht="12.75">
      <c r="A9" s="148"/>
      <c r="B9" s="148"/>
      <c r="C9" s="156"/>
      <c r="D9" s="157" t="s">
        <v>981</v>
      </c>
      <c r="E9" s="186">
        <f>'Summary. Assumptions. Inputs'!I35</f>
        <v>12</v>
      </c>
      <c r="F9" s="148"/>
      <c r="G9" s="156"/>
      <c r="H9" s="157" t="s">
        <v>982</v>
      </c>
      <c r="I9" s="184" t="str">
        <f>IF(Values_Entered,SUMIF(Beg_Bal,"&gt;0",Extra_Pay),"")</f>
        <v/>
      </c>
      <c r="J9" s="158"/>
      <c r="K9" s="148"/>
      <c r="L9" s="155"/>
      <c r="M9" s="150"/>
      <c r="N9" s="150"/>
    </row>
    <row r="10" spans="1:14" ht="12.75">
      <c r="A10" s="148"/>
      <c r="B10" s="148"/>
      <c r="C10" s="156"/>
      <c r="D10" s="157" t="s">
        <v>79</v>
      </c>
      <c r="E10" s="162">
        <v>44562</v>
      </c>
      <c r="F10" s="148"/>
      <c r="G10" s="156"/>
      <c r="H10" s="157" t="s">
        <v>983</v>
      </c>
      <c r="I10" s="184" t="str">
        <f>IF(Values_Entered,SUMIF(Beg_Bal,"&gt;0",Int),"")</f>
        <v/>
      </c>
      <c r="K10" s="148"/>
      <c r="L10" s="155"/>
      <c r="M10" s="150"/>
      <c r="N10" s="150"/>
    </row>
    <row r="11" spans="1:14" ht="12.75">
      <c r="A11" s="148"/>
      <c r="B11" s="148"/>
      <c r="C11" s="163"/>
      <c r="D11" s="164" t="s">
        <v>984</v>
      </c>
      <c r="E11" s="165"/>
      <c r="F11" s="148"/>
      <c r="G11" s="163"/>
      <c r="H11" s="164" t="s">
        <v>985</v>
      </c>
      <c r="I11" s="159">
        <f>IFERROR(Total_Interest/Loan_Amount/Loan_Years,0)</f>
        <v>0</v>
      </c>
      <c r="J11" s="151"/>
      <c r="K11" s="148"/>
      <c r="L11" s="155"/>
      <c r="M11" s="150"/>
      <c r="N11" s="150"/>
    </row>
    <row r="12" spans="1:14" ht="12.75">
      <c r="A12" s="148"/>
      <c r="B12" s="148"/>
      <c r="C12" s="151"/>
      <c r="D12" s="151"/>
      <c r="E12" s="151"/>
      <c r="F12" s="151"/>
      <c r="G12" s="151"/>
      <c r="H12" s="151"/>
      <c r="I12" s="151"/>
      <c r="J12" s="151"/>
      <c r="K12" s="151"/>
      <c r="L12" s="155"/>
      <c r="M12" s="150"/>
      <c r="N12" s="150"/>
    </row>
    <row r="13" spans="1:14" ht="17.25" customHeight="1">
      <c r="A13" s="148"/>
      <c r="B13" s="148"/>
      <c r="C13" s="199" t="s">
        <v>621</v>
      </c>
      <c r="D13" s="820" t="str">
        <f>'Summary. Assumptions. Inputs'!J7</f>
        <v>USD</v>
      </c>
      <c r="E13" s="821"/>
      <c r="F13" s="151"/>
      <c r="G13" s="166" t="s">
        <v>986</v>
      </c>
      <c r="H13" s="822">
        <f>IFERROR(Total_Interest+Loan_Amount,0)</f>
        <v>0</v>
      </c>
      <c r="I13" s="823"/>
      <c r="J13" s="151"/>
      <c r="K13" s="151"/>
      <c r="L13" s="155"/>
      <c r="M13" s="150"/>
      <c r="N13" s="150"/>
    </row>
    <row r="14" spans="1:14" ht="12.75">
      <c r="A14" s="148"/>
      <c r="B14" s="148"/>
      <c r="C14" s="166"/>
      <c r="D14" s="167"/>
      <c r="E14" s="167"/>
      <c r="F14" s="151"/>
      <c r="G14" s="151"/>
      <c r="H14" s="151"/>
      <c r="I14" s="151"/>
      <c r="J14" s="151"/>
      <c r="K14" s="151"/>
      <c r="L14" s="155"/>
      <c r="M14" s="150"/>
      <c r="N14" s="150"/>
    </row>
    <row r="15" spans="1:14" s="168" customFormat="1" ht="36" customHeight="1">
      <c r="A15" s="189" t="s">
        <v>987</v>
      </c>
      <c r="B15" s="189" t="s">
        <v>988</v>
      </c>
      <c r="C15" s="190" t="s">
        <v>989</v>
      </c>
      <c r="D15" s="190" t="s">
        <v>990</v>
      </c>
      <c r="E15" s="190" t="s">
        <v>978</v>
      </c>
      <c r="F15" s="190" t="s">
        <v>991</v>
      </c>
      <c r="G15" s="190" t="s">
        <v>992</v>
      </c>
      <c r="H15" s="190" t="s">
        <v>993</v>
      </c>
      <c r="I15" s="190" t="s">
        <v>206</v>
      </c>
      <c r="J15" s="190" t="s">
        <v>994</v>
      </c>
      <c r="K15" s="190" t="s">
        <v>995</v>
      </c>
    </row>
    <row r="16" spans="1:14" s="168" customFormat="1" ht="43.5" hidden="1" customHeight="1">
      <c r="A16" s="152"/>
      <c r="B16" s="152"/>
      <c r="C16" s="169"/>
      <c r="D16" s="169"/>
      <c r="E16" s="169"/>
      <c r="F16" s="169"/>
      <c r="G16" s="169"/>
      <c r="H16" s="169"/>
      <c r="I16" s="169"/>
      <c r="J16" s="169"/>
      <c r="K16" s="170"/>
    </row>
    <row r="17" spans="1:14" s="168" customFormat="1" ht="21.75" customHeight="1">
      <c r="A17" s="191" t="str">
        <f>IF(Values_Entered,1,"")</f>
        <v/>
      </c>
      <c r="B17" s="172" t="s">
        <v>996</v>
      </c>
      <c r="C17" s="172" t="str">
        <f t="shared" ref="C17:C80" si="0">IF(Pay_Num&lt;&gt;"",DATE(YEAR(Loan_Start),MONTH(Loan_Start)+(Pay_Num)*12/Num_Pmt_Per_Year,DAY(Loan_Start)),"")</f>
        <v/>
      </c>
      <c r="D17" s="185" t="str">
        <f>IF(Values_Entered,Loan_Amount,"")</f>
        <v/>
      </c>
      <c r="E17" s="185" t="str">
        <f>IF(Pay_Num&lt;&gt;"",Scheduled_Monthly_Payment,"")</f>
        <v/>
      </c>
      <c r="F17" s="174" t="e">
        <f t="shared" ref="F17:F80" si="1">IF(AND(Pay_Num&lt;&gt;"",Sched_Pay+Scheduled_Extra_Payments&lt;Beg_Bal),Scheduled_Extra_Payments,IF(AND(Pay_Num&lt;&gt;"",Beg_Bal-Sched_Pay&gt;0),Beg_Bal-Sched_Pay,IF(Pay_Num&lt;&gt;"",0,"")))</f>
        <v>#VALUE!</v>
      </c>
      <c r="G17" s="185" t="e">
        <f t="shared" ref="G17:G80" si="2">IF(AND(Pay_Num&lt;&gt;"",Sched_Pay+Extra_Pay&lt;Beg_Bal),Sched_Pay+Extra_Pay,IF(Pay_Num&lt;&gt;"",Beg_Bal,""))</f>
        <v>#VALUE!</v>
      </c>
      <c r="H17" s="185" t="str">
        <f>IF(Pay_Num&lt;&gt;"",Total_Pay-Int,"")</f>
        <v/>
      </c>
      <c r="I17" s="185" t="str">
        <f>IF(Pay_Num&lt;&gt;"",Beg_Bal*(Interest_Rate/Num_Pmt_Per_Year),"")</f>
        <v/>
      </c>
      <c r="J17" s="185" t="e">
        <f t="shared" ref="J17:J80" si="3">IF(AND(Pay_Num&lt;&gt;"",Sched_Pay+Extra_Pay&lt;Beg_Bal),Beg_Bal-Princ,IF(Pay_Num&lt;&gt;"",0,""))</f>
        <v>#VALUE!</v>
      </c>
      <c r="K17" s="185">
        <f>SUM($I$17:$I17)</f>
        <v>0</v>
      </c>
      <c r="M17" s="194"/>
    </row>
    <row r="18" spans="1:14" s="168" customFormat="1" ht="21.75" customHeight="1">
      <c r="A18" s="191" t="str">
        <f t="shared" ref="A18:A81" si="4">IF(Values_Entered,A17+1,"")</f>
        <v/>
      </c>
      <c r="B18" s="172" t="s">
        <v>997</v>
      </c>
      <c r="C18" s="172" t="str">
        <f t="shared" si="0"/>
        <v/>
      </c>
      <c r="D18" s="173" t="str">
        <f t="shared" ref="D18:D81" si="5">IF(Pay_Num&lt;&gt;"",J17,"")</f>
        <v/>
      </c>
      <c r="E18" s="173" t="str">
        <f>IF(Pay_Num&lt;&gt;"",Scheduled_Monthly_Payment,"")</f>
        <v/>
      </c>
      <c r="F18" s="174" t="e">
        <f t="shared" si="1"/>
        <v>#VALUE!</v>
      </c>
      <c r="G18" s="173" t="e">
        <f t="shared" si="2"/>
        <v>#VALUE!</v>
      </c>
      <c r="H18" s="173" t="str">
        <f t="shared" ref="H18:H81" si="6">IF(Pay_Num&lt;&gt;"",Total_Pay-Int,"")</f>
        <v/>
      </c>
      <c r="I18" s="173" t="str">
        <f t="shared" ref="I18:I81" si="7">IF(Pay_Num&lt;&gt;"",Beg_Bal*Interest_Rate/Num_Pmt_Per_Year,"")</f>
        <v/>
      </c>
      <c r="J18" s="173" t="e">
        <f t="shared" si="3"/>
        <v>#VALUE!</v>
      </c>
      <c r="K18" s="173">
        <f>SUM($I$17:$I18)</f>
        <v>0</v>
      </c>
    </row>
    <row r="19" spans="1:14" s="168" customFormat="1" ht="21.75" customHeight="1">
      <c r="A19" s="191" t="str">
        <f t="shared" si="4"/>
        <v/>
      </c>
      <c r="B19" s="172" t="s">
        <v>998</v>
      </c>
      <c r="C19" s="172" t="str">
        <f t="shared" si="0"/>
        <v/>
      </c>
      <c r="D19" s="173" t="str">
        <f t="shared" si="5"/>
        <v/>
      </c>
      <c r="E19" s="173" t="str">
        <f t="shared" ref="E19:E82" si="8">IF(Pay_Num&lt;&gt;"",Scheduled_Monthly_Payment,"")</f>
        <v/>
      </c>
      <c r="F19" s="174" t="e">
        <f t="shared" si="1"/>
        <v>#VALUE!</v>
      </c>
      <c r="G19" s="173" t="e">
        <f t="shared" si="2"/>
        <v>#VALUE!</v>
      </c>
      <c r="H19" s="173" t="str">
        <f t="shared" si="6"/>
        <v/>
      </c>
      <c r="I19" s="173" t="str">
        <f t="shared" si="7"/>
        <v/>
      </c>
      <c r="J19" s="173" t="e">
        <f t="shared" si="3"/>
        <v>#VALUE!</v>
      </c>
      <c r="K19" s="173">
        <f>SUM($I$17:$I19)</f>
        <v>0</v>
      </c>
    </row>
    <row r="20" spans="1:14" s="168" customFormat="1" ht="21.75" customHeight="1">
      <c r="A20" s="191" t="str">
        <f t="shared" si="4"/>
        <v/>
      </c>
      <c r="B20" s="172" t="s">
        <v>999</v>
      </c>
      <c r="C20" s="172" t="str">
        <f t="shared" si="0"/>
        <v/>
      </c>
      <c r="D20" s="173" t="str">
        <f t="shared" si="5"/>
        <v/>
      </c>
      <c r="E20" s="173" t="str">
        <f>IF(Pay_Num&lt;&gt;"",Scheduled_Monthly_Payment,"")</f>
        <v/>
      </c>
      <c r="F20" s="174" t="e">
        <f t="shared" si="1"/>
        <v>#VALUE!</v>
      </c>
      <c r="G20" s="173" t="e">
        <f t="shared" si="2"/>
        <v>#VALUE!</v>
      </c>
      <c r="H20" s="173" t="str">
        <f t="shared" si="6"/>
        <v/>
      </c>
      <c r="I20" s="173" t="str">
        <f t="shared" si="7"/>
        <v/>
      </c>
      <c r="J20" s="173" t="e">
        <f t="shared" si="3"/>
        <v>#VALUE!</v>
      </c>
      <c r="K20" s="173">
        <f>SUM($I$17:$I20)</f>
        <v>0</v>
      </c>
    </row>
    <row r="21" spans="1:14" s="168" customFormat="1" ht="21.75" customHeight="1">
      <c r="A21" s="191" t="str">
        <f t="shared" si="4"/>
        <v/>
      </c>
      <c r="B21" s="172" t="s">
        <v>1000</v>
      </c>
      <c r="C21" s="172" t="str">
        <f t="shared" si="0"/>
        <v/>
      </c>
      <c r="D21" s="173" t="str">
        <f t="shared" si="5"/>
        <v/>
      </c>
      <c r="E21" s="173" t="str">
        <f t="shared" si="8"/>
        <v/>
      </c>
      <c r="F21" s="174" t="e">
        <f t="shared" si="1"/>
        <v>#VALUE!</v>
      </c>
      <c r="G21" s="173" t="e">
        <f t="shared" si="2"/>
        <v>#VALUE!</v>
      </c>
      <c r="H21" s="173" t="str">
        <f t="shared" si="6"/>
        <v/>
      </c>
      <c r="I21" s="173" t="str">
        <f t="shared" si="7"/>
        <v/>
      </c>
      <c r="J21" s="173" t="e">
        <f t="shared" si="3"/>
        <v>#VALUE!</v>
      </c>
      <c r="K21" s="173">
        <f>SUM($I$17:$I21)</f>
        <v>0</v>
      </c>
    </row>
    <row r="22" spans="1:14" ht="21.75" customHeight="1">
      <c r="A22" s="191" t="str">
        <f t="shared" si="4"/>
        <v/>
      </c>
      <c r="B22" s="172" t="s">
        <v>1001</v>
      </c>
      <c r="C22" s="172" t="str">
        <f t="shared" si="0"/>
        <v/>
      </c>
      <c r="D22" s="173" t="str">
        <f t="shared" si="5"/>
        <v/>
      </c>
      <c r="E22" s="173" t="str">
        <f t="shared" si="8"/>
        <v/>
      </c>
      <c r="F22" s="174" t="e">
        <f t="shared" si="1"/>
        <v>#VALUE!</v>
      </c>
      <c r="G22" s="173" t="e">
        <f t="shared" si="2"/>
        <v>#VALUE!</v>
      </c>
      <c r="H22" s="173" t="str">
        <f t="shared" si="6"/>
        <v/>
      </c>
      <c r="I22" s="173" t="str">
        <f t="shared" si="7"/>
        <v/>
      </c>
      <c r="J22" s="173" t="e">
        <f t="shared" si="3"/>
        <v>#VALUE!</v>
      </c>
      <c r="K22" s="173">
        <f>SUM($I$17:$I22)</f>
        <v>0</v>
      </c>
      <c r="L22" s="168"/>
      <c r="M22" s="168"/>
      <c r="N22" s="150"/>
    </row>
    <row r="23" spans="1:14" ht="21.75" customHeight="1">
      <c r="A23" s="191" t="str">
        <f t="shared" si="4"/>
        <v/>
      </c>
      <c r="B23" s="172" t="s">
        <v>1002</v>
      </c>
      <c r="C23" s="172" t="str">
        <f t="shared" si="0"/>
        <v/>
      </c>
      <c r="D23" s="173" t="str">
        <f t="shared" si="5"/>
        <v/>
      </c>
      <c r="E23" s="173" t="str">
        <f t="shared" si="8"/>
        <v/>
      </c>
      <c r="F23" s="174" t="e">
        <f t="shared" si="1"/>
        <v>#VALUE!</v>
      </c>
      <c r="G23" s="173" t="e">
        <f t="shared" si="2"/>
        <v>#VALUE!</v>
      </c>
      <c r="H23" s="173" t="str">
        <f t="shared" si="6"/>
        <v/>
      </c>
      <c r="I23" s="173" t="str">
        <f t="shared" si="7"/>
        <v/>
      </c>
      <c r="J23" s="173" t="e">
        <f t="shared" si="3"/>
        <v>#VALUE!</v>
      </c>
      <c r="K23" s="173">
        <f>SUM($I$17:$I23)</f>
        <v>0</v>
      </c>
      <c r="L23" s="168"/>
      <c r="M23" s="168"/>
      <c r="N23" s="150"/>
    </row>
    <row r="24" spans="1:14" ht="21.75" customHeight="1">
      <c r="A24" s="191" t="str">
        <f t="shared" si="4"/>
        <v/>
      </c>
      <c r="B24" s="172" t="s">
        <v>1003</v>
      </c>
      <c r="C24" s="172" t="str">
        <f t="shared" si="0"/>
        <v/>
      </c>
      <c r="D24" s="173" t="str">
        <f t="shared" si="5"/>
        <v/>
      </c>
      <c r="E24" s="173" t="str">
        <f t="shared" si="8"/>
        <v/>
      </c>
      <c r="F24" s="174" t="e">
        <f t="shared" si="1"/>
        <v>#VALUE!</v>
      </c>
      <c r="G24" s="173" t="e">
        <f t="shared" si="2"/>
        <v>#VALUE!</v>
      </c>
      <c r="H24" s="173" t="str">
        <f t="shared" si="6"/>
        <v/>
      </c>
      <c r="I24" s="173" t="str">
        <f t="shared" si="7"/>
        <v/>
      </c>
      <c r="J24" s="173" t="e">
        <f t="shared" si="3"/>
        <v>#VALUE!</v>
      </c>
      <c r="K24" s="173">
        <f>SUM($I$17:$I24)</f>
        <v>0</v>
      </c>
      <c r="L24" s="168"/>
      <c r="M24" s="168"/>
      <c r="N24" s="150"/>
    </row>
    <row r="25" spans="1:14" ht="21.75" customHeight="1">
      <c r="A25" s="191" t="str">
        <f t="shared" si="4"/>
        <v/>
      </c>
      <c r="B25" s="172" t="s">
        <v>1004</v>
      </c>
      <c r="C25" s="172" t="str">
        <f t="shared" si="0"/>
        <v/>
      </c>
      <c r="D25" s="173" t="str">
        <f t="shared" si="5"/>
        <v/>
      </c>
      <c r="E25" s="173" t="str">
        <f t="shared" si="8"/>
        <v/>
      </c>
      <c r="F25" s="174" t="e">
        <f t="shared" si="1"/>
        <v>#VALUE!</v>
      </c>
      <c r="G25" s="173" t="e">
        <f t="shared" si="2"/>
        <v>#VALUE!</v>
      </c>
      <c r="H25" s="173" t="str">
        <f t="shared" si="6"/>
        <v/>
      </c>
      <c r="I25" s="173" t="str">
        <f t="shared" si="7"/>
        <v/>
      </c>
      <c r="J25" s="173" t="e">
        <f t="shared" si="3"/>
        <v>#VALUE!</v>
      </c>
      <c r="K25" s="173">
        <f>SUM($I$17:$I25)</f>
        <v>0</v>
      </c>
      <c r="L25" s="168"/>
      <c r="M25" s="168"/>
      <c r="N25" s="150"/>
    </row>
    <row r="26" spans="1:14" ht="21.75" customHeight="1">
      <c r="A26" s="191" t="str">
        <f t="shared" si="4"/>
        <v/>
      </c>
      <c r="B26" s="172" t="s">
        <v>1005</v>
      </c>
      <c r="C26" s="172" t="str">
        <f t="shared" si="0"/>
        <v/>
      </c>
      <c r="D26" s="173" t="str">
        <f t="shared" si="5"/>
        <v/>
      </c>
      <c r="E26" s="173" t="str">
        <f t="shared" si="8"/>
        <v/>
      </c>
      <c r="F26" s="174" t="e">
        <f t="shared" si="1"/>
        <v>#VALUE!</v>
      </c>
      <c r="G26" s="173" t="e">
        <f t="shared" si="2"/>
        <v>#VALUE!</v>
      </c>
      <c r="H26" s="173" t="str">
        <f t="shared" si="6"/>
        <v/>
      </c>
      <c r="I26" s="173" t="str">
        <f t="shared" si="7"/>
        <v/>
      </c>
      <c r="J26" s="173" t="e">
        <f t="shared" si="3"/>
        <v>#VALUE!</v>
      </c>
      <c r="K26" s="173">
        <f>SUM($I$17:$I26)</f>
        <v>0</v>
      </c>
      <c r="L26" s="168"/>
      <c r="M26" s="168"/>
      <c r="N26" s="150"/>
    </row>
    <row r="27" spans="1:14" ht="21.75" customHeight="1">
      <c r="A27" s="191" t="str">
        <f t="shared" si="4"/>
        <v/>
      </c>
      <c r="B27" s="172" t="s">
        <v>1006</v>
      </c>
      <c r="C27" s="172" t="str">
        <f t="shared" si="0"/>
        <v/>
      </c>
      <c r="D27" s="173" t="str">
        <f t="shared" si="5"/>
        <v/>
      </c>
      <c r="E27" s="173" t="str">
        <f t="shared" si="8"/>
        <v/>
      </c>
      <c r="F27" s="174" t="e">
        <f t="shared" si="1"/>
        <v>#VALUE!</v>
      </c>
      <c r="G27" s="173" t="e">
        <f t="shared" si="2"/>
        <v>#VALUE!</v>
      </c>
      <c r="H27" s="173" t="str">
        <f t="shared" si="6"/>
        <v/>
      </c>
      <c r="I27" s="173" t="str">
        <f t="shared" si="7"/>
        <v/>
      </c>
      <c r="J27" s="173" t="e">
        <f t="shared" si="3"/>
        <v>#VALUE!</v>
      </c>
      <c r="K27" s="173">
        <f>SUM($I$17:$I27)</f>
        <v>0</v>
      </c>
      <c r="L27" s="168"/>
      <c r="M27" s="168"/>
      <c r="N27" s="150"/>
    </row>
    <row r="28" spans="1:14" ht="21.75" customHeight="1">
      <c r="A28" s="191" t="str">
        <f t="shared" si="4"/>
        <v/>
      </c>
      <c r="B28" s="172" t="s">
        <v>1007</v>
      </c>
      <c r="C28" s="172" t="str">
        <f t="shared" si="0"/>
        <v/>
      </c>
      <c r="D28" s="173" t="str">
        <f t="shared" si="5"/>
        <v/>
      </c>
      <c r="E28" s="173" t="str">
        <f t="shared" si="8"/>
        <v/>
      </c>
      <c r="F28" s="174" t="e">
        <f t="shared" si="1"/>
        <v>#VALUE!</v>
      </c>
      <c r="G28" s="173" t="e">
        <f t="shared" si="2"/>
        <v>#VALUE!</v>
      </c>
      <c r="H28" s="173" t="str">
        <f t="shared" si="6"/>
        <v/>
      </c>
      <c r="I28" s="173" t="str">
        <f t="shared" si="7"/>
        <v/>
      </c>
      <c r="J28" s="173" t="e">
        <f t="shared" si="3"/>
        <v>#VALUE!</v>
      </c>
      <c r="K28" s="173">
        <f>SUM($I$17:$I28)</f>
        <v>0</v>
      </c>
      <c r="L28" s="168"/>
      <c r="M28" s="168"/>
      <c r="N28" s="150"/>
    </row>
    <row r="29" spans="1:14" ht="21.75" customHeight="1">
      <c r="A29" s="191" t="str">
        <f t="shared" si="4"/>
        <v/>
      </c>
      <c r="B29" s="172" t="s">
        <v>1008</v>
      </c>
      <c r="C29" s="172" t="str">
        <f t="shared" si="0"/>
        <v/>
      </c>
      <c r="D29" s="173" t="str">
        <f t="shared" si="5"/>
        <v/>
      </c>
      <c r="E29" s="173" t="str">
        <f t="shared" si="8"/>
        <v/>
      </c>
      <c r="F29" s="174" t="e">
        <f t="shared" si="1"/>
        <v>#VALUE!</v>
      </c>
      <c r="G29" s="173" t="e">
        <f t="shared" si="2"/>
        <v>#VALUE!</v>
      </c>
      <c r="H29" s="173" t="str">
        <f t="shared" si="6"/>
        <v/>
      </c>
      <c r="I29" s="173" t="str">
        <f t="shared" si="7"/>
        <v/>
      </c>
      <c r="J29" s="173" t="e">
        <f t="shared" si="3"/>
        <v>#VALUE!</v>
      </c>
      <c r="K29" s="173">
        <f>SUM($I$17:$I29)</f>
        <v>0</v>
      </c>
      <c r="L29" s="168"/>
      <c r="M29" s="168"/>
      <c r="N29" s="150"/>
    </row>
    <row r="30" spans="1:14" ht="21.75" customHeight="1">
      <c r="A30" s="191" t="str">
        <f t="shared" si="4"/>
        <v/>
      </c>
      <c r="B30" s="172" t="s">
        <v>1009</v>
      </c>
      <c r="C30" s="172" t="str">
        <f t="shared" si="0"/>
        <v/>
      </c>
      <c r="D30" s="173" t="str">
        <f t="shared" si="5"/>
        <v/>
      </c>
      <c r="E30" s="173" t="str">
        <f t="shared" si="8"/>
        <v/>
      </c>
      <c r="F30" s="174" t="e">
        <f t="shared" si="1"/>
        <v>#VALUE!</v>
      </c>
      <c r="G30" s="173" t="e">
        <f t="shared" si="2"/>
        <v>#VALUE!</v>
      </c>
      <c r="H30" s="173" t="str">
        <f t="shared" si="6"/>
        <v/>
      </c>
      <c r="I30" s="173" t="str">
        <f t="shared" si="7"/>
        <v/>
      </c>
      <c r="J30" s="173" t="e">
        <f t="shared" si="3"/>
        <v>#VALUE!</v>
      </c>
      <c r="K30" s="173">
        <f>SUM($I$17:$I30)</f>
        <v>0</v>
      </c>
      <c r="L30" s="168"/>
      <c r="M30" s="168"/>
      <c r="N30" s="150"/>
    </row>
    <row r="31" spans="1:14" ht="21.75" customHeight="1">
      <c r="A31" s="191" t="str">
        <f t="shared" si="4"/>
        <v/>
      </c>
      <c r="B31" s="172" t="s">
        <v>1010</v>
      </c>
      <c r="C31" s="172" t="str">
        <f t="shared" si="0"/>
        <v/>
      </c>
      <c r="D31" s="173" t="str">
        <f t="shared" si="5"/>
        <v/>
      </c>
      <c r="E31" s="173" t="str">
        <f t="shared" si="8"/>
        <v/>
      </c>
      <c r="F31" s="174" t="e">
        <f t="shared" si="1"/>
        <v>#VALUE!</v>
      </c>
      <c r="G31" s="173" t="e">
        <f t="shared" si="2"/>
        <v>#VALUE!</v>
      </c>
      <c r="H31" s="173" t="str">
        <f t="shared" si="6"/>
        <v/>
      </c>
      <c r="I31" s="173" t="str">
        <f t="shared" si="7"/>
        <v/>
      </c>
      <c r="J31" s="173" t="e">
        <f t="shared" si="3"/>
        <v>#VALUE!</v>
      </c>
      <c r="K31" s="173">
        <f>SUM($I$17:$I31)</f>
        <v>0</v>
      </c>
      <c r="L31" s="168"/>
      <c r="M31" s="168"/>
      <c r="N31" s="150"/>
    </row>
    <row r="32" spans="1:14" ht="21.75" customHeight="1">
      <c r="A32" s="191" t="str">
        <f t="shared" si="4"/>
        <v/>
      </c>
      <c r="B32" s="172" t="s">
        <v>1011</v>
      </c>
      <c r="C32" s="172" t="str">
        <f t="shared" si="0"/>
        <v/>
      </c>
      <c r="D32" s="173" t="str">
        <f t="shared" si="5"/>
        <v/>
      </c>
      <c r="E32" s="173" t="str">
        <f t="shared" si="8"/>
        <v/>
      </c>
      <c r="F32" s="174" t="e">
        <f t="shared" si="1"/>
        <v>#VALUE!</v>
      </c>
      <c r="G32" s="173" t="e">
        <f t="shared" si="2"/>
        <v>#VALUE!</v>
      </c>
      <c r="H32" s="173" t="str">
        <f t="shared" si="6"/>
        <v/>
      </c>
      <c r="I32" s="173" t="str">
        <f t="shared" si="7"/>
        <v/>
      </c>
      <c r="J32" s="173" t="e">
        <f t="shared" si="3"/>
        <v>#VALUE!</v>
      </c>
      <c r="K32" s="173">
        <f>SUM($I$17:$I32)</f>
        <v>0</v>
      </c>
      <c r="L32" s="168"/>
      <c r="M32" s="168"/>
      <c r="N32" s="150"/>
    </row>
    <row r="33" spans="1:14" ht="21.75" customHeight="1">
      <c r="A33" s="191" t="str">
        <f t="shared" si="4"/>
        <v/>
      </c>
      <c r="B33" s="172" t="s">
        <v>1012</v>
      </c>
      <c r="C33" s="172" t="str">
        <f t="shared" si="0"/>
        <v/>
      </c>
      <c r="D33" s="173" t="str">
        <f t="shared" si="5"/>
        <v/>
      </c>
      <c r="E33" s="173" t="str">
        <f t="shared" si="8"/>
        <v/>
      </c>
      <c r="F33" s="174" t="e">
        <f t="shared" si="1"/>
        <v>#VALUE!</v>
      </c>
      <c r="G33" s="173" t="e">
        <f t="shared" si="2"/>
        <v>#VALUE!</v>
      </c>
      <c r="H33" s="173" t="str">
        <f t="shared" si="6"/>
        <v/>
      </c>
      <c r="I33" s="173" t="str">
        <f t="shared" si="7"/>
        <v/>
      </c>
      <c r="J33" s="173" t="e">
        <f t="shared" si="3"/>
        <v>#VALUE!</v>
      </c>
      <c r="K33" s="173">
        <f>SUM($I$17:$I33)</f>
        <v>0</v>
      </c>
      <c r="L33" s="168"/>
      <c r="M33" s="168"/>
      <c r="N33" s="150"/>
    </row>
    <row r="34" spans="1:14" ht="21.75" customHeight="1">
      <c r="A34" s="191" t="str">
        <f t="shared" si="4"/>
        <v/>
      </c>
      <c r="B34" s="172" t="s">
        <v>1013</v>
      </c>
      <c r="C34" s="172" t="str">
        <f t="shared" si="0"/>
        <v/>
      </c>
      <c r="D34" s="173" t="str">
        <f t="shared" si="5"/>
        <v/>
      </c>
      <c r="E34" s="173" t="str">
        <f t="shared" si="8"/>
        <v/>
      </c>
      <c r="F34" s="174" t="e">
        <f t="shared" si="1"/>
        <v>#VALUE!</v>
      </c>
      <c r="G34" s="173" t="e">
        <f t="shared" si="2"/>
        <v>#VALUE!</v>
      </c>
      <c r="H34" s="173" t="str">
        <f t="shared" si="6"/>
        <v/>
      </c>
      <c r="I34" s="173" t="str">
        <f t="shared" si="7"/>
        <v/>
      </c>
      <c r="J34" s="173" t="e">
        <f t="shared" si="3"/>
        <v>#VALUE!</v>
      </c>
      <c r="K34" s="173">
        <f>SUM($I$17:$I34)</f>
        <v>0</v>
      </c>
      <c r="L34" s="168"/>
      <c r="M34" s="168"/>
      <c r="N34" s="150"/>
    </row>
    <row r="35" spans="1:14" ht="21.75" customHeight="1">
      <c r="A35" s="191" t="str">
        <f t="shared" si="4"/>
        <v/>
      </c>
      <c r="B35" s="172" t="s">
        <v>1014</v>
      </c>
      <c r="C35" s="172" t="str">
        <f t="shared" si="0"/>
        <v/>
      </c>
      <c r="D35" s="173" t="str">
        <f t="shared" si="5"/>
        <v/>
      </c>
      <c r="E35" s="173" t="str">
        <f t="shared" si="8"/>
        <v/>
      </c>
      <c r="F35" s="174" t="e">
        <f t="shared" si="1"/>
        <v>#VALUE!</v>
      </c>
      <c r="G35" s="173" t="e">
        <f t="shared" si="2"/>
        <v>#VALUE!</v>
      </c>
      <c r="H35" s="173" t="str">
        <f t="shared" si="6"/>
        <v/>
      </c>
      <c r="I35" s="173" t="str">
        <f t="shared" si="7"/>
        <v/>
      </c>
      <c r="J35" s="173" t="e">
        <f t="shared" si="3"/>
        <v>#VALUE!</v>
      </c>
      <c r="K35" s="173">
        <f>SUM($I$17:$I35)</f>
        <v>0</v>
      </c>
      <c r="L35" s="168"/>
      <c r="M35" s="168"/>
      <c r="N35" s="150"/>
    </row>
    <row r="36" spans="1:14" ht="21.75" customHeight="1">
      <c r="A36" s="191" t="str">
        <f t="shared" si="4"/>
        <v/>
      </c>
      <c r="B36" s="172" t="s">
        <v>1015</v>
      </c>
      <c r="C36" s="172" t="str">
        <f t="shared" si="0"/>
        <v/>
      </c>
      <c r="D36" s="173" t="str">
        <f t="shared" si="5"/>
        <v/>
      </c>
      <c r="E36" s="173" t="str">
        <f t="shared" si="8"/>
        <v/>
      </c>
      <c r="F36" s="174" t="e">
        <f t="shared" si="1"/>
        <v>#VALUE!</v>
      </c>
      <c r="G36" s="173" t="e">
        <f t="shared" si="2"/>
        <v>#VALUE!</v>
      </c>
      <c r="H36" s="173" t="str">
        <f t="shared" si="6"/>
        <v/>
      </c>
      <c r="I36" s="173" t="str">
        <f t="shared" si="7"/>
        <v/>
      </c>
      <c r="J36" s="173" t="e">
        <f t="shared" si="3"/>
        <v>#VALUE!</v>
      </c>
      <c r="K36" s="173">
        <f>SUM($I$17:$I36)</f>
        <v>0</v>
      </c>
      <c r="L36" s="168"/>
      <c r="M36" s="168"/>
      <c r="N36" s="150"/>
    </row>
    <row r="37" spans="1:14" ht="21.75" customHeight="1">
      <c r="A37" s="191" t="str">
        <f t="shared" si="4"/>
        <v/>
      </c>
      <c r="B37" s="172" t="s">
        <v>1016</v>
      </c>
      <c r="C37" s="172" t="str">
        <f t="shared" si="0"/>
        <v/>
      </c>
      <c r="D37" s="173" t="str">
        <f t="shared" si="5"/>
        <v/>
      </c>
      <c r="E37" s="173" t="str">
        <f t="shared" si="8"/>
        <v/>
      </c>
      <c r="F37" s="174" t="e">
        <f t="shared" si="1"/>
        <v>#VALUE!</v>
      </c>
      <c r="G37" s="173" t="e">
        <f t="shared" si="2"/>
        <v>#VALUE!</v>
      </c>
      <c r="H37" s="173" t="str">
        <f t="shared" si="6"/>
        <v/>
      </c>
      <c r="I37" s="173" t="str">
        <f t="shared" si="7"/>
        <v/>
      </c>
      <c r="J37" s="173" t="e">
        <f t="shared" si="3"/>
        <v>#VALUE!</v>
      </c>
      <c r="K37" s="173">
        <f>SUM($I$17:$I37)</f>
        <v>0</v>
      </c>
      <c r="L37" s="168"/>
      <c r="M37" s="168"/>
      <c r="N37" s="150"/>
    </row>
    <row r="38" spans="1:14" ht="21.75" customHeight="1">
      <c r="A38" s="191" t="str">
        <f t="shared" si="4"/>
        <v/>
      </c>
      <c r="B38" s="172" t="s">
        <v>1017</v>
      </c>
      <c r="C38" s="172" t="str">
        <f t="shared" si="0"/>
        <v/>
      </c>
      <c r="D38" s="173" t="str">
        <f t="shared" si="5"/>
        <v/>
      </c>
      <c r="E38" s="173" t="str">
        <f t="shared" si="8"/>
        <v/>
      </c>
      <c r="F38" s="174" t="e">
        <f t="shared" si="1"/>
        <v>#VALUE!</v>
      </c>
      <c r="G38" s="173" t="e">
        <f t="shared" si="2"/>
        <v>#VALUE!</v>
      </c>
      <c r="H38" s="173" t="str">
        <f t="shared" si="6"/>
        <v/>
      </c>
      <c r="I38" s="173" t="str">
        <f t="shared" si="7"/>
        <v/>
      </c>
      <c r="J38" s="173" t="e">
        <f t="shared" si="3"/>
        <v>#VALUE!</v>
      </c>
      <c r="K38" s="173">
        <f>SUM($I$17:$I38)</f>
        <v>0</v>
      </c>
      <c r="L38" s="168"/>
      <c r="M38" s="168"/>
      <c r="N38" s="150"/>
    </row>
    <row r="39" spans="1:14" ht="21.75" customHeight="1">
      <c r="A39" s="191" t="str">
        <f t="shared" si="4"/>
        <v/>
      </c>
      <c r="B39" s="172" t="s">
        <v>1018</v>
      </c>
      <c r="C39" s="172" t="str">
        <f t="shared" si="0"/>
        <v/>
      </c>
      <c r="D39" s="173" t="str">
        <f t="shared" si="5"/>
        <v/>
      </c>
      <c r="E39" s="173" t="str">
        <f t="shared" si="8"/>
        <v/>
      </c>
      <c r="F39" s="174" t="e">
        <f t="shared" si="1"/>
        <v>#VALUE!</v>
      </c>
      <c r="G39" s="173" t="e">
        <f t="shared" si="2"/>
        <v>#VALUE!</v>
      </c>
      <c r="H39" s="173" t="str">
        <f t="shared" si="6"/>
        <v/>
      </c>
      <c r="I39" s="173" t="str">
        <f t="shared" si="7"/>
        <v/>
      </c>
      <c r="J39" s="173" t="e">
        <f t="shared" si="3"/>
        <v>#VALUE!</v>
      </c>
      <c r="K39" s="173">
        <f>SUM($I$17:$I39)</f>
        <v>0</v>
      </c>
      <c r="L39" s="168"/>
      <c r="M39" s="168"/>
      <c r="N39" s="150"/>
    </row>
    <row r="40" spans="1:14" ht="21.75" customHeight="1">
      <c r="A40" s="191" t="str">
        <f t="shared" si="4"/>
        <v/>
      </c>
      <c r="B40" s="172" t="s">
        <v>1019</v>
      </c>
      <c r="C40" s="172" t="str">
        <f t="shared" si="0"/>
        <v/>
      </c>
      <c r="D40" s="173" t="str">
        <f t="shared" si="5"/>
        <v/>
      </c>
      <c r="E40" s="173" t="str">
        <f t="shared" si="8"/>
        <v/>
      </c>
      <c r="F40" s="174" t="e">
        <f t="shared" si="1"/>
        <v>#VALUE!</v>
      </c>
      <c r="G40" s="173" t="e">
        <f t="shared" si="2"/>
        <v>#VALUE!</v>
      </c>
      <c r="H40" s="173" t="str">
        <f t="shared" si="6"/>
        <v/>
      </c>
      <c r="I40" s="173" t="str">
        <f t="shared" si="7"/>
        <v/>
      </c>
      <c r="J40" s="173" t="e">
        <f t="shared" si="3"/>
        <v>#VALUE!</v>
      </c>
      <c r="K40" s="173">
        <f>SUM($I$17:$I40)</f>
        <v>0</v>
      </c>
      <c r="L40" s="168"/>
      <c r="M40" s="168"/>
      <c r="N40" s="150"/>
    </row>
    <row r="41" spans="1:14" ht="21.75" customHeight="1">
      <c r="A41" s="191" t="str">
        <f t="shared" si="4"/>
        <v/>
      </c>
      <c r="B41" s="172" t="s">
        <v>1020</v>
      </c>
      <c r="C41" s="172" t="str">
        <f t="shared" si="0"/>
        <v/>
      </c>
      <c r="D41" s="173" t="str">
        <f t="shared" si="5"/>
        <v/>
      </c>
      <c r="E41" s="173" t="str">
        <f t="shared" si="8"/>
        <v/>
      </c>
      <c r="F41" s="174" t="e">
        <f t="shared" si="1"/>
        <v>#VALUE!</v>
      </c>
      <c r="G41" s="173" t="e">
        <f t="shared" si="2"/>
        <v>#VALUE!</v>
      </c>
      <c r="H41" s="173" t="str">
        <f t="shared" si="6"/>
        <v/>
      </c>
      <c r="I41" s="173" t="str">
        <f t="shared" si="7"/>
        <v/>
      </c>
      <c r="J41" s="173" t="e">
        <f t="shared" si="3"/>
        <v>#VALUE!</v>
      </c>
      <c r="K41" s="173">
        <f>SUM($I$17:$I41)</f>
        <v>0</v>
      </c>
      <c r="L41" s="168"/>
      <c r="M41" s="168"/>
      <c r="N41" s="150"/>
    </row>
    <row r="42" spans="1:14" ht="21.75" customHeight="1">
      <c r="A42" s="191" t="str">
        <f t="shared" si="4"/>
        <v/>
      </c>
      <c r="B42" s="172" t="s">
        <v>1021</v>
      </c>
      <c r="C42" s="172" t="str">
        <f t="shared" si="0"/>
        <v/>
      </c>
      <c r="D42" s="173" t="str">
        <f t="shared" si="5"/>
        <v/>
      </c>
      <c r="E42" s="173" t="str">
        <f t="shared" si="8"/>
        <v/>
      </c>
      <c r="F42" s="174" t="e">
        <f t="shared" si="1"/>
        <v>#VALUE!</v>
      </c>
      <c r="G42" s="173" t="e">
        <f t="shared" si="2"/>
        <v>#VALUE!</v>
      </c>
      <c r="H42" s="173" t="str">
        <f t="shared" si="6"/>
        <v/>
      </c>
      <c r="I42" s="173" t="str">
        <f t="shared" si="7"/>
        <v/>
      </c>
      <c r="J42" s="173" t="e">
        <f t="shared" si="3"/>
        <v>#VALUE!</v>
      </c>
      <c r="K42" s="173">
        <f>SUM($I$17:$I42)</f>
        <v>0</v>
      </c>
      <c r="L42" s="168"/>
      <c r="M42" s="168"/>
      <c r="N42" s="150"/>
    </row>
    <row r="43" spans="1:14" ht="21.75" customHeight="1">
      <c r="A43" s="191" t="str">
        <f t="shared" si="4"/>
        <v/>
      </c>
      <c r="B43" s="172" t="s">
        <v>1022</v>
      </c>
      <c r="C43" s="172" t="str">
        <f t="shared" si="0"/>
        <v/>
      </c>
      <c r="D43" s="173" t="str">
        <f t="shared" si="5"/>
        <v/>
      </c>
      <c r="E43" s="173" t="str">
        <f t="shared" si="8"/>
        <v/>
      </c>
      <c r="F43" s="174" t="e">
        <f t="shared" si="1"/>
        <v>#VALUE!</v>
      </c>
      <c r="G43" s="173" t="e">
        <f t="shared" si="2"/>
        <v>#VALUE!</v>
      </c>
      <c r="H43" s="173" t="str">
        <f t="shared" si="6"/>
        <v/>
      </c>
      <c r="I43" s="173" t="str">
        <f t="shared" si="7"/>
        <v/>
      </c>
      <c r="J43" s="173" t="e">
        <f t="shared" si="3"/>
        <v>#VALUE!</v>
      </c>
      <c r="K43" s="173">
        <f>SUM($I$17:$I43)</f>
        <v>0</v>
      </c>
      <c r="L43" s="168"/>
      <c r="M43" s="168"/>
      <c r="N43" s="150"/>
    </row>
    <row r="44" spans="1:14" ht="21.75" customHeight="1">
      <c r="A44" s="191" t="str">
        <f t="shared" si="4"/>
        <v/>
      </c>
      <c r="B44" s="172" t="s">
        <v>1023</v>
      </c>
      <c r="C44" s="172" t="str">
        <f t="shared" si="0"/>
        <v/>
      </c>
      <c r="D44" s="173" t="str">
        <f t="shared" si="5"/>
        <v/>
      </c>
      <c r="E44" s="173" t="str">
        <f t="shared" si="8"/>
        <v/>
      </c>
      <c r="F44" s="174" t="e">
        <f t="shared" si="1"/>
        <v>#VALUE!</v>
      </c>
      <c r="G44" s="173" t="e">
        <f t="shared" si="2"/>
        <v>#VALUE!</v>
      </c>
      <c r="H44" s="173" t="str">
        <f t="shared" si="6"/>
        <v/>
      </c>
      <c r="I44" s="173" t="str">
        <f t="shared" si="7"/>
        <v/>
      </c>
      <c r="J44" s="173" t="e">
        <f t="shared" si="3"/>
        <v>#VALUE!</v>
      </c>
      <c r="K44" s="173">
        <f>SUM($I$17:$I44)</f>
        <v>0</v>
      </c>
      <c r="L44" s="168"/>
      <c r="M44" s="168"/>
      <c r="N44" s="150"/>
    </row>
    <row r="45" spans="1:14" ht="21.75" customHeight="1">
      <c r="A45" s="191" t="str">
        <f t="shared" si="4"/>
        <v/>
      </c>
      <c r="B45" s="172" t="s">
        <v>1024</v>
      </c>
      <c r="C45" s="172" t="str">
        <f t="shared" si="0"/>
        <v/>
      </c>
      <c r="D45" s="173" t="str">
        <f t="shared" si="5"/>
        <v/>
      </c>
      <c r="E45" s="173" t="str">
        <f t="shared" si="8"/>
        <v/>
      </c>
      <c r="F45" s="174" t="e">
        <f t="shared" si="1"/>
        <v>#VALUE!</v>
      </c>
      <c r="G45" s="173" t="e">
        <f t="shared" si="2"/>
        <v>#VALUE!</v>
      </c>
      <c r="H45" s="173" t="str">
        <f t="shared" si="6"/>
        <v/>
      </c>
      <c r="I45" s="173" t="str">
        <f t="shared" si="7"/>
        <v/>
      </c>
      <c r="J45" s="173" t="e">
        <f t="shared" si="3"/>
        <v>#VALUE!</v>
      </c>
      <c r="K45" s="173">
        <f>SUM($I$17:$I45)</f>
        <v>0</v>
      </c>
      <c r="L45" s="168"/>
      <c r="M45" s="168"/>
      <c r="N45" s="150"/>
    </row>
    <row r="46" spans="1:14" ht="21.75" customHeight="1">
      <c r="A46" s="191" t="str">
        <f t="shared" si="4"/>
        <v/>
      </c>
      <c r="B46" s="172" t="s">
        <v>1025</v>
      </c>
      <c r="C46" s="172" t="str">
        <f t="shared" si="0"/>
        <v/>
      </c>
      <c r="D46" s="173" t="str">
        <f t="shared" si="5"/>
        <v/>
      </c>
      <c r="E46" s="173" t="str">
        <f t="shared" si="8"/>
        <v/>
      </c>
      <c r="F46" s="174" t="e">
        <f t="shared" si="1"/>
        <v>#VALUE!</v>
      </c>
      <c r="G46" s="173" t="e">
        <f t="shared" si="2"/>
        <v>#VALUE!</v>
      </c>
      <c r="H46" s="173" t="str">
        <f t="shared" si="6"/>
        <v/>
      </c>
      <c r="I46" s="173" t="str">
        <f t="shared" si="7"/>
        <v/>
      </c>
      <c r="J46" s="173" t="e">
        <f t="shared" si="3"/>
        <v>#VALUE!</v>
      </c>
      <c r="K46" s="173">
        <f>SUM($I$17:$I46)</f>
        <v>0</v>
      </c>
      <c r="L46" s="168"/>
      <c r="M46" s="168"/>
      <c r="N46" s="150"/>
    </row>
    <row r="47" spans="1:14" ht="21.75" customHeight="1">
      <c r="A47" s="191" t="str">
        <f t="shared" si="4"/>
        <v/>
      </c>
      <c r="B47" s="172" t="s">
        <v>1026</v>
      </c>
      <c r="C47" s="172" t="str">
        <f t="shared" si="0"/>
        <v/>
      </c>
      <c r="D47" s="173" t="str">
        <f t="shared" si="5"/>
        <v/>
      </c>
      <c r="E47" s="173" t="str">
        <f t="shared" si="8"/>
        <v/>
      </c>
      <c r="F47" s="174" t="e">
        <f t="shared" si="1"/>
        <v>#VALUE!</v>
      </c>
      <c r="G47" s="173" t="e">
        <f t="shared" si="2"/>
        <v>#VALUE!</v>
      </c>
      <c r="H47" s="173" t="str">
        <f t="shared" si="6"/>
        <v/>
      </c>
      <c r="I47" s="173" t="str">
        <f t="shared" si="7"/>
        <v/>
      </c>
      <c r="J47" s="173" t="e">
        <f t="shared" si="3"/>
        <v>#VALUE!</v>
      </c>
      <c r="K47" s="173">
        <f>SUM($I$17:$I47)</f>
        <v>0</v>
      </c>
      <c r="L47" s="168"/>
      <c r="M47" s="168"/>
      <c r="N47" s="150"/>
    </row>
    <row r="48" spans="1:14" ht="21.75" customHeight="1">
      <c r="A48" s="191" t="str">
        <f t="shared" si="4"/>
        <v/>
      </c>
      <c r="B48" s="172" t="s">
        <v>1027</v>
      </c>
      <c r="C48" s="172" t="str">
        <f t="shared" si="0"/>
        <v/>
      </c>
      <c r="D48" s="173" t="str">
        <f t="shared" si="5"/>
        <v/>
      </c>
      <c r="E48" s="173" t="str">
        <f t="shared" si="8"/>
        <v/>
      </c>
      <c r="F48" s="174" t="e">
        <f t="shared" si="1"/>
        <v>#VALUE!</v>
      </c>
      <c r="G48" s="173" t="e">
        <f t="shared" si="2"/>
        <v>#VALUE!</v>
      </c>
      <c r="H48" s="173" t="str">
        <f t="shared" si="6"/>
        <v/>
      </c>
      <c r="I48" s="173" t="str">
        <f t="shared" si="7"/>
        <v/>
      </c>
      <c r="J48" s="173" t="e">
        <f t="shared" si="3"/>
        <v>#VALUE!</v>
      </c>
      <c r="K48" s="173">
        <f>SUM($I$17:$I48)</f>
        <v>0</v>
      </c>
      <c r="L48" s="168"/>
      <c r="M48" s="168"/>
      <c r="N48" s="150"/>
    </row>
    <row r="49" spans="1:14" ht="21.75" customHeight="1">
      <c r="A49" s="191" t="str">
        <f t="shared" si="4"/>
        <v/>
      </c>
      <c r="B49" s="172" t="s">
        <v>1028</v>
      </c>
      <c r="C49" s="172" t="str">
        <f t="shared" si="0"/>
        <v/>
      </c>
      <c r="D49" s="173" t="str">
        <f t="shared" si="5"/>
        <v/>
      </c>
      <c r="E49" s="173" t="str">
        <f t="shared" si="8"/>
        <v/>
      </c>
      <c r="F49" s="174" t="e">
        <f t="shared" si="1"/>
        <v>#VALUE!</v>
      </c>
      <c r="G49" s="173" t="e">
        <f t="shared" si="2"/>
        <v>#VALUE!</v>
      </c>
      <c r="H49" s="173" t="str">
        <f t="shared" si="6"/>
        <v/>
      </c>
      <c r="I49" s="173" t="str">
        <f t="shared" si="7"/>
        <v/>
      </c>
      <c r="J49" s="173" t="e">
        <f t="shared" si="3"/>
        <v>#VALUE!</v>
      </c>
      <c r="K49" s="173">
        <f>SUM($I$17:$I49)</f>
        <v>0</v>
      </c>
      <c r="L49" s="168"/>
      <c r="M49" s="168"/>
      <c r="N49" s="150"/>
    </row>
    <row r="50" spans="1:14" ht="21.75" customHeight="1">
      <c r="A50" s="191" t="str">
        <f t="shared" si="4"/>
        <v/>
      </c>
      <c r="B50" s="172" t="s">
        <v>1029</v>
      </c>
      <c r="C50" s="172" t="str">
        <f t="shared" si="0"/>
        <v/>
      </c>
      <c r="D50" s="173" t="str">
        <f t="shared" si="5"/>
        <v/>
      </c>
      <c r="E50" s="173" t="str">
        <f t="shared" si="8"/>
        <v/>
      </c>
      <c r="F50" s="174" t="e">
        <f t="shared" si="1"/>
        <v>#VALUE!</v>
      </c>
      <c r="G50" s="173" t="e">
        <f t="shared" si="2"/>
        <v>#VALUE!</v>
      </c>
      <c r="H50" s="173" t="str">
        <f t="shared" si="6"/>
        <v/>
      </c>
      <c r="I50" s="173" t="str">
        <f t="shared" si="7"/>
        <v/>
      </c>
      <c r="J50" s="173" t="e">
        <f t="shared" si="3"/>
        <v>#VALUE!</v>
      </c>
      <c r="K50" s="173">
        <f>SUM($I$17:$I50)</f>
        <v>0</v>
      </c>
      <c r="L50" s="168"/>
      <c r="M50" s="168"/>
      <c r="N50" s="150"/>
    </row>
    <row r="51" spans="1:14" ht="21.75" customHeight="1">
      <c r="A51" s="191" t="str">
        <f t="shared" si="4"/>
        <v/>
      </c>
      <c r="B51" s="172" t="s">
        <v>1030</v>
      </c>
      <c r="C51" s="172" t="str">
        <f t="shared" si="0"/>
        <v/>
      </c>
      <c r="D51" s="173" t="str">
        <f t="shared" si="5"/>
        <v/>
      </c>
      <c r="E51" s="173" t="str">
        <f t="shared" si="8"/>
        <v/>
      </c>
      <c r="F51" s="174" t="e">
        <f t="shared" si="1"/>
        <v>#VALUE!</v>
      </c>
      <c r="G51" s="173" t="e">
        <f t="shared" si="2"/>
        <v>#VALUE!</v>
      </c>
      <c r="H51" s="173" t="str">
        <f t="shared" si="6"/>
        <v/>
      </c>
      <c r="I51" s="173" t="str">
        <f t="shared" si="7"/>
        <v/>
      </c>
      <c r="J51" s="173" t="e">
        <f t="shared" si="3"/>
        <v>#VALUE!</v>
      </c>
      <c r="K51" s="173">
        <f>SUM($I$17:$I51)</f>
        <v>0</v>
      </c>
      <c r="L51" s="168"/>
      <c r="M51" s="168"/>
      <c r="N51" s="150"/>
    </row>
    <row r="52" spans="1:14" ht="21.75" customHeight="1">
      <c r="A52" s="191" t="str">
        <f t="shared" si="4"/>
        <v/>
      </c>
      <c r="B52" s="172" t="s">
        <v>1031</v>
      </c>
      <c r="C52" s="172" t="str">
        <f t="shared" si="0"/>
        <v/>
      </c>
      <c r="D52" s="173" t="str">
        <f t="shared" si="5"/>
        <v/>
      </c>
      <c r="E52" s="173" t="str">
        <f t="shared" si="8"/>
        <v/>
      </c>
      <c r="F52" s="174" t="e">
        <f t="shared" si="1"/>
        <v>#VALUE!</v>
      </c>
      <c r="G52" s="173" t="e">
        <f t="shared" si="2"/>
        <v>#VALUE!</v>
      </c>
      <c r="H52" s="173" t="str">
        <f t="shared" si="6"/>
        <v/>
      </c>
      <c r="I52" s="173" t="str">
        <f t="shared" si="7"/>
        <v/>
      </c>
      <c r="J52" s="173" t="e">
        <f t="shared" si="3"/>
        <v>#VALUE!</v>
      </c>
      <c r="K52" s="173">
        <f>SUM($I$17:$I52)</f>
        <v>0</v>
      </c>
      <c r="L52" s="168"/>
      <c r="M52" s="168"/>
      <c r="N52" s="150"/>
    </row>
    <row r="53" spans="1:14" ht="21.75" customHeight="1">
      <c r="A53" s="191" t="str">
        <f t="shared" si="4"/>
        <v/>
      </c>
      <c r="B53" s="172" t="s">
        <v>1032</v>
      </c>
      <c r="C53" s="172" t="str">
        <f t="shared" si="0"/>
        <v/>
      </c>
      <c r="D53" s="173" t="str">
        <f t="shared" si="5"/>
        <v/>
      </c>
      <c r="E53" s="173" t="str">
        <f t="shared" si="8"/>
        <v/>
      </c>
      <c r="F53" s="174" t="e">
        <f t="shared" si="1"/>
        <v>#VALUE!</v>
      </c>
      <c r="G53" s="173" t="e">
        <f t="shared" si="2"/>
        <v>#VALUE!</v>
      </c>
      <c r="H53" s="173" t="str">
        <f t="shared" si="6"/>
        <v/>
      </c>
      <c r="I53" s="173" t="str">
        <f t="shared" si="7"/>
        <v/>
      </c>
      <c r="J53" s="173" t="e">
        <f t="shared" si="3"/>
        <v>#VALUE!</v>
      </c>
      <c r="K53" s="173">
        <f>SUM($I$17:$I53)</f>
        <v>0</v>
      </c>
      <c r="L53" s="168"/>
      <c r="M53" s="168"/>
      <c r="N53" s="150"/>
    </row>
    <row r="54" spans="1:14" ht="21.75" customHeight="1">
      <c r="A54" s="191" t="str">
        <f t="shared" si="4"/>
        <v/>
      </c>
      <c r="B54" s="172" t="s">
        <v>1033</v>
      </c>
      <c r="C54" s="172" t="str">
        <f t="shared" si="0"/>
        <v/>
      </c>
      <c r="D54" s="173" t="str">
        <f t="shared" si="5"/>
        <v/>
      </c>
      <c r="E54" s="173" t="str">
        <f t="shared" si="8"/>
        <v/>
      </c>
      <c r="F54" s="174" t="e">
        <f t="shared" si="1"/>
        <v>#VALUE!</v>
      </c>
      <c r="G54" s="173" t="e">
        <f t="shared" si="2"/>
        <v>#VALUE!</v>
      </c>
      <c r="H54" s="173" t="str">
        <f t="shared" si="6"/>
        <v/>
      </c>
      <c r="I54" s="173" t="str">
        <f t="shared" si="7"/>
        <v/>
      </c>
      <c r="J54" s="173" t="e">
        <f t="shared" si="3"/>
        <v>#VALUE!</v>
      </c>
      <c r="K54" s="173">
        <f>SUM($I$17:$I54)</f>
        <v>0</v>
      </c>
      <c r="L54" s="168"/>
      <c r="M54" s="168"/>
      <c r="N54" s="150"/>
    </row>
    <row r="55" spans="1:14" ht="21.75" customHeight="1">
      <c r="A55" s="191" t="str">
        <f t="shared" si="4"/>
        <v/>
      </c>
      <c r="B55" s="172" t="s">
        <v>1034</v>
      </c>
      <c r="C55" s="172" t="str">
        <f t="shared" si="0"/>
        <v/>
      </c>
      <c r="D55" s="173" t="str">
        <f t="shared" si="5"/>
        <v/>
      </c>
      <c r="E55" s="173" t="str">
        <f t="shared" si="8"/>
        <v/>
      </c>
      <c r="F55" s="174" t="e">
        <f t="shared" si="1"/>
        <v>#VALUE!</v>
      </c>
      <c r="G55" s="173" t="e">
        <f t="shared" si="2"/>
        <v>#VALUE!</v>
      </c>
      <c r="H55" s="173" t="str">
        <f t="shared" si="6"/>
        <v/>
      </c>
      <c r="I55" s="173" t="str">
        <f t="shared" si="7"/>
        <v/>
      </c>
      <c r="J55" s="173" t="e">
        <f t="shared" si="3"/>
        <v>#VALUE!</v>
      </c>
      <c r="K55" s="173">
        <f>SUM($I$17:$I55)</f>
        <v>0</v>
      </c>
      <c r="L55" s="168"/>
      <c r="M55" s="168"/>
      <c r="N55" s="150"/>
    </row>
    <row r="56" spans="1:14" ht="21.75" customHeight="1">
      <c r="A56" s="191" t="str">
        <f t="shared" si="4"/>
        <v/>
      </c>
      <c r="B56" s="172" t="s">
        <v>1035</v>
      </c>
      <c r="C56" s="172" t="str">
        <f t="shared" si="0"/>
        <v/>
      </c>
      <c r="D56" s="173" t="str">
        <f t="shared" si="5"/>
        <v/>
      </c>
      <c r="E56" s="173" t="str">
        <f t="shared" si="8"/>
        <v/>
      </c>
      <c r="F56" s="174" t="e">
        <f t="shared" si="1"/>
        <v>#VALUE!</v>
      </c>
      <c r="G56" s="173" t="e">
        <f t="shared" si="2"/>
        <v>#VALUE!</v>
      </c>
      <c r="H56" s="173" t="str">
        <f t="shared" si="6"/>
        <v/>
      </c>
      <c r="I56" s="173" t="str">
        <f t="shared" si="7"/>
        <v/>
      </c>
      <c r="J56" s="173" t="e">
        <f t="shared" si="3"/>
        <v>#VALUE!</v>
      </c>
      <c r="K56" s="173">
        <f>SUM($I$17:$I56)</f>
        <v>0</v>
      </c>
      <c r="L56" s="168"/>
      <c r="M56" s="168"/>
      <c r="N56" s="150"/>
    </row>
    <row r="57" spans="1:14" ht="21.75" customHeight="1">
      <c r="A57" s="191" t="str">
        <f t="shared" si="4"/>
        <v/>
      </c>
      <c r="B57" s="172" t="s">
        <v>1036</v>
      </c>
      <c r="C57" s="172" t="str">
        <f t="shared" si="0"/>
        <v/>
      </c>
      <c r="D57" s="173" t="str">
        <f t="shared" si="5"/>
        <v/>
      </c>
      <c r="E57" s="173" t="str">
        <f t="shared" si="8"/>
        <v/>
      </c>
      <c r="F57" s="174" t="e">
        <f t="shared" si="1"/>
        <v>#VALUE!</v>
      </c>
      <c r="G57" s="173" t="e">
        <f t="shared" si="2"/>
        <v>#VALUE!</v>
      </c>
      <c r="H57" s="173" t="str">
        <f t="shared" si="6"/>
        <v/>
      </c>
      <c r="I57" s="173" t="str">
        <f t="shared" si="7"/>
        <v/>
      </c>
      <c r="J57" s="173" t="e">
        <f t="shared" si="3"/>
        <v>#VALUE!</v>
      </c>
      <c r="K57" s="173">
        <f>SUM($I$17:$I57)</f>
        <v>0</v>
      </c>
      <c r="L57" s="168"/>
      <c r="M57" s="168"/>
      <c r="N57" s="150"/>
    </row>
    <row r="58" spans="1:14" ht="21.75" customHeight="1">
      <c r="A58" s="191" t="str">
        <f t="shared" si="4"/>
        <v/>
      </c>
      <c r="B58" s="172" t="s">
        <v>1037</v>
      </c>
      <c r="C58" s="172" t="str">
        <f t="shared" si="0"/>
        <v/>
      </c>
      <c r="D58" s="173" t="str">
        <f t="shared" si="5"/>
        <v/>
      </c>
      <c r="E58" s="173" t="str">
        <f t="shared" si="8"/>
        <v/>
      </c>
      <c r="F58" s="174" t="e">
        <f t="shared" si="1"/>
        <v>#VALUE!</v>
      </c>
      <c r="G58" s="173" t="e">
        <f t="shared" si="2"/>
        <v>#VALUE!</v>
      </c>
      <c r="H58" s="173" t="str">
        <f t="shared" si="6"/>
        <v/>
      </c>
      <c r="I58" s="173" t="str">
        <f t="shared" si="7"/>
        <v/>
      </c>
      <c r="J58" s="173" t="e">
        <f t="shared" si="3"/>
        <v>#VALUE!</v>
      </c>
      <c r="K58" s="173">
        <f>SUM($I$17:$I58)</f>
        <v>0</v>
      </c>
      <c r="L58" s="168"/>
      <c r="M58" s="168"/>
      <c r="N58" s="150"/>
    </row>
    <row r="59" spans="1:14" s="180" customFormat="1" ht="21.75" customHeight="1">
      <c r="A59" s="192" t="str">
        <f t="shared" si="4"/>
        <v/>
      </c>
      <c r="B59" s="172" t="s">
        <v>1038</v>
      </c>
      <c r="C59" s="176" t="str">
        <f t="shared" si="0"/>
        <v/>
      </c>
      <c r="D59" s="177" t="str">
        <f t="shared" si="5"/>
        <v/>
      </c>
      <c r="E59" s="177" t="str">
        <f t="shared" si="8"/>
        <v/>
      </c>
      <c r="F59" s="178" t="e">
        <f t="shared" si="1"/>
        <v>#VALUE!</v>
      </c>
      <c r="G59" s="177" t="e">
        <f t="shared" si="2"/>
        <v>#VALUE!</v>
      </c>
      <c r="H59" s="177" t="str">
        <f t="shared" si="6"/>
        <v/>
      </c>
      <c r="I59" s="177" t="str">
        <f t="shared" si="7"/>
        <v/>
      </c>
      <c r="J59" s="177" t="e">
        <f t="shared" si="3"/>
        <v>#VALUE!</v>
      </c>
      <c r="K59" s="177">
        <f>SUM($I$17:$I59)</f>
        <v>0</v>
      </c>
      <c r="L59" s="179"/>
      <c r="M59" s="179"/>
    </row>
    <row r="60" spans="1:14" s="180" customFormat="1" ht="21.75" customHeight="1">
      <c r="A60" s="192" t="str">
        <f t="shared" si="4"/>
        <v/>
      </c>
      <c r="B60" s="172" t="s">
        <v>1039</v>
      </c>
      <c r="C60" s="176" t="str">
        <f t="shared" si="0"/>
        <v/>
      </c>
      <c r="D60" s="177" t="str">
        <f t="shared" si="5"/>
        <v/>
      </c>
      <c r="E60" s="177" t="str">
        <f t="shared" si="8"/>
        <v/>
      </c>
      <c r="F60" s="178" t="e">
        <f t="shared" si="1"/>
        <v>#VALUE!</v>
      </c>
      <c r="G60" s="177" t="e">
        <f t="shared" si="2"/>
        <v>#VALUE!</v>
      </c>
      <c r="H60" s="177" t="str">
        <f t="shared" si="6"/>
        <v/>
      </c>
      <c r="I60" s="177" t="str">
        <f t="shared" si="7"/>
        <v/>
      </c>
      <c r="J60" s="177" t="e">
        <f t="shared" si="3"/>
        <v>#VALUE!</v>
      </c>
      <c r="K60" s="177">
        <f>SUM($I$17:$I60)</f>
        <v>0</v>
      </c>
      <c r="L60" s="179"/>
      <c r="M60" s="179"/>
    </row>
    <row r="61" spans="1:14" s="180" customFormat="1" ht="21.75" customHeight="1">
      <c r="A61" s="192" t="str">
        <f t="shared" si="4"/>
        <v/>
      </c>
      <c r="B61" s="172" t="s">
        <v>1040</v>
      </c>
      <c r="C61" s="176" t="str">
        <f t="shared" si="0"/>
        <v/>
      </c>
      <c r="D61" s="177" t="str">
        <f t="shared" si="5"/>
        <v/>
      </c>
      <c r="E61" s="177" t="str">
        <f t="shared" si="8"/>
        <v/>
      </c>
      <c r="F61" s="178" t="e">
        <f t="shared" si="1"/>
        <v>#VALUE!</v>
      </c>
      <c r="G61" s="177" t="e">
        <f t="shared" si="2"/>
        <v>#VALUE!</v>
      </c>
      <c r="H61" s="177" t="str">
        <f t="shared" si="6"/>
        <v/>
      </c>
      <c r="I61" s="177" t="str">
        <f t="shared" si="7"/>
        <v/>
      </c>
      <c r="J61" s="177" t="e">
        <f t="shared" si="3"/>
        <v>#VALUE!</v>
      </c>
      <c r="K61" s="177">
        <f>SUM($I$17:$I61)</f>
        <v>0</v>
      </c>
      <c r="L61" s="179"/>
      <c r="M61" s="179"/>
    </row>
    <row r="62" spans="1:14" s="180" customFormat="1" ht="21.75" customHeight="1">
      <c r="A62" s="192" t="str">
        <f t="shared" si="4"/>
        <v/>
      </c>
      <c r="B62" s="172" t="s">
        <v>1041</v>
      </c>
      <c r="C62" s="176" t="str">
        <f t="shared" si="0"/>
        <v/>
      </c>
      <c r="D62" s="177" t="str">
        <f t="shared" si="5"/>
        <v/>
      </c>
      <c r="E62" s="177" t="str">
        <f t="shared" si="8"/>
        <v/>
      </c>
      <c r="F62" s="178" t="e">
        <f t="shared" si="1"/>
        <v>#VALUE!</v>
      </c>
      <c r="G62" s="177" t="e">
        <f t="shared" si="2"/>
        <v>#VALUE!</v>
      </c>
      <c r="H62" s="177" t="str">
        <f t="shared" si="6"/>
        <v/>
      </c>
      <c r="I62" s="177" t="str">
        <f t="shared" si="7"/>
        <v/>
      </c>
      <c r="J62" s="177" t="e">
        <f t="shared" si="3"/>
        <v>#VALUE!</v>
      </c>
      <c r="K62" s="177">
        <f>SUM($I$17:$I62)</f>
        <v>0</v>
      </c>
      <c r="L62" s="179"/>
      <c r="M62" s="179"/>
    </row>
    <row r="63" spans="1:14" s="180" customFormat="1" ht="21.75" customHeight="1">
      <c r="A63" s="192" t="str">
        <f t="shared" si="4"/>
        <v/>
      </c>
      <c r="B63" s="172" t="s">
        <v>1042</v>
      </c>
      <c r="C63" s="176" t="str">
        <f t="shared" si="0"/>
        <v/>
      </c>
      <c r="D63" s="177" t="str">
        <f t="shared" si="5"/>
        <v/>
      </c>
      <c r="E63" s="177" t="str">
        <f t="shared" si="8"/>
        <v/>
      </c>
      <c r="F63" s="178" t="e">
        <f t="shared" si="1"/>
        <v>#VALUE!</v>
      </c>
      <c r="G63" s="177" t="e">
        <f t="shared" si="2"/>
        <v>#VALUE!</v>
      </c>
      <c r="H63" s="177" t="str">
        <f t="shared" si="6"/>
        <v/>
      </c>
      <c r="I63" s="177" t="str">
        <f t="shared" si="7"/>
        <v/>
      </c>
      <c r="J63" s="177" t="e">
        <f t="shared" si="3"/>
        <v>#VALUE!</v>
      </c>
      <c r="K63" s="177">
        <f>SUM($I$17:$I63)</f>
        <v>0</v>
      </c>
      <c r="L63" s="179"/>
      <c r="M63" s="179"/>
    </row>
    <row r="64" spans="1:14" s="180" customFormat="1" ht="21.75" customHeight="1">
      <c r="A64" s="192" t="str">
        <f t="shared" si="4"/>
        <v/>
      </c>
      <c r="B64" s="172" t="s">
        <v>1043</v>
      </c>
      <c r="C64" s="176" t="str">
        <f t="shared" si="0"/>
        <v/>
      </c>
      <c r="D64" s="177" t="str">
        <f t="shared" si="5"/>
        <v/>
      </c>
      <c r="E64" s="177" t="str">
        <f t="shared" si="8"/>
        <v/>
      </c>
      <c r="F64" s="178" t="e">
        <f t="shared" si="1"/>
        <v>#VALUE!</v>
      </c>
      <c r="G64" s="177" t="e">
        <f t="shared" si="2"/>
        <v>#VALUE!</v>
      </c>
      <c r="H64" s="177" t="str">
        <f t="shared" si="6"/>
        <v/>
      </c>
      <c r="I64" s="177" t="str">
        <f t="shared" si="7"/>
        <v/>
      </c>
      <c r="J64" s="177" t="e">
        <f t="shared" si="3"/>
        <v>#VALUE!</v>
      </c>
      <c r="K64" s="177">
        <f>SUM($I$17:$I64)</f>
        <v>0</v>
      </c>
      <c r="L64" s="179"/>
      <c r="M64" s="179"/>
    </row>
    <row r="65" spans="1:13" s="180" customFormat="1" ht="21.75" customHeight="1">
      <c r="A65" s="192" t="str">
        <f t="shared" si="4"/>
        <v/>
      </c>
      <c r="B65" s="172" t="s">
        <v>1044</v>
      </c>
      <c r="C65" s="176" t="str">
        <f t="shared" si="0"/>
        <v/>
      </c>
      <c r="D65" s="177" t="str">
        <f t="shared" si="5"/>
        <v/>
      </c>
      <c r="E65" s="177" t="str">
        <f t="shared" si="8"/>
        <v/>
      </c>
      <c r="F65" s="178" t="e">
        <f t="shared" si="1"/>
        <v>#VALUE!</v>
      </c>
      <c r="G65" s="177" t="e">
        <f t="shared" si="2"/>
        <v>#VALUE!</v>
      </c>
      <c r="H65" s="177" t="str">
        <f t="shared" si="6"/>
        <v/>
      </c>
      <c r="I65" s="177" t="str">
        <f t="shared" si="7"/>
        <v/>
      </c>
      <c r="J65" s="177" t="e">
        <f t="shared" si="3"/>
        <v>#VALUE!</v>
      </c>
      <c r="K65" s="177">
        <f>SUM($I$17:$I65)</f>
        <v>0</v>
      </c>
      <c r="L65" s="179"/>
      <c r="M65" s="179"/>
    </row>
    <row r="66" spans="1:13" s="180" customFormat="1" ht="21.75" customHeight="1">
      <c r="A66" s="192" t="str">
        <f t="shared" si="4"/>
        <v/>
      </c>
      <c r="B66" s="172" t="s">
        <v>1045</v>
      </c>
      <c r="C66" s="176" t="str">
        <f t="shared" si="0"/>
        <v/>
      </c>
      <c r="D66" s="177" t="str">
        <f t="shared" si="5"/>
        <v/>
      </c>
      <c r="E66" s="177" t="str">
        <f t="shared" si="8"/>
        <v/>
      </c>
      <c r="F66" s="178" t="e">
        <f t="shared" si="1"/>
        <v>#VALUE!</v>
      </c>
      <c r="G66" s="177" t="e">
        <f t="shared" si="2"/>
        <v>#VALUE!</v>
      </c>
      <c r="H66" s="177" t="str">
        <f t="shared" si="6"/>
        <v/>
      </c>
      <c r="I66" s="177" t="str">
        <f t="shared" si="7"/>
        <v/>
      </c>
      <c r="J66" s="177" t="e">
        <f t="shared" si="3"/>
        <v>#VALUE!</v>
      </c>
      <c r="K66" s="177">
        <f>SUM($I$17:$I66)</f>
        <v>0</v>
      </c>
      <c r="L66" s="179"/>
      <c r="M66" s="179"/>
    </row>
    <row r="67" spans="1:13" s="180" customFormat="1" ht="21.75" customHeight="1">
      <c r="A67" s="192" t="str">
        <f t="shared" si="4"/>
        <v/>
      </c>
      <c r="B67" s="172" t="s">
        <v>1046</v>
      </c>
      <c r="C67" s="176" t="str">
        <f t="shared" si="0"/>
        <v/>
      </c>
      <c r="D67" s="177" t="str">
        <f t="shared" si="5"/>
        <v/>
      </c>
      <c r="E67" s="177" t="str">
        <f t="shared" si="8"/>
        <v/>
      </c>
      <c r="F67" s="178" t="e">
        <f t="shared" si="1"/>
        <v>#VALUE!</v>
      </c>
      <c r="G67" s="177" t="e">
        <f t="shared" si="2"/>
        <v>#VALUE!</v>
      </c>
      <c r="H67" s="177" t="str">
        <f t="shared" si="6"/>
        <v/>
      </c>
      <c r="I67" s="177" t="str">
        <f t="shared" si="7"/>
        <v/>
      </c>
      <c r="J67" s="177" t="e">
        <f t="shared" si="3"/>
        <v>#VALUE!</v>
      </c>
      <c r="K67" s="177">
        <f>SUM($I$17:$I67)</f>
        <v>0</v>
      </c>
      <c r="L67" s="179"/>
      <c r="M67" s="179"/>
    </row>
    <row r="68" spans="1:13" s="180" customFormat="1" ht="21.75" customHeight="1">
      <c r="A68" s="192" t="str">
        <f t="shared" si="4"/>
        <v/>
      </c>
      <c r="B68" s="172" t="s">
        <v>1047</v>
      </c>
      <c r="C68" s="176" t="str">
        <f t="shared" si="0"/>
        <v/>
      </c>
      <c r="D68" s="177" t="str">
        <f t="shared" si="5"/>
        <v/>
      </c>
      <c r="E68" s="177" t="str">
        <f t="shared" si="8"/>
        <v/>
      </c>
      <c r="F68" s="178" t="e">
        <f t="shared" si="1"/>
        <v>#VALUE!</v>
      </c>
      <c r="G68" s="177" t="e">
        <f t="shared" si="2"/>
        <v>#VALUE!</v>
      </c>
      <c r="H68" s="177" t="str">
        <f t="shared" si="6"/>
        <v/>
      </c>
      <c r="I68" s="177" t="str">
        <f t="shared" si="7"/>
        <v/>
      </c>
      <c r="J68" s="177" t="e">
        <f t="shared" si="3"/>
        <v>#VALUE!</v>
      </c>
      <c r="K68" s="177">
        <f>SUM($I$17:$I68)</f>
        <v>0</v>
      </c>
      <c r="L68" s="179"/>
      <c r="M68" s="179"/>
    </row>
    <row r="69" spans="1:13" s="180" customFormat="1" ht="21.75" customHeight="1">
      <c r="A69" s="192" t="str">
        <f t="shared" si="4"/>
        <v/>
      </c>
      <c r="B69" s="172" t="s">
        <v>1048</v>
      </c>
      <c r="C69" s="176" t="str">
        <f t="shared" si="0"/>
        <v/>
      </c>
      <c r="D69" s="177" t="str">
        <f t="shared" si="5"/>
        <v/>
      </c>
      <c r="E69" s="177" t="str">
        <f t="shared" si="8"/>
        <v/>
      </c>
      <c r="F69" s="178" t="e">
        <f t="shared" si="1"/>
        <v>#VALUE!</v>
      </c>
      <c r="G69" s="177" t="e">
        <f t="shared" si="2"/>
        <v>#VALUE!</v>
      </c>
      <c r="H69" s="177" t="str">
        <f t="shared" si="6"/>
        <v/>
      </c>
      <c r="I69" s="177" t="str">
        <f t="shared" si="7"/>
        <v/>
      </c>
      <c r="J69" s="177" t="e">
        <f t="shared" si="3"/>
        <v>#VALUE!</v>
      </c>
      <c r="K69" s="177">
        <f>SUM($I$17:$I69)</f>
        <v>0</v>
      </c>
      <c r="L69" s="179"/>
      <c r="M69" s="179"/>
    </row>
    <row r="70" spans="1:13" s="180" customFormat="1" ht="21.75" customHeight="1">
      <c r="A70" s="192" t="str">
        <f t="shared" si="4"/>
        <v/>
      </c>
      <c r="B70" s="172" t="s">
        <v>1049</v>
      </c>
      <c r="C70" s="176" t="str">
        <f t="shared" si="0"/>
        <v/>
      </c>
      <c r="D70" s="177" t="str">
        <f t="shared" si="5"/>
        <v/>
      </c>
      <c r="E70" s="177" t="str">
        <f t="shared" si="8"/>
        <v/>
      </c>
      <c r="F70" s="178" t="e">
        <f t="shared" si="1"/>
        <v>#VALUE!</v>
      </c>
      <c r="G70" s="177" t="e">
        <f t="shared" si="2"/>
        <v>#VALUE!</v>
      </c>
      <c r="H70" s="177" t="str">
        <f t="shared" si="6"/>
        <v/>
      </c>
      <c r="I70" s="177" t="str">
        <f t="shared" si="7"/>
        <v/>
      </c>
      <c r="J70" s="177" t="e">
        <f t="shared" si="3"/>
        <v>#VALUE!</v>
      </c>
      <c r="K70" s="177">
        <f>SUM($I$17:$I70)</f>
        <v>0</v>
      </c>
      <c r="L70" s="179"/>
      <c r="M70" s="179"/>
    </row>
    <row r="71" spans="1:13" s="180" customFormat="1" ht="21.75" customHeight="1">
      <c r="A71" s="192" t="str">
        <f t="shared" si="4"/>
        <v/>
      </c>
      <c r="B71" s="172" t="s">
        <v>1050</v>
      </c>
      <c r="C71" s="176" t="str">
        <f t="shared" si="0"/>
        <v/>
      </c>
      <c r="D71" s="177" t="str">
        <f t="shared" si="5"/>
        <v/>
      </c>
      <c r="E71" s="177" t="str">
        <f t="shared" si="8"/>
        <v/>
      </c>
      <c r="F71" s="178" t="e">
        <f t="shared" si="1"/>
        <v>#VALUE!</v>
      </c>
      <c r="G71" s="177" t="e">
        <f t="shared" si="2"/>
        <v>#VALUE!</v>
      </c>
      <c r="H71" s="177" t="str">
        <f t="shared" si="6"/>
        <v/>
      </c>
      <c r="I71" s="177" t="str">
        <f t="shared" si="7"/>
        <v/>
      </c>
      <c r="J71" s="177" t="e">
        <f t="shared" si="3"/>
        <v>#VALUE!</v>
      </c>
      <c r="K71" s="177">
        <f>SUM($I$17:$I71)</f>
        <v>0</v>
      </c>
      <c r="L71" s="179"/>
      <c r="M71" s="179"/>
    </row>
    <row r="72" spans="1:13" s="180" customFormat="1" ht="21.75" customHeight="1">
      <c r="A72" s="192" t="str">
        <f t="shared" si="4"/>
        <v/>
      </c>
      <c r="B72" s="172" t="s">
        <v>1051</v>
      </c>
      <c r="C72" s="176" t="str">
        <f t="shared" si="0"/>
        <v/>
      </c>
      <c r="D72" s="177" t="str">
        <f t="shared" si="5"/>
        <v/>
      </c>
      <c r="E72" s="177" t="str">
        <f t="shared" si="8"/>
        <v/>
      </c>
      <c r="F72" s="178" t="e">
        <f t="shared" si="1"/>
        <v>#VALUE!</v>
      </c>
      <c r="G72" s="177" t="e">
        <f t="shared" si="2"/>
        <v>#VALUE!</v>
      </c>
      <c r="H72" s="177" t="str">
        <f t="shared" si="6"/>
        <v/>
      </c>
      <c r="I72" s="177" t="str">
        <f t="shared" si="7"/>
        <v/>
      </c>
      <c r="J72" s="177" t="e">
        <f t="shared" si="3"/>
        <v>#VALUE!</v>
      </c>
      <c r="K72" s="177">
        <f>SUM($I$17:$I72)</f>
        <v>0</v>
      </c>
      <c r="L72" s="179"/>
      <c r="M72" s="179"/>
    </row>
    <row r="73" spans="1:13" s="180" customFormat="1" ht="21.75" customHeight="1">
      <c r="A73" s="192" t="str">
        <f t="shared" si="4"/>
        <v/>
      </c>
      <c r="B73" s="172" t="s">
        <v>1052</v>
      </c>
      <c r="C73" s="176" t="str">
        <f t="shared" si="0"/>
        <v/>
      </c>
      <c r="D73" s="177" t="str">
        <f t="shared" si="5"/>
        <v/>
      </c>
      <c r="E73" s="177" t="str">
        <f t="shared" si="8"/>
        <v/>
      </c>
      <c r="F73" s="178" t="e">
        <f t="shared" si="1"/>
        <v>#VALUE!</v>
      </c>
      <c r="G73" s="177" t="e">
        <f t="shared" si="2"/>
        <v>#VALUE!</v>
      </c>
      <c r="H73" s="177" t="str">
        <f t="shared" si="6"/>
        <v/>
      </c>
      <c r="I73" s="177" t="str">
        <f t="shared" si="7"/>
        <v/>
      </c>
      <c r="J73" s="177" t="e">
        <f t="shared" si="3"/>
        <v>#VALUE!</v>
      </c>
      <c r="K73" s="177">
        <f>SUM($I$17:$I73)</f>
        <v>0</v>
      </c>
      <c r="L73" s="179"/>
      <c r="M73" s="179"/>
    </row>
    <row r="74" spans="1:13" s="180" customFormat="1" ht="21.75" customHeight="1">
      <c r="A74" s="192" t="str">
        <f t="shared" si="4"/>
        <v/>
      </c>
      <c r="B74" s="172" t="s">
        <v>1053</v>
      </c>
      <c r="C74" s="176" t="str">
        <f t="shared" si="0"/>
        <v/>
      </c>
      <c r="D74" s="177" t="str">
        <f t="shared" si="5"/>
        <v/>
      </c>
      <c r="E74" s="177" t="str">
        <f t="shared" si="8"/>
        <v/>
      </c>
      <c r="F74" s="178" t="e">
        <f t="shared" si="1"/>
        <v>#VALUE!</v>
      </c>
      <c r="G74" s="177" t="e">
        <f t="shared" si="2"/>
        <v>#VALUE!</v>
      </c>
      <c r="H74" s="177" t="str">
        <f t="shared" si="6"/>
        <v/>
      </c>
      <c r="I74" s="177" t="str">
        <f t="shared" si="7"/>
        <v/>
      </c>
      <c r="J74" s="177" t="e">
        <f t="shared" si="3"/>
        <v>#VALUE!</v>
      </c>
      <c r="K74" s="177">
        <f>SUM($I$17:$I74)</f>
        <v>0</v>
      </c>
      <c r="L74" s="179"/>
      <c r="M74" s="179"/>
    </row>
    <row r="75" spans="1:13" s="180" customFormat="1" ht="21.75" customHeight="1">
      <c r="A75" s="192" t="str">
        <f t="shared" si="4"/>
        <v/>
      </c>
      <c r="B75" s="172" t="s">
        <v>1054</v>
      </c>
      <c r="C75" s="176" t="str">
        <f t="shared" si="0"/>
        <v/>
      </c>
      <c r="D75" s="177" t="str">
        <f t="shared" si="5"/>
        <v/>
      </c>
      <c r="E75" s="177" t="str">
        <f t="shared" si="8"/>
        <v/>
      </c>
      <c r="F75" s="178" t="e">
        <f t="shared" si="1"/>
        <v>#VALUE!</v>
      </c>
      <c r="G75" s="177" t="e">
        <f t="shared" si="2"/>
        <v>#VALUE!</v>
      </c>
      <c r="H75" s="177" t="str">
        <f t="shared" si="6"/>
        <v/>
      </c>
      <c r="I75" s="177" t="str">
        <f t="shared" si="7"/>
        <v/>
      </c>
      <c r="J75" s="177" t="e">
        <f t="shared" si="3"/>
        <v>#VALUE!</v>
      </c>
      <c r="K75" s="177">
        <f>SUM($I$17:$I75)</f>
        <v>0</v>
      </c>
      <c r="L75" s="179"/>
      <c r="M75" s="179"/>
    </row>
    <row r="76" spans="1:13" s="180" customFormat="1" ht="21.75" customHeight="1">
      <c r="A76" s="192" t="str">
        <f t="shared" si="4"/>
        <v/>
      </c>
      <c r="B76" s="172" t="s">
        <v>1055</v>
      </c>
      <c r="C76" s="176" t="str">
        <f t="shared" si="0"/>
        <v/>
      </c>
      <c r="D76" s="177" t="str">
        <f t="shared" si="5"/>
        <v/>
      </c>
      <c r="E76" s="177" t="str">
        <f t="shared" si="8"/>
        <v/>
      </c>
      <c r="F76" s="178" t="e">
        <f t="shared" si="1"/>
        <v>#VALUE!</v>
      </c>
      <c r="G76" s="177" t="e">
        <f t="shared" si="2"/>
        <v>#VALUE!</v>
      </c>
      <c r="H76" s="177" t="str">
        <f t="shared" si="6"/>
        <v/>
      </c>
      <c r="I76" s="177" t="str">
        <f t="shared" si="7"/>
        <v/>
      </c>
      <c r="J76" s="177" t="e">
        <f t="shared" si="3"/>
        <v>#VALUE!</v>
      </c>
      <c r="K76" s="177">
        <f>SUM($I$17:$I76)</f>
        <v>0</v>
      </c>
      <c r="L76" s="179"/>
      <c r="M76" s="179"/>
    </row>
    <row r="77" spans="1:13" s="180" customFormat="1" ht="21.75" customHeight="1">
      <c r="A77" s="192" t="str">
        <f t="shared" si="4"/>
        <v/>
      </c>
      <c r="B77" s="175"/>
      <c r="C77" s="176" t="str">
        <f t="shared" si="0"/>
        <v/>
      </c>
      <c r="D77" s="177" t="str">
        <f t="shared" si="5"/>
        <v/>
      </c>
      <c r="E77" s="177" t="str">
        <f t="shared" si="8"/>
        <v/>
      </c>
      <c r="F77" s="178" t="e">
        <f t="shared" si="1"/>
        <v>#VALUE!</v>
      </c>
      <c r="G77" s="177" t="e">
        <f t="shared" si="2"/>
        <v>#VALUE!</v>
      </c>
      <c r="H77" s="177" t="str">
        <f t="shared" si="6"/>
        <v/>
      </c>
      <c r="I77" s="177" t="str">
        <f t="shared" si="7"/>
        <v/>
      </c>
      <c r="J77" s="177" t="e">
        <f t="shared" si="3"/>
        <v>#VALUE!</v>
      </c>
      <c r="K77" s="177">
        <f>SUM($I$17:$I77)</f>
        <v>0</v>
      </c>
      <c r="L77" s="179"/>
      <c r="M77" s="179"/>
    </row>
    <row r="78" spans="1:13" s="180" customFormat="1" ht="21.75" customHeight="1">
      <c r="A78" s="192" t="str">
        <f t="shared" si="4"/>
        <v/>
      </c>
      <c r="B78" s="175"/>
      <c r="C78" s="176" t="str">
        <f t="shared" si="0"/>
        <v/>
      </c>
      <c r="D78" s="177" t="str">
        <f t="shared" si="5"/>
        <v/>
      </c>
      <c r="E78" s="177" t="str">
        <f t="shared" si="8"/>
        <v/>
      </c>
      <c r="F78" s="178" t="e">
        <f t="shared" si="1"/>
        <v>#VALUE!</v>
      </c>
      <c r="G78" s="177" t="e">
        <f t="shared" si="2"/>
        <v>#VALUE!</v>
      </c>
      <c r="H78" s="177" t="str">
        <f t="shared" si="6"/>
        <v/>
      </c>
      <c r="I78" s="177" t="str">
        <f t="shared" si="7"/>
        <v/>
      </c>
      <c r="J78" s="177" t="e">
        <f t="shared" si="3"/>
        <v>#VALUE!</v>
      </c>
      <c r="K78" s="177">
        <f>SUM($I$17:$I78)</f>
        <v>0</v>
      </c>
      <c r="L78" s="179"/>
      <c r="M78" s="179"/>
    </row>
    <row r="79" spans="1:13" s="180" customFormat="1" ht="21.75" customHeight="1">
      <c r="A79" s="192" t="str">
        <f t="shared" si="4"/>
        <v/>
      </c>
      <c r="B79" s="175"/>
      <c r="C79" s="176" t="str">
        <f t="shared" si="0"/>
        <v/>
      </c>
      <c r="D79" s="177" t="str">
        <f t="shared" si="5"/>
        <v/>
      </c>
      <c r="E79" s="177" t="str">
        <f t="shared" si="8"/>
        <v/>
      </c>
      <c r="F79" s="178" t="e">
        <f t="shared" si="1"/>
        <v>#VALUE!</v>
      </c>
      <c r="G79" s="177" t="e">
        <f t="shared" si="2"/>
        <v>#VALUE!</v>
      </c>
      <c r="H79" s="177" t="str">
        <f t="shared" si="6"/>
        <v/>
      </c>
      <c r="I79" s="177" t="str">
        <f t="shared" si="7"/>
        <v/>
      </c>
      <c r="J79" s="177" t="e">
        <f t="shared" si="3"/>
        <v>#VALUE!</v>
      </c>
      <c r="K79" s="177">
        <f>SUM($I$17:$I79)</f>
        <v>0</v>
      </c>
      <c r="L79" s="179"/>
      <c r="M79" s="179"/>
    </row>
    <row r="80" spans="1:13" s="180" customFormat="1" ht="21.75" customHeight="1">
      <c r="A80" s="192" t="str">
        <f t="shared" si="4"/>
        <v/>
      </c>
      <c r="B80" s="175"/>
      <c r="C80" s="176" t="str">
        <f t="shared" si="0"/>
        <v/>
      </c>
      <c r="D80" s="177" t="str">
        <f t="shared" si="5"/>
        <v/>
      </c>
      <c r="E80" s="177" t="str">
        <f t="shared" si="8"/>
        <v/>
      </c>
      <c r="F80" s="178" t="e">
        <f t="shared" si="1"/>
        <v>#VALUE!</v>
      </c>
      <c r="G80" s="177" t="e">
        <f t="shared" si="2"/>
        <v>#VALUE!</v>
      </c>
      <c r="H80" s="177" t="str">
        <f t="shared" si="6"/>
        <v/>
      </c>
      <c r="I80" s="177" t="str">
        <f t="shared" si="7"/>
        <v/>
      </c>
      <c r="J80" s="177" t="e">
        <f t="shared" si="3"/>
        <v>#VALUE!</v>
      </c>
      <c r="K80" s="177">
        <f>SUM($I$17:$I80)</f>
        <v>0</v>
      </c>
      <c r="L80" s="179"/>
      <c r="M80" s="179"/>
    </row>
    <row r="81" spans="1:13" s="180" customFormat="1" ht="21.75" customHeight="1">
      <c r="A81" s="192" t="str">
        <f t="shared" si="4"/>
        <v/>
      </c>
      <c r="B81" s="175"/>
      <c r="C81" s="176" t="str">
        <f t="shared" ref="C81:C144" si="9">IF(Pay_Num&lt;&gt;"",DATE(YEAR(Loan_Start),MONTH(Loan_Start)+(Pay_Num)*12/Num_Pmt_Per_Year,DAY(Loan_Start)),"")</f>
        <v/>
      </c>
      <c r="D81" s="177" t="str">
        <f t="shared" si="5"/>
        <v/>
      </c>
      <c r="E81" s="177" t="str">
        <f t="shared" si="8"/>
        <v/>
      </c>
      <c r="F81" s="178" t="e">
        <f t="shared" ref="F81:F144" si="10">IF(AND(Pay_Num&lt;&gt;"",Sched_Pay+Scheduled_Extra_Payments&lt;Beg_Bal),Scheduled_Extra_Payments,IF(AND(Pay_Num&lt;&gt;"",Beg_Bal-Sched_Pay&gt;0),Beg_Bal-Sched_Pay,IF(Pay_Num&lt;&gt;"",0,"")))</f>
        <v>#VALUE!</v>
      </c>
      <c r="G81" s="177" t="e">
        <f t="shared" ref="G81:G144" si="11">IF(AND(Pay_Num&lt;&gt;"",Sched_Pay+Extra_Pay&lt;Beg_Bal),Sched_Pay+Extra_Pay,IF(Pay_Num&lt;&gt;"",Beg_Bal,""))</f>
        <v>#VALUE!</v>
      </c>
      <c r="H81" s="177" t="str">
        <f t="shared" si="6"/>
        <v/>
      </c>
      <c r="I81" s="177" t="str">
        <f t="shared" si="7"/>
        <v/>
      </c>
      <c r="J81" s="177" t="e">
        <f t="shared" ref="J81:J144" si="12">IF(AND(Pay_Num&lt;&gt;"",Sched_Pay+Extra_Pay&lt;Beg_Bal),Beg_Bal-Princ,IF(Pay_Num&lt;&gt;"",0,""))</f>
        <v>#VALUE!</v>
      </c>
      <c r="K81" s="177">
        <f>SUM($I$17:$I81)</f>
        <v>0</v>
      </c>
      <c r="L81" s="179"/>
      <c r="M81" s="179"/>
    </row>
    <row r="82" spans="1:13" s="180" customFormat="1" ht="21.75" customHeight="1">
      <c r="A82" s="192" t="str">
        <f t="shared" ref="A82:A145" si="13">IF(Values_Entered,A81+1,"")</f>
        <v/>
      </c>
      <c r="B82" s="175"/>
      <c r="C82" s="176" t="str">
        <f t="shared" si="9"/>
        <v/>
      </c>
      <c r="D82" s="177" t="str">
        <f t="shared" ref="D82:D145" si="14">IF(Pay_Num&lt;&gt;"",J81,"")</f>
        <v/>
      </c>
      <c r="E82" s="177" t="str">
        <f t="shared" si="8"/>
        <v/>
      </c>
      <c r="F82" s="178" t="e">
        <f t="shared" si="10"/>
        <v>#VALUE!</v>
      </c>
      <c r="G82" s="177" t="e">
        <f t="shared" si="11"/>
        <v>#VALUE!</v>
      </c>
      <c r="H82" s="177" t="str">
        <f t="shared" ref="H82:H145" si="15">IF(Pay_Num&lt;&gt;"",Total_Pay-Int,"")</f>
        <v/>
      </c>
      <c r="I82" s="177" t="str">
        <f t="shared" ref="I82:I145" si="16">IF(Pay_Num&lt;&gt;"",Beg_Bal*Interest_Rate/Num_Pmt_Per_Year,"")</f>
        <v/>
      </c>
      <c r="J82" s="177" t="e">
        <f t="shared" si="12"/>
        <v>#VALUE!</v>
      </c>
      <c r="K82" s="177">
        <f>SUM($I$17:$I82)</f>
        <v>0</v>
      </c>
      <c r="L82" s="179"/>
      <c r="M82" s="179"/>
    </row>
    <row r="83" spans="1:13" s="180" customFormat="1" ht="21.75" customHeight="1">
      <c r="A83" s="192" t="str">
        <f t="shared" si="13"/>
        <v/>
      </c>
      <c r="B83" s="175"/>
      <c r="C83" s="176" t="str">
        <f t="shared" si="9"/>
        <v/>
      </c>
      <c r="D83" s="177" t="str">
        <f t="shared" si="14"/>
        <v/>
      </c>
      <c r="E83" s="177" t="str">
        <f t="shared" ref="E83:E146" si="17">IF(Pay_Num&lt;&gt;"",Scheduled_Monthly_Payment,"")</f>
        <v/>
      </c>
      <c r="F83" s="178" t="e">
        <f t="shared" si="10"/>
        <v>#VALUE!</v>
      </c>
      <c r="G83" s="177" t="e">
        <f t="shared" si="11"/>
        <v>#VALUE!</v>
      </c>
      <c r="H83" s="177" t="str">
        <f t="shared" si="15"/>
        <v/>
      </c>
      <c r="I83" s="177" t="str">
        <f t="shared" si="16"/>
        <v/>
      </c>
      <c r="J83" s="177" t="e">
        <f t="shared" si="12"/>
        <v>#VALUE!</v>
      </c>
      <c r="K83" s="177">
        <f>SUM($I$17:$I83)</f>
        <v>0</v>
      </c>
      <c r="L83" s="179"/>
      <c r="M83" s="179"/>
    </row>
    <row r="84" spans="1:13" s="180" customFormat="1" ht="21.75" customHeight="1">
      <c r="A84" s="192" t="str">
        <f t="shared" si="13"/>
        <v/>
      </c>
      <c r="B84" s="175"/>
      <c r="C84" s="176" t="str">
        <f t="shared" si="9"/>
        <v/>
      </c>
      <c r="D84" s="177" t="str">
        <f t="shared" si="14"/>
        <v/>
      </c>
      <c r="E84" s="177" t="str">
        <f t="shared" si="17"/>
        <v/>
      </c>
      <c r="F84" s="178" t="e">
        <f t="shared" si="10"/>
        <v>#VALUE!</v>
      </c>
      <c r="G84" s="177" t="e">
        <f t="shared" si="11"/>
        <v>#VALUE!</v>
      </c>
      <c r="H84" s="177" t="str">
        <f t="shared" si="15"/>
        <v/>
      </c>
      <c r="I84" s="177" t="str">
        <f t="shared" si="16"/>
        <v/>
      </c>
      <c r="J84" s="177" t="e">
        <f t="shared" si="12"/>
        <v>#VALUE!</v>
      </c>
      <c r="K84" s="177">
        <f>SUM($I$17:$I84)</f>
        <v>0</v>
      </c>
      <c r="L84" s="179"/>
      <c r="M84" s="179"/>
    </row>
    <row r="85" spans="1:13" s="180" customFormat="1" ht="21.75" customHeight="1">
      <c r="A85" s="192" t="str">
        <f t="shared" si="13"/>
        <v/>
      </c>
      <c r="B85" s="175"/>
      <c r="C85" s="176" t="str">
        <f t="shared" si="9"/>
        <v/>
      </c>
      <c r="D85" s="177" t="str">
        <f t="shared" si="14"/>
        <v/>
      </c>
      <c r="E85" s="177" t="str">
        <f t="shared" si="17"/>
        <v/>
      </c>
      <c r="F85" s="178" t="e">
        <f t="shared" si="10"/>
        <v>#VALUE!</v>
      </c>
      <c r="G85" s="177" t="e">
        <f t="shared" si="11"/>
        <v>#VALUE!</v>
      </c>
      <c r="H85" s="177" t="str">
        <f t="shared" si="15"/>
        <v/>
      </c>
      <c r="I85" s="177" t="str">
        <f t="shared" si="16"/>
        <v/>
      </c>
      <c r="J85" s="177" t="e">
        <f t="shared" si="12"/>
        <v>#VALUE!</v>
      </c>
      <c r="K85" s="177">
        <f>SUM($I$17:$I85)</f>
        <v>0</v>
      </c>
      <c r="L85" s="179"/>
      <c r="M85" s="179"/>
    </row>
    <row r="86" spans="1:13" s="180" customFormat="1" ht="21.75" customHeight="1">
      <c r="A86" s="192" t="str">
        <f t="shared" si="13"/>
        <v/>
      </c>
      <c r="B86" s="175"/>
      <c r="C86" s="176" t="str">
        <f t="shared" si="9"/>
        <v/>
      </c>
      <c r="D86" s="177" t="str">
        <f t="shared" si="14"/>
        <v/>
      </c>
      <c r="E86" s="177" t="str">
        <f t="shared" si="17"/>
        <v/>
      </c>
      <c r="F86" s="178" t="e">
        <f t="shared" si="10"/>
        <v>#VALUE!</v>
      </c>
      <c r="G86" s="177" t="e">
        <f t="shared" si="11"/>
        <v>#VALUE!</v>
      </c>
      <c r="H86" s="177" t="str">
        <f t="shared" si="15"/>
        <v/>
      </c>
      <c r="I86" s="177" t="str">
        <f t="shared" si="16"/>
        <v/>
      </c>
      <c r="J86" s="177" t="e">
        <f t="shared" si="12"/>
        <v>#VALUE!</v>
      </c>
      <c r="K86" s="177">
        <f>SUM($I$17:$I86)</f>
        <v>0</v>
      </c>
      <c r="L86" s="179"/>
      <c r="M86" s="179"/>
    </row>
    <row r="87" spans="1:13" s="180" customFormat="1" ht="21.75" customHeight="1">
      <c r="A87" s="192" t="str">
        <f t="shared" si="13"/>
        <v/>
      </c>
      <c r="B87" s="175"/>
      <c r="C87" s="176" t="str">
        <f t="shared" si="9"/>
        <v/>
      </c>
      <c r="D87" s="177" t="str">
        <f t="shared" si="14"/>
        <v/>
      </c>
      <c r="E87" s="177" t="str">
        <f t="shared" si="17"/>
        <v/>
      </c>
      <c r="F87" s="178" t="e">
        <f t="shared" si="10"/>
        <v>#VALUE!</v>
      </c>
      <c r="G87" s="177" t="e">
        <f t="shared" si="11"/>
        <v>#VALUE!</v>
      </c>
      <c r="H87" s="177" t="str">
        <f t="shared" si="15"/>
        <v/>
      </c>
      <c r="I87" s="177" t="str">
        <f t="shared" si="16"/>
        <v/>
      </c>
      <c r="J87" s="177" t="e">
        <f t="shared" si="12"/>
        <v>#VALUE!</v>
      </c>
      <c r="K87" s="177">
        <f>SUM($I$17:$I87)</f>
        <v>0</v>
      </c>
      <c r="L87" s="179"/>
      <c r="M87" s="179"/>
    </row>
    <row r="88" spans="1:13" s="180" customFormat="1" ht="21.75" customHeight="1">
      <c r="A88" s="192" t="str">
        <f t="shared" si="13"/>
        <v/>
      </c>
      <c r="B88" s="175"/>
      <c r="C88" s="176" t="str">
        <f t="shared" si="9"/>
        <v/>
      </c>
      <c r="D88" s="177" t="str">
        <f t="shared" si="14"/>
        <v/>
      </c>
      <c r="E88" s="177" t="str">
        <f t="shared" si="17"/>
        <v/>
      </c>
      <c r="F88" s="178" t="e">
        <f t="shared" si="10"/>
        <v>#VALUE!</v>
      </c>
      <c r="G88" s="177" t="e">
        <f t="shared" si="11"/>
        <v>#VALUE!</v>
      </c>
      <c r="H88" s="177" t="str">
        <f t="shared" si="15"/>
        <v/>
      </c>
      <c r="I88" s="177" t="str">
        <f t="shared" si="16"/>
        <v/>
      </c>
      <c r="J88" s="177" t="e">
        <f t="shared" si="12"/>
        <v>#VALUE!</v>
      </c>
      <c r="K88" s="177">
        <f>SUM($I$17:$I88)</f>
        <v>0</v>
      </c>
      <c r="L88" s="179"/>
      <c r="M88" s="179"/>
    </row>
    <row r="89" spans="1:13" s="180" customFormat="1" ht="21.75" customHeight="1">
      <c r="A89" s="192" t="str">
        <f t="shared" si="13"/>
        <v/>
      </c>
      <c r="B89" s="175"/>
      <c r="C89" s="176" t="str">
        <f t="shared" si="9"/>
        <v/>
      </c>
      <c r="D89" s="177" t="str">
        <f t="shared" si="14"/>
        <v/>
      </c>
      <c r="E89" s="177" t="str">
        <f t="shared" si="17"/>
        <v/>
      </c>
      <c r="F89" s="178" t="e">
        <f t="shared" si="10"/>
        <v>#VALUE!</v>
      </c>
      <c r="G89" s="177" t="e">
        <f t="shared" si="11"/>
        <v>#VALUE!</v>
      </c>
      <c r="H89" s="177" t="str">
        <f t="shared" si="15"/>
        <v/>
      </c>
      <c r="I89" s="177" t="str">
        <f t="shared" si="16"/>
        <v/>
      </c>
      <c r="J89" s="177" t="e">
        <f t="shared" si="12"/>
        <v>#VALUE!</v>
      </c>
      <c r="K89" s="177">
        <f>SUM($I$17:$I89)</f>
        <v>0</v>
      </c>
      <c r="L89" s="179"/>
      <c r="M89" s="179"/>
    </row>
    <row r="90" spans="1:13" s="180" customFormat="1" ht="21.75" customHeight="1">
      <c r="A90" s="192" t="str">
        <f t="shared" si="13"/>
        <v/>
      </c>
      <c r="B90" s="175"/>
      <c r="C90" s="176" t="str">
        <f t="shared" si="9"/>
        <v/>
      </c>
      <c r="D90" s="177" t="str">
        <f t="shared" si="14"/>
        <v/>
      </c>
      <c r="E90" s="177" t="str">
        <f t="shared" si="17"/>
        <v/>
      </c>
      <c r="F90" s="178" t="e">
        <f t="shared" si="10"/>
        <v>#VALUE!</v>
      </c>
      <c r="G90" s="177" t="e">
        <f t="shared" si="11"/>
        <v>#VALUE!</v>
      </c>
      <c r="H90" s="177" t="str">
        <f t="shared" si="15"/>
        <v/>
      </c>
      <c r="I90" s="177" t="str">
        <f t="shared" si="16"/>
        <v/>
      </c>
      <c r="J90" s="177" t="e">
        <f t="shared" si="12"/>
        <v>#VALUE!</v>
      </c>
      <c r="K90" s="177">
        <f>SUM($I$17:$I90)</f>
        <v>0</v>
      </c>
      <c r="L90" s="179"/>
      <c r="M90" s="179"/>
    </row>
    <row r="91" spans="1:13" s="180" customFormat="1" ht="21.75" customHeight="1">
      <c r="A91" s="192" t="str">
        <f t="shared" si="13"/>
        <v/>
      </c>
      <c r="B91" s="175"/>
      <c r="C91" s="176" t="str">
        <f t="shared" si="9"/>
        <v/>
      </c>
      <c r="D91" s="177" t="str">
        <f t="shared" si="14"/>
        <v/>
      </c>
      <c r="E91" s="177" t="str">
        <f t="shared" si="17"/>
        <v/>
      </c>
      <c r="F91" s="178" t="e">
        <f t="shared" si="10"/>
        <v>#VALUE!</v>
      </c>
      <c r="G91" s="177" t="e">
        <f t="shared" si="11"/>
        <v>#VALUE!</v>
      </c>
      <c r="H91" s="177" t="str">
        <f t="shared" si="15"/>
        <v/>
      </c>
      <c r="I91" s="177" t="str">
        <f t="shared" si="16"/>
        <v/>
      </c>
      <c r="J91" s="177" t="e">
        <f t="shared" si="12"/>
        <v>#VALUE!</v>
      </c>
      <c r="K91" s="177">
        <f>SUM($I$17:$I91)</f>
        <v>0</v>
      </c>
      <c r="L91" s="179"/>
      <c r="M91" s="179"/>
    </row>
    <row r="92" spans="1:13" s="180" customFormat="1" ht="21.75" customHeight="1">
      <c r="A92" s="192" t="str">
        <f t="shared" si="13"/>
        <v/>
      </c>
      <c r="B92" s="175"/>
      <c r="C92" s="176" t="str">
        <f t="shared" si="9"/>
        <v/>
      </c>
      <c r="D92" s="177" t="str">
        <f t="shared" si="14"/>
        <v/>
      </c>
      <c r="E92" s="177" t="str">
        <f t="shared" si="17"/>
        <v/>
      </c>
      <c r="F92" s="178" t="e">
        <f t="shared" si="10"/>
        <v>#VALUE!</v>
      </c>
      <c r="G92" s="177" t="e">
        <f t="shared" si="11"/>
        <v>#VALUE!</v>
      </c>
      <c r="H92" s="177" t="str">
        <f t="shared" si="15"/>
        <v/>
      </c>
      <c r="I92" s="177" t="str">
        <f t="shared" si="16"/>
        <v/>
      </c>
      <c r="J92" s="177" t="e">
        <f t="shared" si="12"/>
        <v>#VALUE!</v>
      </c>
      <c r="K92" s="177">
        <f>SUM($I$17:$I92)</f>
        <v>0</v>
      </c>
      <c r="L92" s="179"/>
      <c r="M92" s="179"/>
    </row>
    <row r="93" spans="1:13" s="180" customFormat="1" ht="21.75" customHeight="1">
      <c r="A93" s="192" t="str">
        <f t="shared" si="13"/>
        <v/>
      </c>
      <c r="B93" s="175"/>
      <c r="C93" s="176" t="str">
        <f t="shared" si="9"/>
        <v/>
      </c>
      <c r="D93" s="177" t="str">
        <f t="shared" si="14"/>
        <v/>
      </c>
      <c r="E93" s="177" t="str">
        <f t="shared" si="17"/>
        <v/>
      </c>
      <c r="F93" s="178" t="e">
        <f t="shared" si="10"/>
        <v>#VALUE!</v>
      </c>
      <c r="G93" s="177" t="e">
        <f t="shared" si="11"/>
        <v>#VALUE!</v>
      </c>
      <c r="H93" s="177" t="str">
        <f t="shared" si="15"/>
        <v/>
      </c>
      <c r="I93" s="177" t="str">
        <f t="shared" si="16"/>
        <v/>
      </c>
      <c r="J93" s="177" t="e">
        <f t="shared" si="12"/>
        <v>#VALUE!</v>
      </c>
      <c r="K93" s="177">
        <f>SUM($I$17:$I93)</f>
        <v>0</v>
      </c>
      <c r="L93" s="179"/>
      <c r="M93" s="179"/>
    </row>
    <row r="94" spans="1:13" s="180" customFormat="1" ht="21.75" customHeight="1">
      <c r="A94" s="192" t="str">
        <f t="shared" si="13"/>
        <v/>
      </c>
      <c r="B94" s="175"/>
      <c r="C94" s="176" t="str">
        <f t="shared" si="9"/>
        <v/>
      </c>
      <c r="D94" s="177" t="str">
        <f t="shared" si="14"/>
        <v/>
      </c>
      <c r="E94" s="177" t="str">
        <f t="shared" si="17"/>
        <v/>
      </c>
      <c r="F94" s="178" t="e">
        <f t="shared" si="10"/>
        <v>#VALUE!</v>
      </c>
      <c r="G94" s="177" t="e">
        <f t="shared" si="11"/>
        <v>#VALUE!</v>
      </c>
      <c r="H94" s="177" t="str">
        <f t="shared" si="15"/>
        <v/>
      </c>
      <c r="I94" s="177" t="str">
        <f t="shared" si="16"/>
        <v/>
      </c>
      <c r="J94" s="177" t="e">
        <f t="shared" si="12"/>
        <v>#VALUE!</v>
      </c>
      <c r="K94" s="177">
        <f>SUM($I$17:$I94)</f>
        <v>0</v>
      </c>
      <c r="L94" s="179"/>
      <c r="M94" s="179"/>
    </row>
    <row r="95" spans="1:13" s="180" customFormat="1" ht="21.75" customHeight="1">
      <c r="A95" s="192" t="str">
        <f t="shared" si="13"/>
        <v/>
      </c>
      <c r="B95" s="175"/>
      <c r="C95" s="176" t="str">
        <f t="shared" si="9"/>
        <v/>
      </c>
      <c r="D95" s="177" t="str">
        <f t="shared" si="14"/>
        <v/>
      </c>
      <c r="E95" s="177" t="str">
        <f t="shared" si="17"/>
        <v/>
      </c>
      <c r="F95" s="178" t="e">
        <f t="shared" si="10"/>
        <v>#VALUE!</v>
      </c>
      <c r="G95" s="177" t="e">
        <f t="shared" si="11"/>
        <v>#VALUE!</v>
      </c>
      <c r="H95" s="177" t="str">
        <f t="shared" si="15"/>
        <v/>
      </c>
      <c r="I95" s="177" t="str">
        <f t="shared" si="16"/>
        <v/>
      </c>
      <c r="J95" s="177" t="e">
        <f t="shared" si="12"/>
        <v>#VALUE!</v>
      </c>
      <c r="K95" s="177">
        <f>SUM($I$17:$I95)</f>
        <v>0</v>
      </c>
      <c r="L95" s="179"/>
      <c r="M95" s="179"/>
    </row>
    <row r="96" spans="1:13" s="180" customFormat="1" ht="21.75" customHeight="1">
      <c r="A96" s="192" t="str">
        <f t="shared" si="13"/>
        <v/>
      </c>
      <c r="B96" s="175"/>
      <c r="C96" s="176" t="str">
        <f t="shared" si="9"/>
        <v/>
      </c>
      <c r="D96" s="177" t="str">
        <f t="shared" si="14"/>
        <v/>
      </c>
      <c r="E96" s="177" t="str">
        <f t="shared" si="17"/>
        <v/>
      </c>
      <c r="F96" s="178" t="e">
        <f t="shared" si="10"/>
        <v>#VALUE!</v>
      </c>
      <c r="G96" s="177" t="e">
        <f t="shared" si="11"/>
        <v>#VALUE!</v>
      </c>
      <c r="H96" s="177" t="str">
        <f t="shared" si="15"/>
        <v/>
      </c>
      <c r="I96" s="177" t="str">
        <f t="shared" si="16"/>
        <v/>
      </c>
      <c r="J96" s="177" t="e">
        <f t="shared" si="12"/>
        <v>#VALUE!</v>
      </c>
      <c r="K96" s="177">
        <f>SUM($I$17:$I96)</f>
        <v>0</v>
      </c>
      <c r="L96" s="179"/>
      <c r="M96" s="179"/>
    </row>
    <row r="97" spans="1:13" s="180" customFormat="1" ht="21.75" customHeight="1">
      <c r="A97" s="192" t="str">
        <f t="shared" si="13"/>
        <v/>
      </c>
      <c r="B97" s="175"/>
      <c r="C97" s="176" t="str">
        <f t="shared" si="9"/>
        <v/>
      </c>
      <c r="D97" s="177" t="str">
        <f t="shared" si="14"/>
        <v/>
      </c>
      <c r="E97" s="177" t="str">
        <f t="shared" si="17"/>
        <v/>
      </c>
      <c r="F97" s="178" t="e">
        <f t="shared" si="10"/>
        <v>#VALUE!</v>
      </c>
      <c r="G97" s="177" t="e">
        <f t="shared" si="11"/>
        <v>#VALUE!</v>
      </c>
      <c r="H97" s="177" t="str">
        <f t="shared" si="15"/>
        <v/>
      </c>
      <c r="I97" s="177" t="str">
        <f t="shared" si="16"/>
        <v/>
      </c>
      <c r="J97" s="177" t="e">
        <f t="shared" si="12"/>
        <v>#VALUE!</v>
      </c>
      <c r="K97" s="177">
        <f>SUM($I$17:$I97)</f>
        <v>0</v>
      </c>
      <c r="L97" s="179"/>
      <c r="M97" s="179"/>
    </row>
    <row r="98" spans="1:13" s="180" customFormat="1" ht="21.75" customHeight="1">
      <c r="A98" s="192" t="str">
        <f t="shared" si="13"/>
        <v/>
      </c>
      <c r="B98" s="175"/>
      <c r="C98" s="176" t="str">
        <f t="shared" si="9"/>
        <v/>
      </c>
      <c r="D98" s="177" t="str">
        <f t="shared" si="14"/>
        <v/>
      </c>
      <c r="E98" s="177" t="str">
        <f t="shared" si="17"/>
        <v/>
      </c>
      <c r="F98" s="178" t="e">
        <f t="shared" si="10"/>
        <v>#VALUE!</v>
      </c>
      <c r="G98" s="177" t="e">
        <f t="shared" si="11"/>
        <v>#VALUE!</v>
      </c>
      <c r="H98" s="177" t="str">
        <f t="shared" si="15"/>
        <v/>
      </c>
      <c r="I98" s="177" t="str">
        <f t="shared" si="16"/>
        <v/>
      </c>
      <c r="J98" s="177" t="e">
        <f t="shared" si="12"/>
        <v>#VALUE!</v>
      </c>
      <c r="K98" s="177">
        <f>SUM($I$17:$I98)</f>
        <v>0</v>
      </c>
      <c r="L98" s="179"/>
      <c r="M98" s="179"/>
    </row>
    <row r="99" spans="1:13" s="180" customFormat="1" ht="21.75" customHeight="1">
      <c r="A99" s="192" t="str">
        <f t="shared" si="13"/>
        <v/>
      </c>
      <c r="B99" s="175"/>
      <c r="C99" s="176" t="str">
        <f t="shared" si="9"/>
        <v/>
      </c>
      <c r="D99" s="177" t="str">
        <f t="shared" si="14"/>
        <v/>
      </c>
      <c r="E99" s="177" t="str">
        <f t="shared" si="17"/>
        <v/>
      </c>
      <c r="F99" s="178" t="e">
        <f t="shared" si="10"/>
        <v>#VALUE!</v>
      </c>
      <c r="G99" s="177" t="e">
        <f t="shared" si="11"/>
        <v>#VALUE!</v>
      </c>
      <c r="H99" s="177" t="str">
        <f t="shared" si="15"/>
        <v/>
      </c>
      <c r="I99" s="177" t="str">
        <f t="shared" si="16"/>
        <v/>
      </c>
      <c r="J99" s="177" t="e">
        <f t="shared" si="12"/>
        <v>#VALUE!</v>
      </c>
      <c r="K99" s="177">
        <f>SUM($I$17:$I99)</f>
        <v>0</v>
      </c>
      <c r="L99" s="179"/>
      <c r="M99" s="179"/>
    </row>
    <row r="100" spans="1:13" s="180" customFormat="1" ht="21.75" customHeight="1">
      <c r="A100" s="192" t="str">
        <f t="shared" si="13"/>
        <v/>
      </c>
      <c r="B100" s="175"/>
      <c r="C100" s="176" t="str">
        <f t="shared" si="9"/>
        <v/>
      </c>
      <c r="D100" s="177" t="str">
        <f t="shared" si="14"/>
        <v/>
      </c>
      <c r="E100" s="177" t="str">
        <f t="shared" si="17"/>
        <v/>
      </c>
      <c r="F100" s="178" t="e">
        <f t="shared" si="10"/>
        <v>#VALUE!</v>
      </c>
      <c r="G100" s="177" t="e">
        <f t="shared" si="11"/>
        <v>#VALUE!</v>
      </c>
      <c r="H100" s="177" t="str">
        <f t="shared" si="15"/>
        <v/>
      </c>
      <c r="I100" s="177" t="str">
        <f t="shared" si="16"/>
        <v/>
      </c>
      <c r="J100" s="177" t="e">
        <f t="shared" si="12"/>
        <v>#VALUE!</v>
      </c>
      <c r="K100" s="177">
        <f>SUM($I$17:$I100)</f>
        <v>0</v>
      </c>
      <c r="L100" s="179"/>
      <c r="M100" s="179"/>
    </row>
    <row r="101" spans="1:13" s="180" customFormat="1" ht="21.75" customHeight="1">
      <c r="A101" s="192" t="str">
        <f t="shared" si="13"/>
        <v/>
      </c>
      <c r="B101" s="175"/>
      <c r="C101" s="176" t="str">
        <f t="shared" si="9"/>
        <v/>
      </c>
      <c r="D101" s="177" t="str">
        <f t="shared" si="14"/>
        <v/>
      </c>
      <c r="E101" s="177" t="str">
        <f t="shared" si="17"/>
        <v/>
      </c>
      <c r="F101" s="178" t="e">
        <f t="shared" si="10"/>
        <v>#VALUE!</v>
      </c>
      <c r="G101" s="177" t="e">
        <f t="shared" si="11"/>
        <v>#VALUE!</v>
      </c>
      <c r="H101" s="177" t="str">
        <f t="shared" si="15"/>
        <v/>
      </c>
      <c r="I101" s="177" t="str">
        <f t="shared" si="16"/>
        <v/>
      </c>
      <c r="J101" s="177" t="e">
        <f t="shared" si="12"/>
        <v>#VALUE!</v>
      </c>
      <c r="K101" s="177">
        <f>SUM($I$17:$I101)</f>
        <v>0</v>
      </c>
      <c r="L101" s="179"/>
      <c r="M101" s="179"/>
    </row>
    <row r="102" spans="1:13" s="180" customFormat="1" ht="21.75" customHeight="1">
      <c r="A102" s="192" t="str">
        <f t="shared" si="13"/>
        <v/>
      </c>
      <c r="B102" s="175"/>
      <c r="C102" s="176" t="str">
        <f t="shared" si="9"/>
        <v/>
      </c>
      <c r="D102" s="177" t="str">
        <f t="shared" si="14"/>
        <v/>
      </c>
      <c r="E102" s="177" t="str">
        <f t="shared" si="17"/>
        <v/>
      </c>
      <c r="F102" s="178" t="e">
        <f t="shared" si="10"/>
        <v>#VALUE!</v>
      </c>
      <c r="G102" s="177" t="e">
        <f t="shared" si="11"/>
        <v>#VALUE!</v>
      </c>
      <c r="H102" s="177" t="str">
        <f t="shared" si="15"/>
        <v/>
      </c>
      <c r="I102" s="177" t="str">
        <f t="shared" si="16"/>
        <v/>
      </c>
      <c r="J102" s="177" t="e">
        <f t="shared" si="12"/>
        <v>#VALUE!</v>
      </c>
      <c r="K102" s="177">
        <f>SUM($I$17:$I102)</f>
        <v>0</v>
      </c>
      <c r="L102" s="179"/>
      <c r="M102" s="179"/>
    </row>
    <row r="103" spans="1:13" s="180" customFormat="1" ht="21.75" customHeight="1">
      <c r="A103" s="192" t="str">
        <f t="shared" si="13"/>
        <v/>
      </c>
      <c r="B103" s="175"/>
      <c r="C103" s="176" t="str">
        <f t="shared" si="9"/>
        <v/>
      </c>
      <c r="D103" s="177" t="str">
        <f t="shared" si="14"/>
        <v/>
      </c>
      <c r="E103" s="177" t="str">
        <f t="shared" si="17"/>
        <v/>
      </c>
      <c r="F103" s="178" t="e">
        <f t="shared" si="10"/>
        <v>#VALUE!</v>
      </c>
      <c r="G103" s="177" t="e">
        <f t="shared" si="11"/>
        <v>#VALUE!</v>
      </c>
      <c r="H103" s="177" t="str">
        <f t="shared" si="15"/>
        <v/>
      </c>
      <c r="I103" s="177" t="str">
        <f t="shared" si="16"/>
        <v/>
      </c>
      <c r="J103" s="177" t="e">
        <f t="shared" si="12"/>
        <v>#VALUE!</v>
      </c>
      <c r="K103" s="177">
        <f>SUM($I$17:$I103)</f>
        <v>0</v>
      </c>
      <c r="L103" s="179"/>
      <c r="M103" s="179"/>
    </row>
    <row r="104" spans="1:13" s="180" customFormat="1" ht="21.75" customHeight="1">
      <c r="A104" s="192" t="str">
        <f t="shared" si="13"/>
        <v/>
      </c>
      <c r="B104" s="175"/>
      <c r="C104" s="176" t="str">
        <f t="shared" si="9"/>
        <v/>
      </c>
      <c r="D104" s="177" t="str">
        <f t="shared" si="14"/>
        <v/>
      </c>
      <c r="E104" s="177" t="str">
        <f t="shared" si="17"/>
        <v/>
      </c>
      <c r="F104" s="178" t="e">
        <f t="shared" si="10"/>
        <v>#VALUE!</v>
      </c>
      <c r="G104" s="177" t="e">
        <f t="shared" si="11"/>
        <v>#VALUE!</v>
      </c>
      <c r="H104" s="177" t="str">
        <f t="shared" si="15"/>
        <v/>
      </c>
      <c r="I104" s="177" t="str">
        <f t="shared" si="16"/>
        <v/>
      </c>
      <c r="J104" s="177" t="e">
        <f t="shared" si="12"/>
        <v>#VALUE!</v>
      </c>
      <c r="K104" s="177">
        <f>SUM($I$17:$I104)</f>
        <v>0</v>
      </c>
      <c r="L104" s="179"/>
      <c r="M104" s="179"/>
    </row>
    <row r="105" spans="1:13" s="180" customFormat="1" ht="21.75" customHeight="1">
      <c r="A105" s="192" t="str">
        <f t="shared" si="13"/>
        <v/>
      </c>
      <c r="B105" s="175"/>
      <c r="C105" s="176" t="str">
        <f t="shared" si="9"/>
        <v/>
      </c>
      <c r="D105" s="177" t="str">
        <f t="shared" si="14"/>
        <v/>
      </c>
      <c r="E105" s="177" t="str">
        <f t="shared" si="17"/>
        <v/>
      </c>
      <c r="F105" s="178" t="e">
        <f t="shared" si="10"/>
        <v>#VALUE!</v>
      </c>
      <c r="G105" s="177" t="e">
        <f t="shared" si="11"/>
        <v>#VALUE!</v>
      </c>
      <c r="H105" s="177" t="str">
        <f t="shared" si="15"/>
        <v/>
      </c>
      <c r="I105" s="177" t="str">
        <f t="shared" si="16"/>
        <v/>
      </c>
      <c r="J105" s="177" t="e">
        <f t="shared" si="12"/>
        <v>#VALUE!</v>
      </c>
      <c r="K105" s="177">
        <f>SUM($I$17:$I105)</f>
        <v>0</v>
      </c>
      <c r="L105" s="179"/>
      <c r="M105" s="179"/>
    </row>
    <row r="106" spans="1:13" s="180" customFormat="1" ht="21.75" customHeight="1">
      <c r="A106" s="192" t="str">
        <f t="shared" si="13"/>
        <v/>
      </c>
      <c r="B106" s="175"/>
      <c r="C106" s="176" t="str">
        <f t="shared" si="9"/>
        <v/>
      </c>
      <c r="D106" s="177" t="str">
        <f t="shared" si="14"/>
        <v/>
      </c>
      <c r="E106" s="177" t="str">
        <f t="shared" si="17"/>
        <v/>
      </c>
      <c r="F106" s="178" t="e">
        <f t="shared" si="10"/>
        <v>#VALUE!</v>
      </c>
      <c r="G106" s="177" t="e">
        <f t="shared" si="11"/>
        <v>#VALUE!</v>
      </c>
      <c r="H106" s="177" t="str">
        <f t="shared" si="15"/>
        <v/>
      </c>
      <c r="I106" s="177" t="str">
        <f t="shared" si="16"/>
        <v/>
      </c>
      <c r="J106" s="177" t="e">
        <f t="shared" si="12"/>
        <v>#VALUE!</v>
      </c>
      <c r="K106" s="177">
        <f>SUM($I$17:$I106)</f>
        <v>0</v>
      </c>
      <c r="L106" s="179"/>
      <c r="M106" s="179"/>
    </row>
    <row r="107" spans="1:13" s="180" customFormat="1" ht="21.75" customHeight="1">
      <c r="A107" s="192" t="str">
        <f t="shared" si="13"/>
        <v/>
      </c>
      <c r="B107" s="175"/>
      <c r="C107" s="176" t="str">
        <f t="shared" si="9"/>
        <v/>
      </c>
      <c r="D107" s="177" t="str">
        <f t="shared" si="14"/>
        <v/>
      </c>
      <c r="E107" s="177" t="str">
        <f t="shared" si="17"/>
        <v/>
      </c>
      <c r="F107" s="178" t="e">
        <f t="shared" si="10"/>
        <v>#VALUE!</v>
      </c>
      <c r="G107" s="177" t="e">
        <f t="shared" si="11"/>
        <v>#VALUE!</v>
      </c>
      <c r="H107" s="177" t="str">
        <f t="shared" si="15"/>
        <v/>
      </c>
      <c r="I107" s="177" t="str">
        <f t="shared" si="16"/>
        <v/>
      </c>
      <c r="J107" s="177" t="e">
        <f t="shared" si="12"/>
        <v>#VALUE!</v>
      </c>
      <c r="K107" s="177">
        <f>SUM($I$17:$I107)</f>
        <v>0</v>
      </c>
      <c r="L107" s="179"/>
      <c r="M107" s="179"/>
    </row>
    <row r="108" spans="1:13" s="180" customFormat="1" ht="21.75" customHeight="1">
      <c r="A108" s="192" t="str">
        <f t="shared" si="13"/>
        <v/>
      </c>
      <c r="B108" s="175"/>
      <c r="C108" s="176" t="str">
        <f t="shared" si="9"/>
        <v/>
      </c>
      <c r="D108" s="177" t="str">
        <f t="shared" si="14"/>
        <v/>
      </c>
      <c r="E108" s="177" t="str">
        <f t="shared" si="17"/>
        <v/>
      </c>
      <c r="F108" s="178" t="e">
        <f t="shared" si="10"/>
        <v>#VALUE!</v>
      </c>
      <c r="G108" s="177" t="e">
        <f t="shared" si="11"/>
        <v>#VALUE!</v>
      </c>
      <c r="H108" s="177" t="str">
        <f t="shared" si="15"/>
        <v/>
      </c>
      <c r="I108" s="177" t="str">
        <f t="shared" si="16"/>
        <v/>
      </c>
      <c r="J108" s="177" t="e">
        <f t="shared" si="12"/>
        <v>#VALUE!</v>
      </c>
      <c r="K108" s="177">
        <f>SUM($I$17:$I108)</f>
        <v>0</v>
      </c>
      <c r="L108" s="179"/>
      <c r="M108" s="179"/>
    </row>
    <row r="109" spans="1:13" s="180" customFormat="1" ht="21.75" customHeight="1">
      <c r="A109" s="192" t="str">
        <f t="shared" si="13"/>
        <v/>
      </c>
      <c r="B109" s="175"/>
      <c r="C109" s="176" t="str">
        <f t="shared" si="9"/>
        <v/>
      </c>
      <c r="D109" s="177" t="str">
        <f t="shared" si="14"/>
        <v/>
      </c>
      <c r="E109" s="177" t="str">
        <f t="shared" si="17"/>
        <v/>
      </c>
      <c r="F109" s="178" t="e">
        <f t="shared" si="10"/>
        <v>#VALUE!</v>
      </c>
      <c r="G109" s="177" t="e">
        <f t="shared" si="11"/>
        <v>#VALUE!</v>
      </c>
      <c r="H109" s="177" t="str">
        <f t="shared" si="15"/>
        <v/>
      </c>
      <c r="I109" s="177" t="str">
        <f t="shared" si="16"/>
        <v/>
      </c>
      <c r="J109" s="177" t="e">
        <f t="shared" si="12"/>
        <v>#VALUE!</v>
      </c>
      <c r="K109" s="177">
        <f>SUM($I$17:$I109)</f>
        <v>0</v>
      </c>
      <c r="L109" s="179"/>
      <c r="M109" s="179"/>
    </row>
    <row r="110" spans="1:13" s="180" customFormat="1" ht="21.75" customHeight="1">
      <c r="A110" s="192" t="str">
        <f t="shared" si="13"/>
        <v/>
      </c>
      <c r="B110" s="175"/>
      <c r="C110" s="176" t="str">
        <f t="shared" si="9"/>
        <v/>
      </c>
      <c r="D110" s="177" t="str">
        <f t="shared" si="14"/>
        <v/>
      </c>
      <c r="E110" s="177" t="str">
        <f t="shared" si="17"/>
        <v/>
      </c>
      <c r="F110" s="178" t="e">
        <f t="shared" si="10"/>
        <v>#VALUE!</v>
      </c>
      <c r="G110" s="177" t="e">
        <f t="shared" si="11"/>
        <v>#VALUE!</v>
      </c>
      <c r="H110" s="177" t="str">
        <f t="shared" si="15"/>
        <v/>
      </c>
      <c r="I110" s="177" t="str">
        <f t="shared" si="16"/>
        <v/>
      </c>
      <c r="J110" s="177" t="e">
        <f t="shared" si="12"/>
        <v>#VALUE!</v>
      </c>
      <c r="K110" s="177">
        <f>SUM($I$17:$I110)</f>
        <v>0</v>
      </c>
      <c r="L110" s="179"/>
      <c r="M110" s="179"/>
    </row>
    <row r="111" spans="1:13" s="180" customFormat="1" ht="21.75" customHeight="1">
      <c r="A111" s="192" t="str">
        <f t="shared" si="13"/>
        <v/>
      </c>
      <c r="B111" s="175"/>
      <c r="C111" s="176" t="str">
        <f t="shared" si="9"/>
        <v/>
      </c>
      <c r="D111" s="177" t="str">
        <f t="shared" si="14"/>
        <v/>
      </c>
      <c r="E111" s="177" t="str">
        <f t="shared" si="17"/>
        <v/>
      </c>
      <c r="F111" s="178" t="e">
        <f t="shared" si="10"/>
        <v>#VALUE!</v>
      </c>
      <c r="G111" s="177" t="e">
        <f t="shared" si="11"/>
        <v>#VALUE!</v>
      </c>
      <c r="H111" s="177" t="str">
        <f t="shared" si="15"/>
        <v/>
      </c>
      <c r="I111" s="177" t="str">
        <f t="shared" si="16"/>
        <v/>
      </c>
      <c r="J111" s="177" t="e">
        <f t="shared" si="12"/>
        <v>#VALUE!</v>
      </c>
      <c r="K111" s="177">
        <f>SUM($I$17:$I111)</f>
        <v>0</v>
      </c>
      <c r="L111" s="179"/>
      <c r="M111" s="179"/>
    </row>
    <row r="112" spans="1:13" s="180" customFormat="1" ht="21.75" customHeight="1">
      <c r="A112" s="192" t="str">
        <f t="shared" si="13"/>
        <v/>
      </c>
      <c r="B112" s="175"/>
      <c r="C112" s="176" t="str">
        <f t="shared" si="9"/>
        <v/>
      </c>
      <c r="D112" s="177" t="str">
        <f t="shared" si="14"/>
        <v/>
      </c>
      <c r="E112" s="177" t="str">
        <f t="shared" si="17"/>
        <v/>
      </c>
      <c r="F112" s="178" t="e">
        <f t="shared" si="10"/>
        <v>#VALUE!</v>
      </c>
      <c r="G112" s="177" t="e">
        <f t="shared" si="11"/>
        <v>#VALUE!</v>
      </c>
      <c r="H112" s="177" t="str">
        <f t="shared" si="15"/>
        <v/>
      </c>
      <c r="I112" s="177" t="str">
        <f t="shared" si="16"/>
        <v/>
      </c>
      <c r="J112" s="177" t="e">
        <f t="shared" si="12"/>
        <v>#VALUE!</v>
      </c>
      <c r="K112" s="177">
        <f>SUM($I$17:$I112)</f>
        <v>0</v>
      </c>
      <c r="L112" s="179"/>
      <c r="M112" s="179"/>
    </row>
    <row r="113" spans="1:13" s="180" customFormat="1" ht="12.75">
      <c r="A113" s="192" t="str">
        <f t="shared" si="13"/>
        <v/>
      </c>
      <c r="B113" s="175"/>
      <c r="C113" s="176" t="str">
        <f t="shared" si="9"/>
        <v/>
      </c>
      <c r="D113" s="177" t="str">
        <f t="shared" si="14"/>
        <v/>
      </c>
      <c r="E113" s="177" t="str">
        <f t="shared" si="17"/>
        <v/>
      </c>
      <c r="F113" s="178" t="e">
        <f t="shared" si="10"/>
        <v>#VALUE!</v>
      </c>
      <c r="G113" s="177" t="e">
        <f t="shared" si="11"/>
        <v>#VALUE!</v>
      </c>
      <c r="H113" s="177" t="str">
        <f t="shared" si="15"/>
        <v/>
      </c>
      <c r="I113" s="177" t="str">
        <f t="shared" si="16"/>
        <v/>
      </c>
      <c r="J113" s="177" t="e">
        <f t="shared" si="12"/>
        <v>#VALUE!</v>
      </c>
      <c r="K113" s="177">
        <f>SUM($I$17:$I113)</f>
        <v>0</v>
      </c>
      <c r="L113" s="179"/>
      <c r="M113" s="179"/>
    </row>
    <row r="114" spans="1:13" s="180" customFormat="1" ht="12.75">
      <c r="A114" s="192" t="str">
        <f t="shared" si="13"/>
        <v/>
      </c>
      <c r="B114" s="175"/>
      <c r="C114" s="176" t="str">
        <f t="shared" si="9"/>
        <v/>
      </c>
      <c r="D114" s="177" t="str">
        <f t="shared" si="14"/>
        <v/>
      </c>
      <c r="E114" s="177" t="str">
        <f t="shared" si="17"/>
        <v/>
      </c>
      <c r="F114" s="178" t="e">
        <f t="shared" si="10"/>
        <v>#VALUE!</v>
      </c>
      <c r="G114" s="177" t="e">
        <f t="shared" si="11"/>
        <v>#VALUE!</v>
      </c>
      <c r="H114" s="177" t="str">
        <f t="shared" si="15"/>
        <v/>
      </c>
      <c r="I114" s="177" t="str">
        <f t="shared" si="16"/>
        <v/>
      </c>
      <c r="J114" s="177" t="e">
        <f t="shared" si="12"/>
        <v>#VALUE!</v>
      </c>
      <c r="K114" s="177">
        <f>SUM($I$17:$I114)</f>
        <v>0</v>
      </c>
      <c r="L114" s="179"/>
      <c r="M114" s="179"/>
    </row>
    <row r="115" spans="1:13" s="180" customFormat="1" ht="12.75">
      <c r="A115" s="192" t="str">
        <f t="shared" si="13"/>
        <v/>
      </c>
      <c r="B115" s="175"/>
      <c r="C115" s="176" t="str">
        <f t="shared" si="9"/>
        <v/>
      </c>
      <c r="D115" s="177" t="str">
        <f t="shared" si="14"/>
        <v/>
      </c>
      <c r="E115" s="177" t="str">
        <f t="shared" si="17"/>
        <v/>
      </c>
      <c r="F115" s="178" t="e">
        <f t="shared" si="10"/>
        <v>#VALUE!</v>
      </c>
      <c r="G115" s="177" t="e">
        <f t="shared" si="11"/>
        <v>#VALUE!</v>
      </c>
      <c r="H115" s="177" t="str">
        <f t="shared" si="15"/>
        <v/>
      </c>
      <c r="I115" s="177" t="str">
        <f t="shared" si="16"/>
        <v/>
      </c>
      <c r="J115" s="177" t="e">
        <f t="shared" si="12"/>
        <v>#VALUE!</v>
      </c>
      <c r="K115" s="177">
        <f>SUM($I$17:$I115)</f>
        <v>0</v>
      </c>
      <c r="L115" s="179"/>
      <c r="M115" s="179"/>
    </row>
    <row r="116" spans="1:13" s="180" customFormat="1" ht="12.75">
      <c r="A116" s="192" t="str">
        <f t="shared" si="13"/>
        <v/>
      </c>
      <c r="B116" s="175"/>
      <c r="C116" s="176" t="str">
        <f t="shared" si="9"/>
        <v/>
      </c>
      <c r="D116" s="177" t="str">
        <f t="shared" si="14"/>
        <v/>
      </c>
      <c r="E116" s="177" t="str">
        <f t="shared" si="17"/>
        <v/>
      </c>
      <c r="F116" s="178" t="e">
        <f t="shared" si="10"/>
        <v>#VALUE!</v>
      </c>
      <c r="G116" s="177" t="e">
        <f t="shared" si="11"/>
        <v>#VALUE!</v>
      </c>
      <c r="H116" s="177" t="str">
        <f t="shared" si="15"/>
        <v/>
      </c>
      <c r="I116" s="177" t="str">
        <f t="shared" si="16"/>
        <v/>
      </c>
      <c r="J116" s="177" t="e">
        <f t="shared" si="12"/>
        <v>#VALUE!</v>
      </c>
      <c r="K116" s="177">
        <f>SUM($I$17:$I116)</f>
        <v>0</v>
      </c>
      <c r="L116" s="179"/>
      <c r="M116" s="179"/>
    </row>
    <row r="117" spans="1:13" s="180" customFormat="1" ht="12.75">
      <c r="A117" s="192" t="str">
        <f t="shared" si="13"/>
        <v/>
      </c>
      <c r="B117" s="175"/>
      <c r="C117" s="176" t="str">
        <f t="shared" si="9"/>
        <v/>
      </c>
      <c r="D117" s="177" t="str">
        <f t="shared" si="14"/>
        <v/>
      </c>
      <c r="E117" s="177" t="str">
        <f t="shared" si="17"/>
        <v/>
      </c>
      <c r="F117" s="178" t="e">
        <f t="shared" si="10"/>
        <v>#VALUE!</v>
      </c>
      <c r="G117" s="177" t="e">
        <f t="shared" si="11"/>
        <v>#VALUE!</v>
      </c>
      <c r="H117" s="177" t="str">
        <f t="shared" si="15"/>
        <v/>
      </c>
      <c r="I117" s="177" t="str">
        <f t="shared" si="16"/>
        <v/>
      </c>
      <c r="J117" s="177" t="e">
        <f t="shared" si="12"/>
        <v>#VALUE!</v>
      </c>
      <c r="K117" s="177">
        <f>SUM($I$17:$I117)</f>
        <v>0</v>
      </c>
      <c r="L117" s="179"/>
      <c r="M117" s="179"/>
    </row>
    <row r="118" spans="1:13" s="180" customFormat="1" ht="12.75">
      <c r="A118" s="192" t="str">
        <f t="shared" si="13"/>
        <v/>
      </c>
      <c r="B118" s="175"/>
      <c r="C118" s="176" t="str">
        <f t="shared" si="9"/>
        <v/>
      </c>
      <c r="D118" s="177" t="str">
        <f t="shared" si="14"/>
        <v/>
      </c>
      <c r="E118" s="177" t="str">
        <f t="shared" si="17"/>
        <v/>
      </c>
      <c r="F118" s="178" t="e">
        <f t="shared" si="10"/>
        <v>#VALUE!</v>
      </c>
      <c r="G118" s="177" t="e">
        <f t="shared" si="11"/>
        <v>#VALUE!</v>
      </c>
      <c r="H118" s="177" t="str">
        <f t="shared" si="15"/>
        <v/>
      </c>
      <c r="I118" s="177" t="str">
        <f t="shared" si="16"/>
        <v/>
      </c>
      <c r="J118" s="177" t="e">
        <f t="shared" si="12"/>
        <v>#VALUE!</v>
      </c>
      <c r="K118" s="177">
        <f>SUM($I$17:$I118)</f>
        <v>0</v>
      </c>
      <c r="L118" s="179"/>
      <c r="M118" s="179"/>
    </row>
    <row r="119" spans="1:13" s="180" customFormat="1" ht="12.75">
      <c r="A119" s="192" t="str">
        <f t="shared" si="13"/>
        <v/>
      </c>
      <c r="B119" s="175"/>
      <c r="C119" s="176" t="str">
        <f t="shared" si="9"/>
        <v/>
      </c>
      <c r="D119" s="177" t="str">
        <f t="shared" si="14"/>
        <v/>
      </c>
      <c r="E119" s="177" t="str">
        <f t="shared" si="17"/>
        <v/>
      </c>
      <c r="F119" s="178" t="e">
        <f t="shared" si="10"/>
        <v>#VALUE!</v>
      </c>
      <c r="G119" s="177" t="e">
        <f t="shared" si="11"/>
        <v>#VALUE!</v>
      </c>
      <c r="H119" s="177" t="str">
        <f t="shared" si="15"/>
        <v/>
      </c>
      <c r="I119" s="177" t="str">
        <f t="shared" si="16"/>
        <v/>
      </c>
      <c r="J119" s="177" t="e">
        <f t="shared" si="12"/>
        <v>#VALUE!</v>
      </c>
      <c r="K119" s="177">
        <f>SUM($I$17:$I119)</f>
        <v>0</v>
      </c>
      <c r="L119" s="179"/>
      <c r="M119" s="179"/>
    </row>
    <row r="120" spans="1:13" s="180" customFormat="1" ht="12.75">
      <c r="A120" s="192" t="str">
        <f t="shared" si="13"/>
        <v/>
      </c>
      <c r="B120" s="175"/>
      <c r="C120" s="176" t="str">
        <f t="shared" si="9"/>
        <v/>
      </c>
      <c r="D120" s="177" t="str">
        <f t="shared" si="14"/>
        <v/>
      </c>
      <c r="E120" s="177" t="str">
        <f t="shared" si="17"/>
        <v/>
      </c>
      <c r="F120" s="178" t="e">
        <f t="shared" si="10"/>
        <v>#VALUE!</v>
      </c>
      <c r="G120" s="177" t="e">
        <f t="shared" si="11"/>
        <v>#VALUE!</v>
      </c>
      <c r="H120" s="177" t="str">
        <f t="shared" si="15"/>
        <v/>
      </c>
      <c r="I120" s="177" t="str">
        <f t="shared" si="16"/>
        <v/>
      </c>
      <c r="J120" s="177" t="e">
        <f t="shared" si="12"/>
        <v>#VALUE!</v>
      </c>
      <c r="K120" s="177">
        <f>SUM($I$17:$I120)</f>
        <v>0</v>
      </c>
      <c r="L120" s="179"/>
      <c r="M120" s="179"/>
    </row>
    <row r="121" spans="1:13" s="180" customFormat="1" ht="12.75">
      <c r="A121" s="192" t="str">
        <f t="shared" si="13"/>
        <v/>
      </c>
      <c r="B121" s="175"/>
      <c r="C121" s="176" t="str">
        <f t="shared" si="9"/>
        <v/>
      </c>
      <c r="D121" s="177" t="str">
        <f t="shared" si="14"/>
        <v/>
      </c>
      <c r="E121" s="177" t="str">
        <f t="shared" si="17"/>
        <v/>
      </c>
      <c r="F121" s="178" t="e">
        <f t="shared" si="10"/>
        <v>#VALUE!</v>
      </c>
      <c r="G121" s="177" t="e">
        <f t="shared" si="11"/>
        <v>#VALUE!</v>
      </c>
      <c r="H121" s="177" t="str">
        <f t="shared" si="15"/>
        <v/>
      </c>
      <c r="I121" s="177" t="str">
        <f t="shared" si="16"/>
        <v/>
      </c>
      <c r="J121" s="177" t="e">
        <f t="shared" si="12"/>
        <v>#VALUE!</v>
      </c>
      <c r="K121" s="177">
        <f>SUM($I$17:$I121)</f>
        <v>0</v>
      </c>
      <c r="L121" s="179"/>
      <c r="M121" s="179"/>
    </row>
    <row r="122" spans="1:13" s="180" customFormat="1" ht="12.75">
      <c r="A122" s="192" t="str">
        <f t="shared" si="13"/>
        <v/>
      </c>
      <c r="B122" s="175"/>
      <c r="C122" s="176" t="str">
        <f t="shared" si="9"/>
        <v/>
      </c>
      <c r="D122" s="177" t="str">
        <f t="shared" si="14"/>
        <v/>
      </c>
      <c r="E122" s="177" t="str">
        <f t="shared" si="17"/>
        <v/>
      </c>
      <c r="F122" s="178" t="e">
        <f t="shared" si="10"/>
        <v>#VALUE!</v>
      </c>
      <c r="G122" s="177" t="e">
        <f t="shared" si="11"/>
        <v>#VALUE!</v>
      </c>
      <c r="H122" s="177" t="str">
        <f t="shared" si="15"/>
        <v/>
      </c>
      <c r="I122" s="177" t="str">
        <f t="shared" si="16"/>
        <v/>
      </c>
      <c r="J122" s="177" t="e">
        <f t="shared" si="12"/>
        <v>#VALUE!</v>
      </c>
      <c r="K122" s="177">
        <f>SUM($I$17:$I122)</f>
        <v>0</v>
      </c>
      <c r="L122" s="179"/>
      <c r="M122" s="179"/>
    </row>
    <row r="123" spans="1:13" s="180" customFormat="1" ht="12.75">
      <c r="A123" s="192" t="str">
        <f t="shared" si="13"/>
        <v/>
      </c>
      <c r="B123" s="175"/>
      <c r="C123" s="176" t="str">
        <f t="shared" si="9"/>
        <v/>
      </c>
      <c r="D123" s="177" t="str">
        <f t="shared" si="14"/>
        <v/>
      </c>
      <c r="E123" s="177" t="str">
        <f t="shared" si="17"/>
        <v/>
      </c>
      <c r="F123" s="178" t="e">
        <f t="shared" si="10"/>
        <v>#VALUE!</v>
      </c>
      <c r="G123" s="177" t="e">
        <f t="shared" si="11"/>
        <v>#VALUE!</v>
      </c>
      <c r="H123" s="177" t="str">
        <f t="shared" si="15"/>
        <v/>
      </c>
      <c r="I123" s="177" t="str">
        <f t="shared" si="16"/>
        <v/>
      </c>
      <c r="J123" s="177" t="e">
        <f t="shared" si="12"/>
        <v>#VALUE!</v>
      </c>
      <c r="K123" s="177">
        <f>SUM($I$17:$I123)</f>
        <v>0</v>
      </c>
      <c r="L123" s="179"/>
      <c r="M123" s="179"/>
    </row>
    <row r="124" spans="1:13" s="180" customFormat="1" ht="12.75">
      <c r="A124" s="192" t="str">
        <f t="shared" si="13"/>
        <v/>
      </c>
      <c r="B124" s="175"/>
      <c r="C124" s="176" t="str">
        <f t="shared" si="9"/>
        <v/>
      </c>
      <c r="D124" s="177" t="str">
        <f t="shared" si="14"/>
        <v/>
      </c>
      <c r="E124" s="177" t="str">
        <f t="shared" si="17"/>
        <v/>
      </c>
      <c r="F124" s="178" t="e">
        <f t="shared" si="10"/>
        <v>#VALUE!</v>
      </c>
      <c r="G124" s="177" t="e">
        <f t="shared" si="11"/>
        <v>#VALUE!</v>
      </c>
      <c r="H124" s="177" t="str">
        <f t="shared" si="15"/>
        <v/>
      </c>
      <c r="I124" s="177" t="str">
        <f t="shared" si="16"/>
        <v/>
      </c>
      <c r="J124" s="177" t="e">
        <f t="shared" si="12"/>
        <v>#VALUE!</v>
      </c>
      <c r="K124" s="177">
        <f>SUM($I$17:$I124)</f>
        <v>0</v>
      </c>
      <c r="L124" s="179"/>
      <c r="M124" s="179"/>
    </row>
    <row r="125" spans="1:13" s="180" customFormat="1" ht="12.75">
      <c r="A125" s="192" t="str">
        <f t="shared" si="13"/>
        <v/>
      </c>
      <c r="B125" s="175"/>
      <c r="C125" s="176" t="str">
        <f t="shared" si="9"/>
        <v/>
      </c>
      <c r="D125" s="177" t="str">
        <f t="shared" si="14"/>
        <v/>
      </c>
      <c r="E125" s="177" t="str">
        <f t="shared" si="17"/>
        <v/>
      </c>
      <c r="F125" s="178" t="e">
        <f t="shared" si="10"/>
        <v>#VALUE!</v>
      </c>
      <c r="G125" s="177" t="e">
        <f t="shared" si="11"/>
        <v>#VALUE!</v>
      </c>
      <c r="H125" s="177" t="str">
        <f t="shared" si="15"/>
        <v/>
      </c>
      <c r="I125" s="177" t="str">
        <f t="shared" si="16"/>
        <v/>
      </c>
      <c r="J125" s="177" t="e">
        <f t="shared" si="12"/>
        <v>#VALUE!</v>
      </c>
      <c r="K125" s="177">
        <f>SUM($I$17:$I125)</f>
        <v>0</v>
      </c>
      <c r="L125" s="179"/>
      <c r="M125" s="179"/>
    </row>
    <row r="126" spans="1:13" s="180" customFormat="1" ht="12.75">
      <c r="A126" s="192" t="str">
        <f t="shared" si="13"/>
        <v/>
      </c>
      <c r="B126" s="175"/>
      <c r="C126" s="176" t="str">
        <f t="shared" si="9"/>
        <v/>
      </c>
      <c r="D126" s="177" t="str">
        <f t="shared" si="14"/>
        <v/>
      </c>
      <c r="E126" s="177" t="str">
        <f t="shared" si="17"/>
        <v/>
      </c>
      <c r="F126" s="178" t="e">
        <f t="shared" si="10"/>
        <v>#VALUE!</v>
      </c>
      <c r="G126" s="177" t="e">
        <f t="shared" si="11"/>
        <v>#VALUE!</v>
      </c>
      <c r="H126" s="177" t="str">
        <f t="shared" si="15"/>
        <v/>
      </c>
      <c r="I126" s="177" t="str">
        <f t="shared" si="16"/>
        <v/>
      </c>
      <c r="J126" s="177" t="e">
        <f t="shared" si="12"/>
        <v>#VALUE!</v>
      </c>
      <c r="K126" s="177">
        <f>SUM($I$17:$I126)</f>
        <v>0</v>
      </c>
      <c r="L126" s="179"/>
      <c r="M126" s="179"/>
    </row>
    <row r="127" spans="1:13" s="180" customFormat="1" ht="12.75">
      <c r="A127" s="192" t="str">
        <f t="shared" si="13"/>
        <v/>
      </c>
      <c r="B127" s="175"/>
      <c r="C127" s="176" t="str">
        <f t="shared" si="9"/>
        <v/>
      </c>
      <c r="D127" s="177" t="str">
        <f t="shared" si="14"/>
        <v/>
      </c>
      <c r="E127" s="177" t="str">
        <f t="shared" si="17"/>
        <v/>
      </c>
      <c r="F127" s="178" t="e">
        <f t="shared" si="10"/>
        <v>#VALUE!</v>
      </c>
      <c r="G127" s="177" t="e">
        <f t="shared" si="11"/>
        <v>#VALUE!</v>
      </c>
      <c r="H127" s="177" t="str">
        <f t="shared" si="15"/>
        <v/>
      </c>
      <c r="I127" s="177" t="str">
        <f t="shared" si="16"/>
        <v/>
      </c>
      <c r="J127" s="177" t="e">
        <f t="shared" si="12"/>
        <v>#VALUE!</v>
      </c>
      <c r="K127" s="177">
        <f>SUM($I$17:$I127)</f>
        <v>0</v>
      </c>
      <c r="L127" s="179"/>
      <c r="M127" s="179"/>
    </row>
    <row r="128" spans="1:13" s="180" customFormat="1" ht="12.75">
      <c r="A128" s="192" t="str">
        <f t="shared" si="13"/>
        <v/>
      </c>
      <c r="B128" s="175"/>
      <c r="C128" s="176" t="str">
        <f t="shared" si="9"/>
        <v/>
      </c>
      <c r="D128" s="177" t="str">
        <f t="shared" si="14"/>
        <v/>
      </c>
      <c r="E128" s="177" t="str">
        <f t="shared" si="17"/>
        <v/>
      </c>
      <c r="F128" s="178" t="e">
        <f t="shared" si="10"/>
        <v>#VALUE!</v>
      </c>
      <c r="G128" s="177" t="e">
        <f t="shared" si="11"/>
        <v>#VALUE!</v>
      </c>
      <c r="H128" s="177" t="str">
        <f t="shared" si="15"/>
        <v/>
      </c>
      <c r="I128" s="177" t="str">
        <f t="shared" si="16"/>
        <v/>
      </c>
      <c r="J128" s="177" t="e">
        <f t="shared" si="12"/>
        <v>#VALUE!</v>
      </c>
      <c r="K128" s="177">
        <f>SUM($I$17:$I128)</f>
        <v>0</v>
      </c>
      <c r="L128" s="179"/>
      <c r="M128" s="179"/>
    </row>
    <row r="129" spans="1:13" s="180" customFormat="1" ht="12.75">
      <c r="A129" s="192" t="str">
        <f t="shared" si="13"/>
        <v/>
      </c>
      <c r="B129" s="175"/>
      <c r="C129" s="176" t="str">
        <f t="shared" si="9"/>
        <v/>
      </c>
      <c r="D129" s="177" t="str">
        <f t="shared" si="14"/>
        <v/>
      </c>
      <c r="E129" s="177" t="str">
        <f t="shared" si="17"/>
        <v/>
      </c>
      <c r="F129" s="178" t="e">
        <f t="shared" si="10"/>
        <v>#VALUE!</v>
      </c>
      <c r="G129" s="177" t="e">
        <f t="shared" si="11"/>
        <v>#VALUE!</v>
      </c>
      <c r="H129" s="177" t="str">
        <f t="shared" si="15"/>
        <v/>
      </c>
      <c r="I129" s="177" t="str">
        <f t="shared" si="16"/>
        <v/>
      </c>
      <c r="J129" s="177" t="e">
        <f t="shared" si="12"/>
        <v>#VALUE!</v>
      </c>
      <c r="K129" s="177">
        <f>SUM($I$17:$I129)</f>
        <v>0</v>
      </c>
      <c r="L129" s="179"/>
      <c r="M129" s="179"/>
    </row>
    <row r="130" spans="1:13" s="180" customFormat="1" ht="12.75">
      <c r="A130" s="192" t="str">
        <f t="shared" si="13"/>
        <v/>
      </c>
      <c r="B130" s="175"/>
      <c r="C130" s="176" t="str">
        <f t="shared" si="9"/>
        <v/>
      </c>
      <c r="D130" s="177" t="str">
        <f t="shared" si="14"/>
        <v/>
      </c>
      <c r="E130" s="177" t="str">
        <f t="shared" si="17"/>
        <v/>
      </c>
      <c r="F130" s="178" t="e">
        <f t="shared" si="10"/>
        <v>#VALUE!</v>
      </c>
      <c r="G130" s="177" t="e">
        <f t="shared" si="11"/>
        <v>#VALUE!</v>
      </c>
      <c r="H130" s="177" t="str">
        <f t="shared" si="15"/>
        <v/>
      </c>
      <c r="I130" s="177" t="str">
        <f t="shared" si="16"/>
        <v/>
      </c>
      <c r="J130" s="177" t="e">
        <f t="shared" si="12"/>
        <v>#VALUE!</v>
      </c>
      <c r="K130" s="177">
        <f>SUM($I$17:$I130)</f>
        <v>0</v>
      </c>
      <c r="L130" s="179"/>
      <c r="M130" s="179"/>
    </row>
    <row r="131" spans="1:13" s="180" customFormat="1" ht="12.75">
      <c r="A131" s="192" t="str">
        <f t="shared" si="13"/>
        <v/>
      </c>
      <c r="B131" s="175"/>
      <c r="C131" s="176" t="str">
        <f t="shared" si="9"/>
        <v/>
      </c>
      <c r="D131" s="177" t="str">
        <f t="shared" si="14"/>
        <v/>
      </c>
      <c r="E131" s="177" t="str">
        <f t="shared" si="17"/>
        <v/>
      </c>
      <c r="F131" s="178" t="e">
        <f t="shared" si="10"/>
        <v>#VALUE!</v>
      </c>
      <c r="G131" s="177" t="e">
        <f t="shared" si="11"/>
        <v>#VALUE!</v>
      </c>
      <c r="H131" s="177" t="str">
        <f t="shared" si="15"/>
        <v/>
      </c>
      <c r="I131" s="177" t="str">
        <f t="shared" si="16"/>
        <v/>
      </c>
      <c r="J131" s="177" t="e">
        <f t="shared" si="12"/>
        <v>#VALUE!</v>
      </c>
      <c r="K131" s="177">
        <f>SUM($I$17:$I131)</f>
        <v>0</v>
      </c>
      <c r="L131" s="179"/>
      <c r="M131" s="179"/>
    </row>
    <row r="132" spans="1:13" s="180" customFormat="1" ht="12.75">
      <c r="A132" s="192" t="str">
        <f t="shared" si="13"/>
        <v/>
      </c>
      <c r="B132" s="175"/>
      <c r="C132" s="176" t="str">
        <f t="shared" si="9"/>
        <v/>
      </c>
      <c r="D132" s="177" t="str">
        <f t="shared" si="14"/>
        <v/>
      </c>
      <c r="E132" s="177" t="str">
        <f t="shared" si="17"/>
        <v/>
      </c>
      <c r="F132" s="178" t="e">
        <f t="shared" si="10"/>
        <v>#VALUE!</v>
      </c>
      <c r="G132" s="177" t="e">
        <f t="shared" si="11"/>
        <v>#VALUE!</v>
      </c>
      <c r="H132" s="177" t="str">
        <f t="shared" si="15"/>
        <v/>
      </c>
      <c r="I132" s="177" t="str">
        <f t="shared" si="16"/>
        <v/>
      </c>
      <c r="J132" s="177" t="e">
        <f t="shared" si="12"/>
        <v>#VALUE!</v>
      </c>
      <c r="K132" s="177">
        <f>SUM($I$17:$I132)</f>
        <v>0</v>
      </c>
      <c r="L132" s="179"/>
      <c r="M132" s="179"/>
    </row>
    <row r="133" spans="1:13" s="180" customFormat="1" ht="12.75">
      <c r="A133" s="192" t="str">
        <f t="shared" si="13"/>
        <v/>
      </c>
      <c r="B133" s="175"/>
      <c r="C133" s="176" t="str">
        <f t="shared" si="9"/>
        <v/>
      </c>
      <c r="D133" s="177" t="str">
        <f t="shared" si="14"/>
        <v/>
      </c>
      <c r="E133" s="177" t="str">
        <f t="shared" si="17"/>
        <v/>
      </c>
      <c r="F133" s="178" t="e">
        <f t="shared" si="10"/>
        <v>#VALUE!</v>
      </c>
      <c r="G133" s="177" t="e">
        <f t="shared" si="11"/>
        <v>#VALUE!</v>
      </c>
      <c r="H133" s="177" t="str">
        <f t="shared" si="15"/>
        <v/>
      </c>
      <c r="I133" s="177" t="str">
        <f t="shared" si="16"/>
        <v/>
      </c>
      <c r="J133" s="177" t="e">
        <f t="shared" si="12"/>
        <v>#VALUE!</v>
      </c>
      <c r="K133" s="177">
        <f>SUM($I$17:$I133)</f>
        <v>0</v>
      </c>
      <c r="L133" s="179"/>
      <c r="M133" s="179"/>
    </row>
    <row r="134" spans="1:13" s="180" customFormat="1" ht="12.75">
      <c r="A134" s="192" t="str">
        <f t="shared" si="13"/>
        <v/>
      </c>
      <c r="B134" s="175"/>
      <c r="C134" s="176" t="str">
        <f t="shared" si="9"/>
        <v/>
      </c>
      <c r="D134" s="177" t="str">
        <f t="shared" si="14"/>
        <v/>
      </c>
      <c r="E134" s="177" t="str">
        <f t="shared" si="17"/>
        <v/>
      </c>
      <c r="F134" s="178" t="e">
        <f t="shared" si="10"/>
        <v>#VALUE!</v>
      </c>
      <c r="G134" s="177" t="e">
        <f t="shared" si="11"/>
        <v>#VALUE!</v>
      </c>
      <c r="H134" s="177" t="str">
        <f t="shared" si="15"/>
        <v/>
      </c>
      <c r="I134" s="177" t="str">
        <f t="shared" si="16"/>
        <v/>
      </c>
      <c r="J134" s="177" t="e">
        <f t="shared" si="12"/>
        <v>#VALUE!</v>
      </c>
      <c r="K134" s="177">
        <f>SUM($I$17:$I134)</f>
        <v>0</v>
      </c>
      <c r="L134" s="179"/>
      <c r="M134" s="179"/>
    </row>
    <row r="135" spans="1:13" s="180" customFormat="1" ht="12.75">
      <c r="A135" s="192" t="str">
        <f t="shared" si="13"/>
        <v/>
      </c>
      <c r="B135" s="175"/>
      <c r="C135" s="176" t="str">
        <f t="shared" si="9"/>
        <v/>
      </c>
      <c r="D135" s="177" t="str">
        <f t="shared" si="14"/>
        <v/>
      </c>
      <c r="E135" s="177" t="str">
        <f t="shared" si="17"/>
        <v/>
      </c>
      <c r="F135" s="178" t="e">
        <f t="shared" si="10"/>
        <v>#VALUE!</v>
      </c>
      <c r="G135" s="177" t="e">
        <f t="shared" si="11"/>
        <v>#VALUE!</v>
      </c>
      <c r="H135" s="177" t="str">
        <f t="shared" si="15"/>
        <v/>
      </c>
      <c r="I135" s="177" t="str">
        <f t="shared" si="16"/>
        <v/>
      </c>
      <c r="J135" s="177" t="e">
        <f t="shared" si="12"/>
        <v>#VALUE!</v>
      </c>
      <c r="K135" s="177">
        <f>SUM($I$17:$I135)</f>
        <v>0</v>
      </c>
      <c r="L135" s="179"/>
      <c r="M135" s="179"/>
    </row>
    <row r="136" spans="1:13" s="180" customFormat="1" ht="12.75">
      <c r="A136" s="192" t="str">
        <f t="shared" si="13"/>
        <v/>
      </c>
      <c r="B136" s="175"/>
      <c r="C136" s="176" t="str">
        <f t="shared" si="9"/>
        <v/>
      </c>
      <c r="D136" s="177" t="str">
        <f t="shared" si="14"/>
        <v/>
      </c>
      <c r="E136" s="177" t="str">
        <f t="shared" si="17"/>
        <v/>
      </c>
      <c r="F136" s="178" t="e">
        <f t="shared" si="10"/>
        <v>#VALUE!</v>
      </c>
      <c r="G136" s="177" t="e">
        <f t="shared" si="11"/>
        <v>#VALUE!</v>
      </c>
      <c r="H136" s="177" t="str">
        <f t="shared" si="15"/>
        <v/>
      </c>
      <c r="I136" s="177" t="str">
        <f t="shared" si="16"/>
        <v/>
      </c>
      <c r="J136" s="177" t="e">
        <f t="shared" si="12"/>
        <v>#VALUE!</v>
      </c>
      <c r="K136" s="177">
        <f>SUM($I$17:$I136)</f>
        <v>0</v>
      </c>
      <c r="L136" s="179"/>
      <c r="M136" s="179"/>
    </row>
    <row r="137" spans="1:13" s="180" customFormat="1" ht="12.75">
      <c r="A137" s="192" t="str">
        <f t="shared" si="13"/>
        <v/>
      </c>
      <c r="B137" s="175"/>
      <c r="C137" s="176" t="str">
        <f t="shared" si="9"/>
        <v/>
      </c>
      <c r="D137" s="177" t="str">
        <f t="shared" si="14"/>
        <v/>
      </c>
      <c r="E137" s="177" t="str">
        <f t="shared" si="17"/>
        <v/>
      </c>
      <c r="F137" s="178" t="e">
        <f t="shared" si="10"/>
        <v>#VALUE!</v>
      </c>
      <c r="G137" s="177" t="e">
        <f t="shared" si="11"/>
        <v>#VALUE!</v>
      </c>
      <c r="H137" s="177" t="str">
        <f t="shared" si="15"/>
        <v/>
      </c>
      <c r="I137" s="177" t="str">
        <f t="shared" si="16"/>
        <v/>
      </c>
      <c r="J137" s="177" t="e">
        <f t="shared" si="12"/>
        <v>#VALUE!</v>
      </c>
      <c r="K137" s="177">
        <f>SUM($I$17:$I137)</f>
        <v>0</v>
      </c>
      <c r="L137" s="179"/>
      <c r="M137" s="179"/>
    </row>
    <row r="138" spans="1:13" s="180" customFormat="1" ht="12.75">
      <c r="A138" s="192" t="str">
        <f t="shared" si="13"/>
        <v/>
      </c>
      <c r="B138" s="175"/>
      <c r="C138" s="176" t="str">
        <f t="shared" si="9"/>
        <v/>
      </c>
      <c r="D138" s="177" t="str">
        <f t="shared" si="14"/>
        <v/>
      </c>
      <c r="E138" s="177" t="str">
        <f t="shared" si="17"/>
        <v/>
      </c>
      <c r="F138" s="178" t="e">
        <f t="shared" si="10"/>
        <v>#VALUE!</v>
      </c>
      <c r="G138" s="177" t="e">
        <f t="shared" si="11"/>
        <v>#VALUE!</v>
      </c>
      <c r="H138" s="177" t="str">
        <f t="shared" si="15"/>
        <v/>
      </c>
      <c r="I138" s="177" t="str">
        <f t="shared" si="16"/>
        <v/>
      </c>
      <c r="J138" s="177" t="e">
        <f t="shared" si="12"/>
        <v>#VALUE!</v>
      </c>
      <c r="K138" s="177">
        <f>SUM($I$17:$I138)</f>
        <v>0</v>
      </c>
      <c r="L138" s="179"/>
      <c r="M138" s="179"/>
    </row>
    <row r="139" spans="1:13" s="180" customFormat="1" ht="12.75">
      <c r="A139" s="192" t="str">
        <f t="shared" si="13"/>
        <v/>
      </c>
      <c r="B139" s="175"/>
      <c r="C139" s="176" t="str">
        <f t="shared" si="9"/>
        <v/>
      </c>
      <c r="D139" s="177" t="str">
        <f t="shared" si="14"/>
        <v/>
      </c>
      <c r="E139" s="177" t="str">
        <f t="shared" si="17"/>
        <v/>
      </c>
      <c r="F139" s="178" t="e">
        <f t="shared" si="10"/>
        <v>#VALUE!</v>
      </c>
      <c r="G139" s="177" t="e">
        <f t="shared" si="11"/>
        <v>#VALUE!</v>
      </c>
      <c r="H139" s="177" t="str">
        <f t="shared" si="15"/>
        <v/>
      </c>
      <c r="I139" s="177" t="str">
        <f t="shared" si="16"/>
        <v/>
      </c>
      <c r="J139" s="177" t="e">
        <f t="shared" si="12"/>
        <v>#VALUE!</v>
      </c>
      <c r="K139" s="177">
        <f>SUM($I$17:$I139)</f>
        <v>0</v>
      </c>
      <c r="L139" s="179"/>
      <c r="M139" s="179"/>
    </row>
    <row r="140" spans="1:13" s="180" customFormat="1" ht="12.75">
      <c r="A140" s="192" t="str">
        <f t="shared" si="13"/>
        <v/>
      </c>
      <c r="B140" s="175"/>
      <c r="C140" s="176" t="str">
        <f t="shared" si="9"/>
        <v/>
      </c>
      <c r="D140" s="177" t="str">
        <f t="shared" si="14"/>
        <v/>
      </c>
      <c r="E140" s="177" t="str">
        <f t="shared" si="17"/>
        <v/>
      </c>
      <c r="F140" s="178" t="e">
        <f t="shared" si="10"/>
        <v>#VALUE!</v>
      </c>
      <c r="G140" s="177" t="e">
        <f t="shared" si="11"/>
        <v>#VALUE!</v>
      </c>
      <c r="H140" s="177" t="str">
        <f t="shared" si="15"/>
        <v/>
      </c>
      <c r="I140" s="177" t="str">
        <f t="shared" si="16"/>
        <v/>
      </c>
      <c r="J140" s="177" t="e">
        <f t="shared" si="12"/>
        <v>#VALUE!</v>
      </c>
      <c r="K140" s="177">
        <f>SUM($I$17:$I140)</f>
        <v>0</v>
      </c>
      <c r="L140" s="179"/>
      <c r="M140" s="179"/>
    </row>
    <row r="141" spans="1:13" s="180" customFormat="1" ht="12.75">
      <c r="A141" s="192" t="str">
        <f t="shared" si="13"/>
        <v/>
      </c>
      <c r="B141" s="175"/>
      <c r="C141" s="176" t="str">
        <f t="shared" si="9"/>
        <v/>
      </c>
      <c r="D141" s="177" t="str">
        <f t="shared" si="14"/>
        <v/>
      </c>
      <c r="E141" s="177" t="str">
        <f t="shared" si="17"/>
        <v/>
      </c>
      <c r="F141" s="178" t="e">
        <f t="shared" si="10"/>
        <v>#VALUE!</v>
      </c>
      <c r="G141" s="177" t="e">
        <f t="shared" si="11"/>
        <v>#VALUE!</v>
      </c>
      <c r="H141" s="177" t="str">
        <f t="shared" si="15"/>
        <v/>
      </c>
      <c r="I141" s="177" t="str">
        <f t="shared" si="16"/>
        <v/>
      </c>
      <c r="J141" s="177" t="e">
        <f t="shared" si="12"/>
        <v>#VALUE!</v>
      </c>
      <c r="K141" s="177">
        <f>SUM($I$17:$I141)</f>
        <v>0</v>
      </c>
      <c r="L141" s="179"/>
      <c r="M141" s="179"/>
    </row>
    <row r="142" spans="1:13" s="180" customFormat="1" ht="12.75">
      <c r="A142" s="192" t="str">
        <f t="shared" si="13"/>
        <v/>
      </c>
      <c r="B142" s="175"/>
      <c r="C142" s="176" t="str">
        <f t="shared" si="9"/>
        <v/>
      </c>
      <c r="D142" s="177" t="str">
        <f t="shared" si="14"/>
        <v/>
      </c>
      <c r="E142" s="177" t="str">
        <f t="shared" si="17"/>
        <v/>
      </c>
      <c r="F142" s="178" t="e">
        <f t="shared" si="10"/>
        <v>#VALUE!</v>
      </c>
      <c r="G142" s="177" t="e">
        <f t="shared" si="11"/>
        <v>#VALUE!</v>
      </c>
      <c r="H142" s="177" t="str">
        <f t="shared" si="15"/>
        <v/>
      </c>
      <c r="I142" s="177" t="str">
        <f t="shared" si="16"/>
        <v/>
      </c>
      <c r="J142" s="177" t="e">
        <f t="shared" si="12"/>
        <v>#VALUE!</v>
      </c>
      <c r="K142" s="177">
        <f>SUM($I$17:$I142)</f>
        <v>0</v>
      </c>
      <c r="L142" s="179"/>
      <c r="M142" s="179"/>
    </row>
    <row r="143" spans="1:13" s="180" customFormat="1" ht="12.75">
      <c r="A143" s="192" t="str">
        <f t="shared" si="13"/>
        <v/>
      </c>
      <c r="B143" s="175"/>
      <c r="C143" s="176" t="str">
        <f t="shared" si="9"/>
        <v/>
      </c>
      <c r="D143" s="177" t="str">
        <f t="shared" si="14"/>
        <v/>
      </c>
      <c r="E143" s="177" t="str">
        <f t="shared" si="17"/>
        <v/>
      </c>
      <c r="F143" s="178" t="e">
        <f t="shared" si="10"/>
        <v>#VALUE!</v>
      </c>
      <c r="G143" s="177" t="e">
        <f t="shared" si="11"/>
        <v>#VALUE!</v>
      </c>
      <c r="H143" s="177" t="str">
        <f t="shared" si="15"/>
        <v/>
      </c>
      <c r="I143" s="177" t="str">
        <f t="shared" si="16"/>
        <v/>
      </c>
      <c r="J143" s="177" t="e">
        <f t="shared" si="12"/>
        <v>#VALUE!</v>
      </c>
      <c r="K143" s="177">
        <f>SUM($I$17:$I143)</f>
        <v>0</v>
      </c>
      <c r="L143" s="179"/>
      <c r="M143" s="179"/>
    </row>
    <row r="144" spans="1:13" s="180" customFormat="1" ht="12.75">
      <c r="A144" s="192" t="str">
        <f t="shared" si="13"/>
        <v/>
      </c>
      <c r="B144" s="175"/>
      <c r="C144" s="176" t="str">
        <f t="shared" si="9"/>
        <v/>
      </c>
      <c r="D144" s="177" t="str">
        <f t="shared" si="14"/>
        <v/>
      </c>
      <c r="E144" s="177" t="str">
        <f t="shared" si="17"/>
        <v/>
      </c>
      <c r="F144" s="178" t="e">
        <f t="shared" si="10"/>
        <v>#VALUE!</v>
      </c>
      <c r="G144" s="177" t="e">
        <f t="shared" si="11"/>
        <v>#VALUE!</v>
      </c>
      <c r="H144" s="177" t="str">
        <f t="shared" si="15"/>
        <v/>
      </c>
      <c r="I144" s="177" t="str">
        <f t="shared" si="16"/>
        <v/>
      </c>
      <c r="J144" s="177" t="e">
        <f t="shared" si="12"/>
        <v>#VALUE!</v>
      </c>
      <c r="K144" s="177">
        <f>SUM($I$17:$I144)</f>
        <v>0</v>
      </c>
      <c r="L144" s="179"/>
      <c r="M144" s="179"/>
    </row>
    <row r="145" spans="1:13" s="180" customFormat="1" ht="12.75">
      <c r="A145" s="192" t="str">
        <f t="shared" si="13"/>
        <v/>
      </c>
      <c r="B145" s="175"/>
      <c r="C145" s="176" t="str">
        <f t="shared" ref="C145:C208" si="18">IF(Pay_Num&lt;&gt;"",DATE(YEAR(Loan_Start),MONTH(Loan_Start)+(Pay_Num)*12/Num_Pmt_Per_Year,DAY(Loan_Start)),"")</f>
        <v/>
      </c>
      <c r="D145" s="177" t="str">
        <f t="shared" si="14"/>
        <v/>
      </c>
      <c r="E145" s="177" t="str">
        <f t="shared" si="17"/>
        <v/>
      </c>
      <c r="F145" s="178" t="e">
        <f t="shared" ref="F145:F208" si="19">IF(AND(Pay_Num&lt;&gt;"",Sched_Pay+Scheduled_Extra_Payments&lt;Beg_Bal),Scheduled_Extra_Payments,IF(AND(Pay_Num&lt;&gt;"",Beg_Bal-Sched_Pay&gt;0),Beg_Bal-Sched_Pay,IF(Pay_Num&lt;&gt;"",0,"")))</f>
        <v>#VALUE!</v>
      </c>
      <c r="G145" s="177" t="e">
        <f t="shared" ref="G145:G208" si="20">IF(AND(Pay_Num&lt;&gt;"",Sched_Pay+Extra_Pay&lt;Beg_Bal),Sched_Pay+Extra_Pay,IF(Pay_Num&lt;&gt;"",Beg_Bal,""))</f>
        <v>#VALUE!</v>
      </c>
      <c r="H145" s="177" t="str">
        <f t="shared" si="15"/>
        <v/>
      </c>
      <c r="I145" s="177" t="str">
        <f t="shared" si="16"/>
        <v/>
      </c>
      <c r="J145" s="177" t="e">
        <f t="shared" ref="J145:J208" si="21">IF(AND(Pay_Num&lt;&gt;"",Sched_Pay+Extra_Pay&lt;Beg_Bal),Beg_Bal-Princ,IF(Pay_Num&lt;&gt;"",0,""))</f>
        <v>#VALUE!</v>
      </c>
      <c r="K145" s="177">
        <f>SUM($I$17:$I145)</f>
        <v>0</v>
      </c>
      <c r="L145" s="179"/>
      <c r="M145" s="179"/>
    </row>
    <row r="146" spans="1:13" s="180" customFormat="1" ht="12.75">
      <c r="A146" s="192" t="str">
        <f t="shared" ref="A146:A209" si="22">IF(Values_Entered,A145+1,"")</f>
        <v/>
      </c>
      <c r="B146" s="175"/>
      <c r="C146" s="176" t="str">
        <f t="shared" si="18"/>
        <v/>
      </c>
      <c r="D146" s="177" t="str">
        <f t="shared" ref="D146:D209" si="23">IF(Pay_Num&lt;&gt;"",J145,"")</f>
        <v/>
      </c>
      <c r="E146" s="177" t="str">
        <f t="shared" si="17"/>
        <v/>
      </c>
      <c r="F146" s="178" t="e">
        <f t="shared" si="19"/>
        <v>#VALUE!</v>
      </c>
      <c r="G146" s="177" t="e">
        <f t="shared" si="20"/>
        <v>#VALUE!</v>
      </c>
      <c r="H146" s="177" t="str">
        <f t="shared" ref="H146:H209" si="24">IF(Pay_Num&lt;&gt;"",Total_Pay-Int,"")</f>
        <v/>
      </c>
      <c r="I146" s="177" t="str">
        <f t="shared" ref="I146:I209" si="25">IF(Pay_Num&lt;&gt;"",Beg_Bal*Interest_Rate/Num_Pmt_Per_Year,"")</f>
        <v/>
      </c>
      <c r="J146" s="177" t="e">
        <f t="shared" si="21"/>
        <v>#VALUE!</v>
      </c>
      <c r="K146" s="177">
        <f>SUM($I$17:$I146)</f>
        <v>0</v>
      </c>
      <c r="L146" s="179"/>
      <c r="M146" s="179"/>
    </row>
    <row r="147" spans="1:13" s="180" customFormat="1" ht="12.75">
      <c r="A147" s="192" t="str">
        <f t="shared" si="22"/>
        <v/>
      </c>
      <c r="B147" s="175"/>
      <c r="C147" s="176" t="str">
        <f t="shared" si="18"/>
        <v/>
      </c>
      <c r="D147" s="177" t="str">
        <f t="shared" si="23"/>
        <v/>
      </c>
      <c r="E147" s="177" t="str">
        <f t="shared" ref="E147:E210" si="26">IF(Pay_Num&lt;&gt;"",Scheduled_Monthly_Payment,"")</f>
        <v/>
      </c>
      <c r="F147" s="178" t="e">
        <f t="shared" si="19"/>
        <v>#VALUE!</v>
      </c>
      <c r="G147" s="177" t="e">
        <f t="shared" si="20"/>
        <v>#VALUE!</v>
      </c>
      <c r="H147" s="177" t="str">
        <f t="shared" si="24"/>
        <v/>
      </c>
      <c r="I147" s="177" t="str">
        <f t="shared" si="25"/>
        <v/>
      </c>
      <c r="J147" s="177" t="e">
        <f t="shared" si="21"/>
        <v>#VALUE!</v>
      </c>
      <c r="K147" s="177">
        <f>SUM($I$17:$I147)</f>
        <v>0</v>
      </c>
      <c r="L147" s="179"/>
      <c r="M147" s="179"/>
    </row>
    <row r="148" spans="1:13" s="180" customFormat="1" ht="12.75">
      <c r="A148" s="192" t="str">
        <f t="shared" si="22"/>
        <v/>
      </c>
      <c r="B148" s="175"/>
      <c r="C148" s="176" t="str">
        <f t="shared" si="18"/>
        <v/>
      </c>
      <c r="D148" s="177" t="str">
        <f t="shared" si="23"/>
        <v/>
      </c>
      <c r="E148" s="177" t="str">
        <f t="shared" si="26"/>
        <v/>
      </c>
      <c r="F148" s="178" t="e">
        <f t="shared" si="19"/>
        <v>#VALUE!</v>
      </c>
      <c r="G148" s="177" t="e">
        <f t="shared" si="20"/>
        <v>#VALUE!</v>
      </c>
      <c r="H148" s="177" t="str">
        <f t="shared" si="24"/>
        <v/>
      </c>
      <c r="I148" s="177" t="str">
        <f t="shared" si="25"/>
        <v/>
      </c>
      <c r="J148" s="177" t="e">
        <f t="shared" si="21"/>
        <v>#VALUE!</v>
      </c>
      <c r="K148" s="177">
        <f>SUM($I$17:$I148)</f>
        <v>0</v>
      </c>
      <c r="L148" s="179"/>
      <c r="M148" s="179"/>
    </row>
    <row r="149" spans="1:13" s="180" customFormat="1" ht="12.75">
      <c r="A149" s="192" t="str">
        <f t="shared" si="22"/>
        <v/>
      </c>
      <c r="B149" s="175"/>
      <c r="C149" s="176" t="str">
        <f t="shared" si="18"/>
        <v/>
      </c>
      <c r="D149" s="177" t="str">
        <f t="shared" si="23"/>
        <v/>
      </c>
      <c r="E149" s="177" t="str">
        <f t="shared" si="26"/>
        <v/>
      </c>
      <c r="F149" s="178" t="e">
        <f t="shared" si="19"/>
        <v>#VALUE!</v>
      </c>
      <c r="G149" s="177" t="e">
        <f t="shared" si="20"/>
        <v>#VALUE!</v>
      </c>
      <c r="H149" s="177" t="str">
        <f t="shared" si="24"/>
        <v/>
      </c>
      <c r="I149" s="177" t="str">
        <f t="shared" si="25"/>
        <v/>
      </c>
      <c r="J149" s="177" t="e">
        <f t="shared" si="21"/>
        <v>#VALUE!</v>
      </c>
      <c r="K149" s="177">
        <f>SUM($I$17:$I149)</f>
        <v>0</v>
      </c>
      <c r="L149" s="179"/>
      <c r="M149" s="179"/>
    </row>
    <row r="150" spans="1:13" s="180" customFormat="1" ht="12.75">
      <c r="A150" s="192" t="str">
        <f t="shared" si="22"/>
        <v/>
      </c>
      <c r="B150" s="175"/>
      <c r="C150" s="176" t="str">
        <f t="shared" si="18"/>
        <v/>
      </c>
      <c r="D150" s="177" t="str">
        <f t="shared" si="23"/>
        <v/>
      </c>
      <c r="E150" s="177" t="str">
        <f t="shared" si="26"/>
        <v/>
      </c>
      <c r="F150" s="178" t="e">
        <f t="shared" si="19"/>
        <v>#VALUE!</v>
      </c>
      <c r="G150" s="177" t="e">
        <f t="shared" si="20"/>
        <v>#VALUE!</v>
      </c>
      <c r="H150" s="177" t="str">
        <f t="shared" si="24"/>
        <v/>
      </c>
      <c r="I150" s="177" t="str">
        <f t="shared" si="25"/>
        <v/>
      </c>
      <c r="J150" s="177" t="e">
        <f t="shared" si="21"/>
        <v>#VALUE!</v>
      </c>
      <c r="K150" s="177">
        <f>SUM($I$17:$I150)</f>
        <v>0</v>
      </c>
      <c r="L150" s="179"/>
      <c r="M150" s="179"/>
    </row>
    <row r="151" spans="1:13" s="180" customFormat="1" ht="12.75">
      <c r="A151" s="192" t="str">
        <f t="shared" si="22"/>
        <v/>
      </c>
      <c r="B151" s="175"/>
      <c r="C151" s="176" t="str">
        <f t="shared" si="18"/>
        <v/>
      </c>
      <c r="D151" s="177" t="str">
        <f t="shared" si="23"/>
        <v/>
      </c>
      <c r="E151" s="177" t="str">
        <f t="shared" si="26"/>
        <v/>
      </c>
      <c r="F151" s="178" t="e">
        <f t="shared" si="19"/>
        <v>#VALUE!</v>
      </c>
      <c r="G151" s="177" t="e">
        <f t="shared" si="20"/>
        <v>#VALUE!</v>
      </c>
      <c r="H151" s="177" t="str">
        <f t="shared" si="24"/>
        <v/>
      </c>
      <c r="I151" s="177" t="str">
        <f t="shared" si="25"/>
        <v/>
      </c>
      <c r="J151" s="177" t="e">
        <f t="shared" si="21"/>
        <v>#VALUE!</v>
      </c>
      <c r="K151" s="177">
        <f>SUM($I$17:$I151)</f>
        <v>0</v>
      </c>
      <c r="L151" s="179"/>
      <c r="M151" s="179"/>
    </row>
    <row r="152" spans="1:13" s="180" customFormat="1" ht="12.75">
      <c r="A152" s="192" t="str">
        <f t="shared" si="22"/>
        <v/>
      </c>
      <c r="B152" s="175"/>
      <c r="C152" s="176" t="str">
        <f t="shared" si="18"/>
        <v/>
      </c>
      <c r="D152" s="177" t="str">
        <f t="shared" si="23"/>
        <v/>
      </c>
      <c r="E152" s="177" t="str">
        <f t="shared" si="26"/>
        <v/>
      </c>
      <c r="F152" s="178" t="e">
        <f t="shared" si="19"/>
        <v>#VALUE!</v>
      </c>
      <c r="G152" s="177" t="e">
        <f t="shared" si="20"/>
        <v>#VALUE!</v>
      </c>
      <c r="H152" s="177" t="str">
        <f t="shared" si="24"/>
        <v/>
      </c>
      <c r="I152" s="177" t="str">
        <f t="shared" si="25"/>
        <v/>
      </c>
      <c r="J152" s="177" t="e">
        <f t="shared" si="21"/>
        <v>#VALUE!</v>
      </c>
      <c r="K152" s="177">
        <f>SUM($I$17:$I152)</f>
        <v>0</v>
      </c>
      <c r="L152" s="179"/>
      <c r="M152" s="179"/>
    </row>
    <row r="153" spans="1:13" s="180" customFormat="1" ht="12.75">
      <c r="A153" s="192" t="str">
        <f t="shared" si="22"/>
        <v/>
      </c>
      <c r="B153" s="175"/>
      <c r="C153" s="176" t="str">
        <f t="shared" si="18"/>
        <v/>
      </c>
      <c r="D153" s="177" t="str">
        <f t="shared" si="23"/>
        <v/>
      </c>
      <c r="E153" s="177" t="str">
        <f t="shared" si="26"/>
        <v/>
      </c>
      <c r="F153" s="178" t="e">
        <f t="shared" si="19"/>
        <v>#VALUE!</v>
      </c>
      <c r="G153" s="177" t="e">
        <f t="shared" si="20"/>
        <v>#VALUE!</v>
      </c>
      <c r="H153" s="177" t="str">
        <f t="shared" si="24"/>
        <v/>
      </c>
      <c r="I153" s="177" t="str">
        <f t="shared" si="25"/>
        <v/>
      </c>
      <c r="J153" s="177" t="e">
        <f t="shared" si="21"/>
        <v>#VALUE!</v>
      </c>
      <c r="K153" s="177">
        <f>SUM($I$17:$I153)</f>
        <v>0</v>
      </c>
      <c r="L153" s="179"/>
      <c r="M153" s="179"/>
    </row>
    <row r="154" spans="1:13" s="180" customFormat="1" ht="12.75">
      <c r="A154" s="192" t="str">
        <f t="shared" si="22"/>
        <v/>
      </c>
      <c r="B154" s="175"/>
      <c r="C154" s="176" t="str">
        <f t="shared" si="18"/>
        <v/>
      </c>
      <c r="D154" s="177" t="str">
        <f t="shared" si="23"/>
        <v/>
      </c>
      <c r="E154" s="177" t="str">
        <f t="shared" si="26"/>
        <v/>
      </c>
      <c r="F154" s="178" t="e">
        <f t="shared" si="19"/>
        <v>#VALUE!</v>
      </c>
      <c r="G154" s="177" t="e">
        <f t="shared" si="20"/>
        <v>#VALUE!</v>
      </c>
      <c r="H154" s="177" t="str">
        <f t="shared" si="24"/>
        <v/>
      </c>
      <c r="I154" s="177" t="str">
        <f t="shared" si="25"/>
        <v/>
      </c>
      <c r="J154" s="177" t="e">
        <f t="shared" si="21"/>
        <v>#VALUE!</v>
      </c>
      <c r="K154" s="177">
        <f>SUM($I$17:$I154)</f>
        <v>0</v>
      </c>
      <c r="L154" s="179"/>
      <c r="M154" s="179"/>
    </row>
    <row r="155" spans="1:13" s="180" customFormat="1" ht="12.75">
      <c r="A155" s="192" t="str">
        <f t="shared" si="22"/>
        <v/>
      </c>
      <c r="B155" s="175"/>
      <c r="C155" s="176" t="str">
        <f t="shared" si="18"/>
        <v/>
      </c>
      <c r="D155" s="177" t="str">
        <f t="shared" si="23"/>
        <v/>
      </c>
      <c r="E155" s="177" t="str">
        <f t="shared" si="26"/>
        <v/>
      </c>
      <c r="F155" s="178" t="e">
        <f t="shared" si="19"/>
        <v>#VALUE!</v>
      </c>
      <c r="G155" s="177" t="e">
        <f t="shared" si="20"/>
        <v>#VALUE!</v>
      </c>
      <c r="H155" s="177" t="str">
        <f t="shared" si="24"/>
        <v/>
      </c>
      <c r="I155" s="177" t="str">
        <f t="shared" si="25"/>
        <v/>
      </c>
      <c r="J155" s="177" t="e">
        <f t="shared" si="21"/>
        <v>#VALUE!</v>
      </c>
      <c r="K155" s="177">
        <f>SUM($I$17:$I155)</f>
        <v>0</v>
      </c>
      <c r="L155" s="179"/>
      <c r="M155" s="179"/>
    </row>
    <row r="156" spans="1:13" s="180" customFormat="1" ht="12.75">
      <c r="A156" s="192" t="str">
        <f t="shared" si="22"/>
        <v/>
      </c>
      <c r="B156" s="175"/>
      <c r="C156" s="176" t="str">
        <f t="shared" si="18"/>
        <v/>
      </c>
      <c r="D156" s="177" t="str">
        <f t="shared" si="23"/>
        <v/>
      </c>
      <c r="E156" s="177" t="str">
        <f t="shared" si="26"/>
        <v/>
      </c>
      <c r="F156" s="178" t="e">
        <f t="shared" si="19"/>
        <v>#VALUE!</v>
      </c>
      <c r="G156" s="177" t="e">
        <f t="shared" si="20"/>
        <v>#VALUE!</v>
      </c>
      <c r="H156" s="177" t="str">
        <f t="shared" si="24"/>
        <v/>
      </c>
      <c r="I156" s="177" t="str">
        <f t="shared" si="25"/>
        <v/>
      </c>
      <c r="J156" s="177" t="e">
        <f t="shared" si="21"/>
        <v>#VALUE!</v>
      </c>
      <c r="K156" s="177">
        <f>SUM($I$17:$I156)</f>
        <v>0</v>
      </c>
      <c r="L156" s="179"/>
      <c r="M156" s="179"/>
    </row>
    <row r="157" spans="1:13" s="180" customFormat="1" ht="12.75">
      <c r="A157" s="192" t="str">
        <f t="shared" si="22"/>
        <v/>
      </c>
      <c r="B157" s="175"/>
      <c r="C157" s="176" t="str">
        <f t="shared" si="18"/>
        <v/>
      </c>
      <c r="D157" s="177" t="str">
        <f t="shared" si="23"/>
        <v/>
      </c>
      <c r="E157" s="177" t="str">
        <f t="shared" si="26"/>
        <v/>
      </c>
      <c r="F157" s="178" t="e">
        <f t="shared" si="19"/>
        <v>#VALUE!</v>
      </c>
      <c r="G157" s="177" t="e">
        <f t="shared" si="20"/>
        <v>#VALUE!</v>
      </c>
      <c r="H157" s="177" t="str">
        <f t="shared" si="24"/>
        <v/>
      </c>
      <c r="I157" s="177" t="str">
        <f t="shared" si="25"/>
        <v/>
      </c>
      <c r="J157" s="177" t="e">
        <f t="shared" si="21"/>
        <v>#VALUE!</v>
      </c>
      <c r="K157" s="177">
        <f>SUM($I$17:$I157)</f>
        <v>0</v>
      </c>
      <c r="L157" s="179"/>
      <c r="M157" s="179"/>
    </row>
    <row r="158" spans="1:13" s="180" customFormat="1" ht="12.75">
      <c r="A158" s="192" t="str">
        <f t="shared" si="22"/>
        <v/>
      </c>
      <c r="B158" s="175"/>
      <c r="C158" s="176" t="str">
        <f t="shared" si="18"/>
        <v/>
      </c>
      <c r="D158" s="177" t="str">
        <f t="shared" si="23"/>
        <v/>
      </c>
      <c r="E158" s="177" t="str">
        <f t="shared" si="26"/>
        <v/>
      </c>
      <c r="F158" s="178" t="e">
        <f t="shared" si="19"/>
        <v>#VALUE!</v>
      </c>
      <c r="G158" s="177" t="e">
        <f t="shared" si="20"/>
        <v>#VALUE!</v>
      </c>
      <c r="H158" s="177" t="str">
        <f t="shared" si="24"/>
        <v/>
      </c>
      <c r="I158" s="177" t="str">
        <f t="shared" si="25"/>
        <v/>
      </c>
      <c r="J158" s="177" t="e">
        <f t="shared" si="21"/>
        <v>#VALUE!</v>
      </c>
      <c r="K158" s="177">
        <f>SUM($I$17:$I158)</f>
        <v>0</v>
      </c>
      <c r="L158" s="179"/>
      <c r="M158" s="179"/>
    </row>
    <row r="159" spans="1:13" s="180" customFormat="1" ht="12.75">
      <c r="A159" s="192" t="str">
        <f t="shared" si="22"/>
        <v/>
      </c>
      <c r="B159" s="175"/>
      <c r="C159" s="176" t="str">
        <f t="shared" si="18"/>
        <v/>
      </c>
      <c r="D159" s="177" t="str">
        <f t="shared" si="23"/>
        <v/>
      </c>
      <c r="E159" s="177" t="str">
        <f t="shared" si="26"/>
        <v/>
      </c>
      <c r="F159" s="178" t="e">
        <f t="shared" si="19"/>
        <v>#VALUE!</v>
      </c>
      <c r="G159" s="177" t="e">
        <f t="shared" si="20"/>
        <v>#VALUE!</v>
      </c>
      <c r="H159" s="177" t="str">
        <f t="shared" si="24"/>
        <v/>
      </c>
      <c r="I159" s="177" t="str">
        <f t="shared" si="25"/>
        <v/>
      </c>
      <c r="J159" s="177" t="e">
        <f t="shared" si="21"/>
        <v>#VALUE!</v>
      </c>
      <c r="K159" s="177">
        <f>SUM($I$17:$I159)</f>
        <v>0</v>
      </c>
      <c r="L159" s="179"/>
      <c r="M159" s="179"/>
    </row>
    <row r="160" spans="1:13" s="180" customFormat="1" ht="12.75">
      <c r="A160" s="192" t="str">
        <f t="shared" si="22"/>
        <v/>
      </c>
      <c r="B160" s="175"/>
      <c r="C160" s="176" t="str">
        <f t="shared" si="18"/>
        <v/>
      </c>
      <c r="D160" s="177" t="str">
        <f t="shared" si="23"/>
        <v/>
      </c>
      <c r="E160" s="177" t="str">
        <f t="shared" si="26"/>
        <v/>
      </c>
      <c r="F160" s="178" t="e">
        <f t="shared" si="19"/>
        <v>#VALUE!</v>
      </c>
      <c r="G160" s="177" t="e">
        <f t="shared" si="20"/>
        <v>#VALUE!</v>
      </c>
      <c r="H160" s="177" t="str">
        <f t="shared" si="24"/>
        <v/>
      </c>
      <c r="I160" s="177" t="str">
        <f t="shared" si="25"/>
        <v/>
      </c>
      <c r="J160" s="177" t="e">
        <f t="shared" si="21"/>
        <v>#VALUE!</v>
      </c>
      <c r="K160" s="177">
        <f>SUM($I$17:$I160)</f>
        <v>0</v>
      </c>
      <c r="L160" s="179"/>
      <c r="M160" s="179"/>
    </row>
    <row r="161" spans="1:13" s="180" customFormat="1" ht="12.75">
      <c r="A161" s="192" t="str">
        <f t="shared" si="22"/>
        <v/>
      </c>
      <c r="B161" s="175"/>
      <c r="C161" s="176" t="str">
        <f t="shared" si="18"/>
        <v/>
      </c>
      <c r="D161" s="177" t="str">
        <f t="shared" si="23"/>
        <v/>
      </c>
      <c r="E161" s="177" t="str">
        <f t="shared" si="26"/>
        <v/>
      </c>
      <c r="F161" s="178" t="e">
        <f t="shared" si="19"/>
        <v>#VALUE!</v>
      </c>
      <c r="G161" s="177" t="e">
        <f t="shared" si="20"/>
        <v>#VALUE!</v>
      </c>
      <c r="H161" s="177" t="str">
        <f t="shared" si="24"/>
        <v/>
      </c>
      <c r="I161" s="177" t="str">
        <f t="shared" si="25"/>
        <v/>
      </c>
      <c r="J161" s="177" t="e">
        <f t="shared" si="21"/>
        <v>#VALUE!</v>
      </c>
      <c r="K161" s="177">
        <f>SUM($I$17:$I161)</f>
        <v>0</v>
      </c>
      <c r="L161" s="179"/>
      <c r="M161" s="179"/>
    </row>
    <row r="162" spans="1:13" s="180" customFormat="1" ht="12.75">
      <c r="A162" s="192" t="str">
        <f t="shared" si="22"/>
        <v/>
      </c>
      <c r="B162" s="175"/>
      <c r="C162" s="176" t="str">
        <f t="shared" si="18"/>
        <v/>
      </c>
      <c r="D162" s="177" t="str">
        <f t="shared" si="23"/>
        <v/>
      </c>
      <c r="E162" s="177" t="str">
        <f t="shared" si="26"/>
        <v/>
      </c>
      <c r="F162" s="178" t="e">
        <f t="shared" si="19"/>
        <v>#VALUE!</v>
      </c>
      <c r="G162" s="177" t="e">
        <f t="shared" si="20"/>
        <v>#VALUE!</v>
      </c>
      <c r="H162" s="177" t="str">
        <f t="shared" si="24"/>
        <v/>
      </c>
      <c r="I162" s="177" t="str">
        <f t="shared" si="25"/>
        <v/>
      </c>
      <c r="J162" s="177" t="e">
        <f t="shared" si="21"/>
        <v>#VALUE!</v>
      </c>
      <c r="K162" s="177">
        <f>SUM($I$17:$I162)</f>
        <v>0</v>
      </c>
      <c r="L162" s="179"/>
      <c r="M162" s="179"/>
    </row>
    <row r="163" spans="1:13" s="180" customFormat="1" ht="12.75">
      <c r="A163" s="192" t="str">
        <f t="shared" si="22"/>
        <v/>
      </c>
      <c r="B163" s="175"/>
      <c r="C163" s="176" t="str">
        <f t="shared" si="18"/>
        <v/>
      </c>
      <c r="D163" s="177" t="str">
        <f t="shared" si="23"/>
        <v/>
      </c>
      <c r="E163" s="177" t="str">
        <f t="shared" si="26"/>
        <v/>
      </c>
      <c r="F163" s="178" t="e">
        <f t="shared" si="19"/>
        <v>#VALUE!</v>
      </c>
      <c r="G163" s="177" t="e">
        <f t="shared" si="20"/>
        <v>#VALUE!</v>
      </c>
      <c r="H163" s="177" t="str">
        <f t="shared" si="24"/>
        <v/>
      </c>
      <c r="I163" s="177" t="str">
        <f t="shared" si="25"/>
        <v/>
      </c>
      <c r="J163" s="177" t="e">
        <f t="shared" si="21"/>
        <v>#VALUE!</v>
      </c>
      <c r="K163" s="177">
        <f>SUM($I$17:$I163)</f>
        <v>0</v>
      </c>
      <c r="L163" s="179"/>
      <c r="M163" s="179"/>
    </row>
    <row r="164" spans="1:13" s="180" customFormat="1" ht="12.75">
      <c r="A164" s="192" t="str">
        <f t="shared" si="22"/>
        <v/>
      </c>
      <c r="B164" s="175"/>
      <c r="C164" s="176" t="str">
        <f t="shared" si="18"/>
        <v/>
      </c>
      <c r="D164" s="177" t="str">
        <f t="shared" si="23"/>
        <v/>
      </c>
      <c r="E164" s="177" t="str">
        <f t="shared" si="26"/>
        <v/>
      </c>
      <c r="F164" s="178" t="e">
        <f t="shared" si="19"/>
        <v>#VALUE!</v>
      </c>
      <c r="G164" s="177" t="e">
        <f t="shared" si="20"/>
        <v>#VALUE!</v>
      </c>
      <c r="H164" s="177" t="str">
        <f t="shared" si="24"/>
        <v/>
      </c>
      <c r="I164" s="177" t="str">
        <f t="shared" si="25"/>
        <v/>
      </c>
      <c r="J164" s="177" t="e">
        <f t="shared" si="21"/>
        <v>#VALUE!</v>
      </c>
      <c r="K164" s="177">
        <f>SUM($I$17:$I164)</f>
        <v>0</v>
      </c>
      <c r="L164" s="179"/>
      <c r="M164" s="179"/>
    </row>
    <row r="165" spans="1:13" s="180" customFormat="1" ht="12.75">
      <c r="A165" s="192" t="str">
        <f t="shared" si="22"/>
        <v/>
      </c>
      <c r="B165" s="175"/>
      <c r="C165" s="176" t="str">
        <f t="shared" si="18"/>
        <v/>
      </c>
      <c r="D165" s="177" t="str">
        <f t="shared" si="23"/>
        <v/>
      </c>
      <c r="E165" s="177" t="str">
        <f t="shared" si="26"/>
        <v/>
      </c>
      <c r="F165" s="178" t="e">
        <f t="shared" si="19"/>
        <v>#VALUE!</v>
      </c>
      <c r="G165" s="177" t="e">
        <f t="shared" si="20"/>
        <v>#VALUE!</v>
      </c>
      <c r="H165" s="177" t="str">
        <f t="shared" si="24"/>
        <v/>
      </c>
      <c r="I165" s="177" t="str">
        <f t="shared" si="25"/>
        <v/>
      </c>
      <c r="J165" s="177" t="e">
        <f t="shared" si="21"/>
        <v>#VALUE!</v>
      </c>
      <c r="K165" s="177">
        <f>SUM($I$17:$I165)</f>
        <v>0</v>
      </c>
      <c r="L165" s="179"/>
      <c r="M165" s="179"/>
    </row>
    <row r="166" spans="1:13" s="180" customFormat="1" ht="12.75">
      <c r="A166" s="192" t="str">
        <f t="shared" si="22"/>
        <v/>
      </c>
      <c r="B166" s="175"/>
      <c r="C166" s="176" t="str">
        <f t="shared" si="18"/>
        <v/>
      </c>
      <c r="D166" s="177" t="str">
        <f t="shared" si="23"/>
        <v/>
      </c>
      <c r="E166" s="177" t="str">
        <f t="shared" si="26"/>
        <v/>
      </c>
      <c r="F166" s="178" t="e">
        <f t="shared" si="19"/>
        <v>#VALUE!</v>
      </c>
      <c r="G166" s="177" t="e">
        <f t="shared" si="20"/>
        <v>#VALUE!</v>
      </c>
      <c r="H166" s="177" t="str">
        <f t="shared" si="24"/>
        <v/>
      </c>
      <c r="I166" s="177" t="str">
        <f t="shared" si="25"/>
        <v/>
      </c>
      <c r="J166" s="177" t="e">
        <f t="shared" si="21"/>
        <v>#VALUE!</v>
      </c>
      <c r="K166" s="177">
        <f>SUM($I$17:$I166)</f>
        <v>0</v>
      </c>
      <c r="L166" s="179"/>
      <c r="M166" s="179"/>
    </row>
    <row r="167" spans="1:13" s="180" customFormat="1" ht="12.75">
      <c r="A167" s="192" t="str">
        <f t="shared" si="22"/>
        <v/>
      </c>
      <c r="B167" s="175"/>
      <c r="C167" s="176" t="str">
        <f t="shared" si="18"/>
        <v/>
      </c>
      <c r="D167" s="177" t="str">
        <f t="shared" si="23"/>
        <v/>
      </c>
      <c r="E167" s="177" t="str">
        <f t="shared" si="26"/>
        <v/>
      </c>
      <c r="F167" s="178" t="e">
        <f t="shared" si="19"/>
        <v>#VALUE!</v>
      </c>
      <c r="G167" s="177" t="e">
        <f t="shared" si="20"/>
        <v>#VALUE!</v>
      </c>
      <c r="H167" s="177" t="str">
        <f t="shared" si="24"/>
        <v/>
      </c>
      <c r="I167" s="177" t="str">
        <f t="shared" si="25"/>
        <v/>
      </c>
      <c r="J167" s="177" t="e">
        <f t="shared" si="21"/>
        <v>#VALUE!</v>
      </c>
      <c r="K167" s="177">
        <f>SUM($I$17:$I167)</f>
        <v>0</v>
      </c>
      <c r="L167" s="179"/>
      <c r="M167" s="179"/>
    </row>
    <row r="168" spans="1:13" s="180" customFormat="1" ht="12.75">
      <c r="A168" s="192" t="str">
        <f t="shared" si="22"/>
        <v/>
      </c>
      <c r="B168" s="175"/>
      <c r="C168" s="176" t="str">
        <f t="shared" si="18"/>
        <v/>
      </c>
      <c r="D168" s="177" t="str">
        <f t="shared" si="23"/>
        <v/>
      </c>
      <c r="E168" s="177" t="str">
        <f t="shared" si="26"/>
        <v/>
      </c>
      <c r="F168" s="178" t="e">
        <f t="shared" si="19"/>
        <v>#VALUE!</v>
      </c>
      <c r="G168" s="177" t="e">
        <f t="shared" si="20"/>
        <v>#VALUE!</v>
      </c>
      <c r="H168" s="177" t="str">
        <f t="shared" si="24"/>
        <v/>
      </c>
      <c r="I168" s="177" t="str">
        <f t="shared" si="25"/>
        <v/>
      </c>
      <c r="J168" s="177" t="e">
        <f t="shared" si="21"/>
        <v>#VALUE!</v>
      </c>
      <c r="K168" s="177">
        <f>SUM($I$17:$I168)</f>
        <v>0</v>
      </c>
      <c r="L168" s="179"/>
      <c r="M168" s="179"/>
    </row>
    <row r="169" spans="1:13" s="180" customFormat="1" ht="12.75">
      <c r="A169" s="192" t="str">
        <f t="shared" si="22"/>
        <v/>
      </c>
      <c r="B169" s="175"/>
      <c r="C169" s="176" t="str">
        <f t="shared" si="18"/>
        <v/>
      </c>
      <c r="D169" s="177" t="str">
        <f t="shared" si="23"/>
        <v/>
      </c>
      <c r="E169" s="177" t="str">
        <f t="shared" si="26"/>
        <v/>
      </c>
      <c r="F169" s="178" t="e">
        <f t="shared" si="19"/>
        <v>#VALUE!</v>
      </c>
      <c r="G169" s="177" t="e">
        <f t="shared" si="20"/>
        <v>#VALUE!</v>
      </c>
      <c r="H169" s="177" t="str">
        <f t="shared" si="24"/>
        <v/>
      </c>
      <c r="I169" s="177" t="str">
        <f t="shared" si="25"/>
        <v/>
      </c>
      <c r="J169" s="177" t="e">
        <f t="shared" si="21"/>
        <v>#VALUE!</v>
      </c>
      <c r="K169" s="177">
        <f>SUM($I$17:$I169)</f>
        <v>0</v>
      </c>
      <c r="L169" s="179"/>
      <c r="M169" s="179"/>
    </row>
    <row r="170" spans="1:13" s="180" customFormat="1" ht="12.75">
      <c r="A170" s="192" t="str">
        <f t="shared" si="22"/>
        <v/>
      </c>
      <c r="B170" s="175"/>
      <c r="C170" s="176" t="str">
        <f t="shared" si="18"/>
        <v/>
      </c>
      <c r="D170" s="177" t="str">
        <f t="shared" si="23"/>
        <v/>
      </c>
      <c r="E170" s="177" t="str">
        <f t="shared" si="26"/>
        <v/>
      </c>
      <c r="F170" s="178" t="e">
        <f t="shared" si="19"/>
        <v>#VALUE!</v>
      </c>
      <c r="G170" s="177" t="e">
        <f t="shared" si="20"/>
        <v>#VALUE!</v>
      </c>
      <c r="H170" s="177" t="str">
        <f t="shared" si="24"/>
        <v/>
      </c>
      <c r="I170" s="177" t="str">
        <f t="shared" si="25"/>
        <v/>
      </c>
      <c r="J170" s="177" t="e">
        <f t="shared" si="21"/>
        <v>#VALUE!</v>
      </c>
      <c r="K170" s="177">
        <f>SUM($I$17:$I170)</f>
        <v>0</v>
      </c>
      <c r="L170" s="179"/>
      <c r="M170" s="179"/>
    </row>
    <row r="171" spans="1:13" s="180" customFormat="1" ht="12.75">
      <c r="A171" s="192" t="str">
        <f t="shared" si="22"/>
        <v/>
      </c>
      <c r="B171" s="175"/>
      <c r="C171" s="176" t="str">
        <f t="shared" si="18"/>
        <v/>
      </c>
      <c r="D171" s="177" t="str">
        <f t="shared" si="23"/>
        <v/>
      </c>
      <c r="E171" s="177" t="str">
        <f t="shared" si="26"/>
        <v/>
      </c>
      <c r="F171" s="178" t="e">
        <f t="shared" si="19"/>
        <v>#VALUE!</v>
      </c>
      <c r="G171" s="177" t="e">
        <f t="shared" si="20"/>
        <v>#VALUE!</v>
      </c>
      <c r="H171" s="177" t="str">
        <f t="shared" si="24"/>
        <v/>
      </c>
      <c r="I171" s="177" t="str">
        <f t="shared" si="25"/>
        <v/>
      </c>
      <c r="J171" s="177" t="e">
        <f t="shared" si="21"/>
        <v>#VALUE!</v>
      </c>
      <c r="K171" s="177">
        <f>SUM($I$17:$I171)</f>
        <v>0</v>
      </c>
      <c r="L171" s="179"/>
      <c r="M171" s="179"/>
    </row>
    <row r="172" spans="1:13" s="180" customFormat="1" ht="12.75">
      <c r="A172" s="192" t="str">
        <f t="shared" si="22"/>
        <v/>
      </c>
      <c r="B172" s="175"/>
      <c r="C172" s="176" t="str">
        <f t="shared" si="18"/>
        <v/>
      </c>
      <c r="D172" s="177" t="str">
        <f t="shared" si="23"/>
        <v/>
      </c>
      <c r="E172" s="177" t="str">
        <f t="shared" si="26"/>
        <v/>
      </c>
      <c r="F172" s="178" t="e">
        <f t="shared" si="19"/>
        <v>#VALUE!</v>
      </c>
      <c r="G172" s="177" t="e">
        <f t="shared" si="20"/>
        <v>#VALUE!</v>
      </c>
      <c r="H172" s="177" t="str">
        <f t="shared" si="24"/>
        <v/>
      </c>
      <c r="I172" s="177" t="str">
        <f t="shared" si="25"/>
        <v/>
      </c>
      <c r="J172" s="177" t="e">
        <f t="shared" si="21"/>
        <v>#VALUE!</v>
      </c>
      <c r="K172" s="177">
        <f>SUM($I$17:$I172)</f>
        <v>0</v>
      </c>
      <c r="L172" s="179"/>
      <c r="M172" s="179"/>
    </row>
    <row r="173" spans="1:13" s="180" customFormat="1" ht="12.75">
      <c r="A173" s="192" t="str">
        <f t="shared" si="22"/>
        <v/>
      </c>
      <c r="B173" s="175"/>
      <c r="C173" s="176" t="str">
        <f t="shared" si="18"/>
        <v/>
      </c>
      <c r="D173" s="177" t="str">
        <f t="shared" si="23"/>
        <v/>
      </c>
      <c r="E173" s="177" t="str">
        <f t="shared" si="26"/>
        <v/>
      </c>
      <c r="F173" s="178" t="e">
        <f t="shared" si="19"/>
        <v>#VALUE!</v>
      </c>
      <c r="G173" s="177" t="e">
        <f t="shared" si="20"/>
        <v>#VALUE!</v>
      </c>
      <c r="H173" s="177" t="str">
        <f t="shared" si="24"/>
        <v/>
      </c>
      <c r="I173" s="177" t="str">
        <f t="shared" si="25"/>
        <v/>
      </c>
      <c r="J173" s="177" t="e">
        <f t="shared" si="21"/>
        <v>#VALUE!</v>
      </c>
      <c r="K173" s="177">
        <f>SUM($I$17:$I173)</f>
        <v>0</v>
      </c>
      <c r="L173" s="179"/>
      <c r="M173" s="179"/>
    </row>
    <row r="174" spans="1:13" s="180" customFormat="1" ht="12.75">
      <c r="A174" s="192" t="str">
        <f t="shared" si="22"/>
        <v/>
      </c>
      <c r="B174" s="175"/>
      <c r="C174" s="176" t="str">
        <f t="shared" si="18"/>
        <v/>
      </c>
      <c r="D174" s="177" t="str">
        <f t="shared" si="23"/>
        <v/>
      </c>
      <c r="E174" s="177" t="str">
        <f t="shared" si="26"/>
        <v/>
      </c>
      <c r="F174" s="178" t="e">
        <f t="shared" si="19"/>
        <v>#VALUE!</v>
      </c>
      <c r="G174" s="177" t="e">
        <f t="shared" si="20"/>
        <v>#VALUE!</v>
      </c>
      <c r="H174" s="177" t="str">
        <f t="shared" si="24"/>
        <v/>
      </c>
      <c r="I174" s="177" t="str">
        <f t="shared" si="25"/>
        <v/>
      </c>
      <c r="J174" s="177" t="e">
        <f t="shared" si="21"/>
        <v>#VALUE!</v>
      </c>
      <c r="K174" s="177">
        <f>SUM($I$17:$I174)</f>
        <v>0</v>
      </c>
      <c r="L174" s="179"/>
      <c r="M174" s="179"/>
    </row>
    <row r="175" spans="1:13" s="180" customFormat="1" ht="12.75">
      <c r="A175" s="192" t="str">
        <f t="shared" si="22"/>
        <v/>
      </c>
      <c r="B175" s="175"/>
      <c r="C175" s="176" t="str">
        <f t="shared" si="18"/>
        <v/>
      </c>
      <c r="D175" s="177" t="str">
        <f t="shared" si="23"/>
        <v/>
      </c>
      <c r="E175" s="177" t="str">
        <f t="shared" si="26"/>
        <v/>
      </c>
      <c r="F175" s="178" t="e">
        <f t="shared" si="19"/>
        <v>#VALUE!</v>
      </c>
      <c r="G175" s="177" t="e">
        <f t="shared" si="20"/>
        <v>#VALUE!</v>
      </c>
      <c r="H175" s="177" t="str">
        <f t="shared" si="24"/>
        <v/>
      </c>
      <c r="I175" s="177" t="str">
        <f t="shared" si="25"/>
        <v/>
      </c>
      <c r="J175" s="177" t="e">
        <f t="shared" si="21"/>
        <v>#VALUE!</v>
      </c>
      <c r="K175" s="177">
        <f>SUM($I$17:$I175)</f>
        <v>0</v>
      </c>
      <c r="L175" s="179"/>
      <c r="M175" s="179"/>
    </row>
    <row r="176" spans="1:13" s="180" customFormat="1" ht="12.75">
      <c r="A176" s="192" t="str">
        <f t="shared" si="22"/>
        <v/>
      </c>
      <c r="B176" s="175"/>
      <c r="C176" s="176" t="str">
        <f t="shared" si="18"/>
        <v/>
      </c>
      <c r="D176" s="177" t="str">
        <f t="shared" si="23"/>
        <v/>
      </c>
      <c r="E176" s="177" t="str">
        <f t="shared" si="26"/>
        <v/>
      </c>
      <c r="F176" s="178" t="e">
        <f t="shared" si="19"/>
        <v>#VALUE!</v>
      </c>
      <c r="G176" s="177" t="e">
        <f t="shared" si="20"/>
        <v>#VALUE!</v>
      </c>
      <c r="H176" s="177" t="str">
        <f t="shared" si="24"/>
        <v/>
      </c>
      <c r="I176" s="177" t="str">
        <f t="shared" si="25"/>
        <v/>
      </c>
      <c r="J176" s="177" t="e">
        <f t="shared" si="21"/>
        <v>#VALUE!</v>
      </c>
      <c r="K176" s="177">
        <f>SUM($I$17:$I176)</f>
        <v>0</v>
      </c>
      <c r="L176" s="179"/>
      <c r="M176" s="179"/>
    </row>
    <row r="177" spans="1:13" s="180" customFormat="1" ht="12.75">
      <c r="A177" s="192" t="str">
        <f t="shared" si="22"/>
        <v/>
      </c>
      <c r="B177" s="175"/>
      <c r="C177" s="176" t="str">
        <f t="shared" si="18"/>
        <v/>
      </c>
      <c r="D177" s="177" t="str">
        <f t="shared" si="23"/>
        <v/>
      </c>
      <c r="E177" s="177" t="str">
        <f t="shared" si="26"/>
        <v/>
      </c>
      <c r="F177" s="178" t="e">
        <f t="shared" si="19"/>
        <v>#VALUE!</v>
      </c>
      <c r="G177" s="177" t="e">
        <f t="shared" si="20"/>
        <v>#VALUE!</v>
      </c>
      <c r="H177" s="177" t="str">
        <f t="shared" si="24"/>
        <v/>
      </c>
      <c r="I177" s="177" t="str">
        <f t="shared" si="25"/>
        <v/>
      </c>
      <c r="J177" s="177" t="e">
        <f t="shared" si="21"/>
        <v>#VALUE!</v>
      </c>
      <c r="K177" s="177">
        <f>SUM($I$17:$I177)</f>
        <v>0</v>
      </c>
      <c r="L177" s="179"/>
      <c r="M177" s="179"/>
    </row>
    <row r="178" spans="1:13" s="180" customFormat="1" ht="12.75">
      <c r="A178" s="192" t="str">
        <f t="shared" si="22"/>
        <v/>
      </c>
      <c r="B178" s="175"/>
      <c r="C178" s="176" t="str">
        <f t="shared" si="18"/>
        <v/>
      </c>
      <c r="D178" s="177" t="str">
        <f t="shared" si="23"/>
        <v/>
      </c>
      <c r="E178" s="177" t="str">
        <f t="shared" si="26"/>
        <v/>
      </c>
      <c r="F178" s="178" t="e">
        <f t="shared" si="19"/>
        <v>#VALUE!</v>
      </c>
      <c r="G178" s="177" t="e">
        <f t="shared" si="20"/>
        <v>#VALUE!</v>
      </c>
      <c r="H178" s="177" t="str">
        <f t="shared" si="24"/>
        <v/>
      </c>
      <c r="I178" s="177" t="str">
        <f t="shared" si="25"/>
        <v/>
      </c>
      <c r="J178" s="177" t="e">
        <f t="shared" si="21"/>
        <v>#VALUE!</v>
      </c>
      <c r="K178" s="177">
        <f>SUM($I$17:$I178)</f>
        <v>0</v>
      </c>
      <c r="L178" s="179"/>
      <c r="M178" s="179"/>
    </row>
    <row r="179" spans="1:13" s="180" customFormat="1" ht="12.75">
      <c r="A179" s="192" t="str">
        <f t="shared" si="22"/>
        <v/>
      </c>
      <c r="B179" s="175"/>
      <c r="C179" s="176" t="str">
        <f t="shared" si="18"/>
        <v/>
      </c>
      <c r="D179" s="177" t="str">
        <f t="shared" si="23"/>
        <v/>
      </c>
      <c r="E179" s="177" t="str">
        <f t="shared" si="26"/>
        <v/>
      </c>
      <c r="F179" s="178" t="e">
        <f t="shared" si="19"/>
        <v>#VALUE!</v>
      </c>
      <c r="G179" s="177" t="e">
        <f t="shared" si="20"/>
        <v>#VALUE!</v>
      </c>
      <c r="H179" s="177" t="str">
        <f t="shared" si="24"/>
        <v/>
      </c>
      <c r="I179" s="177" t="str">
        <f t="shared" si="25"/>
        <v/>
      </c>
      <c r="J179" s="177" t="e">
        <f t="shared" si="21"/>
        <v>#VALUE!</v>
      </c>
      <c r="K179" s="177">
        <f>SUM($I$17:$I179)</f>
        <v>0</v>
      </c>
      <c r="L179" s="179"/>
      <c r="M179" s="179"/>
    </row>
    <row r="180" spans="1:13" s="180" customFormat="1" ht="12.75">
      <c r="A180" s="192" t="str">
        <f t="shared" si="22"/>
        <v/>
      </c>
      <c r="B180" s="175"/>
      <c r="C180" s="176" t="str">
        <f t="shared" si="18"/>
        <v/>
      </c>
      <c r="D180" s="177" t="str">
        <f t="shared" si="23"/>
        <v/>
      </c>
      <c r="E180" s="177" t="str">
        <f t="shared" si="26"/>
        <v/>
      </c>
      <c r="F180" s="178" t="e">
        <f t="shared" si="19"/>
        <v>#VALUE!</v>
      </c>
      <c r="G180" s="177" t="e">
        <f t="shared" si="20"/>
        <v>#VALUE!</v>
      </c>
      <c r="H180" s="177" t="str">
        <f t="shared" si="24"/>
        <v/>
      </c>
      <c r="I180" s="177" t="str">
        <f t="shared" si="25"/>
        <v/>
      </c>
      <c r="J180" s="177" t="e">
        <f t="shared" si="21"/>
        <v>#VALUE!</v>
      </c>
      <c r="K180" s="177">
        <f>SUM($I$17:$I180)</f>
        <v>0</v>
      </c>
      <c r="L180" s="179"/>
      <c r="M180" s="179"/>
    </row>
    <row r="181" spans="1:13" s="180" customFormat="1" ht="12.75">
      <c r="A181" s="192" t="str">
        <f t="shared" si="22"/>
        <v/>
      </c>
      <c r="B181" s="175"/>
      <c r="C181" s="176" t="str">
        <f t="shared" si="18"/>
        <v/>
      </c>
      <c r="D181" s="177" t="str">
        <f t="shared" si="23"/>
        <v/>
      </c>
      <c r="E181" s="177" t="str">
        <f t="shared" si="26"/>
        <v/>
      </c>
      <c r="F181" s="178" t="e">
        <f t="shared" si="19"/>
        <v>#VALUE!</v>
      </c>
      <c r="G181" s="177" t="e">
        <f t="shared" si="20"/>
        <v>#VALUE!</v>
      </c>
      <c r="H181" s="177" t="str">
        <f t="shared" si="24"/>
        <v/>
      </c>
      <c r="I181" s="177" t="str">
        <f t="shared" si="25"/>
        <v/>
      </c>
      <c r="J181" s="177" t="e">
        <f t="shared" si="21"/>
        <v>#VALUE!</v>
      </c>
      <c r="K181" s="177">
        <f>SUM($I$17:$I181)</f>
        <v>0</v>
      </c>
      <c r="L181" s="179"/>
      <c r="M181" s="179"/>
    </row>
    <row r="182" spans="1:13" s="180" customFormat="1" ht="12.75">
      <c r="A182" s="192" t="str">
        <f t="shared" si="22"/>
        <v/>
      </c>
      <c r="B182" s="175"/>
      <c r="C182" s="176" t="str">
        <f t="shared" si="18"/>
        <v/>
      </c>
      <c r="D182" s="177" t="str">
        <f t="shared" si="23"/>
        <v/>
      </c>
      <c r="E182" s="177" t="str">
        <f t="shared" si="26"/>
        <v/>
      </c>
      <c r="F182" s="178" t="e">
        <f t="shared" si="19"/>
        <v>#VALUE!</v>
      </c>
      <c r="G182" s="177" t="e">
        <f t="shared" si="20"/>
        <v>#VALUE!</v>
      </c>
      <c r="H182" s="177" t="str">
        <f t="shared" si="24"/>
        <v/>
      </c>
      <c r="I182" s="177" t="str">
        <f t="shared" si="25"/>
        <v/>
      </c>
      <c r="J182" s="177" t="e">
        <f t="shared" si="21"/>
        <v>#VALUE!</v>
      </c>
      <c r="K182" s="177">
        <f>SUM($I$17:$I182)</f>
        <v>0</v>
      </c>
      <c r="L182" s="179"/>
      <c r="M182" s="179"/>
    </row>
    <row r="183" spans="1:13" s="180" customFormat="1" ht="12.75">
      <c r="A183" s="192" t="str">
        <f t="shared" si="22"/>
        <v/>
      </c>
      <c r="B183" s="175"/>
      <c r="C183" s="176" t="str">
        <f t="shared" si="18"/>
        <v/>
      </c>
      <c r="D183" s="177" t="str">
        <f t="shared" si="23"/>
        <v/>
      </c>
      <c r="E183" s="177" t="str">
        <f t="shared" si="26"/>
        <v/>
      </c>
      <c r="F183" s="178" t="e">
        <f t="shared" si="19"/>
        <v>#VALUE!</v>
      </c>
      <c r="G183" s="177" t="e">
        <f t="shared" si="20"/>
        <v>#VALUE!</v>
      </c>
      <c r="H183" s="177" t="str">
        <f t="shared" si="24"/>
        <v/>
      </c>
      <c r="I183" s="177" t="str">
        <f t="shared" si="25"/>
        <v/>
      </c>
      <c r="J183" s="177" t="e">
        <f t="shared" si="21"/>
        <v>#VALUE!</v>
      </c>
      <c r="K183" s="177">
        <f>SUM($I$17:$I183)</f>
        <v>0</v>
      </c>
      <c r="L183" s="179"/>
      <c r="M183" s="179"/>
    </row>
    <row r="184" spans="1:13" s="180" customFormat="1" ht="12.75">
      <c r="A184" s="192" t="str">
        <f t="shared" si="22"/>
        <v/>
      </c>
      <c r="B184" s="175"/>
      <c r="C184" s="176" t="str">
        <f t="shared" si="18"/>
        <v/>
      </c>
      <c r="D184" s="177" t="str">
        <f t="shared" si="23"/>
        <v/>
      </c>
      <c r="E184" s="177" t="str">
        <f t="shared" si="26"/>
        <v/>
      </c>
      <c r="F184" s="178" t="e">
        <f t="shared" si="19"/>
        <v>#VALUE!</v>
      </c>
      <c r="G184" s="177" t="e">
        <f t="shared" si="20"/>
        <v>#VALUE!</v>
      </c>
      <c r="H184" s="177" t="str">
        <f t="shared" si="24"/>
        <v/>
      </c>
      <c r="I184" s="177" t="str">
        <f t="shared" si="25"/>
        <v/>
      </c>
      <c r="J184" s="177" t="e">
        <f t="shared" si="21"/>
        <v>#VALUE!</v>
      </c>
      <c r="K184" s="177">
        <f>SUM($I$17:$I184)</f>
        <v>0</v>
      </c>
      <c r="L184" s="179"/>
      <c r="M184" s="179"/>
    </row>
    <row r="185" spans="1:13" s="180" customFormat="1" ht="12.75">
      <c r="A185" s="192" t="str">
        <f t="shared" si="22"/>
        <v/>
      </c>
      <c r="B185" s="175"/>
      <c r="C185" s="176" t="str">
        <f t="shared" si="18"/>
        <v/>
      </c>
      <c r="D185" s="177" t="str">
        <f t="shared" si="23"/>
        <v/>
      </c>
      <c r="E185" s="177" t="str">
        <f t="shared" si="26"/>
        <v/>
      </c>
      <c r="F185" s="178" t="e">
        <f t="shared" si="19"/>
        <v>#VALUE!</v>
      </c>
      <c r="G185" s="177" t="e">
        <f t="shared" si="20"/>
        <v>#VALUE!</v>
      </c>
      <c r="H185" s="177" t="str">
        <f t="shared" si="24"/>
        <v/>
      </c>
      <c r="I185" s="177" t="str">
        <f t="shared" si="25"/>
        <v/>
      </c>
      <c r="J185" s="177" t="e">
        <f t="shared" si="21"/>
        <v>#VALUE!</v>
      </c>
      <c r="K185" s="177">
        <f>SUM($I$17:$I185)</f>
        <v>0</v>
      </c>
      <c r="L185" s="179"/>
      <c r="M185" s="179"/>
    </row>
    <row r="186" spans="1:13" s="180" customFormat="1" ht="12.75">
      <c r="A186" s="192" t="str">
        <f t="shared" si="22"/>
        <v/>
      </c>
      <c r="B186" s="175"/>
      <c r="C186" s="176" t="str">
        <f t="shared" si="18"/>
        <v/>
      </c>
      <c r="D186" s="177" t="str">
        <f t="shared" si="23"/>
        <v/>
      </c>
      <c r="E186" s="177" t="str">
        <f t="shared" si="26"/>
        <v/>
      </c>
      <c r="F186" s="178" t="e">
        <f t="shared" si="19"/>
        <v>#VALUE!</v>
      </c>
      <c r="G186" s="177" t="e">
        <f t="shared" si="20"/>
        <v>#VALUE!</v>
      </c>
      <c r="H186" s="177" t="str">
        <f t="shared" si="24"/>
        <v/>
      </c>
      <c r="I186" s="177" t="str">
        <f t="shared" si="25"/>
        <v/>
      </c>
      <c r="J186" s="177" t="e">
        <f t="shared" si="21"/>
        <v>#VALUE!</v>
      </c>
      <c r="K186" s="177">
        <f>SUM($I$17:$I186)</f>
        <v>0</v>
      </c>
      <c r="L186" s="179"/>
      <c r="M186" s="179"/>
    </row>
    <row r="187" spans="1:13" s="180" customFormat="1" ht="12.75">
      <c r="A187" s="192" t="str">
        <f t="shared" si="22"/>
        <v/>
      </c>
      <c r="B187" s="175"/>
      <c r="C187" s="176" t="str">
        <f t="shared" si="18"/>
        <v/>
      </c>
      <c r="D187" s="177" t="str">
        <f t="shared" si="23"/>
        <v/>
      </c>
      <c r="E187" s="177" t="str">
        <f t="shared" si="26"/>
        <v/>
      </c>
      <c r="F187" s="178" t="e">
        <f t="shared" si="19"/>
        <v>#VALUE!</v>
      </c>
      <c r="G187" s="177" t="e">
        <f t="shared" si="20"/>
        <v>#VALUE!</v>
      </c>
      <c r="H187" s="177" t="str">
        <f t="shared" si="24"/>
        <v/>
      </c>
      <c r="I187" s="177" t="str">
        <f t="shared" si="25"/>
        <v/>
      </c>
      <c r="J187" s="177" t="e">
        <f t="shared" si="21"/>
        <v>#VALUE!</v>
      </c>
      <c r="K187" s="177">
        <f>SUM($I$17:$I187)</f>
        <v>0</v>
      </c>
      <c r="L187" s="179"/>
      <c r="M187" s="179"/>
    </row>
    <row r="188" spans="1:13" s="180" customFormat="1" ht="12.75">
      <c r="A188" s="192" t="str">
        <f t="shared" si="22"/>
        <v/>
      </c>
      <c r="B188" s="175"/>
      <c r="C188" s="176" t="str">
        <f t="shared" si="18"/>
        <v/>
      </c>
      <c r="D188" s="177" t="str">
        <f t="shared" si="23"/>
        <v/>
      </c>
      <c r="E188" s="177" t="str">
        <f t="shared" si="26"/>
        <v/>
      </c>
      <c r="F188" s="178" t="e">
        <f t="shared" si="19"/>
        <v>#VALUE!</v>
      </c>
      <c r="G188" s="177" t="e">
        <f t="shared" si="20"/>
        <v>#VALUE!</v>
      </c>
      <c r="H188" s="177" t="str">
        <f t="shared" si="24"/>
        <v/>
      </c>
      <c r="I188" s="177" t="str">
        <f t="shared" si="25"/>
        <v/>
      </c>
      <c r="J188" s="177" t="e">
        <f t="shared" si="21"/>
        <v>#VALUE!</v>
      </c>
      <c r="K188" s="177">
        <f>SUM($I$17:$I188)</f>
        <v>0</v>
      </c>
      <c r="L188" s="179"/>
      <c r="M188" s="179"/>
    </row>
    <row r="189" spans="1:13" s="180" customFormat="1" ht="12.75">
      <c r="A189" s="192" t="str">
        <f t="shared" si="22"/>
        <v/>
      </c>
      <c r="B189" s="175"/>
      <c r="C189" s="176" t="str">
        <f t="shared" si="18"/>
        <v/>
      </c>
      <c r="D189" s="177" t="str">
        <f t="shared" si="23"/>
        <v/>
      </c>
      <c r="E189" s="177" t="str">
        <f t="shared" si="26"/>
        <v/>
      </c>
      <c r="F189" s="178" t="e">
        <f t="shared" si="19"/>
        <v>#VALUE!</v>
      </c>
      <c r="G189" s="177" t="e">
        <f t="shared" si="20"/>
        <v>#VALUE!</v>
      </c>
      <c r="H189" s="177" t="str">
        <f t="shared" si="24"/>
        <v/>
      </c>
      <c r="I189" s="177" t="str">
        <f t="shared" si="25"/>
        <v/>
      </c>
      <c r="J189" s="177" t="e">
        <f t="shared" si="21"/>
        <v>#VALUE!</v>
      </c>
      <c r="K189" s="177">
        <f>SUM($I$17:$I189)</f>
        <v>0</v>
      </c>
      <c r="L189" s="179"/>
      <c r="M189" s="179"/>
    </row>
    <row r="190" spans="1:13" s="180" customFormat="1" ht="12.75">
      <c r="A190" s="192" t="str">
        <f t="shared" si="22"/>
        <v/>
      </c>
      <c r="B190" s="175"/>
      <c r="C190" s="176" t="str">
        <f t="shared" si="18"/>
        <v/>
      </c>
      <c r="D190" s="177" t="str">
        <f t="shared" si="23"/>
        <v/>
      </c>
      <c r="E190" s="177" t="str">
        <f t="shared" si="26"/>
        <v/>
      </c>
      <c r="F190" s="178" t="e">
        <f t="shared" si="19"/>
        <v>#VALUE!</v>
      </c>
      <c r="G190" s="177" t="e">
        <f t="shared" si="20"/>
        <v>#VALUE!</v>
      </c>
      <c r="H190" s="177" t="str">
        <f t="shared" si="24"/>
        <v/>
      </c>
      <c r="I190" s="177" t="str">
        <f t="shared" si="25"/>
        <v/>
      </c>
      <c r="J190" s="177" t="e">
        <f t="shared" si="21"/>
        <v>#VALUE!</v>
      </c>
      <c r="K190" s="177">
        <f>SUM($I$17:$I190)</f>
        <v>0</v>
      </c>
      <c r="L190" s="179"/>
      <c r="M190" s="179"/>
    </row>
    <row r="191" spans="1:13" s="180" customFormat="1" ht="12.75">
      <c r="A191" s="192" t="str">
        <f t="shared" si="22"/>
        <v/>
      </c>
      <c r="B191" s="175"/>
      <c r="C191" s="176" t="str">
        <f t="shared" si="18"/>
        <v/>
      </c>
      <c r="D191" s="177" t="str">
        <f t="shared" si="23"/>
        <v/>
      </c>
      <c r="E191" s="177" t="str">
        <f t="shared" si="26"/>
        <v/>
      </c>
      <c r="F191" s="178" t="e">
        <f t="shared" si="19"/>
        <v>#VALUE!</v>
      </c>
      <c r="G191" s="177" t="e">
        <f t="shared" si="20"/>
        <v>#VALUE!</v>
      </c>
      <c r="H191" s="177" t="str">
        <f t="shared" si="24"/>
        <v/>
      </c>
      <c r="I191" s="177" t="str">
        <f t="shared" si="25"/>
        <v/>
      </c>
      <c r="J191" s="177" t="e">
        <f t="shared" si="21"/>
        <v>#VALUE!</v>
      </c>
      <c r="K191" s="177">
        <f>SUM($I$17:$I191)</f>
        <v>0</v>
      </c>
      <c r="L191" s="179"/>
      <c r="M191" s="179"/>
    </row>
    <row r="192" spans="1:13" s="180" customFormat="1" ht="12.75">
      <c r="A192" s="192" t="str">
        <f t="shared" si="22"/>
        <v/>
      </c>
      <c r="B192" s="175"/>
      <c r="C192" s="176" t="str">
        <f t="shared" si="18"/>
        <v/>
      </c>
      <c r="D192" s="177" t="str">
        <f t="shared" si="23"/>
        <v/>
      </c>
      <c r="E192" s="177" t="str">
        <f t="shared" si="26"/>
        <v/>
      </c>
      <c r="F192" s="178" t="e">
        <f t="shared" si="19"/>
        <v>#VALUE!</v>
      </c>
      <c r="G192" s="177" t="e">
        <f t="shared" si="20"/>
        <v>#VALUE!</v>
      </c>
      <c r="H192" s="177" t="str">
        <f t="shared" si="24"/>
        <v/>
      </c>
      <c r="I192" s="177" t="str">
        <f t="shared" si="25"/>
        <v/>
      </c>
      <c r="J192" s="177" t="e">
        <f t="shared" si="21"/>
        <v>#VALUE!</v>
      </c>
      <c r="K192" s="177">
        <f>SUM($I$17:$I192)</f>
        <v>0</v>
      </c>
      <c r="L192" s="179"/>
      <c r="M192" s="179"/>
    </row>
    <row r="193" spans="1:13" s="180" customFormat="1" ht="12.75">
      <c r="A193" s="192" t="str">
        <f t="shared" si="22"/>
        <v/>
      </c>
      <c r="B193" s="175"/>
      <c r="C193" s="176" t="str">
        <f t="shared" si="18"/>
        <v/>
      </c>
      <c r="D193" s="177" t="str">
        <f t="shared" si="23"/>
        <v/>
      </c>
      <c r="E193" s="177" t="str">
        <f t="shared" si="26"/>
        <v/>
      </c>
      <c r="F193" s="178" t="e">
        <f t="shared" si="19"/>
        <v>#VALUE!</v>
      </c>
      <c r="G193" s="177" t="e">
        <f t="shared" si="20"/>
        <v>#VALUE!</v>
      </c>
      <c r="H193" s="177" t="str">
        <f t="shared" si="24"/>
        <v/>
      </c>
      <c r="I193" s="177" t="str">
        <f t="shared" si="25"/>
        <v/>
      </c>
      <c r="J193" s="177" t="e">
        <f t="shared" si="21"/>
        <v>#VALUE!</v>
      </c>
      <c r="K193" s="177">
        <f>SUM($I$17:$I193)</f>
        <v>0</v>
      </c>
      <c r="L193" s="179"/>
      <c r="M193" s="179"/>
    </row>
    <row r="194" spans="1:13" s="180" customFormat="1" ht="12.75">
      <c r="A194" s="192" t="str">
        <f t="shared" si="22"/>
        <v/>
      </c>
      <c r="B194" s="175"/>
      <c r="C194" s="176" t="str">
        <f t="shared" si="18"/>
        <v/>
      </c>
      <c r="D194" s="177" t="str">
        <f t="shared" si="23"/>
        <v/>
      </c>
      <c r="E194" s="177" t="str">
        <f t="shared" si="26"/>
        <v/>
      </c>
      <c r="F194" s="178" t="e">
        <f t="shared" si="19"/>
        <v>#VALUE!</v>
      </c>
      <c r="G194" s="177" t="e">
        <f t="shared" si="20"/>
        <v>#VALUE!</v>
      </c>
      <c r="H194" s="177" t="str">
        <f t="shared" si="24"/>
        <v/>
      </c>
      <c r="I194" s="177" t="str">
        <f t="shared" si="25"/>
        <v/>
      </c>
      <c r="J194" s="177" t="e">
        <f t="shared" si="21"/>
        <v>#VALUE!</v>
      </c>
      <c r="K194" s="177">
        <f>SUM($I$17:$I194)</f>
        <v>0</v>
      </c>
      <c r="L194" s="179"/>
      <c r="M194" s="179"/>
    </row>
    <row r="195" spans="1:13" s="180" customFormat="1" ht="12.75">
      <c r="A195" s="192" t="str">
        <f t="shared" si="22"/>
        <v/>
      </c>
      <c r="B195" s="175"/>
      <c r="C195" s="176" t="str">
        <f t="shared" si="18"/>
        <v/>
      </c>
      <c r="D195" s="177" t="str">
        <f t="shared" si="23"/>
        <v/>
      </c>
      <c r="E195" s="177" t="str">
        <f t="shared" si="26"/>
        <v/>
      </c>
      <c r="F195" s="178" t="e">
        <f t="shared" si="19"/>
        <v>#VALUE!</v>
      </c>
      <c r="G195" s="177" t="e">
        <f t="shared" si="20"/>
        <v>#VALUE!</v>
      </c>
      <c r="H195" s="177" t="str">
        <f t="shared" si="24"/>
        <v/>
      </c>
      <c r="I195" s="177" t="str">
        <f t="shared" si="25"/>
        <v/>
      </c>
      <c r="J195" s="177" t="e">
        <f t="shared" si="21"/>
        <v>#VALUE!</v>
      </c>
      <c r="K195" s="177">
        <f>SUM($I$17:$I195)</f>
        <v>0</v>
      </c>
      <c r="L195" s="179"/>
      <c r="M195" s="179"/>
    </row>
    <row r="196" spans="1:13" s="180" customFormat="1" ht="12.75">
      <c r="A196" s="192" t="str">
        <f t="shared" si="22"/>
        <v/>
      </c>
      <c r="B196" s="175"/>
      <c r="C196" s="176" t="str">
        <f t="shared" si="18"/>
        <v/>
      </c>
      <c r="D196" s="177" t="str">
        <f t="shared" si="23"/>
        <v/>
      </c>
      <c r="E196" s="177" t="str">
        <f t="shared" si="26"/>
        <v/>
      </c>
      <c r="F196" s="178" t="e">
        <f t="shared" si="19"/>
        <v>#VALUE!</v>
      </c>
      <c r="G196" s="177" t="e">
        <f t="shared" si="20"/>
        <v>#VALUE!</v>
      </c>
      <c r="H196" s="177" t="str">
        <f t="shared" si="24"/>
        <v/>
      </c>
      <c r="I196" s="177" t="str">
        <f t="shared" si="25"/>
        <v/>
      </c>
      <c r="J196" s="177" t="e">
        <f t="shared" si="21"/>
        <v>#VALUE!</v>
      </c>
      <c r="K196" s="177">
        <f>SUM($I$17:$I196)</f>
        <v>0</v>
      </c>
      <c r="L196" s="179"/>
      <c r="M196" s="179"/>
    </row>
    <row r="197" spans="1:13" s="180" customFormat="1" ht="12.75">
      <c r="A197" s="192" t="str">
        <f t="shared" si="22"/>
        <v/>
      </c>
      <c r="B197" s="175"/>
      <c r="C197" s="176" t="str">
        <f t="shared" si="18"/>
        <v/>
      </c>
      <c r="D197" s="177" t="str">
        <f t="shared" si="23"/>
        <v/>
      </c>
      <c r="E197" s="177" t="str">
        <f t="shared" si="26"/>
        <v/>
      </c>
      <c r="F197" s="178" t="e">
        <f t="shared" si="19"/>
        <v>#VALUE!</v>
      </c>
      <c r="G197" s="177" t="e">
        <f t="shared" si="20"/>
        <v>#VALUE!</v>
      </c>
      <c r="H197" s="177" t="str">
        <f t="shared" si="24"/>
        <v/>
      </c>
      <c r="I197" s="177" t="str">
        <f t="shared" si="25"/>
        <v/>
      </c>
      <c r="J197" s="177" t="e">
        <f t="shared" si="21"/>
        <v>#VALUE!</v>
      </c>
      <c r="K197" s="177">
        <f>SUM($I$17:$I197)</f>
        <v>0</v>
      </c>
      <c r="L197" s="179"/>
      <c r="M197" s="179"/>
    </row>
    <row r="198" spans="1:13" s="180" customFormat="1" ht="12.75">
      <c r="A198" s="192" t="str">
        <f t="shared" si="22"/>
        <v/>
      </c>
      <c r="B198" s="175"/>
      <c r="C198" s="176" t="str">
        <f t="shared" si="18"/>
        <v/>
      </c>
      <c r="D198" s="177" t="str">
        <f t="shared" si="23"/>
        <v/>
      </c>
      <c r="E198" s="177" t="str">
        <f t="shared" si="26"/>
        <v/>
      </c>
      <c r="F198" s="178" t="e">
        <f t="shared" si="19"/>
        <v>#VALUE!</v>
      </c>
      <c r="G198" s="177" t="e">
        <f t="shared" si="20"/>
        <v>#VALUE!</v>
      </c>
      <c r="H198" s="177" t="str">
        <f t="shared" si="24"/>
        <v/>
      </c>
      <c r="I198" s="177" t="str">
        <f t="shared" si="25"/>
        <v/>
      </c>
      <c r="J198" s="177" t="e">
        <f t="shared" si="21"/>
        <v>#VALUE!</v>
      </c>
      <c r="K198" s="177">
        <f>SUM($I$17:$I198)</f>
        <v>0</v>
      </c>
      <c r="L198" s="179"/>
      <c r="M198" s="179"/>
    </row>
    <row r="199" spans="1:13" s="180" customFormat="1" ht="12.75">
      <c r="A199" s="192" t="str">
        <f t="shared" si="22"/>
        <v/>
      </c>
      <c r="B199" s="175"/>
      <c r="C199" s="176" t="str">
        <f t="shared" si="18"/>
        <v/>
      </c>
      <c r="D199" s="177" t="str">
        <f t="shared" si="23"/>
        <v/>
      </c>
      <c r="E199" s="177" t="str">
        <f t="shared" si="26"/>
        <v/>
      </c>
      <c r="F199" s="178" t="e">
        <f t="shared" si="19"/>
        <v>#VALUE!</v>
      </c>
      <c r="G199" s="177" t="e">
        <f t="shared" si="20"/>
        <v>#VALUE!</v>
      </c>
      <c r="H199" s="177" t="str">
        <f t="shared" si="24"/>
        <v/>
      </c>
      <c r="I199" s="177" t="str">
        <f t="shared" si="25"/>
        <v/>
      </c>
      <c r="J199" s="177" t="e">
        <f t="shared" si="21"/>
        <v>#VALUE!</v>
      </c>
      <c r="K199" s="177">
        <f>SUM($I$17:$I199)</f>
        <v>0</v>
      </c>
      <c r="L199" s="179"/>
      <c r="M199" s="179"/>
    </row>
    <row r="200" spans="1:13" s="180" customFormat="1" ht="12.75">
      <c r="A200" s="192" t="str">
        <f t="shared" si="22"/>
        <v/>
      </c>
      <c r="B200" s="175"/>
      <c r="C200" s="176" t="str">
        <f t="shared" si="18"/>
        <v/>
      </c>
      <c r="D200" s="177" t="str">
        <f t="shared" si="23"/>
        <v/>
      </c>
      <c r="E200" s="177" t="str">
        <f t="shared" si="26"/>
        <v/>
      </c>
      <c r="F200" s="178" t="e">
        <f t="shared" si="19"/>
        <v>#VALUE!</v>
      </c>
      <c r="G200" s="177" t="e">
        <f t="shared" si="20"/>
        <v>#VALUE!</v>
      </c>
      <c r="H200" s="177" t="str">
        <f t="shared" si="24"/>
        <v/>
      </c>
      <c r="I200" s="177" t="str">
        <f t="shared" si="25"/>
        <v/>
      </c>
      <c r="J200" s="177" t="e">
        <f t="shared" si="21"/>
        <v>#VALUE!</v>
      </c>
      <c r="K200" s="177">
        <f>SUM($I$17:$I200)</f>
        <v>0</v>
      </c>
      <c r="L200" s="179"/>
      <c r="M200" s="179"/>
    </row>
    <row r="201" spans="1:13" s="180" customFormat="1" ht="12.75">
      <c r="A201" s="192" t="str">
        <f t="shared" si="22"/>
        <v/>
      </c>
      <c r="B201" s="175"/>
      <c r="C201" s="176" t="str">
        <f t="shared" si="18"/>
        <v/>
      </c>
      <c r="D201" s="177" t="str">
        <f t="shared" si="23"/>
        <v/>
      </c>
      <c r="E201" s="177" t="str">
        <f t="shared" si="26"/>
        <v/>
      </c>
      <c r="F201" s="178" t="e">
        <f t="shared" si="19"/>
        <v>#VALUE!</v>
      </c>
      <c r="G201" s="177" t="e">
        <f t="shared" si="20"/>
        <v>#VALUE!</v>
      </c>
      <c r="H201" s="177" t="str">
        <f t="shared" si="24"/>
        <v/>
      </c>
      <c r="I201" s="177" t="str">
        <f t="shared" si="25"/>
        <v/>
      </c>
      <c r="J201" s="177" t="e">
        <f t="shared" si="21"/>
        <v>#VALUE!</v>
      </c>
      <c r="K201" s="177">
        <f>SUM($I$17:$I201)</f>
        <v>0</v>
      </c>
      <c r="L201" s="179"/>
      <c r="M201" s="179"/>
    </row>
    <row r="202" spans="1:13" s="180" customFormat="1" ht="12.75">
      <c r="A202" s="192" t="str">
        <f t="shared" si="22"/>
        <v/>
      </c>
      <c r="B202" s="175"/>
      <c r="C202" s="176" t="str">
        <f t="shared" si="18"/>
        <v/>
      </c>
      <c r="D202" s="177" t="str">
        <f t="shared" si="23"/>
        <v/>
      </c>
      <c r="E202" s="177" t="str">
        <f t="shared" si="26"/>
        <v/>
      </c>
      <c r="F202" s="178" t="e">
        <f t="shared" si="19"/>
        <v>#VALUE!</v>
      </c>
      <c r="G202" s="177" t="e">
        <f t="shared" si="20"/>
        <v>#VALUE!</v>
      </c>
      <c r="H202" s="177" t="str">
        <f t="shared" si="24"/>
        <v/>
      </c>
      <c r="I202" s="177" t="str">
        <f t="shared" si="25"/>
        <v/>
      </c>
      <c r="J202" s="177" t="e">
        <f t="shared" si="21"/>
        <v>#VALUE!</v>
      </c>
      <c r="K202" s="177">
        <f>SUM($I$17:$I202)</f>
        <v>0</v>
      </c>
      <c r="L202" s="179"/>
      <c r="M202" s="179"/>
    </row>
    <row r="203" spans="1:13" s="180" customFormat="1" ht="12.75">
      <c r="A203" s="192" t="str">
        <f t="shared" si="22"/>
        <v/>
      </c>
      <c r="B203" s="175"/>
      <c r="C203" s="176" t="str">
        <f t="shared" si="18"/>
        <v/>
      </c>
      <c r="D203" s="177" t="str">
        <f t="shared" si="23"/>
        <v/>
      </c>
      <c r="E203" s="177" t="str">
        <f t="shared" si="26"/>
        <v/>
      </c>
      <c r="F203" s="178" t="e">
        <f t="shared" si="19"/>
        <v>#VALUE!</v>
      </c>
      <c r="G203" s="177" t="e">
        <f t="shared" si="20"/>
        <v>#VALUE!</v>
      </c>
      <c r="H203" s="177" t="str">
        <f t="shared" si="24"/>
        <v/>
      </c>
      <c r="I203" s="177" t="str">
        <f t="shared" si="25"/>
        <v/>
      </c>
      <c r="J203" s="177" t="e">
        <f t="shared" si="21"/>
        <v>#VALUE!</v>
      </c>
      <c r="K203" s="177">
        <f>SUM($I$17:$I203)</f>
        <v>0</v>
      </c>
      <c r="L203" s="179"/>
      <c r="M203" s="179"/>
    </row>
    <row r="204" spans="1:13" s="180" customFormat="1" ht="12.75">
      <c r="A204" s="192" t="str">
        <f t="shared" si="22"/>
        <v/>
      </c>
      <c r="B204" s="175"/>
      <c r="C204" s="176" t="str">
        <f t="shared" si="18"/>
        <v/>
      </c>
      <c r="D204" s="177" t="str">
        <f t="shared" si="23"/>
        <v/>
      </c>
      <c r="E204" s="177" t="str">
        <f t="shared" si="26"/>
        <v/>
      </c>
      <c r="F204" s="178" t="e">
        <f t="shared" si="19"/>
        <v>#VALUE!</v>
      </c>
      <c r="G204" s="177" t="e">
        <f t="shared" si="20"/>
        <v>#VALUE!</v>
      </c>
      <c r="H204" s="177" t="str">
        <f t="shared" si="24"/>
        <v/>
      </c>
      <c r="I204" s="177" t="str">
        <f t="shared" si="25"/>
        <v/>
      </c>
      <c r="J204" s="177" t="e">
        <f t="shared" si="21"/>
        <v>#VALUE!</v>
      </c>
      <c r="K204" s="177">
        <f>SUM($I$17:$I204)</f>
        <v>0</v>
      </c>
      <c r="L204" s="179"/>
      <c r="M204" s="179"/>
    </row>
    <row r="205" spans="1:13" s="180" customFormat="1" ht="12.75">
      <c r="A205" s="192" t="str">
        <f t="shared" si="22"/>
        <v/>
      </c>
      <c r="B205" s="175"/>
      <c r="C205" s="176" t="str">
        <f t="shared" si="18"/>
        <v/>
      </c>
      <c r="D205" s="177" t="str">
        <f t="shared" si="23"/>
        <v/>
      </c>
      <c r="E205" s="177" t="str">
        <f t="shared" si="26"/>
        <v/>
      </c>
      <c r="F205" s="178" t="e">
        <f t="shared" si="19"/>
        <v>#VALUE!</v>
      </c>
      <c r="G205" s="177" t="e">
        <f t="shared" si="20"/>
        <v>#VALUE!</v>
      </c>
      <c r="H205" s="177" t="str">
        <f t="shared" si="24"/>
        <v/>
      </c>
      <c r="I205" s="177" t="str">
        <f t="shared" si="25"/>
        <v/>
      </c>
      <c r="J205" s="177" t="e">
        <f t="shared" si="21"/>
        <v>#VALUE!</v>
      </c>
      <c r="K205" s="177">
        <f>SUM($I$17:$I205)</f>
        <v>0</v>
      </c>
      <c r="L205" s="179"/>
      <c r="M205" s="179"/>
    </row>
    <row r="206" spans="1:13" s="180" customFormat="1" ht="12.75">
      <c r="A206" s="192" t="str">
        <f t="shared" si="22"/>
        <v/>
      </c>
      <c r="B206" s="175"/>
      <c r="C206" s="176" t="str">
        <f t="shared" si="18"/>
        <v/>
      </c>
      <c r="D206" s="177" t="str">
        <f t="shared" si="23"/>
        <v/>
      </c>
      <c r="E206" s="177" t="str">
        <f t="shared" si="26"/>
        <v/>
      </c>
      <c r="F206" s="178" t="e">
        <f t="shared" si="19"/>
        <v>#VALUE!</v>
      </c>
      <c r="G206" s="177" t="e">
        <f t="shared" si="20"/>
        <v>#VALUE!</v>
      </c>
      <c r="H206" s="177" t="str">
        <f t="shared" si="24"/>
        <v/>
      </c>
      <c r="I206" s="177" t="str">
        <f t="shared" si="25"/>
        <v/>
      </c>
      <c r="J206" s="177" t="e">
        <f t="shared" si="21"/>
        <v>#VALUE!</v>
      </c>
      <c r="K206" s="177">
        <f>SUM($I$17:$I206)</f>
        <v>0</v>
      </c>
      <c r="L206" s="179"/>
      <c r="M206" s="179"/>
    </row>
    <row r="207" spans="1:13" s="180" customFormat="1" ht="12.75">
      <c r="A207" s="192" t="str">
        <f t="shared" si="22"/>
        <v/>
      </c>
      <c r="B207" s="175"/>
      <c r="C207" s="176" t="str">
        <f t="shared" si="18"/>
        <v/>
      </c>
      <c r="D207" s="177" t="str">
        <f t="shared" si="23"/>
        <v/>
      </c>
      <c r="E207" s="177" t="str">
        <f t="shared" si="26"/>
        <v/>
      </c>
      <c r="F207" s="178" t="e">
        <f t="shared" si="19"/>
        <v>#VALUE!</v>
      </c>
      <c r="G207" s="177" t="e">
        <f t="shared" si="20"/>
        <v>#VALUE!</v>
      </c>
      <c r="H207" s="177" t="str">
        <f t="shared" si="24"/>
        <v/>
      </c>
      <c r="I207" s="177" t="str">
        <f t="shared" si="25"/>
        <v/>
      </c>
      <c r="J207" s="177" t="e">
        <f t="shared" si="21"/>
        <v>#VALUE!</v>
      </c>
      <c r="K207" s="177">
        <f>SUM($I$17:$I207)</f>
        <v>0</v>
      </c>
      <c r="L207" s="179"/>
      <c r="M207" s="179"/>
    </row>
    <row r="208" spans="1:13" s="180" customFormat="1" ht="12.75">
      <c r="A208" s="192" t="str">
        <f t="shared" si="22"/>
        <v/>
      </c>
      <c r="B208" s="175"/>
      <c r="C208" s="176" t="str">
        <f t="shared" si="18"/>
        <v/>
      </c>
      <c r="D208" s="177" t="str">
        <f t="shared" si="23"/>
        <v/>
      </c>
      <c r="E208" s="177" t="str">
        <f t="shared" si="26"/>
        <v/>
      </c>
      <c r="F208" s="178" t="e">
        <f t="shared" si="19"/>
        <v>#VALUE!</v>
      </c>
      <c r="G208" s="177" t="e">
        <f t="shared" si="20"/>
        <v>#VALUE!</v>
      </c>
      <c r="H208" s="177" t="str">
        <f t="shared" si="24"/>
        <v/>
      </c>
      <c r="I208" s="177" t="str">
        <f t="shared" si="25"/>
        <v/>
      </c>
      <c r="J208" s="177" t="e">
        <f t="shared" si="21"/>
        <v>#VALUE!</v>
      </c>
      <c r="K208" s="177">
        <f>SUM($I$17:$I208)</f>
        <v>0</v>
      </c>
      <c r="L208" s="179"/>
      <c r="M208" s="179"/>
    </row>
    <row r="209" spans="1:13" s="180" customFormat="1" ht="12.75">
      <c r="A209" s="192" t="str">
        <f t="shared" si="22"/>
        <v/>
      </c>
      <c r="B209" s="175"/>
      <c r="C209" s="176" t="str">
        <f t="shared" ref="C209:C272" si="27">IF(Pay_Num&lt;&gt;"",DATE(YEAR(Loan_Start),MONTH(Loan_Start)+(Pay_Num)*12/Num_Pmt_Per_Year,DAY(Loan_Start)),"")</f>
        <v/>
      </c>
      <c r="D209" s="177" t="str">
        <f t="shared" si="23"/>
        <v/>
      </c>
      <c r="E209" s="177" t="str">
        <f t="shared" si="26"/>
        <v/>
      </c>
      <c r="F209" s="178" t="e">
        <f t="shared" ref="F209:F272" si="28">IF(AND(Pay_Num&lt;&gt;"",Sched_Pay+Scheduled_Extra_Payments&lt;Beg_Bal),Scheduled_Extra_Payments,IF(AND(Pay_Num&lt;&gt;"",Beg_Bal-Sched_Pay&gt;0),Beg_Bal-Sched_Pay,IF(Pay_Num&lt;&gt;"",0,"")))</f>
        <v>#VALUE!</v>
      </c>
      <c r="G209" s="177" t="e">
        <f t="shared" ref="G209:G272" si="29">IF(AND(Pay_Num&lt;&gt;"",Sched_Pay+Extra_Pay&lt;Beg_Bal),Sched_Pay+Extra_Pay,IF(Pay_Num&lt;&gt;"",Beg_Bal,""))</f>
        <v>#VALUE!</v>
      </c>
      <c r="H209" s="177" t="str">
        <f t="shared" si="24"/>
        <v/>
      </c>
      <c r="I209" s="177" t="str">
        <f t="shared" si="25"/>
        <v/>
      </c>
      <c r="J209" s="177" t="e">
        <f t="shared" ref="J209:J272" si="30">IF(AND(Pay_Num&lt;&gt;"",Sched_Pay+Extra_Pay&lt;Beg_Bal),Beg_Bal-Princ,IF(Pay_Num&lt;&gt;"",0,""))</f>
        <v>#VALUE!</v>
      </c>
      <c r="K209" s="177">
        <f>SUM($I$17:$I209)</f>
        <v>0</v>
      </c>
      <c r="L209" s="179"/>
      <c r="M209" s="179"/>
    </row>
    <row r="210" spans="1:13" s="180" customFormat="1" ht="12.75">
      <c r="A210" s="192" t="str">
        <f t="shared" ref="A210:A273" si="31">IF(Values_Entered,A209+1,"")</f>
        <v/>
      </c>
      <c r="B210" s="175"/>
      <c r="C210" s="176" t="str">
        <f t="shared" si="27"/>
        <v/>
      </c>
      <c r="D210" s="177" t="str">
        <f t="shared" ref="D210:D273" si="32">IF(Pay_Num&lt;&gt;"",J209,"")</f>
        <v/>
      </c>
      <c r="E210" s="177" t="str">
        <f t="shared" si="26"/>
        <v/>
      </c>
      <c r="F210" s="178" t="e">
        <f t="shared" si="28"/>
        <v>#VALUE!</v>
      </c>
      <c r="G210" s="177" t="e">
        <f t="shared" si="29"/>
        <v>#VALUE!</v>
      </c>
      <c r="H210" s="177" t="str">
        <f t="shared" ref="H210:H273" si="33">IF(Pay_Num&lt;&gt;"",Total_Pay-Int,"")</f>
        <v/>
      </c>
      <c r="I210" s="177" t="str">
        <f t="shared" ref="I210:I273" si="34">IF(Pay_Num&lt;&gt;"",Beg_Bal*Interest_Rate/Num_Pmt_Per_Year,"")</f>
        <v/>
      </c>
      <c r="J210" s="177" t="e">
        <f t="shared" si="30"/>
        <v>#VALUE!</v>
      </c>
      <c r="K210" s="177">
        <f>SUM($I$17:$I210)</f>
        <v>0</v>
      </c>
      <c r="L210" s="179"/>
      <c r="M210" s="179"/>
    </row>
    <row r="211" spans="1:13" s="180" customFormat="1" ht="12.75">
      <c r="A211" s="192" t="str">
        <f t="shared" si="31"/>
        <v/>
      </c>
      <c r="B211" s="175"/>
      <c r="C211" s="176" t="str">
        <f t="shared" si="27"/>
        <v/>
      </c>
      <c r="D211" s="177" t="str">
        <f t="shared" si="32"/>
        <v/>
      </c>
      <c r="E211" s="177" t="str">
        <f t="shared" ref="E211:E274" si="35">IF(Pay_Num&lt;&gt;"",Scheduled_Monthly_Payment,"")</f>
        <v/>
      </c>
      <c r="F211" s="178" t="e">
        <f t="shared" si="28"/>
        <v>#VALUE!</v>
      </c>
      <c r="G211" s="177" t="e">
        <f t="shared" si="29"/>
        <v>#VALUE!</v>
      </c>
      <c r="H211" s="177" t="str">
        <f t="shared" si="33"/>
        <v/>
      </c>
      <c r="I211" s="177" t="str">
        <f t="shared" si="34"/>
        <v/>
      </c>
      <c r="J211" s="177" t="e">
        <f t="shared" si="30"/>
        <v>#VALUE!</v>
      </c>
      <c r="K211" s="177">
        <f>SUM($I$17:$I211)</f>
        <v>0</v>
      </c>
      <c r="L211" s="179"/>
      <c r="M211" s="179"/>
    </row>
    <row r="212" spans="1:13" s="180" customFormat="1" ht="12.75">
      <c r="A212" s="192" t="str">
        <f t="shared" si="31"/>
        <v/>
      </c>
      <c r="B212" s="175"/>
      <c r="C212" s="176" t="str">
        <f t="shared" si="27"/>
        <v/>
      </c>
      <c r="D212" s="177" t="str">
        <f t="shared" si="32"/>
        <v/>
      </c>
      <c r="E212" s="177" t="str">
        <f t="shared" si="35"/>
        <v/>
      </c>
      <c r="F212" s="178" t="e">
        <f t="shared" si="28"/>
        <v>#VALUE!</v>
      </c>
      <c r="G212" s="177" t="e">
        <f t="shared" si="29"/>
        <v>#VALUE!</v>
      </c>
      <c r="H212" s="177" t="str">
        <f t="shared" si="33"/>
        <v/>
      </c>
      <c r="I212" s="177" t="str">
        <f t="shared" si="34"/>
        <v/>
      </c>
      <c r="J212" s="177" t="e">
        <f t="shared" si="30"/>
        <v>#VALUE!</v>
      </c>
      <c r="K212" s="177">
        <f>SUM($I$17:$I212)</f>
        <v>0</v>
      </c>
      <c r="L212" s="179"/>
      <c r="M212" s="179"/>
    </row>
    <row r="213" spans="1:13" s="180" customFormat="1" ht="12.75">
      <c r="A213" s="192" t="str">
        <f t="shared" si="31"/>
        <v/>
      </c>
      <c r="B213" s="175"/>
      <c r="C213" s="176" t="str">
        <f t="shared" si="27"/>
        <v/>
      </c>
      <c r="D213" s="177" t="str">
        <f t="shared" si="32"/>
        <v/>
      </c>
      <c r="E213" s="177" t="str">
        <f t="shared" si="35"/>
        <v/>
      </c>
      <c r="F213" s="178" t="e">
        <f t="shared" si="28"/>
        <v>#VALUE!</v>
      </c>
      <c r="G213" s="177" t="e">
        <f t="shared" si="29"/>
        <v>#VALUE!</v>
      </c>
      <c r="H213" s="177" t="str">
        <f t="shared" si="33"/>
        <v/>
      </c>
      <c r="I213" s="177" t="str">
        <f t="shared" si="34"/>
        <v/>
      </c>
      <c r="J213" s="177" t="e">
        <f t="shared" si="30"/>
        <v>#VALUE!</v>
      </c>
      <c r="K213" s="177">
        <f>SUM($I$17:$I213)</f>
        <v>0</v>
      </c>
      <c r="L213" s="179"/>
      <c r="M213" s="179"/>
    </row>
    <row r="214" spans="1:13" s="180" customFormat="1" ht="12.75">
      <c r="A214" s="192" t="str">
        <f t="shared" si="31"/>
        <v/>
      </c>
      <c r="B214" s="175"/>
      <c r="C214" s="176" t="str">
        <f t="shared" si="27"/>
        <v/>
      </c>
      <c r="D214" s="177" t="str">
        <f t="shared" si="32"/>
        <v/>
      </c>
      <c r="E214" s="177" t="str">
        <f t="shared" si="35"/>
        <v/>
      </c>
      <c r="F214" s="178" t="e">
        <f t="shared" si="28"/>
        <v>#VALUE!</v>
      </c>
      <c r="G214" s="177" t="e">
        <f t="shared" si="29"/>
        <v>#VALUE!</v>
      </c>
      <c r="H214" s="177" t="str">
        <f t="shared" si="33"/>
        <v/>
      </c>
      <c r="I214" s="177" t="str">
        <f t="shared" si="34"/>
        <v/>
      </c>
      <c r="J214" s="177" t="e">
        <f t="shared" si="30"/>
        <v>#VALUE!</v>
      </c>
      <c r="K214" s="177">
        <f>SUM($I$17:$I214)</f>
        <v>0</v>
      </c>
      <c r="L214" s="179"/>
      <c r="M214" s="179"/>
    </row>
    <row r="215" spans="1:13" s="180" customFormat="1" ht="12.75">
      <c r="A215" s="192" t="str">
        <f t="shared" si="31"/>
        <v/>
      </c>
      <c r="B215" s="175"/>
      <c r="C215" s="176" t="str">
        <f t="shared" si="27"/>
        <v/>
      </c>
      <c r="D215" s="177" t="str">
        <f t="shared" si="32"/>
        <v/>
      </c>
      <c r="E215" s="177" t="str">
        <f t="shared" si="35"/>
        <v/>
      </c>
      <c r="F215" s="178" t="e">
        <f t="shared" si="28"/>
        <v>#VALUE!</v>
      </c>
      <c r="G215" s="177" t="e">
        <f t="shared" si="29"/>
        <v>#VALUE!</v>
      </c>
      <c r="H215" s="177" t="str">
        <f t="shared" si="33"/>
        <v/>
      </c>
      <c r="I215" s="177" t="str">
        <f t="shared" si="34"/>
        <v/>
      </c>
      <c r="J215" s="177" t="e">
        <f t="shared" si="30"/>
        <v>#VALUE!</v>
      </c>
      <c r="K215" s="177">
        <f>SUM($I$17:$I215)</f>
        <v>0</v>
      </c>
      <c r="L215" s="179"/>
      <c r="M215" s="179"/>
    </row>
    <row r="216" spans="1:13" s="180" customFormat="1" ht="12.75">
      <c r="A216" s="192" t="str">
        <f t="shared" si="31"/>
        <v/>
      </c>
      <c r="B216" s="175"/>
      <c r="C216" s="176" t="str">
        <f t="shared" si="27"/>
        <v/>
      </c>
      <c r="D216" s="177" t="str">
        <f t="shared" si="32"/>
        <v/>
      </c>
      <c r="E216" s="177" t="str">
        <f t="shared" si="35"/>
        <v/>
      </c>
      <c r="F216" s="178" t="e">
        <f t="shared" si="28"/>
        <v>#VALUE!</v>
      </c>
      <c r="G216" s="177" t="e">
        <f t="shared" si="29"/>
        <v>#VALUE!</v>
      </c>
      <c r="H216" s="177" t="str">
        <f t="shared" si="33"/>
        <v/>
      </c>
      <c r="I216" s="177" t="str">
        <f t="shared" si="34"/>
        <v/>
      </c>
      <c r="J216" s="177" t="e">
        <f t="shared" si="30"/>
        <v>#VALUE!</v>
      </c>
      <c r="K216" s="177">
        <f>SUM($I$17:$I216)</f>
        <v>0</v>
      </c>
      <c r="L216" s="179"/>
      <c r="M216" s="179"/>
    </row>
    <row r="217" spans="1:13" s="180" customFormat="1" ht="12.75">
      <c r="A217" s="192" t="str">
        <f t="shared" si="31"/>
        <v/>
      </c>
      <c r="B217" s="175"/>
      <c r="C217" s="176" t="str">
        <f t="shared" si="27"/>
        <v/>
      </c>
      <c r="D217" s="177" t="str">
        <f t="shared" si="32"/>
        <v/>
      </c>
      <c r="E217" s="177" t="str">
        <f t="shared" si="35"/>
        <v/>
      </c>
      <c r="F217" s="178" t="e">
        <f t="shared" si="28"/>
        <v>#VALUE!</v>
      </c>
      <c r="G217" s="177" t="e">
        <f t="shared" si="29"/>
        <v>#VALUE!</v>
      </c>
      <c r="H217" s="177" t="str">
        <f t="shared" si="33"/>
        <v/>
      </c>
      <c r="I217" s="177" t="str">
        <f t="shared" si="34"/>
        <v/>
      </c>
      <c r="J217" s="177" t="e">
        <f t="shared" si="30"/>
        <v>#VALUE!</v>
      </c>
      <c r="K217" s="177">
        <f>SUM($I$17:$I217)</f>
        <v>0</v>
      </c>
      <c r="L217" s="179"/>
      <c r="M217" s="179"/>
    </row>
    <row r="218" spans="1:13" s="180" customFormat="1" ht="12.75">
      <c r="A218" s="192" t="str">
        <f t="shared" si="31"/>
        <v/>
      </c>
      <c r="B218" s="175"/>
      <c r="C218" s="176" t="str">
        <f t="shared" si="27"/>
        <v/>
      </c>
      <c r="D218" s="177" t="str">
        <f t="shared" si="32"/>
        <v/>
      </c>
      <c r="E218" s="177" t="str">
        <f t="shared" si="35"/>
        <v/>
      </c>
      <c r="F218" s="178" t="e">
        <f t="shared" si="28"/>
        <v>#VALUE!</v>
      </c>
      <c r="G218" s="177" t="e">
        <f t="shared" si="29"/>
        <v>#VALUE!</v>
      </c>
      <c r="H218" s="177" t="str">
        <f t="shared" si="33"/>
        <v/>
      </c>
      <c r="I218" s="177" t="str">
        <f t="shared" si="34"/>
        <v/>
      </c>
      <c r="J218" s="177" t="e">
        <f t="shared" si="30"/>
        <v>#VALUE!</v>
      </c>
      <c r="K218" s="177">
        <f>SUM($I$17:$I218)</f>
        <v>0</v>
      </c>
      <c r="L218" s="179"/>
      <c r="M218" s="179"/>
    </row>
    <row r="219" spans="1:13" s="180" customFormat="1" ht="12.75">
      <c r="A219" s="192" t="str">
        <f t="shared" si="31"/>
        <v/>
      </c>
      <c r="B219" s="175"/>
      <c r="C219" s="176" t="str">
        <f t="shared" si="27"/>
        <v/>
      </c>
      <c r="D219" s="177" t="str">
        <f t="shared" si="32"/>
        <v/>
      </c>
      <c r="E219" s="177" t="str">
        <f t="shared" si="35"/>
        <v/>
      </c>
      <c r="F219" s="178" t="e">
        <f t="shared" si="28"/>
        <v>#VALUE!</v>
      </c>
      <c r="G219" s="177" t="e">
        <f t="shared" si="29"/>
        <v>#VALUE!</v>
      </c>
      <c r="H219" s="177" t="str">
        <f t="shared" si="33"/>
        <v/>
      </c>
      <c r="I219" s="177" t="str">
        <f t="shared" si="34"/>
        <v/>
      </c>
      <c r="J219" s="177" t="e">
        <f t="shared" si="30"/>
        <v>#VALUE!</v>
      </c>
      <c r="K219" s="177">
        <f>SUM($I$17:$I219)</f>
        <v>0</v>
      </c>
      <c r="L219" s="179"/>
      <c r="M219" s="179"/>
    </row>
    <row r="220" spans="1:13" s="180" customFormat="1" ht="12.75">
      <c r="A220" s="192" t="str">
        <f t="shared" si="31"/>
        <v/>
      </c>
      <c r="B220" s="175"/>
      <c r="C220" s="176" t="str">
        <f t="shared" si="27"/>
        <v/>
      </c>
      <c r="D220" s="177" t="str">
        <f t="shared" si="32"/>
        <v/>
      </c>
      <c r="E220" s="177" t="str">
        <f t="shared" si="35"/>
        <v/>
      </c>
      <c r="F220" s="178" t="e">
        <f t="shared" si="28"/>
        <v>#VALUE!</v>
      </c>
      <c r="G220" s="177" t="e">
        <f t="shared" si="29"/>
        <v>#VALUE!</v>
      </c>
      <c r="H220" s="177" t="str">
        <f t="shared" si="33"/>
        <v/>
      </c>
      <c r="I220" s="177" t="str">
        <f t="shared" si="34"/>
        <v/>
      </c>
      <c r="J220" s="177" t="e">
        <f t="shared" si="30"/>
        <v>#VALUE!</v>
      </c>
      <c r="K220" s="177">
        <f>SUM($I$17:$I220)</f>
        <v>0</v>
      </c>
      <c r="L220" s="179"/>
      <c r="M220" s="179"/>
    </row>
    <row r="221" spans="1:13" s="180" customFormat="1" ht="12.75">
      <c r="A221" s="192" t="str">
        <f t="shared" si="31"/>
        <v/>
      </c>
      <c r="B221" s="175"/>
      <c r="C221" s="176" t="str">
        <f t="shared" si="27"/>
        <v/>
      </c>
      <c r="D221" s="177" t="str">
        <f t="shared" si="32"/>
        <v/>
      </c>
      <c r="E221" s="177" t="str">
        <f t="shared" si="35"/>
        <v/>
      </c>
      <c r="F221" s="178" t="e">
        <f t="shared" si="28"/>
        <v>#VALUE!</v>
      </c>
      <c r="G221" s="177" t="e">
        <f t="shared" si="29"/>
        <v>#VALUE!</v>
      </c>
      <c r="H221" s="177" t="str">
        <f t="shared" si="33"/>
        <v/>
      </c>
      <c r="I221" s="177" t="str">
        <f t="shared" si="34"/>
        <v/>
      </c>
      <c r="J221" s="177" t="e">
        <f t="shared" si="30"/>
        <v>#VALUE!</v>
      </c>
      <c r="K221" s="177">
        <f>SUM($I$17:$I221)</f>
        <v>0</v>
      </c>
      <c r="L221" s="179"/>
      <c r="M221" s="179"/>
    </row>
    <row r="222" spans="1:13" s="180" customFormat="1" ht="12.75">
      <c r="A222" s="192" t="str">
        <f t="shared" si="31"/>
        <v/>
      </c>
      <c r="B222" s="175"/>
      <c r="C222" s="176" t="str">
        <f t="shared" si="27"/>
        <v/>
      </c>
      <c r="D222" s="177" t="str">
        <f t="shared" si="32"/>
        <v/>
      </c>
      <c r="E222" s="177" t="str">
        <f t="shared" si="35"/>
        <v/>
      </c>
      <c r="F222" s="178" t="e">
        <f t="shared" si="28"/>
        <v>#VALUE!</v>
      </c>
      <c r="G222" s="177" t="e">
        <f t="shared" si="29"/>
        <v>#VALUE!</v>
      </c>
      <c r="H222" s="177" t="str">
        <f t="shared" si="33"/>
        <v/>
      </c>
      <c r="I222" s="177" t="str">
        <f t="shared" si="34"/>
        <v/>
      </c>
      <c r="J222" s="177" t="e">
        <f t="shared" si="30"/>
        <v>#VALUE!</v>
      </c>
      <c r="K222" s="177">
        <f>SUM($I$17:$I222)</f>
        <v>0</v>
      </c>
      <c r="L222" s="179"/>
      <c r="M222" s="179"/>
    </row>
    <row r="223" spans="1:13" s="180" customFormat="1" ht="12.75">
      <c r="A223" s="192" t="str">
        <f t="shared" si="31"/>
        <v/>
      </c>
      <c r="B223" s="175"/>
      <c r="C223" s="176" t="str">
        <f t="shared" si="27"/>
        <v/>
      </c>
      <c r="D223" s="177" t="str">
        <f t="shared" si="32"/>
        <v/>
      </c>
      <c r="E223" s="177" t="str">
        <f t="shared" si="35"/>
        <v/>
      </c>
      <c r="F223" s="178" t="e">
        <f t="shared" si="28"/>
        <v>#VALUE!</v>
      </c>
      <c r="G223" s="177" t="e">
        <f t="shared" si="29"/>
        <v>#VALUE!</v>
      </c>
      <c r="H223" s="177" t="str">
        <f t="shared" si="33"/>
        <v/>
      </c>
      <c r="I223" s="177" t="str">
        <f t="shared" si="34"/>
        <v/>
      </c>
      <c r="J223" s="177" t="e">
        <f t="shared" si="30"/>
        <v>#VALUE!</v>
      </c>
      <c r="K223" s="177">
        <f>SUM($I$17:$I223)</f>
        <v>0</v>
      </c>
      <c r="L223" s="179"/>
      <c r="M223" s="179"/>
    </row>
    <row r="224" spans="1:13" s="180" customFormat="1" ht="12.75">
      <c r="A224" s="192" t="str">
        <f t="shared" si="31"/>
        <v/>
      </c>
      <c r="B224" s="175"/>
      <c r="C224" s="176" t="str">
        <f t="shared" si="27"/>
        <v/>
      </c>
      <c r="D224" s="177" t="str">
        <f t="shared" si="32"/>
        <v/>
      </c>
      <c r="E224" s="177" t="str">
        <f t="shared" si="35"/>
        <v/>
      </c>
      <c r="F224" s="178" t="e">
        <f t="shared" si="28"/>
        <v>#VALUE!</v>
      </c>
      <c r="G224" s="177" t="e">
        <f t="shared" si="29"/>
        <v>#VALUE!</v>
      </c>
      <c r="H224" s="177" t="str">
        <f t="shared" si="33"/>
        <v/>
      </c>
      <c r="I224" s="177" t="str">
        <f t="shared" si="34"/>
        <v/>
      </c>
      <c r="J224" s="177" t="e">
        <f t="shared" si="30"/>
        <v>#VALUE!</v>
      </c>
      <c r="K224" s="177">
        <f>SUM($I$17:$I224)</f>
        <v>0</v>
      </c>
      <c r="L224" s="179"/>
      <c r="M224" s="179"/>
    </row>
    <row r="225" spans="1:13" s="180" customFormat="1" ht="12.75">
      <c r="A225" s="192" t="str">
        <f t="shared" si="31"/>
        <v/>
      </c>
      <c r="B225" s="175"/>
      <c r="C225" s="176" t="str">
        <f t="shared" si="27"/>
        <v/>
      </c>
      <c r="D225" s="177" t="str">
        <f t="shared" si="32"/>
        <v/>
      </c>
      <c r="E225" s="177" t="str">
        <f t="shared" si="35"/>
        <v/>
      </c>
      <c r="F225" s="178" t="e">
        <f t="shared" si="28"/>
        <v>#VALUE!</v>
      </c>
      <c r="G225" s="177" t="e">
        <f t="shared" si="29"/>
        <v>#VALUE!</v>
      </c>
      <c r="H225" s="177" t="str">
        <f t="shared" si="33"/>
        <v/>
      </c>
      <c r="I225" s="177" t="str">
        <f t="shared" si="34"/>
        <v/>
      </c>
      <c r="J225" s="177" t="e">
        <f t="shared" si="30"/>
        <v>#VALUE!</v>
      </c>
      <c r="K225" s="177">
        <f>SUM($I$17:$I225)</f>
        <v>0</v>
      </c>
      <c r="L225" s="179"/>
      <c r="M225" s="179"/>
    </row>
    <row r="226" spans="1:13" s="180" customFormat="1" ht="12.75">
      <c r="A226" s="192" t="str">
        <f t="shared" si="31"/>
        <v/>
      </c>
      <c r="B226" s="175"/>
      <c r="C226" s="176" t="str">
        <f t="shared" si="27"/>
        <v/>
      </c>
      <c r="D226" s="177" t="str">
        <f t="shared" si="32"/>
        <v/>
      </c>
      <c r="E226" s="177" t="str">
        <f t="shared" si="35"/>
        <v/>
      </c>
      <c r="F226" s="178" t="e">
        <f t="shared" si="28"/>
        <v>#VALUE!</v>
      </c>
      <c r="G226" s="177" t="e">
        <f t="shared" si="29"/>
        <v>#VALUE!</v>
      </c>
      <c r="H226" s="177" t="str">
        <f t="shared" si="33"/>
        <v/>
      </c>
      <c r="I226" s="177" t="str">
        <f t="shared" si="34"/>
        <v/>
      </c>
      <c r="J226" s="177" t="e">
        <f t="shared" si="30"/>
        <v>#VALUE!</v>
      </c>
      <c r="K226" s="177">
        <f>SUM($I$17:$I226)</f>
        <v>0</v>
      </c>
      <c r="L226" s="179"/>
      <c r="M226" s="179"/>
    </row>
    <row r="227" spans="1:13" s="180" customFormat="1" ht="12.75">
      <c r="A227" s="192" t="str">
        <f t="shared" si="31"/>
        <v/>
      </c>
      <c r="B227" s="175"/>
      <c r="C227" s="176" t="str">
        <f t="shared" si="27"/>
        <v/>
      </c>
      <c r="D227" s="177" t="str">
        <f t="shared" si="32"/>
        <v/>
      </c>
      <c r="E227" s="177" t="str">
        <f t="shared" si="35"/>
        <v/>
      </c>
      <c r="F227" s="178" t="e">
        <f t="shared" si="28"/>
        <v>#VALUE!</v>
      </c>
      <c r="G227" s="177" t="e">
        <f t="shared" si="29"/>
        <v>#VALUE!</v>
      </c>
      <c r="H227" s="177" t="str">
        <f t="shared" si="33"/>
        <v/>
      </c>
      <c r="I227" s="177" t="str">
        <f t="shared" si="34"/>
        <v/>
      </c>
      <c r="J227" s="177" t="e">
        <f t="shared" si="30"/>
        <v>#VALUE!</v>
      </c>
      <c r="K227" s="177">
        <f>SUM($I$17:$I227)</f>
        <v>0</v>
      </c>
      <c r="L227" s="179"/>
      <c r="M227" s="179"/>
    </row>
    <row r="228" spans="1:13" s="180" customFormat="1" ht="12.75">
      <c r="A228" s="192" t="str">
        <f t="shared" si="31"/>
        <v/>
      </c>
      <c r="B228" s="175"/>
      <c r="C228" s="176" t="str">
        <f t="shared" si="27"/>
        <v/>
      </c>
      <c r="D228" s="177" t="str">
        <f t="shared" si="32"/>
        <v/>
      </c>
      <c r="E228" s="177" t="str">
        <f t="shared" si="35"/>
        <v/>
      </c>
      <c r="F228" s="178" t="e">
        <f t="shared" si="28"/>
        <v>#VALUE!</v>
      </c>
      <c r="G228" s="177" t="e">
        <f t="shared" si="29"/>
        <v>#VALUE!</v>
      </c>
      <c r="H228" s="177" t="str">
        <f t="shared" si="33"/>
        <v/>
      </c>
      <c r="I228" s="177" t="str">
        <f t="shared" si="34"/>
        <v/>
      </c>
      <c r="J228" s="177" t="e">
        <f t="shared" si="30"/>
        <v>#VALUE!</v>
      </c>
      <c r="K228" s="177">
        <f>SUM($I$17:$I228)</f>
        <v>0</v>
      </c>
      <c r="L228" s="179"/>
      <c r="M228" s="179"/>
    </row>
    <row r="229" spans="1:13" s="180" customFormat="1" ht="12.75">
      <c r="A229" s="192" t="str">
        <f t="shared" si="31"/>
        <v/>
      </c>
      <c r="B229" s="175"/>
      <c r="C229" s="176" t="str">
        <f t="shared" si="27"/>
        <v/>
      </c>
      <c r="D229" s="177" t="str">
        <f t="shared" si="32"/>
        <v/>
      </c>
      <c r="E229" s="177" t="str">
        <f t="shared" si="35"/>
        <v/>
      </c>
      <c r="F229" s="178" t="e">
        <f t="shared" si="28"/>
        <v>#VALUE!</v>
      </c>
      <c r="G229" s="177" t="e">
        <f t="shared" si="29"/>
        <v>#VALUE!</v>
      </c>
      <c r="H229" s="177" t="str">
        <f t="shared" si="33"/>
        <v/>
      </c>
      <c r="I229" s="177" t="str">
        <f t="shared" si="34"/>
        <v/>
      </c>
      <c r="J229" s="177" t="e">
        <f t="shared" si="30"/>
        <v>#VALUE!</v>
      </c>
      <c r="K229" s="177">
        <f>SUM($I$17:$I229)</f>
        <v>0</v>
      </c>
      <c r="L229" s="179"/>
      <c r="M229" s="179"/>
    </row>
    <row r="230" spans="1:13" s="180" customFormat="1" ht="12.75">
      <c r="A230" s="192" t="str">
        <f t="shared" si="31"/>
        <v/>
      </c>
      <c r="B230" s="175"/>
      <c r="C230" s="176" t="str">
        <f t="shared" si="27"/>
        <v/>
      </c>
      <c r="D230" s="177" t="str">
        <f t="shared" si="32"/>
        <v/>
      </c>
      <c r="E230" s="177" t="str">
        <f t="shared" si="35"/>
        <v/>
      </c>
      <c r="F230" s="178" t="e">
        <f t="shared" si="28"/>
        <v>#VALUE!</v>
      </c>
      <c r="G230" s="177" t="e">
        <f t="shared" si="29"/>
        <v>#VALUE!</v>
      </c>
      <c r="H230" s="177" t="str">
        <f t="shared" si="33"/>
        <v/>
      </c>
      <c r="I230" s="177" t="str">
        <f t="shared" si="34"/>
        <v/>
      </c>
      <c r="J230" s="177" t="e">
        <f t="shared" si="30"/>
        <v>#VALUE!</v>
      </c>
      <c r="K230" s="177">
        <f>SUM($I$17:$I230)</f>
        <v>0</v>
      </c>
      <c r="L230" s="179"/>
      <c r="M230" s="179"/>
    </row>
    <row r="231" spans="1:13" s="180" customFormat="1" ht="12.75">
      <c r="A231" s="192" t="str">
        <f t="shared" si="31"/>
        <v/>
      </c>
      <c r="B231" s="175"/>
      <c r="C231" s="176" t="str">
        <f t="shared" si="27"/>
        <v/>
      </c>
      <c r="D231" s="177" t="str">
        <f t="shared" si="32"/>
        <v/>
      </c>
      <c r="E231" s="177" t="str">
        <f t="shared" si="35"/>
        <v/>
      </c>
      <c r="F231" s="178" t="e">
        <f t="shared" si="28"/>
        <v>#VALUE!</v>
      </c>
      <c r="G231" s="177" t="e">
        <f t="shared" si="29"/>
        <v>#VALUE!</v>
      </c>
      <c r="H231" s="177" t="str">
        <f t="shared" si="33"/>
        <v/>
      </c>
      <c r="I231" s="177" t="str">
        <f t="shared" si="34"/>
        <v/>
      </c>
      <c r="J231" s="177" t="e">
        <f t="shared" si="30"/>
        <v>#VALUE!</v>
      </c>
      <c r="K231" s="177">
        <f>SUM($I$17:$I231)</f>
        <v>0</v>
      </c>
      <c r="L231" s="179"/>
      <c r="M231" s="179"/>
    </row>
    <row r="232" spans="1:13" s="180" customFormat="1" ht="12.75">
      <c r="A232" s="192" t="str">
        <f t="shared" si="31"/>
        <v/>
      </c>
      <c r="B232" s="175"/>
      <c r="C232" s="176" t="str">
        <f t="shared" si="27"/>
        <v/>
      </c>
      <c r="D232" s="177" t="str">
        <f t="shared" si="32"/>
        <v/>
      </c>
      <c r="E232" s="177" t="str">
        <f t="shared" si="35"/>
        <v/>
      </c>
      <c r="F232" s="178" t="e">
        <f t="shared" si="28"/>
        <v>#VALUE!</v>
      </c>
      <c r="G232" s="177" t="e">
        <f t="shared" si="29"/>
        <v>#VALUE!</v>
      </c>
      <c r="H232" s="177" t="str">
        <f t="shared" si="33"/>
        <v/>
      </c>
      <c r="I232" s="177" t="str">
        <f t="shared" si="34"/>
        <v/>
      </c>
      <c r="J232" s="177" t="e">
        <f t="shared" si="30"/>
        <v>#VALUE!</v>
      </c>
      <c r="K232" s="177">
        <f>SUM($I$17:$I232)</f>
        <v>0</v>
      </c>
      <c r="L232" s="179"/>
      <c r="M232" s="179"/>
    </row>
    <row r="233" spans="1:13" s="180" customFormat="1" ht="12.75">
      <c r="A233" s="192" t="str">
        <f t="shared" si="31"/>
        <v/>
      </c>
      <c r="B233" s="175"/>
      <c r="C233" s="176" t="str">
        <f t="shared" si="27"/>
        <v/>
      </c>
      <c r="D233" s="177" t="str">
        <f t="shared" si="32"/>
        <v/>
      </c>
      <c r="E233" s="177" t="str">
        <f t="shared" si="35"/>
        <v/>
      </c>
      <c r="F233" s="178" t="e">
        <f t="shared" si="28"/>
        <v>#VALUE!</v>
      </c>
      <c r="G233" s="177" t="e">
        <f t="shared" si="29"/>
        <v>#VALUE!</v>
      </c>
      <c r="H233" s="177" t="str">
        <f t="shared" si="33"/>
        <v/>
      </c>
      <c r="I233" s="177" t="str">
        <f t="shared" si="34"/>
        <v/>
      </c>
      <c r="J233" s="177" t="e">
        <f t="shared" si="30"/>
        <v>#VALUE!</v>
      </c>
      <c r="K233" s="177">
        <f>SUM($I$17:$I233)</f>
        <v>0</v>
      </c>
      <c r="L233" s="179"/>
      <c r="M233" s="179"/>
    </row>
    <row r="234" spans="1:13" s="180" customFormat="1" ht="12.75">
      <c r="A234" s="192" t="str">
        <f t="shared" si="31"/>
        <v/>
      </c>
      <c r="B234" s="175"/>
      <c r="C234" s="176" t="str">
        <f t="shared" si="27"/>
        <v/>
      </c>
      <c r="D234" s="177" t="str">
        <f t="shared" si="32"/>
        <v/>
      </c>
      <c r="E234" s="177" t="str">
        <f t="shared" si="35"/>
        <v/>
      </c>
      <c r="F234" s="178" t="e">
        <f t="shared" si="28"/>
        <v>#VALUE!</v>
      </c>
      <c r="G234" s="177" t="e">
        <f t="shared" si="29"/>
        <v>#VALUE!</v>
      </c>
      <c r="H234" s="177" t="str">
        <f t="shared" si="33"/>
        <v/>
      </c>
      <c r="I234" s="177" t="str">
        <f t="shared" si="34"/>
        <v/>
      </c>
      <c r="J234" s="177" t="e">
        <f t="shared" si="30"/>
        <v>#VALUE!</v>
      </c>
      <c r="K234" s="177">
        <f>SUM($I$17:$I234)</f>
        <v>0</v>
      </c>
      <c r="L234" s="179"/>
      <c r="M234" s="179"/>
    </row>
    <row r="235" spans="1:13" s="180" customFormat="1" ht="12.75">
      <c r="A235" s="192" t="str">
        <f t="shared" si="31"/>
        <v/>
      </c>
      <c r="B235" s="175"/>
      <c r="C235" s="176" t="str">
        <f t="shared" si="27"/>
        <v/>
      </c>
      <c r="D235" s="177" t="str">
        <f t="shared" si="32"/>
        <v/>
      </c>
      <c r="E235" s="177" t="str">
        <f t="shared" si="35"/>
        <v/>
      </c>
      <c r="F235" s="178" t="e">
        <f t="shared" si="28"/>
        <v>#VALUE!</v>
      </c>
      <c r="G235" s="177" t="e">
        <f t="shared" si="29"/>
        <v>#VALUE!</v>
      </c>
      <c r="H235" s="177" t="str">
        <f t="shared" si="33"/>
        <v/>
      </c>
      <c r="I235" s="177" t="str">
        <f t="shared" si="34"/>
        <v/>
      </c>
      <c r="J235" s="177" t="e">
        <f t="shared" si="30"/>
        <v>#VALUE!</v>
      </c>
      <c r="K235" s="177">
        <f>SUM($I$17:$I235)</f>
        <v>0</v>
      </c>
      <c r="L235" s="179"/>
      <c r="M235" s="179"/>
    </row>
    <row r="236" spans="1:13" s="180" customFormat="1" ht="12.75">
      <c r="A236" s="192" t="str">
        <f t="shared" si="31"/>
        <v/>
      </c>
      <c r="B236" s="175"/>
      <c r="C236" s="176" t="str">
        <f t="shared" si="27"/>
        <v/>
      </c>
      <c r="D236" s="177" t="str">
        <f t="shared" si="32"/>
        <v/>
      </c>
      <c r="E236" s="177" t="str">
        <f t="shared" si="35"/>
        <v/>
      </c>
      <c r="F236" s="178" t="e">
        <f t="shared" si="28"/>
        <v>#VALUE!</v>
      </c>
      <c r="G236" s="177" t="e">
        <f t="shared" si="29"/>
        <v>#VALUE!</v>
      </c>
      <c r="H236" s="177" t="str">
        <f t="shared" si="33"/>
        <v/>
      </c>
      <c r="I236" s="177" t="str">
        <f t="shared" si="34"/>
        <v/>
      </c>
      <c r="J236" s="177" t="e">
        <f t="shared" si="30"/>
        <v>#VALUE!</v>
      </c>
      <c r="K236" s="177">
        <f>SUM($I$17:$I236)</f>
        <v>0</v>
      </c>
      <c r="L236" s="179"/>
      <c r="M236" s="179"/>
    </row>
    <row r="237" spans="1:13" s="180" customFormat="1" ht="12.75">
      <c r="A237" s="192" t="str">
        <f t="shared" si="31"/>
        <v/>
      </c>
      <c r="B237" s="175"/>
      <c r="C237" s="176" t="str">
        <f t="shared" si="27"/>
        <v/>
      </c>
      <c r="D237" s="177" t="str">
        <f t="shared" si="32"/>
        <v/>
      </c>
      <c r="E237" s="177" t="str">
        <f t="shared" si="35"/>
        <v/>
      </c>
      <c r="F237" s="178" t="e">
        <f t="shared" si="28"/>
        <v>#VALUE!</v>
      </c>
      <c r="G237" s="177" t="e">
        <f t="shared" si="29"/>
        <v>#VALUE!</v>
      </c>
      <c r="H237" s="177" t="str">
        <f t="shared" si="33"/>
        <v/>
      </c>
      <c r="I237" s="177" t="str">
        <f t="shared" si="34"/>
        <v/>
      </c>
      <c r="J237" s="177" t="e">
        <f t="shared" si="30"/>
        <v>#VALUE!</v>
      </c>
      <c r="K237" s="177">
        <f>SUM($I$17:$I237)</f>
        <v>0</v>
      </c>
      <c r="L237" s="179"/>
      <c r="M237" s="179"/>
    </row>
    <row r="238" spans="1:13" s="180" customFormat="1" ht="12.75">
      <c r="A238" s="192" t="str">
        <f t="shared" si="31"/>
        <v/>
      </c>
      <c r="B238" s="175"/>
      <c r="C238" s="176" t="str">
        <f t="shared" si="27"/>
        <v/>
      </c>
      <c r="D238" s="177" t="str">
        <f t="shared" si="32"/>
        <v/>
      </c>
      <c r="E238" s="177" t="str">
        <f t="shared" si="35"/>
        <v/>
      </c>
      <c r="F238" s="178" t="e">
        <f t="shared" si="28"/>
        <v>#VALUE!</v>
      </c>
      <c r="G238" s="177" t="e">
        <f t="shared" si="29"/>
        <v>#VALUE!</v>
      </c>
      <c r="H238" s="177" t="str">
        <f t="shared" si="33"/>
        <v/>
      </c>
      <c r="I238" s="177" t="str">
        <f t="shared" si="34"/>
        <v/>
      </c>
      <c r="J238" s="177" t="e">
        <f t="shared" si="30"/>
        <v>#VALUE!</v>
      </c>
      <c r="K238" s="177">
        <f>SUM($I$17:$I238)</f>
        <v>0</v>
      </c>
      <c r="L238" s="179"/>
      <c r="M238" s="179"/>
    </row>
    <row r="239" spans="1:13" s="180" customFormat="1" ht="12.75">
      <c r="A239" s="192" t="str">
        <f t="shared" si="31"/>
        <v/>
      </c>
      <c r="B239" s="175"/>
      <c r="C239" s="176" t="str">
        <f t="shared" si="27"/>
        <v/>
      </c>
      <c r="D239" s="177" t="str">
        <f t="shared" si="32"/>
        <v/>
      </c>
      <c r="E239" s="177" t="str">
        <f t="shared" si="35"/>
        <v/>
      </c>
      <c r="F239" s="178" t="e">
        <f t="shared" si="28"/>
        <v>#VALUE!</v>
      </c>
      <c r="G239" s="177" t="e">
        <f t="shared" si="29"/>
        <v>#VALUE!</v>
      </c>
      <c r="H239" s="177" t="str">
        <f t="shared" si="33"/>
        <v/>
      </c>
      <c r="I239" s="177" t="str">
        <f t="shared" si="34"/>
        <v/>
      </c>
      <c r="J239" s="177" t="e">
        <f t="shared" si="30"/>
        <v>#VALUE!</v>
      </c>
      <c r="K239" s="177">
        <f>SUM($I$17:$I239)</f>
        <v>0</v>
      </c>
      <c r="L239" s="179"/>
      <c r="M239" s="179"/>
    </row>
    <row r="240" spans="1:13" s="180" customFormat="1" ht="12.75">
      <c r="A240" s="192" t="str">
        <f t="shared" si="31"/>
        <v/>
      </c>
      <c r="B240" s="175"/>
      <c r="C240" s="176" t="str">
        <f t="shared" si="27"/>
        <v/>
      </c>
      <c r="D240" s="177" t="str">
        <f t="shared" si="32"/>
        <v/>
      </c>
      <c r="E240" s="177" t="str">
        <f t="shared" si="35"/>
        <v/>
      </c>
      <c r="F240" s="178" t="e">
        <f t="shared" si="28"/>
        <v>#VALUE!</v>
      </c>
      <c r="G240" s="177" t="e">
        <f t="shared" si="29"/>
        <v>#VALUE!</v>
      </c>
      <c r="H240" s="177" t="str">
        <f t="shared" si="33"/>
        <v/>
      </c>
      <c r="I240" s="177" t="str">
        <f t="shared" si="34"/>
        <v/>
      </c>
      <c r="J240" s="177" t="e">
        <f t="shared" si="30"/>
        <v>#VALUE!</v>
      </c>
      <c r="K240" s="177">
        <f>SUM($I$17:$I240)</f>
        <v>0</v>
      </c>
      <c r="L240" s="179"/>
      <c r="M240" s="179"/>
    </row>
    <row r="241" spans="1:13" s="180" customFormat="1" ht="12.75">
      <c r="A241" s="192" t="str">
        <f t="shared" si="31"/>
        <v/>
      </c>
      <c r="B241" s="175"/>
      <c r="C241" s="176" t="str">
        <f t="shared" si="27"/>
        <v/>
      </c>
      <c r="D241" s="177" t="str">
        <f t="shared" si="32"/>
        <v/>
      </c>
      <c r="E241" s="177" t="str">
        <f t="shared" si="35"/>
        <v/>
      </c>
      <c r="F241" s="178" t="e">
        <f t="shared" si="28"/>
        <v>#VALUE!</v>
      </c>
      <c r="G241" s="177" t="e">
        <f t="shared" si="29"/>
        <v>#VALUE!</v>
      </c>
      <c r="H241" s="177" t="str">
        <f t="shared" si="33"/>
        <v/>
      </c>
      <c r="I241" s="177" t="str">
        <f t="shared" si="34"/>
        <v/>
      </c>
      <c r="J241" s="177" t="e">
        <f t="shared" si="30"/>
        <v>#VALUE!</v>
      </c>
      <c r="K241" s="177">
        <f>SUM($I$17:$I241)</f>
        <v>0</v>
      </c>
      <c r="L241" s="179"/>
      <c r="M241" s="179"/>
    </row>
    <row r="242" spans="1:13" s="180" customFormat="1" ht="12.75">
      <c r="A242" s="192" t="str">
        <f t="shared" si="31"/>
        <v/>
      </c>
      <c r="B242" s="175"/>
      <c r="C242" s="176" t="str">
        <f t="shared" si="27"/>
        <v/>
      </c>
      <c r="D242" s="177" t="str">
        <f t="shared" si="32"/>
        <v/>
      </c>
      <c r="E242" s="177" t="str">
        <f t="shared" si="35"/>
        <v/>
      </c>
      <c r="F242" s="178" t="e">
        <f t="shared" si="28"/>
        <v>#VALUE!</v>
      </c>
      <c r="G242" s="177" t="e">
        <f t="shared" si="29"/>
        <v>#VALUE!</v>
      </c>
      <c r="H242" s="177" t="str">
        <f t="shared" si="33"/>
        <v/>
      </c>
      <c r="I242" s="177" t="str">
        <f t="shared" si="34"/>
        <v/>
      </c>
      <c r="J242" s="177" t="e">
        <f t="shared" si="30"/>
        <v>#VALUE!</v>
      </c>
      <c r="K242" s="177">
        <f>SUM($I$17:$I242)</f>
        <v>0</v>
      </c>
      <c r="L242" s="179"/>
      <c r="M242" s="179"/>
    </row>
    <row r="243" spans="1:13" s="180" customFormat="1" ht="12.75">
      <c r="A243" s="192" t="str">
        <f t="shared" si="31"/>
        <v/>
      </c>
      <c r="B243" s="175"/>
      <c r="C243" s="176" t="str">
        <f t="shared" si="27"/>
        <v/>
      </c>
      <c r="D243" s="177" t="str">
        <f t="shared" si="32"/>
        <v/>
      </c>
      <c r="E243" s="177" t="str">
        <f t="shared" si="35"/>
        <v/>
      </c>
      <c r="F243" s="178" t="e">
        <f t="shared" si="28"/>
        <v>#VALUE!</v>
      </c>
      <c r="G243" s="177" t="e">
        <f t="shared" si="29"/>
        <v>#VALUE!</v>
      </c>
      <c r="H243" s="177" t="str">
        <f t="shared" si="33"/>
        <v/>
      </c>
      <c r="I243" s="177" t="str">
        <f t="shared" si="34"/>
        <v/>
      </c>
      <c r="J243" s="177" t="e">
        <f t="shared" si="30"/>
        <v>#VALUE!</v>
      </c>
      <c r="K243" s="177">
        <f>SUM($I$17:$I243)</f>
        <v>0</v>
      </c>
      <c r="L243" s="179"/>
      <c r="M243" s="179"/>
    </row>
    <row r="244" spans="1:13" s="180" customFormat="1" ht="12.75">
      <c r="A244" s="192" t="str">
        <f t="shared" si="31"/>
        <v/>
      </c>
      <c r="B244" s="175"/>
      <c r="C244" s="176" t="str">
        <f t="shared" si="27"/>
        <v/>
      </c>
      <c r="D244" s="177" t="str">
        <f t="shared" si="32"/>
        <v/>
      </c>
      <c r="E244" s="177" t="str">
        <f t="shared" si="35"/>
        <v/>
      </c>
      <c r="F244" s="178" t="e">
        <f t="shared" si="28"/>
        <v>#VALUE!</v>
      </c>
      <c r="G244" s="177" t="e">
        <f t="shared" si="29"/>
        <v>#VALUE!</v>
      </c>
      <c r="H244" s="177" t="str">
        <f t="shared" si="33"/>
        <v/>
      </c>
      <c r="I244" s="177" t="str">
        <f t="shared" si="34"/>
        <v/>
      </c>
      <c r="J244" s="177" t="e">
        <f t="shared" si="30"/>
        <v>#VALUE!</v>
      </c>
      <c r="K244" s="177">
        <f>SUM($I$17:$I244)</f>
        <v>0</v>
      </c>
      <c r="L244" s="179"/>
      <c r="M244" s="179"/>
    </row>
    <row r="245" spans="1:13" s="180" customFormat="1" ht="12.75">
      <c r="A245" s="192" t="str">
        <f t="shared" si="31"/>
        <v/>
      </c>
      <c r="B245" s="175"/>
      <c r="C245" s="176" t="str">
        <f t="shared" si="27"/>
        <v/>
      </c>
      <c r="D245" s="177" t="str">
        <f t="shared" si="32"/>
        <v/>
      </c>
      <c r="E245" s="177" t="str">
        <f t="shared" si="35"/>
        <v/>
      </c>
      <c r="F245" s="178" t="e">
        <f t="shared" si="28"/>
        <v>#VALUE!</v>
      </c>
      <c r="G245" s="177" t="e">
        <f t="shared" si="29"/>
        <v>#VALUE!</v>
      </c>
      <c r="H245" s="177" t="str">
        <f t="shared" si="33"/>
        <v/>
      </c>
      <c r="I245" s="177" t="str">
        <f t="shared" si="34"/>
        <v/>
      </c>
      <c r="J245" s="177" t="e">
        <f t="shared" si="30"/>
        <v>#VALUE!</v>
      </c>
      <c r="K245" s="177">
        <f>SUM($I$17:$I245)</f>
        <v>0</v>
      </c>
      <c r="L245" s="179"/>
      <c r="M245" s="179"/>
    </row>
    <row r="246" spans="1:13" s="180" customFormat="1" ht="12.75">
      <c r="A246" s="192" t="str">
        <f t="shared" si="31"/>
        <v/>
      </c>
      <c r="B246" s="175"/>
      <c r="C246" s="176" t="str">
        <f t="shared" si="27"/>
        <v/>
      </c>
      <c r="D246" s="177" t="str">
        <f t="shared" si="32"/>
        <v/>
      </c>
      <c r="E246" s="177" t="str">
        <f t="shared" si="35"/>
        <v/>
      </c>
      <c r="F246" s="178" t="e">
        <f t="shared" si="28"/>
        <v>#VALUE!</v>
      </c>
      <c r="G246" s="177" t="e">
        <f t="shared" si="29"/>
        <v>#VALUE!</v>
      </c>
      <c r="H246" s="177" t="str">
        <f t="shared" si="33"/>
        <v/>
      </c>
      <c r="I246" s="177" t="str">
        <f t="shared" si="34"/>
        <v/>
      </c>
      <c r="J246" s="177" t="e">
        <f t="shared" si="30"/>
        <v>#VALUE!</v>
      </c>
      <c r="K246" s="177">
        <f>SUM($I$17:$I246)</f>
        <v>0</v>
      </c>
      <c r="L246" s="179"/>
      <c r="M246" s="179"/>
    </row>
    <row r="247" spans="1:13" s="180" customFormat="1" ht="12.75">
      <c r="A247" s="192" t="str">
        <f t="shared" si="31"/>
        <v/>
      </c>
      <c r="B247" s="175"/>
      <c r="C247" s="176" t="str">
        <f t="shared" si="27"/>
        <v/>
      </c>
      <c r="D247" s="177" t="str">
        <f t="shared" si="32"/>
        <v/>
      </c>
      <c r="E247" s="177" t="str">
        <f t="shared" si="35"/>
        <v/>
      </c>
      <c r="F247" s="178" t="e">
        <f t="shared" si="28"/>
        <v>#VALUE!</v>
      </c>
      <c r="G247" s="177" t="e">
        <f t="shared" si="29"/>
        <v>#VALUE!</v>
      </c>
      <c r="H247" s="177" t="str">
        <f t="shared" si="33"/>
        <v/>
      </c>
      <c r="I247" s="177" t="str">
        <f t="shared" si="34"/>
        <v/>
      </c>
      <c r="J247" s="177" t="e">
        <f t="shared" si="30"/>
        <v>#VALUE!</v>
      </c>
      <c r="K247" s="177">
        <f>SUM($I$17:$I247)</f>
        <v>0</v>
      </c>
      <c r="L247" s="179"/>
      <c r="M247" s="179"/>
    </row>
    <row r="248" spans="1:13" s="180" customFormat="1" ht="12.75">
      <c r="A248" s="192" t="str">
        <f t="shared" si="31"/>
        <v/>
      </c>
      <c r="B248" s="175"/>
      <c r="C248" s="176" t="str">
        <f t="shared" si="27"/>
        <v/>
      </c>
      <c r="D248" s="177" t="str">
        <f t="shared" si="32"/>
        <v/>
      </c>
      <c r="E248" s="177" t="str">
        <f t="shared" si="35"/>
        <v/>
      </c>
      <c r="F248" s="178" t="e">
        <f t="shared" si="28"/>
        <v>#VALUE!</v>
      </c>
      <c r="G248" s="177" t="e">
        <f t="shared" si="29"/>
        <v>#VALUE!</v>
      </c>
      <c r="H248" s="177" t="str">
        <f t="shared" si="33"/>
        <v/>
      </c>
      <c r="I248" s="177" t="str">
        <f t="shared" si="34"/>
        <v/>
      </c>
      <c r="J248" s="177" t="e">
        <f t="shared" si="30"/>
        <v>#VALUE!</v>
      </c>
      <c r="K248" s="177">
        <f>SUM($I$17:$I248)</f>
        <v>0</v>
      </c>
      <c r="L248" s="179"/>
      <c r="M248" s="179"/>
    </row>
    <row r="249" spans="1:13" s="180" customFormat="1" ht="12.75">
      <c r="A249" s="192" t="str">
        <f t="shared" si="31"/>
        <v/>
      </c>
      <c r="B249" s="175"/>
      <c r="C249" s="176" t="str">
        <f t="shared" si="27"/>
        <v/>
      </c>
      <c r="D249" s="177" t="str">
        <f t="shared" si="32"/>
        <v/>
      </c>
      <c r="E249" s="177" t="str">
        <f t="shared" si="35"/>
        <v/>
      </c>
      <c r="F249" s="178" t="e">
        <f t="shared" si="28"/>
        <v>#VALUE!</v>
      </c>
      <c r="G249" s="177" t="e">
        <f t="shared" si="29"/>
        <v>#VALUE!</v>
      </c>
      <c r="H249" s="177" t="str">
        <f t="shared" si="33"/>
        <v/>
      </c>
      <c r="I249" s="177" t="str">
        <f t="shared" si="34"/>
        <v/>
      </c>
      <c r="J249" s="177" t="e">
        <f t="shared" si="30"/>
        <v>#VALUE!</v>
      </c>
      <c r="K249" s="177">
        <f>SUM($I$17:$I249)</f>
        <v>0</v>
      </c>
      <c r="L249" s="179"/>
      <c r="M249" s="179"/>
    </row>
    <row r="250" spans="1:13" s="180" customFormat="1" ht="12.75">
      <c r="A250" s="192" t="str">
        <f t="shared" si="31"/>
        <v/>
      </c>
      <c r="B250" s="175"/>
      <c r="C250" s="176" t="str">
        <f t="shared" si="27"/>
        <v/>
      </c>
      <c r="D250" s="177" t="str">
        <f t="shared" si="32"/>
        <v/>
      </c>
      <c r="E250" s="177" t="str">
        <f t="shared" si="35"/>
        <v/>
      </c>
      <c r="F250" s="178" t="e">
        <f t="shared" si="28"/>
        <v>#VALUE!</v>
      </c>
      <c r="G250" s="177" t="e">
        <f t="shared" si="29"/>
        <v>#VALUE!</v>
      </c>
      <c r="H250" s="177" t="str">
        <f t="shared" si="33"/>
        <v/>
      </c>
      <c r="I250" s="177" t="str">
        <f t="shared" si="34"/>
        <v/>
      </c>
      <c r="J250" s="177" t="e">
        <f t="shared" si="30"/>
        <v>#VALUE!</v>
      </c>
      <c r="K250" s="177">
        <f>SUM($I$17:$I250)</f>
        <v>0</v>
      </c>
      <c r="L250" s="179"/>
      <c r="M250" s="179"/>
    </row>
    <row r="251" spans="1:13" s="180" customFormat="1" ht="12.75">
      <c r="A251" s="192" t="str">
        <f t="shared" si="31"/>
        <v/>
      </c>
      <c r="B251" s="175"/>
      <c r="C251" s="176" t="str">
        <f t="shared" si="27"/>
        <v/>
      </c>
      <c r="D251" s="177" t="str">
        <f t="shared" si="32"/>
        <v/>
      </c>
      <c r="E251" s="177" t="str">
        <f t="shared" si="35"/>
        <v/>
      </c>
      <c r="F251" s="178" t="e">
        <f t="shared" si="28"/>
        <v>#VALUE!</v>
      </c>
      <c r="G251" s="177" t="e">
        <f t="shared" si="29"/>
        <v>#VALUE!</v>
      </c>
      <c r="H251" s="177" t="str">
        <f t="shared" si="33"/>
        <v/>
      </c>
      <c r="I251" s="177" t="str">
        <f t="shared" si="34"/>
        <v/>
      </c>
      <c r="J251" s="177" t="e">
        <f t="shared" si="30"/>
        <v>#VALUE!</v>
      </c>
      <c r="K251" s="177">
        <f>SUM($I$17:$I251)</f>
        <v>0</v>
      </c>
      <c r="L251" s="179"/>
      <c r="M251" s="179"/>
    </row>
    <row r="252" spans="1:13" s="180" customFormat="1" ht="12.75">
      <c r="A252" s="192" t="str">
        <f t="shared" si="31"/>
        <v/>
      </c>
      <c r="B252" s="175"/>
      <c r="C252" s="176" t="str">
        <f t="shared" si="27"/>
        <v/>
      </c>
      <c r="D252" s="177" t="str">
        <f t="shared" si="32"/>
        <v/>
      </c>
      <c r="E252" s="177" t="str">
        <f t="shared" si="35"/>
        <v/>
      </c>
      <c r="F252" s="178" t="e">
        <f t="shared" si="28"/>
        <v>#VALUE!</v>
      </c>
      <c r="G252" s="177" t="e">
        <f t="shared" si="29"/>
        <v>#VALUE!</v>
      </c>
      <c r="H252" s="177" t="str">
        <f t="shared" si="33"/>
        <v/>
      </c>
      <c r="I252" s="177" t="str">
        <f t="shared" si="34"/>
        <v/>
      </c>
      <c r="J252" s="177" t="e">
        <f t="shared" si="30"/>
        <v>#VALUE!</v>
      </c>
      <c r="K252" s="177">
        <f>SUM($I$17:$I252)</f>
        <v>0</v>
      </c>
      <c r="L252" s="179"/>
      <c r="M252" s="179"/>
    </row>
    <row r="253" spans="1:13" s="180" customFormat="1" ht="12.75">
      <c r="A253" s="192" t="str">
        <f t="shared" si="31"/>
        <v/>
      </c>
      <c r="B253" s="175"/>
      <c r="C253" s="176" t="str">
        <f t="shared" si="27"/>
        <v/>
      </c>
      <c r="D253" s="177" t="str">
        <f t="shared" si="32"/>
        <v/>
      </c>
      <c r="E253" s="177" t="str">
        <f t="shared" si="35"/>
        <v/>
      </c>
      <c r="F253" s="178" t="e">
        <f t="shared" si="28"/>
        <v>#VALUE!</v>
      </c>
      <c r="G253" s="177" t="e">
        <f t="shared" si="29"/>
        <v>#VALUE!</v>
      </c>
      <c r="H253" s="177" t="str">
        <f t="shared" si="33"/>
        <v/>
      </c>
      <c r="I253" s="177" t="str">
        <f t="shared" si="34"/>
        <v/>
      </c>
      <c r="J253" s="177" t="e">
        <f t="shared" si="30"/>
        <v>#VALUE!</v>
      </c>
      <c r="K253" s="177">
        <f>SUM($I$17:$I253)</f>
        <v>0</v>
      </c>
      <c r="L253" s="179"/>
      <c r="M253" s="179"/>
    </row>
    <row r="254" spans="1:13" s="180" customFormat="1" ht="12.75">
      <c r="A254" s="192" t="str">
        <f t="shared" si="31"/>
        <v/>
      </c>
      <c r="B254" s="175"/>
      <c r="C254" s="176" t="str">
        <f t="shared" si="27"/>
        <v/>
      </c>
      <c r="D254" s="177" t="str">
        <f t="shared" si="32"/>
        <v/>
      </c>
      <c r="E254" s="177" t="str">
        <f t="shared" si="35"/>
        <v/>
      </c>
      <c r="F254" s="178" t="e">
        <f t="shared" si="28"/>
        <v>#VALUE!</v>
      </c>
      <c r="G254" s="177" t="e">
        <f t="shared" si="29"/>
        <v>#VALUE!</v>
      </c>
      <c r="H254" s="177" t="str">
        <f t="shared" si="33"/>
        <v/>
      </c>
      <c r="I254" s="177" t="str">
        <f t="shared" si="34"/>
        <v/>
      </c>
      <c r="J254" s="177" t="e">
        <f t="shared" si="30"/>
        <v>#VALUE!</v>
      </c>
      <c r="K254" s="177">
        <f>SUM($I$17:$I254)</f>
        <v>0</v>
      </c>
      <c r="L254" s="179"/>
      <c r="M254" s="179"/>
    </row>
    <row r="255" spans="1:13" s="180" customFormat="1" ht="12.75">
      <c r="A255" s="192" t="str">
        <f t="shared" si="31"/>
        <v/>
      </c>
      <c r="B255" s="175"/>
      <c r="C255" s="176" t="str">
        <f t="shared" si="27"/>
        <v/>
      </c>
      <c r="D255" s="177" t="str">
        <f t="shared" si="32"/>
        <v/>
      </c>
      <c r="E255" s="177" t="str">
        <f t="shared" si="35"/>
        <v/>
      </c>
      <c r="F255" s="178" t="e">
        <f t="shared" si="28"/>
        <v>#VALUE!</v>
      </c>
      <c r="G255" s="177" t="e">
        <f t="shared" si="29"/>
        <v>#VALUE!</v>
      </c>
      <c r="H255" s="177" t="str">
        <f t="shared" si="33"/>
        <v/>
      </c>
      <c r="I255" s="177" t="str">
        <f t="shared" si="34"/>
        <v/>
      </c>
      <c r="J255" s="177" t="e">
        <f t="shared" si="30"/>
        <v>#VALUE!</v>
      </c>
      <c r="K255" s="177">
        <f>SUM($I$17:$I255)</f>
        <v>0</v>
      </c>
      <c r="L255" s="179"/>
      <c r="M255" s="179"/>
    </row>
    <row r="256" spans="1:13" s="180" customFormat="1" ht="12.75">
      <c r="A256" s="192" t="str">
        <f t="shared" si="31"/>
        <v/>
      </c>
      <c r="B256" s="175"/>
      <c r="C256" s="176" t="str">
        <f t="shared" si="27"/>
        <v/>
      </c>
      <c r="D256" s="177" t="str">
        <f t="shared" si="32"/>
        <v/>
      </c>
      <c r="E256" s="177" t="str">
        <f t="shared" si="35"/>
        <v/>
      </c>
      <c r="F256" s="178" t="e">
        <f t="shared" si="28"/>
        <v>#VALUE!</v>
      </c>
      <c r="G256" s="177" t="e">
        <f t="shared" si="29"/>
        <v>#VALUE!</v>
      </c>
      <c r="H256" s="177" t="str">
        <f t="shared" si="33"/>
        <v/>
      </c>
      <c r="I256" s="177" t="str">
        <f t="shared" si="34"/>
        <v/>
      </c>
      <c r="J256" s="177" t="e">
        <f t="shared" si="30"/>
        <v>#VALUE!</v>
      </c>
      <c r="K256" s="177">
        <f>SUM($I$17:$I256)</f>
        <v>0</v>
      </c>
      <c r="L256" s="179"/>
      <c r="M256" s="179"/>
    </row>
    <row r="257" spans="1:13" s="180" customFormat="1" ht="12.75">
      <c r="A257" s="192" t="str">
        <f t="shared" si="31"/>
        <v/>
      </c>
      <c r="B257" s="175"/>
      <c r="C257" s="176" t="str">
        <f t="shared" si="27"/>
        <v/>
      </c>
      <c r="D257" s="177" t="str">
        <f t="shared" si="32"/>
        <v/>
      </c>
      <c r="E257" s="177" t="str">
        <f t="shared" si="35"/>
        <v/>
      </c>
      <c r="F257" s="178" t="e">
        <f t="shared" si="28"/>
        <v>#VALUE!</v>
      </c>
      <c r="G257" s="177" t="e">
        <f t="shared" si="29"/>
        <v>#VALUE!</v>
      </c>
      <c r="H257" s="177" t="str">
        <f t="shared" si="33"/>
        <v/>
      </c>
      <c r="I257" s="177" t="str">
        <f t="shared" si="34"/>
        <v/>
      </c>
      <c r="J257" s="177" t="e">
        <f t="shared" si="30"/>
        <v>#VALUE!</v>
      </c>
      <c r="K257" s="177">
        <f>SUM($I$17:$I257)</f>
        <v>0</v>
      </c>
      <c r="L257" s="179"/>
      <c r="M257" s="179"/>
    </row>
    <row r="258" spans="1:13" s="180" customFormat="1" ht="12.75">
      <c r="A258" s="192" t="str">
        <f t="shared" si="31"/>
        <v/>
      </c>
      <c r="B258" s="175"/>
      <c r="C258" s="176" t="str">
        <f t="shared" si="27"/>
        <v/>
      </c>
      <c r="D258" s="177" t="str">
        <f t="shared" si="32"/>
        <v/>
      </c>
      <c r="E258" s="177" t="str">
        <f t="shared" si="35"/>
        <v/>
      </c>
      <c r="F258" s="178" t="e">
        <f t="shared" si="28"/>
        <v>#VALUE!</v>
      </c>
      <c r="G258" s="177" t="e">
        <f t="shared" si="29"/>
        <v>#VALUE!</v>
      </c>
      <c r="H258" s="177" t="str">
        <f t="shared" si="33"/>
        <v/>
      </c>
      <c r="I258" s="177" t="str">
        <f t="shared" si="34"/>
        <v/>
      </c>
      <c r="J258" s="177" t="e">
        <f t="shared" si="30"/>
        <v>#VALUE!</v>
      </c>
      <c r="K258" s="177">
        <f>SUM($I$17:$I258)</f>
        <v>0</v>
      </c>
      <c r="L258" s="179"/>
      <c r="M258" s="179"/>
    </row>
    <row r="259" spans="1:13" s="180" customFormat="1" ht="12.75">
      <c r="A259" s="192" t="str">
        <f t="shared" si="31"/>
        <v/>
      </c>
      <c r="B259" s="175"/>
      <c r="C259" s="176" t="str">
        <f t="shared" si="27"/>
        <v/>
      </c>
      <c r="D259" s="177" t="str">
        <f t="shared" si="32"/>
        <v/>
      </c>
      <c r="E259" s="177" t="str">
        <f t="shared" si="35"/>
        <v/>
      </c>
      <c r="F259" s="178" t="e">
        <f t="shared" si="28"/>
        <v>#VALUE!</v>
      </c>
      <c r="G259" s="177" t="e">
        <f t="shared" si="29"/>
        <v>#VALUE!</v>
      </c>
      <c r="H259" s="177" t="str">
        <f t="shared" si="33"/>
        <v/>
      </c>
      <c r="I259" s="177" t="str">
        <f t="shared" si="34"/>
        <v/>
      </c>
      <c r="J259" s="177" t="e">
        <f t="shared" si="30"/>
        <v>#VALUE!</v>
      </c>
      <c r="K259" s="177">
        <f>SUM($I$17:$I259)</f>
        <v>0</v>
      </c>
      <c r="L259" s="179"/>
      <c r="M259" s="179"/>
    </row>
    <row r="260" spans="1:13" s="180" customFormat="1" ht="12.75">
      <c r="A260" s="192" t="str">
        <f t="shared" si="31"/>
        <v/>
      </c>
      <c r="B260" s="175"/>
      <c r="C260" s="176" t="str">
        <f t="shared" si="27"/>
        <v/>
      </c>
      <c r="D260" s="177" t="str">
        <f t="shared" si="32"/>
        <v/>
      </c>
      <c r="E260" s="177" t="str">
        <f t="shared" si="35"/>
        <v/>
      </c>
      <c r="F260" s="178" t="e">
        <f t="shared" si="28"/>
        <v>#VALUE!</v>
      </c>
      <c r="G260" s="177" t="e">
        <f t="shared" si="29"/>
        <v>#VALUE!</v>
      </c>
      <c r="H260" s="177" t="str">
        <f t="shared" si="33"/>
        <v/>
      </c>
      <c r="I260" s="177" t="str">
        <f t="shared" si="34"/>
        <v/>
      </c>
      <c r="J260" s="177" t="e">
        <f t="shared" si="30"/>
        <v>#VALUE!</v>
      </c>
      <c r="K260" s="177">
        <f>SUM($I$17:$I260)</f>
        <v>0</v>
      </c>
      <c r="L260" s="179"/>
      <c r="M260" s="179"/>
    </row>
    <row r="261" spans="1:13" s="180" customFormat="1" ht="12.75">
      <c r="A261" s="192" t="str">
        <f t="shared" si="31"/>
        <v/>
      </c>
      <c r="B261" s="175"/>
      <c r="C261" s="176" t="str">
        <f t="shared" si="27"/>
        <v/>
      </c>
      <c r="D261" s="177" t="str">
        <f t="shared" si="32"/>
        <v/>
      </c>
      <c r="E261" s="177" t="str">
        <f t="shared" si="35"/>
        <v/>
      </c>
      <c r="F261" s="178" t="e">
        <f t="shared" si="28"/>
        <v>#VALUE!</v>
      </c>
      <c r="G261" s="177" t="e">
        <f t="shared" si="29"/>
        <v>#VALUE!</v>
      </c>
      <c r="H261" s="177" t="str">
        <f t="shared" si="33"/>
        <v/>
      </c>
      <c r="I261" s="177" t="str">
        <f t="shared" si="34"/>
        <v/>
      </c>
      <c r="J261" s="177" t="e">
        <f t="shared" si="30"/>
        <v>#VALUE!</v>
      </c>
      <c r="K261" s="177">
        <f>SUM($I$17:$I261)</f>
        <v>0</v>
      </c>
      <c r="L261" s="179"/>
      <c r="M261" s="179"/>
    </row>
    <row r="262" spans="1:13" s="180" customFormat="1" ht="12.75">
      <c r="A262" s="192" t="str">
        <f t="shared" si="31"/>
        <v/>
      </c>
      <c r="B262" s="175"/>
      <c r="C262" s="176" t="str">
        <f t="shared" si="27"/>
        <v/>
      </c>
      <c r="D262" s="177" t="str">
        <f t="shared" si="32"/>
        <v/>
      </c>
      <c r="E262" s="177" t="str">
        <f t="shared" si="35"/>
        <v/>
      </c>
      <c r="F262" s="178" t="e">
        <f t="shared" si="28"/>
        <v>#VALUE!</v>
      </c>
      <c r="G262" s="177" t="e">
        <f t="shared" si="29"/>
        <v>#VALUE!</v>
      </c>
      <c r="H262" s="177" t="str">
        <f t="shared" si="33"/>
        <v/>
      </c>
      <c r="I262" s="177" t="str">
        <f t="shared" si="34"/>
        <v/>
      </c>
      <c r="J262" s="177" t="e">
        <f t="shared" si="30"/>
        <v>#VALUE!</v>
      </c>
      <c r="K262" s="177">
        <f>SUM($I$17:$I262)</f>
        <v>0</v>
      </c>
      <c r="L262" s="179"/>
      <c r="M262" s="179"/>
    </row>
    <row r="263" spans="1:13" s="180" customFormat="1" ht="12.75">
      <c r="A263" s="192" t="str">
        <f t="shared" si="31"/>
        <v/>
      </c>
      <c r="B263" s="175"/>
      <c r="C263" s="176" t="str">
        <f t="shared" si="27"/>
        <v/>
      </c>
      <c r="D263" s="177" t="str">
        <f t="shared" si="32"/>
        <v/>
      </c>
      <c r="E263" s="177" t="str">
        <f t="shared" si="35"/>
        <v/>
      </c>
      <c r="F263" s="178" t="e">
        <f t="shared" si="28"/>
        <v>#VALUE!</v>
      </c>
      <c r="G263" s="177" t="e">
        <f t="shared" si="29"/>
        <v>#VALUE!</v>
      </c>
      <c r="H263" s="177" t="str">
        <f t="shared" si="33"/>
        <v/>
      </c>
      <c r="I263" s="177" t="str">
        <f t="shared" si="34"/>
        <v/>
      </c>
      <c r="J263" s="177" t="e">
        <f t="shared" si="30"/>
        <v>#VALUE!</v>
      </c>
      <c r="K263" s="177">
        <f>SUM($I$17:$I263)</f>
        <v>0</v>
      </c>
      <c r="L263" s="179"/>
      <c r="M263" s="179"/>
    </row>
    <row r="264" spans="1:13" s="180" customFormat="1" ht="12.75">
      <c r="A264" s="192" t="str">
        <f t="shared" si="31"/>
        <v/>
      </c>
      <c r="B264" s="175"/>
      <c r="C264" s="176" t="str">
        <f t="shared" si="27"/>
        <v/>
      </c>
      <c r="D264" s="177" t="str">
        <f t="shared" si="32"/>
        <v/>
      </c>
      <c r="E264" s="177" t="str">
        <f t="shared" si="35"/>
        <v/>
      </c>
      <c r="F264" s="178" t="e">
        <f t="shared" si="28"/>
        <v>#VALUE!</v>
      </c>
      <c r="G264" s="177" t="e">
        <f t="shared" si="29"/>
        <v>#VALUE!</v>
      </c>
      <c r="H264" s="177" t="str">
        <f t="shared" si="33"/>
        <v/>
      </c>
      <c r="I264" s="177" t="str">
        <f t="shared" si="34"/>
        <v/>
      </c>
      <c r="J264" s="177" t="e">
        <f t="shared" si="30"/>
        <v>#VALUE!</v>
      </c>
      <c r="K264" s="177">
        <f>SUM($I$17:$I264)</f>
        <v>0</v>
      </c>
      <c r="L264" s="179"/>
      <c r="M264" s="179"/>
    </row>
    <row r="265" spans="1:13" s="180" customFormat="1" ht="12.75">
      <c r="A265" s="192" t="str">
        <f t="shared" si="31"/>
        <v/>
      </c>
      <c r="B265" s="175"/>
      <c r="C265" s="176" t="str">
        <f t="shared" si="27"/>
        <v/>
      </c>
      <c r="D265" s="177" t="str">
        <f t="shared" si="32"/>
        <v/>
      </c>
      <c r="E265" s="177" t="str">
        <f t="shared" si="35"/>
        <v/>
      </c>
      <c r="F265" s="178" t="e">
        <f t="shared" si="28"/>
        <v>#VALUE!</v>
      </c>
      <c r="G265" s="177" t="e">
        <f t="shared" si="29"/>
        <v>#VALUE!</v>
      </c>
      <c r="H265" s="177" t="str">
        <f t="shared" si="33"/>
        <v/>
      </c>
      <c r="I265" s="177" t="str">
        <f t="shared" si="34"/>
        <v/>
      </c>
      <c r="J265" s="177" t="e">
        <f t="shared" si="30"/>
        <v>#VALUE!</v>
      </c>
      <c r="K265" s="177">
        <f>SUM($I$17:$I265)</f>
        <v>0</v>
      </c>
      <c r="L265" s="179"/>
      <c r="M265" s="179"/>
    </row>
    <row r="266" spans="1:13" s="180" customFormat="1" ht="12.75">
      <c r="A266" s="192" t="str">
        <f t="shared" si="31"/>
        <v/>
      </c>
      <c r="B266" s="175"/>
      <c r="C266" s="176" t="str">
        <f t="shared" si="27"/>
        <v/>
      </c>
      <c r="D266" s="177" t="str">
        <f t="shared" si="32"/>
        <v/>
      </c>
      <c r="E266" s="177" t="str">
        <f t="shared" si="35"/>
        <v/>
      </c>
      <c r="F266" s="178" t="e">
        <f t="shared" si="28"/>
        <v>#VALUE!</v>
      </c>
      <c r="G266" s="177" t="e">
        <f t="shared" si="29"/>
        <v>#VALUE!</v>
      </c>
      <c r="H266" s="177" t="str">
        <f t="shared" si="33"/>
        <v/>
      </c>
      <c r="I266" s="177" t="str">
        <f t="shared" si="34"/>
        <v/>
      </c>
      <c r="J266" s="177" t="e">
        <f t="shared" si="30"/>
        <v>#VALUE!</v>
      </c>
      <c r="K266" s="177">
        <f>SUM($I$17:$I266)</f>
        <v>0</v>
      </c>
      <c r="L266" s="179"/>
      <c r="M266" s="179"/>
    </row>
    <row r="267" spans="1:13" s="180" customFormat="1" ht="12.75">
      <c r="A267" s="192" t="str">
        <f t="shared" si="31"/>
        <v/>
      </c>
      <c r="B267" s="175"/>
      <c r="C267" s="176" t="str">
        <f t="shared" si="27"/>
        <v/>
      </c>
      <c r="D267" s="177" t="str">
        <f t="shared" si="32"/>
        <v/>
      </c>
      <c r="E267" s="177" t="str">
        <f t="shared" si="35"/>
        <v/>
      </c>
      <c r="F267" s="178" t="e">
        <f t="shared" si="28"/>
        <v>#VALUE!</v>
      </c>
      <c r="G267" s="177" t="e">
        <f t="shared" si="29"/>
        <v>#VALUE!</v>
      </c>
      <c r="H267" s="177" t="str">
        <f t="shared" si="33"/>
        <v/>
      </c>
      <c r="I267" s="177" t="str">
        <f t="shared" si="34"/>
        <v/>
      </c>
      <c r="J267" s="177" t="e">
        <f t="shared" si="30"/>
        <v>#VALUE!</v>
      </c>
      <c r="K267" s="177">
        <f>SUM($I$17:$I267)</f>
        <v>0</v>
      </c>
      <c r="L267" s="179"/>
      <c r="M267" s="179"/>
    </row>
    <row r="268" spans="1:13" s="180" customFormat="1" ht="12.75">
      <c r="A268" s="192" t="str">
        <f t="shared" si="31"/>
        <v/>
      </c>
      <c r="B268" s="175"/>
      <c r="C268" s="176" t="str">
        <f t="shared" si="27"/>
        <v/>
      </c>
      <c r="D268" s="177" t="str">
        <f t="shared" si="32"/>
        <v/>
      </c>
      <c r="E268" s="177" t="str">
        <f t="shared" si="35"/>
        <v/>
      </c>
      <c r="F268" s="178" t="e">
        <f t="shared" si="28"/>
        <v>#VALUE!</v>
      </c>
      <c r="G268" s="177" t="e">
        <f t="shared" si="29"/>
        <v>#VALUE!</v>
      </c>
      <c r="H268" s="177" t="str">
        <f t="shared" si="33"/>
        <v/>
      </c>
      <c r="I268" s="177" t="str">
        <f t="shared" si="34"/>
        <v/>
      </c>
      <c r="J268" s="177" t="e">
        <f t="shared" si="30"/>
        <v>#VALUE!</v>
      </c>
      <c r="K268" s="177">
        <f>SUM($I$17:$I268)</f>
        <v>0</v>
      </c>
      <c r="L268" s="179"/>
      <c r="M268" s="179"/>
    </row>
    <row r="269" spans="1:13" s="180" customFormat="1" ht="12.75">
      <c r="A269" s="192" t="str">
        <f t="shared" si="31"/>
        <v/>
      </c>
      <c r="B269" s="175"/>
      <c r="C269" s="176" t="str">
        <f t="shared" si="27"/>
        <v/>
      </c>
      <c r="D269" s="177" t="str">
        <f t="shared" si="32"/>
        <v/>
      </c>
      <c r="E269" s="177" t="str">
        <f t="shared" si="35"/>
        <v/>
      </c>
      <c r="F269" s="178" t="e">
        <f t="shared" si="28"/>
        <v>#VALUE!</v>
      </c>
      <c r="G269" s="177" t="e">
        <f t="shared" si="29"/>
        <v>#VALUE!</v>
      </c>
      <c r="H269" s="177" t="str">
        <f t="shared" si="33"/>
        <v/>
      </c>
      <c r="I269" s="177" t="str">
        <f t="shared" si="34"/>
        <v/>
      </c>
      <c r="J269" s="177" t="e">
        <f t="shared" si="30"/>
        <v>#VALUE!</v>
      </c>
      <c r="K269" s="177">
        <f>SUM($I$17:$I269)</f>
        <v>0</v>
      </c>
      <c r="L269" s="179"/>
      <c r="M269" s="179"/>
    </row>
    <row r="270" spans="1:13" s="180" customFormat="1" ht="12.75">
      <c r="A270" s="192" t="str">
        <f t="shared" si="31"/>
        <v/>
      </c>
      <c r="B270" s="175"/>
      <c r="C270" s="176" t="str">
        <f t="shared" si="27"/>
        <v/>
      </c>
      <c r="D270" s="177" t="str">
        <f t="shared" si="32"/>
        <v/>
      </c>
      <c r="E270" s="177" t="str">
        <f t="shared" si="35"/>
        <v/>
      </c>
      <c r="F270" s="178" t="e">
        <f t="shared" si="28"/>
        <v>#VALUE!</v>
      </c>
      <c r="G270" s="177" t="e">
        <f t="shared" si="29"/>
        <v>#VALUE!</v>
      </c>
      <c r="H270" s="177" t="str">
        <f t="shared" si="33"/>
        <v/>
      </c>
      <c r="I270" s="177" t="str">
        <f t="shared" si="34"/>
        <v/>
      </c>
      <c r="J270" s="177" t="e">
        <f t="shared" si="30"/>
        <v>#VALUE!</v>
      </c>
      <c r="K270" s="177">
        <f>SUM($I$17:$I270)</f>
        <v>0</v>
      </c>
      <c r="L270" s="179"/>
      <c r="M270" s="179"/>
    </row>
    <row r="271" spans="1:13" s="180" customFormat="1" ht="12.75">
      <c r="A271" s="192" t="str">
        <f t="shared" si="31"/>
        <v/>
      </c>
      <c r="B271" s="175"/>
      <c r="C271" s="176" t="str">
        <f t="shared" si="27"/>
        <v/>
      </c>
      <c r="D271" s="177" t="str">
        <f t="shared" si="32"/>
        <v/>
      </c>
      <c r="E271" s="177" t="str">
        <f t="shared" si="35"/>
        <v/>
      </c>
      <c r="F271" s="178" t="e">
        <f t="shared" si="28"/>
        <v>#VALUE!</v>
      </c>
      <c r="G271" s="177" t="e">
        <f t="shared" si="29"/>
        <v>#VALUE!</v>
      </c>
      <c r="H271" s="177" t="str">
        <f t="shared" si="33"/>
        <v/>
      </c>
      <c r="I271" s="177" t="str">
        <f t="shared" si="34"/>
        <v/>
      </c>
      <c r="J271" s="177" t="e">
        <f t="shared" si="30"/>
        <v>#VALUE!</v>
      </c>
      <c r="K271" s="177">
        <f>SUM($I$17:$I271)</f>
        <v>0</v>
      </c>
      <c r="L271" s="179"/>
      <c r="M271" s="179"/>
    </row>
    <row r="272" spans="1:13" s="180" customFormat="1" ht="12.75">
      <c r="A272" s="192" t="str">
        <f t="shared" si="31"/>
        <v/>
      </c>
      <c r="B272" s="175"/>
      <c r="C272" s="176" t="str">
        <f t="shared" si="27"/>
        <v/>
      </c>
      <c r="D272" s="177" t="str">
        <f t="shared" si="32"/>
        <v/>
      </c>
      <c r="E272" s="177" t="str">
        <f t="shared" si="35"/>
        <v/>
      </c>
      <c r="F272" s="178" t="e">
        <f t="shared" si="28"/>
        <v>#VALUE!</v>
      </c>
      <c r="G272" s="177" t="e">
        <f t="shared" si="29"/>
        <v>#VALUE!</v>
      </c>
      <c r="H272" s="177" t="str">
        <f t="shared" si="33"/>
        <v/>
      </c>
      <c r="I272" s="177" t="str">
        <f t="shared" si="34"/>
        <v/>
      </c>
      <c r="J272" s="177" t="e">
        <f t="shared" si="30"/>
        <v>#VALUE!</v>
      </c>
      <c r="K272" s="177">
        <f>SUM($I$17:$I272)</f>
        <v>0</v>
      </c>
      <c r="L272" s="179"/>
      <c r="M272" s="179"/>
    </row>
    <row r="273" spans="1:14" s="180" customFormat="1" ht="12.75">
      <c r="A273" s="192" t="str">
        <f t="shared" si="31"/>
        <v/>
      </c>
      <c r="B273" s="175"/>
      <c r="C273" s="176" t="str">
        <f t="shared" ref="C273:C336" si="36">IF(Pay_Num&lt;&gt;"",DATE(YEAR(Loan_Start),MONTH(Loan_Start)+(Pay_Num)*12/Num_Pmt_Per_Year,DAY(Loan_Start)),"")</f>
        <v/>
      </c>
      <c r="D273" s="177" t="str">
        <f t="shared" si="32"/>
        <v/>
      </c>
      <c r="E273" s="177" t="str">
        <f t="shared" si="35"/>
        <v/>
      </c>
      <c r="F273" s="178" t="e">
        <f t="shared" ref="F273:F336" si="37">IF(AND(Pay_Num&lt;&gt;"",Sched_Pay+Scheduled_Extra_Payments&lt;Beg_Bal),Scheduled_Extra_Payments,IF(AND(Pay_Num&lt;&gt;"",Beg_Bal-Sched_Pay&gt;0),Beg_Bal-Sched_Pay,IF(Pay_Num&lt;&gt;"",0,"")))</f>
        <v>#VALUE!</v>
      </c>
      <c r="G273" s="177" t="e">
        <f t="shared" ref="G273:G336" si="38">IF(AND(Pay_Num&lt;&gt;"",Sched_Pay+Extra_Pay&lt;Beg_Bal),Sched_Pay+Extra_Pay,IF(Pay_Num&lt;&gt;"",Beg_Bal,""))</f>
        <v>#VALUE!</v>
      </c>
      <c r="H273" s="177" t="str">
        <f t="shared" si="33"/>
        <v/>
      </c>
      <c r="I273" s="177" t="str">
        <f t="shared" si="34"/>
        <v/>
      </c>
      <c r="J273" s="177" t="e">
        <f t="shared" ref="J273:J336" si="39">IF(AND(Pay_Num&lt;&gt;"",Sched_Pay+Extra_Pay&lt;Beg_Bal),Beg_Bal-Princ,IF(Pay_Num&lt;&gt;"",0,""))</f>
        <v>#VALUE!</v>
      </c>
      <c r="K273" s="177">
        <f>SUM($I$17:$I273)</f>
        <v>0</v>
      </c>
      <c r="L273" s="179"/>
      <c r="M273" s="179"/>
    </row>
    <row r="274" spans="1:14" s="180" customFormat="1" ht="12.75">
      <c r="A274" s="192" t="str">
        <f t="shared" ref="A274:A337" si="40">IF(Values_Entered,A273+1,"")</f>
        <v/>
      </c>
      <c r="B274" s="175"/>
      <c r="C274" s="176" t="str">
        <f t="shared" si="36"/>
        <v/>
      </c>
      <c r="D274" s="177" t="str">
        <f t="shared" ref="D274:D337" si="41">IF(Pay_Num&lt;&gt;"",J273,"")</f>
        <v/>
      </c>
      <c r="E274" s="177" t="str">
        <f t="shared" si="35"/>
        <v/>
      </c>
      <c r="F274" s="178" t="e">
        <f t="shared" si="37"/>
        <v>#VALUE!</v>
      </c>
      <c r="G274" s="177" t="e">
        <f t="shared" si="38"/>
        <v>#VALUE!</v>
      </c>
      <c r="H274" s="177" t="str">
        <f t="shared" ref="H274:H337" si="42">IF(Pay_Num&lt;&gt;"",Total_Pay-Int,"")</f>
        <v/>
      </c>
      <c r="I274" s="177" t="str">
        <f t="shared" ref="I274:I337" si="43">IF(Pay_Num&lt;&gt;"",Beg_Bal*Interest_Rate/Num_Pmt_Per_Year,"")</f>
        <v/>
      </c>
      <c r="J274" s="177" t="e">
        <f t="shared" si="39"/>
        <v>#VALUE!</v>
      </c>
      <c r="K274" s="177">
        <f>SUM($I$17:$I274)</f>
        <v>0</v>
      </c>
      <c r="L274" s="179"/>
      <c r="M274" s="179"/>
    </row>
    <row r="275" spans="1:14" s="180" customFormat="1" ht="12.75">
      <c r="A275" s="192" t="str">
        <f t="shared" si="40"/>
        <v/>
      </c>
      <c r="B275" s="175"/>
      <c r="C275" s="176" t="str">
        <f t="shared" si="36"/>
        <v/>
      </c>
      <c r="D275" s="177" t="str">
        <f t="shared" si="41"/>
        <v/>
      </c>
      <c r="E275" s="177" t="str">
        <f t="shared" ref="E275:E338" si="44">IF(Pay_Num&lt;&gt;"",Scheduled_Monthly_Payment,"")</f>
        <v/>
      </c>
      <c r="F275" s="178" t="e">
        <f t="shared" si="37"/>
        <v>#VALUE!</v>
      </c>
      <c r="G275" s="177" t="e">
        <f t="shared" si="38"/>
        <v>#VALUE!</v>
      </c>
      <c r="H275" s="177" t="str">
        <f t="shared" si="42"/>
        <v/>
      </c>
      <c r="I275" s="177" t="str">
        <f t="shared" si="43"/>
        <v/>
      </c>
      <c r="J275" s="177" t="e">
        <f t="shared" si="39"/>
        <v>#VALUE!</v>
      </c>
      <c r="K275" s="177">
        <f>SUM($I$17:$I275)</f>
        <v>0</v>
      </c>
      <c r="L275" s="179"/>
      <c r="M275" s="179"/>
    </row>
    <row r="276" spans="1:14" s="180" customFormat="1" ht="12.75">
      <c r="A276" s="192" t="str">
        <f t="shared" si="40"/>
        <v/>
      </c>
      <c r="B276" s="175"/>
      <c r="C276" s="176" t="str">
        <f t="shared" si="36"/>
        <v/>
      </c>
      <c r="D276" s="177" t="str">
        <f t="shared" si="41"/>
        <v/>
      </c>
      <c r="E276" s="177" t="str">
        <f t="shared" si="44"/>
        <v/>
      </c>
      <c r="F276" s="178" t="e">
        <f t="shared" si="37"/>
        <v>#VALUE!</v>
      </c>
      <c r="G276" s="177" t="e">
        <f t="shared" si="38"/>
        <v>#VALUE!</v>
      </c>
      <c r="H276" s="177" t="str">
        <f t="shared" si="42"/>
        <v/>
      </c>
      <c r="I276" s="177" t="str">
        <f t="shared" si="43"/>
        <v/>
      </c>
      <c r="J276" s="177" t="e">
        <f t="shared" si="39"/>
        <v>#VALUE!</v>
      </c>
      <c r="K276" s="177">
        <f>SUM($I$17:$I276)</f>
        <v>0</v>
      </c>
      <c r="L276" s="179"/>
      <c r="M276" s="179"/>
    </row>
    <row r="277" spans="1:14" s="180" customFormat="1" ht="12.75">
      <c r="A277" s="192" t="str">
        <f t="shared" si="40"/>
        <v/>
      </c>
      <c r="B277" s="175"/>
      <c r="C277" s="176" t="str">
        <f t="shared" si="36"/>
        <v/>
      </c>
      <c r="D277" s="177" t="str">
        <f t="shared" si="41"/>
        <v/>
      </c>
      <c r="E277" s="177" t="str">
        <f t="shared" si="44"/>
        <v/>
      </c>
      <c r="F277" s="178" t="e">
        <f t="shared" si="37"/>
        <v>#VALUE!</v>
      </c>
      <c r="G277" s="177" t="e">
        <f t="shared" si="38"/>
        <v>#VALUE!</v>
      </c>
      <c r="H277" s="177" t="str">
        <f t="shared" si="42"/>
        <v/>
      </c>
      <c r="I277" s="177" t="str">
        <f t="shared" si="43"/>
        <v/>
      </c>
      <c r="J277" s="177" t="e">
        <f t="shared" si="39"/>
        <v>#VALUE!</v>
      </c>
      <c r="K277" s="177">
        <f>SUM($I$17:$I277)</f>
        <v>0</v>
      </c>
      <c r="L277" s="179"/>
      <c r="M277" s="179"/>
    </row>
    <row r="278" spans="1:14" s="180" customFormat="1" ht="12.75">
      <c r="A278" s="192" t="str">
        <f t="shared" si="40"/>
        <v/>
      </c>
      <c r="B278" s="175"/>
      <c r="C278" s="176" t="str">
        <f t="shared" si="36"/>
        <v/>
      </c>
      <c r="D278" s="177" t="str">
        <f t="shared" si="41"/>
        <v/>
      </c>
      <c r="E278" s="177" t="str">
        <f t="shared" si="44"/>
        <v/>
      </c>
      <c r="F278" s="178" t="e">
        <f t="shared" si="37"/>
        <v>#VALUE!</v>
      </c>
      <c r="G278" s="177" t="e">
        <f t="shared" si="38"/>
        <v>#VALUE!</v>
      </c>
      <c r="H278" s="177" t="str">
        <f t="shared" si="42"/>
        <v/>
      </c>
      <c r="I278" s="177" t="str">
        <f t="shared" si="43"/>
        <v/>
      </c>
      <c r="J278" s="177" t="e">
        <f t="shared" si="39"/>
        <v>#VALUE!</v>
      </c>
      <c r="K278" s="177">
        <f>SUM($I$17:$I278)</f>
        <v>0</v>
      </c>
      <c r="L278" s="179"/>
      <c r="M278" s="179"/>
    </row>
    <row r="279" spans="1:14" s="180" customFormat="1" ht="12.75">
      <c r="A279" s="192" t="str">
        <f t="shared" si="40"/>
        <v/>
      </c>
      <c r="B279" s="175"/>
      <c r="C279" s="176" t="str">
        <f t="shared" si="36"/>
        <v/>
      </c>
      <c r="D279" s="177" t="str">
        <f t="shared" si="41"/>
        <v/>
      </c>
      <c r="E279" s="177" t="str">
        <f t="shared" si="44"/>
        <v/>
      </c>
      <c r="F279" s="178" t="e">
        <f t="shared" si="37"/>
        <v>#VALUE!</v>
      </c>
      <c r="G279" s="177" t="e">
        <f t="shared" si="38"/>
        <v>#VALUE!</v>
      </c>
      <c r="H279" s="177" t="str">
        <f t="shared" si="42"/>
        <v/>
      </c>
      <c r="I279" s="177" t="str">
        <f t="shared" si="43"/>
        <v/>
      </c>
      <c r="J279" s="177" t="e">
        <f t="shared" si="39"/>
        <v>#VALUE!</v>
      </c>
      <c r="K279" s="177">
        <f>SUM($I$17:$I279)</f>
        <v>0</v>
      </c>
      <c r="L279" s="179"/>
      <c r="M279" s="179"/>
    </row>
    <row r="280" spans="1:14" ht="12.75">
      <c r="A280" s="191" t="str">
        <f t="shared" si="40"/>
        <v/>
      </c>
      <c r="B280" s="171"/>
      <c r="C280" s="172" t="str">
        <f t="shared" si="36"/>
        <v/>
      </c>
      <c r="D280" s="173" t="str">
        <f t="shared" si="41"/>
        <v/>
      </c>
      <c r="E280" s="173" t="str">
        <f t="shared" si="44"/>
        <v/>
      </c>
      <c r="F280" s="174" t="e">
        <f t="shared" si="37"/>
        <v>#VALUE!</v>
      </c>
      <c r="G280" s="173" t="e">
        <f t="shared" si="38"/>
        <v>#VALUE!</v>
      </c>
      <c r="H280" s="173" t="str">
        <f t="shared" si="42"/>
        <v/>
      </c>
      <c r="I280" s="173" t="str">
        <f t="shared" si="43"/>
        <v/>
      </c>
      <c r="J280" s="173" t="e">
        <f t="shared" si="39"/>
        <v>#VALUE!</v>
      </c>
      <c r="K280" s="173">
        <f>SUM($I$17:$I280)</f>
        <v>0</v>
      </c>
      <c r="L280" s="168"/>
      <c r="M280" s="168"/>
      <c r="N280" s="150"/>
    </row>
    <row r="281" spans="1:14" ht="12.75">
      <c r="A281" s="191" t="str">
        <f t="shared" si="40"/>
        <v/>
      </c>
      <c r="B281" s="171"/>
      <c r="C281" s="172" t="str">
        <f t="shared" si="36"/>
        <v/>
      </c>
      <c r="D281" s="173" t="str">
        <f t="shared" si="41"/>
        <v/>
      </c>
      <c r="E281" s="173" t="str">
        <f t="shared" si="44"/>
        <v/>
      </c>
      <c r="F281" s="174" t="e">
        <f t="shared" si="37"/>
        <v>#VALUE!</v>
      </c>
      <c r="G281" s="173" t="e">
        <f t="shared" si="38"/>
        <v>#VALUE!</v>
      </c>
      <c r="H281" s="173" t="str">
        <f t="shared" si="42"/>
        <v/>
      </c>
      <c r="I281" s="173" t="str">
        <f t="shared" si="43"/>
        <v/>
      </c>
      <c r="J281" s="173" t="e">
        <f t="shared" si="39"/>
        <v>#VALUE!</v>
      </c>
      <c r="K281" s="173">
        <f>SUM($I$17:$I281)</f>
        <v>0</v>
      </c>
      <c r="L281" s="168"/>
      <c r="M281" s="168"/>
      <c r="N281" s="150"/>
    </row>
    <row r="282" spans="1:14" ht="12.75">
      <c r="A282" s="191" t="str">
        <f t="shared" si="40"/>
        <v/>
      </c>
      <c r="B282" s="171"/>
      <c r="C282" s="172" t="str">
        <f t="shared" si="36"/>
        <v/>
      </c>
      <c r="D282" s="173" t="str">
        <f t="shared" si="41"/>
        <v/>
      </c>
      <c r="E282" s="173" t="str">
        <f t="shared" si="44"/>
        <v/>
      </c>
      <c r="F282" s="174" t="e">
        <f t="shared" si="37"/>
        <v>#VALUE!</v>
      </c>
      <c r="G282" s="173" t="e">
        <f t="shared" si="38"/>
        <v>#VALUE!</v>
      </c>
      <c r="H282" s="173" t="str">
        <f t="shared" si="42"/>
        <v/>
      </c>
      <c r="I282" s="173" t="str">
        <f t="shared" si="43"/>
        <v/>
      </c>
      <c r="J282" s="173" t="e">
        <f t="shared" si="39"/>
        <v>#VALUE!</v>
      </c>
      <c r="K282" s="173">
        <f>SUM($I$17:$I282)</f>
        <v>0</v>
      </c>
      <c r="L282" s="168"/>
      <c r="M282" s="168"/>
      <c r="N282" s="150"/>
    </row>
    <row r="283" spans="1:14" ht="12.75">
      <c r="A283" s="191" t="str">
        <f t="shared" si="40"/>
        <v/>
      </c>
      <c r="B283" s="171"/>
      <c r="C283" s="172" t="str">
        <f t="shared" si="36"/>
        <v/>
      </c>
      <c r="D283" s="173" t="str">
        <f t="shared" si="41"/>
        <v/>
      </c>
      <c r="E283" s="173" t="str">
        <f t="shared" si="44"/>
        <v/>
      </c>
      <c r="F283" s="174" t="e">
        <f t="shared" si="37"/>
        <v>#VALUE!</v>
      </c>
      <c r="G283" s="173" t="e">
        <f t="shared" si="38"/>
        <v>#VALUE!</v>
      </c>
      <c r="H283" s="173" t="str">
        <f t="shared" si="42"/>
        <v/>
      </c>
      <c r="I283" s="173" t="str">
        <f t="shared" si="43"/>
        <v/>
      </c>
      <c r="J283" s="173" t="e">
        <f t="shared" si="39"/>
        <v>#VALUE!</v>
      </c>
      <c r="K283" s="173">
        <f>SUM($I$17:$I283)</f>
        <v>0</v>
      </c>
      <c r="L283" s="168"/>
      <c r="M283" s="168"/>
      <c r="N283" s="150"/>
    </row>
    <row r="284" spans="1:14" ht="12.75">
      <c r="A284" s="191" t="str">
        <f t="shared" si="40"/>
        <v/>
      </c>
      <c r="B284" s="171"/>
      <c r="C284" s="172" t="str">
        <f t="shared" si="36"/>
        <v/>
      </c>
      <c r="D284" s="173" t="str">
        <f t="shared" si="41"/>
        <v/>
      </c>
      <c r="E284" s="173" t="str">
        <f t="shared" si="44"/>
        <v/>
      </c>
      <c r="F284" s="174" t="e">
        <f t="shared" si="37"/>
        <v>#VALUE!</v>
      </c>
      <c r="G284" s="173" t="e">
        <f t="shared" si="38"/>
        <v>#VALUE!</v>
      </c>
      <c r="H284" s="173" t="str">
        <f t="shared" si="42"/>
        <v/>
      </c>
      <c r="I284" s="173" t="str">
        <f t="shared" si="43"/>
        <v/>
      </c>
      <c r="J284" s="173" t="e">
        <f t="shared" si="39"/>
        <v>#VALUE!</v>
      </c>
      <c r="K284" s="173">
        <f>SUM($I$17:$I284)</f>
        <v>0</v>
      </c>
      <c r="L284" s="168"/>
      <c r="M284" s="168"/>
      <c r="N284" s="150"/>
    </row>
    <row r="285" spans="1:14" ht="12.75">
      <c r="A285" s="191" t="str">
        <f t="shared" si="40"/>
        <v/>
      </c>
      <c r="B285" s="171"/>
      <c r="C285" s="172" t="str">
        <f t="shared" si="36"/>
        <v/>
      </c>
      <c r="D285" s="173" t="str">
        <f t="shared" si="41"/>
        <v/>
      </c>
      <c r="E285" s="173" t="str">
        <f t="shared" si="44"/>
        <v/>
      </c>
      <c r="F285" s="174" t="e">
        <f t="shared" si="37"/>
        <v>#VALUE!</v>
      </c>
      <c r="G285" s="173" t="e">
        <f t="shared" si="38"/>
        <v>#VALUE!</v>
      </c>
      <c r="H285" s="173" t="str">
        <f t="shared" si="42"/>
        <v/>
      </c>
      <c r="I285" s="173" t="str">
        <f t="shared" si="43"/>
        <v/>
      </c>
      <c r="J285" s="173" t="e">
        <f t="shared" si="39"/>
        <v>#VALUE!</v>
      </c>
      <c r="K285" s="173">
        <f>SUM($I$17:$I285)</f>
        <v>0</v>
      </c>
      <c r="L285" s="168"/>
      <c r="M285" s="168"/>
      <c r="N285" s="150"/>
    </row>
    <row r="286" spans="1:14" ht="12.75">
      <c r="A286" s="191" t="str">
        <f t="shared" si="40"/>
        <v/>
      </c>
      <c r="B286" s="171"/>
      <c r="C286" s="172" t="str">
        <f t="shared" si="36"/>
        <v/>
      </c>
      <c r="D286" s="173" t="str">
        <f t="shared" si="41"/>
        <v/>
      </c>
      <c r="E286" s="173" t="str">
        <f t="shared" si="44"/>
        <v/>
      </c>
      <c r="F286" s="174" t="e">
        <f t="shared" si="37"/>
        <v>#VALUE!</v>
      </c>
      <c r="G286" s="173" t="e">
        <f t="shared" si="38"/>
        <v>#VALUE!</v>
      </c>
      <c r="H286" s="173" t="str">
        <f t="shared" si="42"/>
        <v/>
      </c>
      <c r="I286" s="173" t="str">
        <f t="shared" si="43"/>
        <v/>
      </c>
      <c r="J286" s="173" t="e">
        <f t="shared" si="39"/>
        <v>#VALUE!</v>
      </c>
      <c r="K286" s="173">
        <f>SUM($I$17:$I286)</f>
        <v>0</v>
      </c>
      <c r="L286" s="168"/>
      <c r="M286" s="168"/>
      <c r="N286" s="150"/>
    </row>
    <row r="287" spans="1:14" ht="12.75">
      <c r="A287" s="191" t="str">
        <f t="shared" si="40"/>
        <v/>
      </c>
      <c r="B287" s="171"/>
      <c r="C287" s="172" t="str">
        <f t="shared" si="36"/>
        <v/>
      </c>
      <c r="D287" s="173" t="str">
        <f t="shared" si="41"/>
        <v/>
      </c>
      <c r="E287" s="173" t="str">
        <f t="shared" si="44"/>
        <v/>
      </c>
      <c r="F287" s="174" t="e">
        <f t="shared" si="37"/>
        <v>#VALUE!</v>
      </c>
      <c r="G287" s="173" t="e">
        <f t="shared" si="38"/>
        <v>#VALUE!</v>
      </c>
      <c r="H287" s="173" t="str">
        <f t="shared" si="42"/>
        <v/>
      </c>
      <c r="I287" s="173" t="str">
        <f t="shared" si="43"/>
        <v/>
      </c>
      <c r="J287" s="173" t="e">
        <f t="shared" si="39"/>
        <v>#VALUE!</v>
      </c>
      <c r="K287" s="173">
        <f>SUM($I$17:$I287)</f>
        <v>0</v>
      </c>
      <c r="L287" s="168"/>
      <c r="M287" s="168"/>
      <c r="N287" s="150"/>
    </row>
    <row r="288" spans="1:14" ht="12.75">
      <c r="A288" s="191" t="str">
        <f t="shared" si="40"/>
        <v/>
      </c>
      <c r="B288" s="171"/>
      <c r="C288" s="172" t="str">
        <f t="shared" si="36"/>
        <v/>
      </c>
      <c r="D288" s="173" t="str">
        <f t="shared" si="41"/>
        <v/>
      </c>
      <c r="E288" s="173" t="str">
        <f t="shared" si="44"/>
        <v/>
      </c>
      <c r="F288" s="174" t="e">
        <f t="shared" si="37"/>
        <v>#VALUE!</v>
      </c>
      <c r="G288" s="173" t="e">
        <f t="shared" si="38"/>
        <v>#VALUE!</v>
      </c>
      <c r="H288" s="173" t="str">
        <f t="shared" si="42"/>
        <v/>
      </c>
      <c r="I288" s="173" t="str">
        <f t="shared" si="43"/>
        <v/>
      </c>
      <c r="J288" s="173" t="e">
        <f t="shared" si="39"/>
        <v>#VALUE!</v>
      </c>
      <c r="K288" s="173">
        <f>SUM($I$17:$I288)</f>
        <v>0</v>
      </c>
      <c r="L288" s="168"/>
      <c r="M288" s="168"/>
      <c r="N288" s="150"/>
    </row>
    <row r="289" spans="1:14" ht="12.75">
      <c r="A289" s="191" t="str">
        <f t="shared" si="40"/>
        <v/>
      </c>
      <c r="B289" s="171"/>
      <c r="C289" s="172" t="str">
        <f t="shared" si="36"/>
        <v/>
      </c>
      <c r="D289" s="173" t="str">
        <f t="shared" si="41"/>
        <v/>
      </c>
      <c r="E289" s="173" t="str">
        <f t="shared" si="44"/>
        <v/>
      </c>
      <c r="F289" s="174" t="e">
        <f t="shared" si="37"/>
        <v>#VALUE!</v>
      </c>
      <c r="G289" s="173" t="e">
        <f t="shared" si="38"/>
        <v>#VALUE!</v>
      </c>
      <c r="H289" s="173" t="str">
        <f t="shared" si="42"/>
        <v/>
      </c>
      <c r="I289" s="173" t="str">
        <f t="shared" si="43"/>
        <v/>
      </c>
      <c r="J289" s="173" t="e">
        <f t="shared" si="39"/>
        <v>#VALUE!</v>
      </c>
      <c r="K289" s="173">
        <f>SUM($I$17:$I289)</f>
        <v>0</v>
      </c>
      <c r="L289" s="168"/>
      <c r="M289" s="168"/>
      <c r="N289" s="150"/>
    </row>
    <row r="290" spans="1:14" ht="12.75">
      <c r="A290" s="191" t="str">
        <f t="shared" si="40"/>
        <v/>
      </c>
      <c r="B290" s="171"/>
      <c r="C290" s="172" t="str">
        <f t="shared" si="36"/>
        <v/>
      </c>
      <c r="D290" s="173" t="str">
        <f t="shared" si="41"/>
        <v/>
      </c>
      <c r="E290" s="173" t="str">
        <f t="shared" si="44"/>
        <v/>
      </c>
      <c r="F290" s="174" t="e">
        <f t="shared" si="37"/>
        <v>#VALUE!</v>
      </c>
      <c r="G290" s="173" t="e">
        <f t="shared" si="38"/>
        <v>#VALUE!</v>
      </c>
      <c r="H290" s="173" t="str">
        <f t="shared" si="42"/>
        <v/>
      </c>
      <c r="I290" s="173" t="str">
        <f t="shared" si="43"/>
        <v/>
      </c>
      <c r="J290" s="173" t="e">
        <f t="shared" si="39"/>
        <v>#VALUE!</v>
      </c>
      <c r="K290" s="173">
        <f>SUM($I$17:$I290)</f>
        <v>0</v>
      </c>
      <c r="L290" s="168"/>
      <c r="M290" s="168"/>
      <c r="N290" s="150"/>
    </row>
    <row r="291" spans="1:14" ht="12.75">
      <c r="A291" s="191" t="str">
        <f t="shared" si="40"/>
        <v/>
      </c>
      <c r="B291" s="171"/>
      <c r="C291" s="172" t="str">
        <f t="shared" si="36"/>
        <v/>
      </c>
      <c r="D291" s="173" t="str">
        <f t="shared" si="41"/>
        <v/>
      </c>
      <c r="E291" s="173" t="str">
        <f t="shared" si="44"/>
        <v/>
      </c>
      <c r="F291" s="174" t="e">
        <f t="shared" si="37"/>
        <v>#VALUE!</v>
      </c>
      <c r="G291" s="173" t="e">
        <f t="shared" si="38"/>
        <v>#VALUE!</v>
      </c>
      <c r="H291" s="173" t="str">
        <f t="shared" si="42"/>
        <v/>
      </c>
      <c r="I291" s="173" t="str">
        <f t="shared" si="43"/>
        <v/>
      </c>
      <c r="J291" s="173" t="e">
        <f t="shared" si="39"/>
        <v>#VALUE!</v>
      </c>
      <c r="K291" s="173">
        <f>SUM($I$17:$I291)</f>
        <v>0</v>
      </c>
      <c r="L291" s="168"/>
      <c r="M291" s="168"/>
      <c r="N291" s="150"/>
    </row>
    <row r="292" spans="1:14" ht="12.75">
      <c r="A292" s="191" t="str">
        <f t="shared" si="40"/>
        <v/>
      </c>
      <c r="B292" s="171"/>
      <c r="C292" s="172" t="str">
        <f t="shared" si="36"/>
        <v/>
      </c>
      <c r="D292" s="173" t="str">
        <f t="shared" si="41"/>
        <v/>
      </c>
      <c r="E292" s="173" t="str">
        <f t="shared" si="44"/>
        <v/>
      </c>
      <c r="F292" s="174" t="e">
        <f t="shared" si="37"/>
        <v>#VALUE!</v>
      </c>
      <c r="G292" s="173" t="e">
        <f t="shared" si="38"/>
        <v>#VALUE!</v>
      </c>
      <c r="H292" s="173" t="str">
        <f t="shared" si="42"/>
        <v/>
      </c>
      <c r="I292" s="173" t="str">
        <f t="shared" si="43"/>
        <v/>
      </c>
      <c r="J292" s="173" t="e">
        <f t="shared" si="39"/>
        <v>#VALUE!</v>
      </c>
      <c r="K292" s="173">
        <f>SUM($I$17:$I292)</f>
        <v>0</v>
      </c>
      <c r="L292" s="168"/>
      <c r="M292" s="168"/>
      <c r="N292" s="150"/>
    </row>
    <row r="293" spans="1:14" ht="12.75">
      <c r="A293" s="191" t="str">
        <f t="shared" si="40"/>
        <v/>
      </c>
      <c r="B293" s="171"/>
      <c r="C293" s="172" t="str">
        <f t="shared" si="36"/>
        <v/>
      </c>
      <c r="D293" s="173" t="str">
        <f t="shared" si="41"/>
        <v/>
      </c>
      <c r="E293" s="173" t="str">
        <f t="shared" si="44"/>
        <v/>
      </c>
      <c r="F293" s="174" t="e">
        <f t="shared" si="37"/>
        <v>#VALUE!</v>
      </c>
      <c r="G293" s="173" t="e">
        <f t="shared" si="38"/>
        <v>#VALUE!</v>
      </c>
      <c r="H293" s="173" t="str">
        <f t="shared" si="42"/>
        <v/>
      </c>
      <c r="I293" s="173" t="str">
        <f t="shared" si="43"/>
        <v/>
      </c>
      <c r="J293" s="173" t="e">
        <f t="shared" si="39"/>
        <v>#VALUE!</v>
      </c>
      <c r="K293" s="173">
        <f>SUM($I$17:$I293)</f>
        <v>0</v>
      </c>
      <c r="L293" s="168"/>
      <c r="M293" s="168"/>
      <c r="N293" s="150"/>
    </row>
    <row r="294" spans="1:14" ht="12.75">
      <c r="A294" s="191" t="str">
        <f t="shared" si="40"/>
        <v/>
      </c>
      <c r="B294" s="171"/>
      <c r="C294" s="172" t="str">
        <f t="shared" si="36"/>
        <v/>
      </c>
      <c r="D294" s="173" t="str">
        <f t="shared" si="41"/>
        <v/>
      </c>
      <c r="E294" s="173" t="str">
        <f t="shared" si="44"/>
        <v/>
      </c>
      <c r="F294" s="174" t="e">
        <f t="shared" si="37"/>
        <v>#VALUE!</v>
      </c>
      <c r="G294" s="173" t="e">
        <f t="shared" si="38"/>
        <v>#VALUE!</v>
      </c>
      <c r="H294" s="173" t="str">
        <f t="shared" si="42"/>
        <v/>
      </c>
      <c r="I294" s="173" t="str">
        <f t="shared" si="43"/>
        <v/>
      </c>
      <c r="J294" s="173" t="e">
        <f t="shared" si="39"/>
        <v>#VALUE!</v>
      </c>
      <c r="K294" s="173">
        <f>SUM($I$17:$I294)</f>
        <v>0</v>
      </c>
      <c r="L294" s="168"/>
      <c r="M294" s="168"/>
      <c r="N294" s="150"/>
    </row>
    <row r="295" spans="1:14" ht="12.75">
      <c r="A295" s="191" t="str">
        <f t="shared" si="40"/>
        <v/>
      </c>
      <c r="B295" s="171"/>
      <c r="C295" s="172" t="str">
        <f t="shared" si="36"/>
        <v/>
      </c>
      <c r="D295" s="173" t="str">
        <f t="shared" si="41"/>
        <v/>
      </c>
      <c r="E295" s="173" t="str">
        <f t="shared" si="44"/>
        <v/>
      </c>
      <c r="F295" s="174" t="e">
        <f t="shared" si="37"/>
        <v>#VALUE!</v>
      </c>
      <c r="G295" s="173" t="e">
        <f t="shared" si="38"/>
        <v>#VALUE!</v>
      </c>
      <c r="H295" s="173" t="str">
        <f t="shared" si="42"/>
        <v/>
      </c>
      <c r="I295" s="173" t="str">
        <f t="shared" si="43"/>
        <v/>
      </c>
      <c r="J295" s="173" t="e">
        <f t="shared" si="39"/>
        <v>#VALUE!</v>
      </c>
      <c r="K295" s="173">
        <f>SUM($I$17:$I295)</f>
        <v>0</v>
      </c>
      <c r="L295" s="168"/>
      <c r="M295" s="168"/>
      <c r="N295" s="150"/>
    </row>
    <row r="296" spans="1:14" ht="12.75">
      <c r="A296" s="191" t="str">
        <f t="shared" si="40"/>
        <v/>
      </c>
      <c r="B296" s="171"/>
      <c r="C296" s="172" t="str">
        <f t="shared" si="36"/>
        <v/>
      </c>
      <c r="D296" s="173" t="str">
        <f t="shared" si="41"/>
        <v/>
      </c>
      <c r="E296" s="173" t="str">
        <f t="shared" si="44"/>
        <v/>
      </c>
      <c r="F296" s="174" t="e">
        <f t="shared" si="37"/>
        <v>#VALUE!</v>
      </c>
      <c r="G296" s="173" t="e">
        <f t="shared" si="38"/>
        <v>#VALUE!</v>
      </c>
      <c r="H296" s="173" t="str">
        <f t="shared" si="42"/>
        <v/>
      </c>
      <c r="I296" s="173" t="str">
        <f t="shared" si="43"/>
        <v/>
      </c>
      <c r="J296" s="173" t="e">
        <f t="shared" si="39"/>
        <v>#VALUE!</v>
      </c>
      <c r="K296" s="173">
        <f>SUM($I$17:$I296)</f>
        <v>0</v>
      </c>
      <c r="L296" s="168"/>
      <c r="M296" s="168"/>
      <c r="N296" s="150"/>
    </row>
    <row r="297" spans="1:14" ht="12.75">
      <c r="A297" s="191" t="str">
        <f t="shared" si="40"/>
        <v/>
      </c>
      <c r="B297" s="171"/>
      <c r="C297" s="172" t="str">
        <f t="shared" si="36"/>
        <v/>
      </c>
      <c r="D297" s="173" t="str">
        <f t="shared" si="41"/>
        <v/>
      </c>
      <c r="E297" s="173" t="str">
        <f t="shared" si="44"/>
        <v/>
      </c>
      <c r="F297" s="174" t="e">
        <f t="shared" si="37"/>
        <v>#VALUE!</v>
      </c>
      <c r="G297" s="173" t="e">
        <f t="shared" si="38"/>
        <v>#VALUE!</v>
      </c>
      <c r="H297" s="173" t="str">
        <f t="shared" si="42"/>
        <v/>
      </c>
      <c r="I297" s="173" t="str">
        <f t="shared" si="43"/>
        <v/>
      </c>
      <c r="J297" s="173" t="e">
        <f t="shared" si="39"/>
        <v>#VALUE!</v>
      </c>
      <c r="K297" s="173">
        <f>SUM($I$17:$I297)</f>
        <v>0</v>
      </c>
      <c r="L297" s="168"/>
      <c r="M297" s="168"/>
      <c r="N297" s="150"/>
    </row>
    <row r="298" spans="1:14" ht="12.75">
      <c r="A298" s="191" t="str">
        <f t="shared" si="40"/>
        <v/>
      </c>
      <c r="B298" s="171"/>
      <c r="C298" s="172" t="str">
        <f t="shared" si="36"/>
        <v/>
      </c>
      <c r="D298" s="173" t="str">
        <f t="shared" si="41"/>
        <v/>
      </c>
      <c r="E298" s="173" t="str">
        <f t="shared" si="44"/>
        <v/>
      </c>
      <c r="F298" s="174" t="e">
        <f t="shared" si="37"/>
        <v>#VALUE!</v>
      </c>
      <c r="G298" s="173" t="e">
        <f t="shared" si="38"/>
        <v>#VALUE!</v>
      </c>
      <c r="H298" s="173" t="str">
        <f t="shared" si="42"/>
        <v/>
      </c>
      <c r="I298" s="173" t="str">
        <f t="shared" si="43"/>
        <v/>
      </c>
      <c r="J298" s="173" t="e">
        <f t="shared" si="39"/>
        <v>#VALUE!</v>
      </c>
      <c r="K298" s="173">
        <f>SUM($I$17:$I298)</f>
        <v>0</v>
      </c>
      <c r="L298" s="168"/>
      <c r="M298" s="168"/>
      <c r="N298" s="150"/>
    </row>
    <row r="299" spans="1:14" ht="12.75">
      <c r="A299" s="191" t="str">
        <f t="shared" si="40"/>
        <v/>
      </c>
      <c r="B299" s="171"/>
      <c r="C299" s="172" t="str">
        <f t="shared" si="36"/>
        <v/>
      </c>
      <c r="D299" s="173" t="str">
        <f t="shared" si="41"/>
        <v/>
      </c>
      <c r="E299" s="173" t="str">
        <f t="shared" si="44"/>
        <v/>
      </c>
      <c r="F299" s="174" t="e">
        <f t="shared" si="37"/>
        <v>#VALUE!</v>
      </c>
      <c r="G299" s="173" t="e">
        <f t="shared" si="38"/>
        <v>#VALUE!</v>
      </c>
      <c r="H299" s="173" t="str">
        <f t="shared" si="42"/>
        <v/>
      </c>
      <c r="I299" s="173" t="str">
        <f t="shared" si="43"/>
        <v/>
      </c>
      <c r="J299" s="173" t="e">
        <f t="shared" si="39"/>
        <v>#VALUE!</v>
      </c>
      <c r="K299" s="173">
        <f>SUM($I$17:$I299)</f>
        <v>0</v>
      </c>
      <c r="L299" s="168"/>
      <c r="M299" s="168"/>
      <c r="N299" s="150"/>
    </row>
    <row r="300" spans="1:14" ht="12.75">
      <c r="A300" s="191" t="str">
        <f t="shared" si="40"/>
        <v/>
      </c>
      <c r="B300" s="171"/>
      <c r="C300" s="172" t="str">
        <f t="shared" si="36"/>
        <v/>
      </c>
      <c r="D300" s="173" t="str">
        <f t="shared" si="41"/>
        <v/>
      </c>
      <c r="E300" s="173" t="str">
        <f t="shared" si="44"/>
        <v/>
      </c>
      <c r="F300" s="174" t="e">
        <f t="shared" si="37"/>
        <v>#VALUE!</v>
      </c>
      <c r="G300" s="173" t="e">
        <f t="shared" si="38"/>
        <v>#VALUE!</v>
      </c>
      <c r="H300" s="173" t="str">
        <f t="shared" si="42"/>
        <v/>
      </c>
      <c r="I300" s="173" t="str">
        <f t="shared" si="43"/>
        <v/>
      </c>
      <c r="J300" s="173" t="e">
        <f t="shared" si="39"/>
        <v>#VALUE!</v>
      </c>
      <c r="K300" s="173">
        <f>SUM($I$17:$I300)</f>
        <v>0</v>
      </c>
      <c r="L300" s="168"/>
      <c r="M300" s="168"/>
      <c r="N300" s="150"/>
    </row>
    <row r="301" spans="1:14" ht="12.75">
      <c r="A301" s="191" t="str">
        <f t="shared" si="40"/>
        <v/>
      </c>
      <c r="B301" s="171"/>
      <c r="C301" s="172" t="str">
        <f t="shared" si="36"/>
        <v/>
      </c>
      <c r="D301" s="173" t="str">
        <f t="shared" si="41"/>
        <v/>
      </c>
      <c r="E301" s="173" t="str">
        <f t="shared" si="44"/>
        <v/>
      </c>
      <c r="F301" s="174" t="e">
        <f t="shared" si="37"/>
        <v>#VALUE!</v>
      </c>
      <c r="G301" s="173" t="e">
        <f t="shared" si="38"/>
        <v>#VALUE!</v>
      </c>
      <c r="H301" s="173" t="str">
        <f t="shared" si="42"/>
        <v/>
      </c>
      <c r="I301" s="173" t="str">
        <f t="shared" si="43"/>
        <v/>
      </c>
      <c r="J301" s="173" t="e">
        <f t="shared" si="39"/>
        <v>#VALUE!</v>
      </c>
      <c r="K301" s="173">
        <f>SUM($I$17:$I301)</f>
        <v>0</v>
      </c>
      <c r="L301" s="168"/>
      <c r="M301" s="168"/>
      <c r="N301" s="150"/>
    </row>
    <row r="302" spans="1:14" ht="12.75">
      <c r="A302" s="191" t="str">
        <f t="shared" si="40"/>
        <v/>
      </c>
      <c r="B302" s="171"/>
      <c r="C302" s="172" t="str">
        <f t="shared" si="36"/>
        <v/>
      </c>
      <c r="D302" s="173" t="str">
        <f t="shared" si="41"/>
        <v/>
      </c>
      <c r="E302" s="173" t="str">
        <f t="shared" si="44"/>
        <v/>
      </c>
      <c r="F302" s="174" t="e">
        <f t="shared" si="37"/>
        <v>#VALUE!</v>
      </c>
      <c r="G302" s="173" t="e">
        <f t="shared" si="38"/>
        <v>#VALUE!</v>
      </c>
      <c r="H302" s="173" t="str">
        <f t="shared" si="42"/>
        <v/>
      </c>
      <c r="I302" s="173" t="str">
        <f t="shared" si="43"/>
        <v/>
      </c>
      <c r="J302" s="173" t="e">
        <f t="shared" si="39"/>
        <v>#VALUE!</v>
      </c>
      <c r="K302" s="173">
        <f>SUM($I$17:$I302)</f>
        <v>0</v>
      </c>
      <c r="L302" s="168"/>
      <c r="M302" s="168"/>
      <c r="N302" s="150"/>
    </row>
    <row r="303" spans="1:14" ht="12.75">
      <c r="A303" s="191" t="str">
        <f t="shared" si="40"/>
        <v/>
      </c>
      <c r="B303" s="171"/>
      <c r="C303" s="172" t="str">
        <f t="shared" si="36"/>
        <v/>
      </c>
      <c r="D303" s="173" t="str">
        <f t="shared" si="41"/>
        <v/>
      </c>
      <c r="E303" s="173" t="str">
        <f t="shared" si="44"/>
        <v/>
      </c>
      <c r="F303" s="174" t="e">
        <f t="shared" si="37"/>
        <v>#VALUE!</v>
      </c>
      <c r="G303" s="173" t="e">
        <f t="shared" si="38"/>
        <v>#VALUE!</v>
      </c>
      <c r="H303" s="173" t="str">
        <f t="shared" si="42"/>
        <v/>
      </c>
      <c r="I303" s="173" t="str">
        <f t="shared" si="43"/>
        <v/>
      </c>
      <c r="J303" s="173" t="e">
        <f t="shared" si="39"/>
        <v>#VALUE!</v>
      </c>
      <c r="K303" s="173">
        <f>SUM($I$17:$I303)</f>
        <v>0</v>
      </c>
      <c r="L303" s="168"/>
      <c r="M303" s="168"/>
      <c r="N303" s="150"/>
    </row>
    <row r="304" spans="1:14" ht="12.75">
      <c r="A304" s="191" t="str">
        <f t="shared" si="40"/>
        <v/>
      </c>
      <c r="B304" s="171"/>
      <c r="C304" s="172" t="str">
        <f t="shared" si="36"/>
        <v/>
      </c>
      <c r="D304" s="173" t="str">
        <f t="shared" si="41"/>
        <v/>
      </c>
      <c r="E304" s="173" t="str">
        <f t="shared" si="44"/>
        <v/>
      </c>
      <c r="F304" s="174" t="e">
        <f t="shared" si="37"/>
        <v>#VALUE!</v>
      </c>
      <c r="G304" s="173" t="e">
        <f t="shared" si="38"/>
        <v>#VALUE!</v>
      </c>
      <c r="H304" s="173" t="str">
        <f t="shared" si="42"/>
        <v/>
      </c>
      <c r="I304" s="173" t="str">
        <f t="shared" si="43"/>
        <v/>
      </c>
      <c r="J304" s="173" t="e">
        <f t="shared" si="39"/>
        <v>#VALUE!</v>
      </c>
      <c r="K304" s="173">
        <f>SUM($I$17:$I304)</f>
        <v>0</v>
      </c>
      <c r="L304" s="168"/>
      <c r="M304" s="168"/>
      <c r="N304" s="150"/>
    </row>
    <row r="305" spans="1:14" ht="12.75">
      <c r="A305" s="191" t="str">
        <f t="shared" si="40"/>
        <v/>
      </c>
      <c r="B305" s="171"/>
      <c r="C305" s="172" t="str">
        <f t="shared" si="36"/>
        <v/>
      </c>
      <c r="D305" s="173" t="str">
        <f t="shared" si="41"/>
        <v/>
      </c>
      <c r="E305" s="173" t="str">
        <f t="shared" si="44"/>
        <v/>
      </c>
      <c r="F305" s="174" t="e">
        <f t="shared" si="37"/>
        <v>#VALUE!</v>
      </c>
      <c r="G305" s="173" t="e">
        <f t="shared" si="38"/>
        <v>#VALUE!</v>
      </c>
      <c r="H305" s="173" t="str">
        <f t="shared" si="42"/>
        <v/>
      </c>
      <c r="I305" s="173" t="str">
        <f t="shared" si="43"/>
        <v/>
      </c>
      <c r="J305" s="173" t="e">
        <f t="shared" si="39"/>
        <v>#VALUE!</v>
      </c>
      <c r="K305" s="173">
        <f>SUM($I$17:$I305)</f>
        <v>0</v>
      </c>
      <c r="L305" s="168"/>
      <c r="M305" s="168"/>
      <c r="N305" s="150"/>
    </row>
    <row r="306" spans="1:14" ht="12.75">
      <c r="A306" s="191" t="str">
        <f t="shared" si="40"/>
        <v/>
      </c>
      <c r="B306" s="171"/>
      <c r="C306" s="172" t="str">
        <f t="shared" si="36"/>
        <v/>
      </c>
      <c r="D306" s="173" t="str">
        <f t="shared" si="41"/>
        <v/>
      </c>
      <c r="E306" s="173" t="str">
        <f t="shared" si="44"/>
        <v/>
      </c>
      <c r="F306" s="174" t="e">
        <f t="shared" si="37"/>
        <v>#VALUE!</v>
      </c>
      <c r="G306" s="173" t="e">
        <f t="shared" si="38"/>
        <v>#VALUE!</v>
      </c>
      <c r="H306" s="173" t="str">
        <f t="shared" si="42"/>
        <v/>
      </c>
      <c r="I306" s="173" t="str">
        <f t="shared" si="43"/>
        <v/>
      </c>
      <c r="J306" s="173" t="e">
        <f t="shared" si="39"/>
        <v>#VALUE!</v>
      </c>
      <c r="K306" s="173">
        <f>SUM($I$17:$I306)</f>
        <v>0</v>
      </c>
      <c r="L306" s="168"/>
      <c r="M306" s="168"/>
      <c r="N306" s="150"/>
    </row>
    <row r="307" spans="1:14" ht="12.75">
      <c r="A307" s="191" t="str">
        <f t="shared" si="40"/>
        <v/>
      </c>
      <c r="B307" s="171"/>
      <c r="C307" s="172" t="str">
        <f t="shared" si="36"/>
        <v/>
      </c>
      <c r="D307" s="173" t="str">
        <f t="shared" si="41"/>
        <v/>
      </c>
      <c r="E307" s="173" t="str">
        <f t="shared" si="44"/>
        <v/>
      </c>
      <c r="F307" s="174" t="e">
        <f t="shared" si="37"/>
        <v>#VALUE!</v>
      </c>
      <c r="G307" s="173" t="e">
        <f t="shared" si="38"/>
        <v>#VALUE!</v>
      </c>
      <c r="H307" s="173" t="str">
        <f t="shared" si="42"/>
        <v/>
      </c>
      <c r="I307" s="173" t="str">
        <f t="shared" si="43"/>
        <v/>
      </c>
      <c r="J307" s="173" t="e">
        <f t="shared" si="39"/>
        <v>#VALUE!</v>
      </c>
      <c r="K307" s="173">
        <f>SUM($I$17:$I307)</f>
        <v>0</v>
      </c>
      <c r="L307" s="168"/>
      <c r="M307" s="168"/>
      <c r="N307" s="150"/>
    </row>
    <row r="308" spans="1:14" ht="12.75">
      <c r="A308" s="191" t="str">
        <f t="shared" si="40"/>
        <v/>
      </c>
      <c r="B308" s="171"/>
      <c r="C308" s="172" t="str">
        <f t="shared" si="36"/>
        <v/>
      </c>
      <c r="D308" s="173" t="str">
        <f t="shared" si="41"/>
        <v/>
      </c>
      <c r="E308" s="173" t="str">
        <f t="shared" si="44"/>
        <v/>
      </c>
      <c r="F308" s="174" t="e">
        <f t="shared" si="37"/>
        <v>#VALUE!</v>
      </c>
      <c r="G308" s="173" t="e">
        <f t="shared" si="38"/>
        <v>#VALUE!</v>
      </c>
      <c r="H308" s="173" t="str">
        <f t="shared" si="42"/>
        <v/>
      </c>
      <c r="I308" s="173" t="str">
        <f t="shared" si="43"/>
        <v/>
      </c>
      <c r="J308" s="173" t="e">
        <f t="shared" si="39"/>
        <v>#VALUE!</v>
      </c>
      <c r="K308" s="173">
        <f>SUM($I$17:$I308)</f>
        <v>0</v>
      </c>
      <c r="L308" s="168"/>
      <c r="M308" s="168"/>
      <c r="N308" s="150"/>
    </row>
    <row r="309" spans="1:14" ht="12.75">
      <c r="A309" s="191" t="str">
        <f t="shared" si="40"/>
        <v/>
      </c>
      <c r="B309" s="171"/>
      <c r="C309" s="172" t="str">
        <f t="shared" si="36"/>
        <v/>
      </c>
      <c r="D309" s="173" t="str">
        <f t="shared" si="41"/>
        <v/>
      </c>
      <c r="E309" s="173" t="str">
        <f t="shared" si="44"/>
        <v/>
      </c>
      <c r="F309" s="174" t="e">
        <f t="shared" si="37"/>
        <v>#VALUE!</v>
      </c>
      <c r="G309" s="173" t="e">
        <f t="shared" si="38"/>
        <v>#VALUE!</v>
      </c>
      <c r="H309" s="173" t="str">
        <f t="shared" si="42"/>
        <v/>
      </c>
      <c r="I309" s="173" t="str">
        <f t="shared" si="43"/>
        <v/>
      </c>
      <c r="J309" s="173" t="e">
        <f t="shared" si="39"/>
        <v>#VALUE!</v>
      </c>
      <c r="K309" s="173">
        <f>SUM($I$17:$I309)</f>
        <v>0</v>
      </c>
      <c r="L309" s="168"/>
      <c r="M309" s="168"/>
      <c r="N309" s="150"/>
    </row>
    <row r="310" spans="1:14" ht="12.75">
      <c r="A310" s="191" t="str">
        <f t="shared" si="40"/>
        <v/>
      </c>
      <c r="B310" s="171"/>
      <c r="C310" s="172" t="str">
        <f t="shared" si="36"/>
        <v/>
      </c>
      <c r="D310" s="173" t="str">
        <f t="shared" si="41"/>
        <v/>
      </c>
      <c r="E310" s="173" t="str">
        <f t="shared" si="44"/>
        <v/>
      </c>
      <c r="F310" s="174" t="e">
        <f t="shared" si="37"/>
        <v>#VALUE!</v>
      </c>
      <c r="G310" s="173" t="e">
        <f t="shared" si="38"/>
        <v>#VALUE!</v>
      </c>
      <c r="H310" s="173" t="str">
        <f t="shared" si="42"/>
        <v/>
      </c>
      <c r="I310" s="173" t="str">
        <f t="shared" si="43"/>
        <v/>
      </c>
      <c r="J310" s="173" t="e">
        <f t="shared" si="39"/>
        <v>#VALUE!</v>
      </c>
      <c r="K310" s="173">
        <f>SUM($I$17:$I310)</f>
        <v>0</v>
      </c>
      <c r="L310" s="168"/>
      <c r="M310" s="168"/>
      <c r="N310" s="150"/>
    </row>
    <row r="311" spans="1:14" ht="12.75">
      <c r="A311" s="191" t="str">
        <f t="shared" si="40"/>
        <v/>
      </c>
      <c r="B311" s="171"/>
      <c r="C311" s="172" t="str">
        <f t="shared" si="36"/>
        <v/>
      </c>
      <c r="D311" s="173" t="str">
        <f t="shared" si="41"/>
        <v/>
      </c>
      <c r="E311" s="173" t="str">
        <f t="shared" si="44"/>
        <v/>
      </c>
      <c r="F311" s="174" t="e">
        <f t="shared" si="37"/>
        <v>#VALUE!</v>
      </c>
      <c r="G311" s="173" t="e">
        <f t="shared" si="38"/>
        <v>#VALUE!</v>
      </c>
      <c r="H311" s="173" t="str">
        <f t="shared" si="42"/>
        <v/>
      </c>
      <c r="I311" s="173" t="str">
        <f t="shared" si="43"/>
        <v/>
      </c>
      <c r="J311" s="173" t="e">
        <f t="shared" si="39"/>
        <v>#VALUE!</v>
      </c>
      <c r="K311" s="173">
        <f>SUM($I$17:$I311)</f>
        <v>0</v>
      </c>
      <c r="L311" s="168"/>
      <c r="M311" s="168"/>
      <c r="N311" s="150"/>
    </row>
    <row r="312" spans="1:14" ht="12.75">
      <c r="A312" s="191" t="str">
        <f t="shared" si="40"/>
        <v/>
      </c>
      <c r="B312" s="171"/>
      <c r="C312" s="172" t="str">
        <f t="shared" si="36"/>
        <v/>
      </c>
      <c r="D312" s="173" t="str">
        <f t="shared" si="41"/>
        <v/>
      </c>
      <c r="E312" s="173" t="str">
        <f t="shared" si="44"/>
        <v/>
      </c>
      <c r="F312" s="174" t="e">
        <f t="shared" si="37"/>
        <v>#VALUE!</v>
      </c>
      <c r="G312" s="173" t="e">
        <f t="shared" si="38"/>
        <v>#VALUE!</v>
      </c>
      <c r="H312" s="173" t="str">
        <f t="shared" si="42"/>
        <v/>
      </c>
      <c r="I312" s="173" t="str">
        <f t="shared" si="43"/>
        <v/>
      </c>
      <c r="J312" s="173" t="e">
        <f t="shared" si="39"/>
        <v>#VALUE!</v>
      </c>
      <c r="K312" s="173">
        <f>SUM($I$17:$I312)</f>
        <v>0</v>
      </c>
      <c r="L312" s="168"/>
      <c r="M312" s="168"/>
      <c r="N312" s="150"/>
    </row>
    <row r="313" spans="1:14" ht="12.75">
      <c r="A313" s="191" t="str">
        <f t="shared" si="40"/>
        <v/>
      </c>
      <c r="B313" s="171"/>
      <c r="C313" s="172" t="str">
        <f t="shared" si="36"/>
        <v/>
      </c>
      <c r="D313" s="173" t="str">
        <f t="shared" si="41"/>
        <v/>
      </c>
      <c r="E313" s="173" t="str">
        <f t="shared" si="44"/>
        <v/>
      </c>
      <c r="F313" s="174" t="e">
        <f t="shared" si="37"/>
        <v>#VALUE!</v>
      </c>
      <c r="G313" s="173" t="e">
        <f t="shared" si="38"/>
        <v>#VALUE!</v>
      </c>
      <c r="H313" s="173" t="str">
        <f t="shared" si="42"/>
        <v/>
      </c>
      <c r="I313" s="173" t="str">
        <f t="shared" si="43"/>
        <v/>
      </c>
      <c r="J313" s="173" t="e">
        <f t="shared" si="39"/>
        <v>#VALUE!</v>
      </c>
      <c r="K313" s="173">
        <f>SUM($I$17:$I313)</f>
        <v>0</v>
      </c>
      <c r="L313" s="168"/>
      <c r="M313" s="168"/>
      <c r="N313" s="150"/>
    </row>
    <row r="314" spans="1:14" ht="12.75">
      <c r="A314" s="191" t="str">
        <f t="shared" si="40"/>
        <v/>
      </c>
      <c r="B314" s="171"/>
      <c r="C314" s="172" t="str">
        <f t="shared" si="36"/>
        <v/>
      </c>
      <c r="D314" s="173" t="str">
        <f t="shared" si="41"/>
        <v/>
      </c>
      <c r="E314" s="173" t="str">
        <f t="shared" si="44"/>
        <v/>
      </c>
      <c r="F314" s="174" t="e">
        <f t="shared" si="37"/>
        <v>#VALUE!</v>
      </c>
      <c r="G314" s="173" t="e">
        <f t="shared" si="38"/>
        <v>#VALUE!</v>
      </c>
      <c r="H314" s="173" t="str">
        <f t="shared" si="42"/>
        <v/>
      </c>
      <c r="I314" s="173" t="str">
        <f t="shared" si="43"/>
        <v/>
      </c>
      <c r="J314" s="173" t="e">
        <f t="shared" si="39"/>
        <v>#VALUE!</v>
      </c>
      <c r="K314" s="173">
        <f>SUM($I$17:$I314)</f>
        <v>0</v>
      </c>
      <c r="L314" s="168"/>
      <c r="M314" s="168"/>
      <c r="N314" s="150"/>
    </row>
    <row r="315" spans="1:14" ht="12.75">
      <c r="A315" s="191" t="str">
        <f t="shared" si="40"/>
        <v/>
      </c>
      <c r="B315" s="171"/>
      <c r="C315" s="172" t="str">
        <f t="shared" si="36"/>
        <v/>
      </c>
      <c r="D315" s="173" t="str">
        <f t="shared" si="41"/>
        <v/>
      </c>
      <c r="E315" s="173" t="str">
        <f t="shared" si="44"/>
        <v/>
      </c>
      <c r="F315" s="174" t="e">
        <f t="shared" si="37"/>
        <v>#VALUE!</v>
      </c>
      <c r="G315" s="173" t="e">
        <f t="shared" si="38"/>
        <v>#VALUE!</v>
      </c>
      <c r="H315" s="173" t="str">
        <f t="shared" si="42"/>
        <v/>
      </c>
      <c r="I315" s="173" t="str">
        <f t="shared" si="43"/>
        <v/>
      </c>
      <c r="J315" s="173" t="e">
        <f t="shared" si="39"/>
        <v>#VALUE!</v>
      </c>
      <c r="K315" s="173">
        <f>SUM($I$17:$I315)</f>
        <v>0</v>
      </c>
      <c r="L315" s="168"/>
      <c r="M315" s="168"/>
      <c r="N315" s="150"/>
    </row>
    <row r="316" spans="1:14" ht="12.75">
      <c r="A316" s="191" t="str">
        <f t="shared" si="40"/>
        <v/>
      </c>
      <c r="B316" s="171"/>
      <c r="C316" s="172" t="str">
        <f t="shared" si="36"/>
        <v/>
      </c>
      <c r="D316" s="173" t="str">
        <f t="shared" si="41"/>
        <v/>
      </c>
      <c r="E316" s="173" t="str">
        <f t="shared" si="44"/>
        <v/>
      </c>
      <c r="F316" s="174" t="e">
        <f t="shared" si="37"/>
        <v>#VALUE!</v>
      </c>
      <c r="G316" s="173" t="e">
        <f t="shared" si="38"/>
        <v>#VALUE!</v>
      </c>
      <c r="H316" s="173" t="str">
        <f t="shared" si="42"/>
        <v/>
      </c>
      <c r="I316" s="173" t="str">
        <f t="shared" si="43"/>
        <v/>
      </c>
      <c r="J316" s="173" t="e">
        <f t="shared" si="39"/>
        <v>#VALUE!</v>
      </c>
      <c r="K316" s="173">
        <f>SUM($I$17:$I316)</f>
        <v>0</v>
      </c>
      <c r="L316" s="168"/>
      <c r="M316" s="168"/>
      <c r="N316" s="150"/>
    </row>
    <row r="317" spans="1:14" ht="12.75">
      <c r="A317" s="191" t="str">
        <f t="shared" si="40"/>
        <v/>
      </c>
      <c r="B317" s="171"/>
      <c r="C317" s="172" t="str">
        <f t="shared" si="36"/>
        <v/>
      </c>
      <c r="D317" s="173" t="str">
        <f t="shared" si="41"/>
        <v/>
      </c>
      <c r="E317" s="173" t="str">
        <f t="shared" si="44"/>
        <v/>
      </c>
      <c r="F317" s="174" t="e">
        <f t="shared" si="37"/>
        <v>#VALUE!</v>
      </c>
      <c r="G317" s="173" t="e">
        <f t="shared" si="38"/>
        <v>#VALUE!</v>
      </c>
      <c r="H317" s="173" t="str">
        <f t="shared" si="42"/>
        <v/>
      </c>
      <c r="I317" s="173" t="str">
        <f t="shared" si="43"/>
        <v/>
      </c>
      <c r="J317" s="173" t="e">
        <f t="shared" si="39"/>
        <v>#VALUE!</v>
      </c>
      <c r="K317" s="173">
        <f>SUM($I$17:$I317)</f>
        <v>0</v>
      </c>
      <c r="L317" s="168"/>
      <c r="M317" s="168"/>
      <c r="N317" s="150"/>
    </row>
    <row r="318" spans="1:14" ht="12.75">
      <c r="A318" s="191" t="str">
        <f t="shared" si="40"/>
        <v/>
      </c>
      <c r="B318" s="171"/>
      <c r="C318" s="172" t="str">
        <f t="shared" si="36"/>
        <v/>
      </c>
      <c r="D318" s="173" t="str">
        <f t="shared" si="41"/>
        <v/>
      </c>
      <c r="E318" s="173" t="str">
        <f t="shared" si="44"/>
        <v/>
      </c>
      <c r="F318" s="174" t="e">
        <f t="shared" si="37"/>
        <v>#VALUE!</v>
      </c>
      <c r="G318" s="173" t="e">
        <f t="shared" si="38"/>
        <v>#VALUE!</v>
      </c>
      <c r="H318" s="173" t="str">
        <f t="shared" si="42"/>
        <v/>
      </c>
      <c r="I318" s="173" t="str">
        <f t="shared" si="43"/>
        <v/>
      </c>
      <c r="J318" s="173" t="e">
        <f t="shared" si="39"/>
        <v>#VALUE!</v>
      </c>
      <c r="K318" s="173">
        <f>SUM($I$17:$I318)</f>
        <v>0</v>
      </c>
      <c r="L318" s="168"/>
      <c r="M318" s="168"/>
      <c r="N318" s="150"/>
    </row>
    <row r="319" spans="1:14" ht="12.75">
      <c r="A319" s="191" t="str">
        <f t="shared" si="40"/>
        <v/>
      </c>
      <c r="B319" s="171"/>
      <c r="C319" s="172" t="str">
        <f t="shared" si="36"/>
        <v/>
      </c>
      <c r="D319" s="173" t="str">
        <f t="shared" si="41"/>
        <v/>
      </c>
      <c r="E319" s="173" t="str">
        <f t="shared" si="44"/>
        <v/>
      </c>
      <c r="F319" s="174" t="e">
        <f t="shared" si="37"/>
        <v>#VALUE!</v>
      </c>
      <c r="G319" s="173" t="e">
        <f t="shared" si="38"/>
        <v>#VALUE!</v>
      </c>
      <c r="H319" s="173" t="str">
        <f t="shared" si="42"/>
        <v/>
      </c>
      <c r="I319" s="173" t="str">
        <f t="shared" si="43"/>
        <v/>
      </c>
      <c r="J319" s="173" t="e">
        <f t="shared" si="39"/>
        <v>#VALUE!</v>
      </c>
      <c r="K319" s="173">
        <f>SUM($I$17:$I319)</f>
        <v>0</v>
      </c>
      <c r="L319" s="168"/>
      <c r="M319" s="168"/>
      <c r="N319" s="150"/>
    </row>
    <row r="320" spans="1:14" ht="12.75">
      <c r="A320" s="191" t="str">
        <f t="shared" si="40"/>
        <v/>
      </c>
      <c r="B320" s="171"/>
      <c r="C320" s="172" t="str">
        <f t="shared" si="36"/>
        <v/>
      </c>
      <c r="D320" s="173" t="str">
        <f t="shared" si="41"/>
        <v/>
      </c>
      <c r="E320" s="173" t="str">
        <f t="shared" si="44"/>
        <v/>
      </c>
      <c r="F320" s="174" t="e">
        <f t="shared" si="37"/>
        <v>#VALUE!</v>
      </c>
      <c r="G320" s="173" t="e">
        <f t="shared" si="38"/>
        <v>#VALUE!</v>
      </c>
      <c r="H320" s="173" t="str">
        <f t="shared" si="42"/>
        <v/>
      </c>
      <c r="I320" s="173" t="str">
        <f t="shared" si="43"/>
        <v/>
      </c>
      <c r="J320" s="173" t="e">
        <f t="shared" si="39"/>
        <v>#VALUE!</v>
      </c>
      <c r="K320" s="173">
        <f>SUM($I$17:$I320)</f>
        <v>0</v>
      </c>
      <c r="L320" s="168"/>
      <c r="M320" s="168"/>
      <c r="N320" s="150"/>
    </row>
    <row r="321" spans="1:14" ht="12.75">
      <c r="A321" s="191" t="str">
        <f t="shared" si="40"/>
        <v/>
      </c>
      <c r="B321" s="171"/>
      <c r="C321" s="172" t="str">
        <f t="shared" si="36"/>
        <v/>
      </c>
      <c r="D321" s="173" t="str">
        <f t="shared" si="41"/>
        <v/>
      </c>
      <c r="E321" s="173" t="str">
        <f t="shared" si="44"/>
        <v/>
      </c>
      <c r="F321" s="174" t="e">
        <f t="shared" si="37"/>
        <v>#VALUE!</v>
      </c>
      <c r="G321" s="173" t="e">
        <f t="shared" si="38"/>
        <v>#VALUE!</v>
      </c>
      <c r="H321" s="173" t="str">
        <f t="shared" si="42"/>
        <v/>
      </c>
      <c r="I321" s="173" t="str">
        <f t="shared" si="43"/>
        <v/>
      </c>
      <c r="J321" s="173" t="e">
        <f t="shared" si="39"/>
        <v>#VALUE!</v>
      </c>
      <c r="K321" s="173">
        <f>SUM($I$17:$I321)</f>
        <v>0</v>
      </c>
      <c r="L321" s="168"/>
      <c r="M321" s="168"/>
      <c r="N321" s="150"/>
    </row>
    <row r="322" spans="1:14" ht="12.75">
      <c r="A322" s="191" t="str">
        <f t="shared" si="40"/>
        <v/>
      </c>
      <c r="B322" s="171"/>
      <c r="C322" s="172" t="str">
        <f t="shared" si="36"/>
        <v/>
      </c>
      <c r="D322" s="173" t="str">
        <f t="shared" si="41"/>
        <v/>
      </c>
      <c r="E322" s="173" t="str">
        <f t="shared" si="44"/>
        <v/>
      </c>
      <c r="F322" s="174" t="e">
        <f t="shared" si="37"/>
        <v>#VALUE!</v>
      </c>
      <c r="G322" s="173" t="e">
        <f t="shared" si="38"/>
        <v>#VALUE!</v>
      </c>
      <c r="H322" s="173" t="str">
        <f t="shared" si="42"/>
        <v/>
      </c>
      <c r="I322" s="173" t="str">
        <f t="shared" si="43"/>
        <v/>
      </c>
      <c r="J322" s="173" t="e">
        <f t="shared" si="39"/>
        <v>#VALUE!</v>
      </c>
      <c r="K322" s="173">
        <f>SUM($I$17:$I322)</f>
        <v>0</v>
      </c>
      <c r="L322" s="168"/>
      <c r="M322" s="168"/>
      <c r="N322" s="150"/>
    </row>
    <row r="323" spans="1:14" ht="12.75">
      <c r="A323" s="191" t="str">
        <f t="shared" si="40"/>
        <v/>
      </c>
      <c r="B323" s="171"/>
      <c r="C323" s="172" t="str">
        <f t="shared" si="36"/>
        <v/>
      </c>
      <c r="D323" s="173" t="str">
        <f t="shared" si="41"/>
        <v/>
      </c>
      <c r="E323" s="173" t="str">
        <f t="shared" si="44"/>
        <v/>
      </c>
      <c r="F323" s="174" t="e">
        <f t="shared" si="37"/>
        <v>#VALUE!</v>
      </c>
      <c r="G323" s="173" t="e">
        <f t="shared" si="38"/>
        <v>#VALUE!</v>
      </c>
      <c r="H323" s="173" t="str">
        <f t="shared" si="42"/>
        <v/>
      </c>
      <c r="I323" s="173" t="str">
        <f t="shared" si="43"/>
        <v/>
      </c>
      <c r="J323" s="173" t="e">
        <f t="shared" si="39"/>
        <v>#VALUE!</v>
      </c>
      <c r="K323" s="173">
        <f>SUM($I$17:$I323)</f>
        <v>0</v>
      </c>
      <c r="L323" s="168"/>
      <c r="M323" s="168"/>
      <c r="N323" s="150"/>
    </row>
    <row r="324" spans="1:14" ht="12.75">
      <c r="A324" s="191" t="str">
        <f t="shared" si="40"/>
        <v/>
      </c>
      <c r="B324" s="171"/>
      <c r="C324" s="172" t="str">
        <f t="shared" si="36"/>
        <v/>
      </c>
      <c r="D324" s="173" t="str">
        <f t="shared" si="41"/>
        <v/>
      </c>
      <c r="E324" s="173" t="str">
        <f t="shared" si="44"/>
        <v/>
      </c>
      <c r="F324" s="174" t="e">
        <f t="shared" si="37"/>
        <v>#VALUE!</v>
      </c>
      <c r="G324" s="173" t="e">
        <f t="shared" si="38"/>
        <v>#VALUE!</v>
      </c>
      <c r="H324" s="173" t="str">
        <f t="shared" si="42"/>
        <v/>
      </c>
      <c r="I324" s="173" t="str">
        <f t="shared" si="43"/>
        <v/>
      </c>
      <c r="J324" s="173" t="e">
        <f t="shared" si="39"/>
        <v>#VALUE!</v>
      </c>
      <c r="K324" s="173">
        <f>SUM($I$17:$I324)</f>
        <v>0</v>
      </c>
      <c r="L324" s="168"/>
      <c r="M324" s="168"/>
      <c r="N324" s="150"/>
    </row>
    <row r="325" spans="1:14" ht="12.75">
      <c r="A325" s="191" t="str">
        <f t="shared" si="40"/>
        <v/>
      </c>
      <c r="B325" s="171"/>
      <c r="C325" s="172" t="str">
        <f t="shared" si="36"/>
        <v/>
      </c>
      <c r="D325" s="173" t="str">
        <f t="shared" si="41"/>
        <v/>
      </c>
      <c r="E325" s="173" t="str">
        <f t="shared" si="44"/>
        <v/>
      </c>
      <c r="F325" s="174" t="e">
        <f t="shared" si="37"/>
        <v>#VALUE!</v>
      </c>
      <c r="G325" s="173" t="e">
        <f t="shared" si="38"/>
        <v>#VALUE!</v>
      </c>
      <c r="H325" s="173" t="str">
        <f t="shared" si="42"/>
        <v/>
      </c>
      <c r="I325" s="173" t="str">
        <f t="shared" si="43"/>
        <v/>
      </c>
      <c r="J325" s="173" t="e">
        <f t="shared" si="39"/>
        <v>#VALUE!</v>
      </c>
      <c r="K325" s="173">
        <f>SUM($I$17:$I325)</f>
        <v>0</v>
      </c>
      <c r="L325" s="168"/>
      <c r="M325" s="168"/>
      <c r="N325" s="150"/>
    </row>
    <row r="326" spans="1:14" ht="12.75">
      <c r="A326" s="191" t="str">
        <f t="shared" si="40"/>
        <v/>
      </c>
      <c r="B326" s="171"/>
      <c r="C326" s="172" t="str">
        <f t="shared" si="36"/>
        <v/>
      </c>
      <c r="D326" s="173" t="str">
        <f t="shared" si="41"/>
        <v/>
      </c>
      <c r="E326" s="173" t="str">
        <f t="shared" si="44"/>
        <v/>
      </c>
      <c r="F326" s="174" t="e">
        <f t="shared" si="37"/>
        <v>#VALUE!</v>
      </c>
      <c r="G326" s="173" t="e">
        <f t="shared" si="38"/>
        <v>#VALUE!</v>
      </c>
      <c r="H326" s="173" t="str">
        <f t="shared" si="42"/>
        <v/>
      </c>
      <c r="I326" s="173" t="str">
        <f t="shared" si="43"/>
        <v/>
      </c>
      <c r="J326" s="173" t="e">
        <f t="shared" si="39"/>
        <v>#VALUE!</v>
      </c>
      <c r="K326" s="173">
        <f>SUM($I$17:$I326)</f>
        <v>0</v>
      </c>
      <c r="L326" s="168"/>
      <c r="M326" s="168"/>
      <c r="N326" s="150"/>
    </row>
    <row r="327" spans="1:14" ht="12.75">
      <c r="A327" s="191" t="str">
        <f t="shared" si="40"/>
        <v/>
      </c>
      <c r="B327" s="171"/>
      <c r="C327" s="172" t="str">
        <f t="shared" si="36"/>
        <v/>
      </c>
      <c r="D327" s="173" t="str">
        <f t="shared" si="41"/>
        <v/>
      </c>
      <c r="E327" s="173" t="str">
        <f t="shared" si="44"/>
        <v/>
      </c>
      <c r="F327" s="174" t="e">
        <f t="shared" si="37"/>
        <v>#VALUE!</v>
      </c>
      <c r="G327" s="173" t="e">
        <f t="shared" si="38"/>
        <v>#VALUE!</v>
      </c>
      <c r="H327" s="173" t="str">
        <f t="shared" si="42"/>
        <v/>
      </c>
      <c r="I327" s="173" t="str">
        <f t="shared" si="43"/>
        <v/>
      </c>
      <c r="J327" s="173" t="e">
        <f t="shared" si="39"/>
        <v>#VALUE!</v>
      </c>
      <c r="K327" s="173">
        <f>SUM($I$17:$I327)</f>
        <v>0</v>
      </c>
      <c r="L327" s="168"/>
      <c r="M327" s="168"/>
      <c r="N327" s="150"/>
    </row>
    <row r="328" spans="1:14" ht="12.75">
      <c r="A328" s="191" t="str">
        <f t="shared" si="40"/>
        <v/>
      </c>
      <c r="B328" s="171"/>
      <c r="C328" s="172" t="str">
        <f t="shared" si="36"/>
        <v/>
      </c>
      <c r="D328" s="173" t="str">
        <f t="shared" si="41"/>
        <v/>
      </c>
      <c r="E328" s="173" t="str">
        <f t="shared" si="44"/>
        <v/>
      </c>
      <c r="F328" s="174" t="e">
        <f t="shared" si="37"/>
        <v>#VALUE!</v>
      </c>
      <c r="G328" s="173" t="e">
        <f t="shared" si="38"/>
        <v>#VALUE!</v>
      </c>
      <c r="H328" s="173" t="str">
        <f t="shared" si="42"/>
        <v/>
      </c>
      <c r="I328" s="173" t="str">
        <f t="shared" si="43"/>
        <v/>
      </c>
      <c r="J328" s="173" t="e">
        <f t="shared" si="39"/>
        <v>#VALUE!</v>
      </c>
      <c r="K328" s="173">
        <f>SUM($I$17:$I328)</f>
        <v>0</v>
      </c>
      <c r="L328" s="168"/>
      <c r="M328" s="168"/>
      <c r="N328" s="150"/>
    </row>
    <row r="329" spans="1:14" ht="12.75">
      <c r="A329" s="191" t="str">
        <f t="shared" si="40"/>
        <v/>
      </c>
      <c r="B329" s="171"/>
      <c r="C329" s="172" t="str">
        <f t="shared" si="36"/>
        <v/>
      </c>
      <c r="D329" s="173" t="str">
        <f t="shared" si="41"/>
        <v/>
      </c>
      <c r="E329" s="173" t="str">
        <f t="shared" si="44"/>
        <v/>
      </c>
      <c r="F329" s="174" t="e">
        <f t="shared" si="37"/>
        <v>#VALUE!</v>
      </c>
      <c r="G329" s="173" t="e">
        <f t="shared" si="38"/>
        <v>#VALUE!</v>
      </c>
      <c r="H329" s="173" t="str">
        <f t="shared" si="42"/>
        <v/>
      </c>
      <c r="I329" s="173" t="str">
        <f t="shared" si="43"/>
        <v/>
      </c>
      <c r="J329" s="173" t="e">
        <f t="shared" si="39"/>
        <v>#VALUE!</v>
      </c>
      <c r="K329" s="173">
        <f>SUM($I$17:$I329)</f>
        <v>0</v>
      </c>
      <c r="L329" s="168"/>
      <c r="M329" s="168"/>
      <c r="N329" s="150"/>
    </row>
    <row r="330" spans="1:14" ht="12.75">
      <c r="A330" s="191" t="str">
        <f t="shared" si="40"/>
        <v/>
      </c>
      <c r="B330" s="171"/>
      <c r="C330" s="172" t="str">
        <f t="shared" si="36"/>
        <v/>
      </c>
      <c r="D330" s="173" t="str">
        <f t="shared" si="41"/>
        <v/>
      </c>
      <c r="E330" s="173" t="str">
        <f t="shared" si="44"/>
        <v/>
      </c>
      <c r="F330" s="174" t="e">
        <f t="shared" si="37"/>
        <v>#VALUE!</v>
      </c>
      <c r="G330" s="173" t="e">
        <f t="shared" si="38"/>
        <v>#VALUE!</v>
      </c>
      <c r="H330" s="173" t="str">
        <f t="shared" si="42"/>
        <v/>
      </c>
      <c r="I330" s="173" t="str">
        <f t="shared" si="43"/>
        <v/>
      </c>
      <c r="J330" s="173" t="e">
        <f t="shared" si="39"/>
        <v>#VALUE!</v>
      </c>
      <c r="K330" s="173">
        <f>SUM($I$17:$I330)</f>
        <v>0</v>
      </c>
      <c r="L330" s="168"/>
      <c r="M330" s="168"/>
      <c r="N330" s="150"/>
    </row>
    <row r="331" spans="1:14" ht="12.75">
      <c r="A331" s="191" t="str">
        <f t="shared" si="40"/>
        <v/>
      </c>
      <c r="B331" s="171"/>
      <c r="C331" s="172" t="str">
        <f t="shared" si="36"/>
        <v/>
      </c>
      <c r="D331" s="173" t="str">
        <f t="shared" si="41"/>
        <v/>
      </c>
      <c r="E331" s="173" t="str">
        <f t="shared" si="44"/>
        <v/>
      </c>
      <c r="F331" s="174" t="e">
        <f t="shared" si="37"/>
        <v>#VALUE!</v>
      </c>
      <c r="G331" s="173" t="e">
        <f t="shared" si="38"/>
        <v>#VALUE!</v>
      </c>
      <c r="H331" s="173" t="str">
        <f t="shared" si="42"/>
        <v/>
      </c>
      <c r="I331" s="173" t="str">
        <f t="shared" si="43"/>
        <v/>
      </c>
      <c r="J331" s="173" t="e">
        <f t="shared" si="39"/>
        <v>#VALUE!</v>
      </c>
      <c r="K331" s="173">
        <f>SUM($I$17:$I331)</f>
        <v>0</v>
      </c>
      <c r="L331" s="168"/>
      <c r="M331" s="168"/>
      <c r="N331" s="150"/>
    </row>
    <row r="332" spans="1:14" ht="12.75">
      <c r="A332" s="191" t="str">
        <f t="shared" si="40"/>
        <v/>
      </c>
      <c r="B332" s="171"/>
      <c r="C332" s="172" t="str">
        <f t="shared" si="36"/>
        <v/>
      </c>
      <c r="D332" s="173" t="str">
        <f t="shared" si="41"/>
        <v/>
      </c>
      <c r="E332" s="173" t="str">
        <f t="shared" si="44"/>
        <v/>
      </c>
      <c r="F332" s="174" t="e">
        <f t="shared" si="37"/>
        <v>#VALUE!</v>
      </c>
      <c r="G332" s="173" t="e">
        <f t="shared" si="38"/>
        <v>#VALUE!</v>
      </c>
      <c r="H332" s="173" t="str">
        <f t="shared" si="42"/>
        <v/>
      </c>
      <c r="I332" s="173" t="str">
        <f t="shared" si="43"/>
        <v/>
      </c>
      <c r="J332" s="173" t="e">
        <f t="shared" si="39"/>
        <v>#VALUE!</v>
      </c>
      <c r="K332" s="173">
        <f>SUM($I$17:$I332)</f>
        <v>0</v>
      </c>
      <c r="L332" s="168"/>
      <c r="M332" s="168"/>
      <c r="N332" s="150"/>
    </row>
    <row r="333" spans="1:14" ht="12.75">
      <c r="A333" s="191" t="str">
        <f t="shared" si="40"/>
        <v/>
      </c>
      <c r="B333" s="171"/>
      <c r="C333" s="172" t="str">
        <f t="shared" si="36"/>
        <v/>
      </c>
      <c r="D333" s="173" t="str">
        <f t="shared" si="41"/>
        <v/>
      </c>
      <c r="E333" s="173" t="str">
        <f t="shared" si="44"/>
        <v/>
      </c>
      <c r="F333" s="174" t="e">
        <f t="shared" si="37"/>
        <v>#VALUE!</v>
      </c>
      <c r="G333" s="173" t="e">
        <f t="shared" si="38"/>
        <v>#VALUE!</v>
      </c>
      <c r="H333" s="173" t="str">
        <f t="shared" si="42"/>
        <v/>
      </c>
      <c r="I333" s="173" t="str">
        <f t="shared" si="43"/>
        <v/>
      </c>
      <c r="J333" s="173" t="e">
        <f t="shared" si="39"/>
        <v>#VALUE!</v>
      </c>
      <c r="K333" s="173">
        <f>SUM($I$17:$I333)</f>
        <v>0</v>
      </c>
      <c r="L333" s="168"/>
      <c r="M333" s="168"/>
      <c r="N333" s="150"/>
    </row>
    <row r="334" spans="1:14" ht="12.75">
      <c r="A334" s="191" t="str">
        <f t="shared" si="40"/>
        <v/>
      </c>
      <c r="B334" s="171"/>
      <c r="C334" s="172" t="str">
        <f t="shared" si="36"/>
        <v/>
      </c>
      <c r="D334" s="173" t="str">
        <f t="shared" si="41"/>
        <v/>
      </c>
      <c r="E334" s="173" t="str">
        <f t="shared" si="44"/>
        <v/>
      </c>
      <c r="F334" s="174" t="e">
        <f t="shared" si="37"/>
        <v>#VALUE!</v>
      </c>
      <c r="G334" s="173" t="e">
        <f t="shared" si="38"/>
        <v>#VALUE!</v>
      </c>
      <c r="H334" s="173" t="str">
        <f t="shared" si="42"/>
        <v/>
      </c>
      <c r="I334" s="173" t="str">
        <f t="shared" si="43"/>
        <v/>
      </c>
      <c r="J334" s="173" t="e">
        <f t="shared" si="39"/>
        <v>#VALUE!</v>
      </c>
      <c r="K334" s="173">
        <f>SUM($I$17:$I334)</f>
        <v>0</v>
      </c>
      <c r="L334" s="168"/>
      <c r="M334" s="168"/>
      <c r="N334" s="150"/>
    </row>
    <row r="335" spans="1:14" ht="12.75">
      <c r="A335" s="191" t="str">
        <f t="shared" si="40"/>
        <v/>
      </c>
      <c r="B335" s="171"/>
      <c r="C335" s="172" t="str">
        <f t="shared" si="36"/>
        <v/>
      </c>
      <c r="D335" s="173" t="str">
        <f t="shared" si="41"/>
        <v/>
      </c>
      <c r="E335" s="173" t="str">
        <f t="shared" si="44"/>
        <v/>
      </c>
      <c r="F335" s="174" t="e">
        <f t="shared" si="37"/>
        <v>#VALUE!</v>
      </c>
      <c r="G335" s="173" t="e">
        <f t="shared" si="38"/>
        <v>#VALUE!</v>
      </c>
      <c r="H335" s="173" t="str">
        <f t="shared" si="42"/>
        <v/>
      </c>
      <c r="I335" s="173" t="str">
        <f t="shared" si="43"/>
        <v/>
      </c>
      <c r="J335" s="173" t="e">
        <f t="shared" si="39"/>
        <v>#VALUE!</v>
      </c>
      <c r="K335" s="173">
        <f>SUM($I$17:$I335)</f>
        <v>0</v>
      </c>
      <c r="L335" s="168"/>
      <c r="M335" s="168"/>
      <c r="N335" s="150"/>
    </row>
    <row r="336" spans="1:14" ht="12.75">
      <c r="A336" s="191" t="str">
        <f t="shared" si="40"/>
        <v/>
      </c>
      <c r="B336" s="171"/>
      <c r="C336" s="172" t="str">
        <f t="shared" si="36"/>
        <v/>
      </c>
      <c r="D336" s="173" t="str">
        <f t="shared" si="41"/>
        <v/>
      </c>
      <c r="E336" s="173" t="str">
        <f t="shared" si="44"/>
        <v/>
      </c>
      <c r="F336" s="174" t="e">
        <f t="shared" si="37"/>
        <v>#VALUE!</v>
      </c>
      <c r="G336" s="173" t="e">
        <f t="shared" si="38"/>
        <v>#VALUE!</v>
      </c>
      <c r="H336" s="173" t="str">
        <f t="shared" si="42"/>
        <v/>
      </c>
      <c r="I336" s="173" t="str">
        <f t="shared" si="43"/>
        <v/>
      </c>
      <c r="J336" s="173" t="e">
        <f t="shared" si="39"/>
        <v>#VALUE!</v>
      </c>
      <c r="K336" s="173">
        <f>SUM($I$17:$I336)</f>
        <v>0</v>
      </c>
      <c r="L336" s="168"/>
      <c r="M336" s="168"/>
      <c r="N336" s="150"/>
    </row>
    <row r="337" spans="1:14" ht="12.75">
      <c r="A337" s="191" t="str">
        <f t="shared" si="40"/>
        <v/>
      </c>
      <c r="B337" s="171"/>
      <c r="C337" s="172" t="str">
        <f t="shared" ref="C337:C376" si="45">IF(Pay_Num&lt;&gt;"",DATE(YEAR(Loan_Start),MONTH(Loan_Start)+(Pay_Num)*12/Num_Pmt_Per_Year,DAY(Loan_Start)),"")</f>
        <v/>
      </c>
      <c r="D337" s="173" t="str">
        <f t="shared" si="41"/>
        <v/>
      </c>
      <c r="E337" s="173" t="str">
        <f t="shared" si="44"/>
        <v/>
      </c>
      <c r="F337" s="174" t="e">
        <f t="shared" ref="F337:F376" si="46">IF(AND(Pay_Num&lt;&gt;"",Sched_Pay+Scheduled_Extra_Payments&lt;Beg_Bal),Scheduled_Extra_Payments,IF(AND(Pay_Num&lt;&gt;"",Beg_Bal-Sched_Pay&gt;0),Beg_Bal-Sched_Pay,IF(Pay_Num&lt;&gt;"",0,"")))</f>
        <v>#VALUE!</v>
      </c>
      <c r="G337" s="173" t="e">
        <f t="shared" ref="G337:G376" si="47">IF(AND(Pay_Num&lt;&gt;"",Sched_Pay+Extra_Pay&lt;Beg_Bal),Sched_Pay+Extra_Pay,IF(Pay_Num&lt;&gt;"",Beg_Bal,""))</f>
        <v>#VALUE!</v>
      </c>
      <c r="H337" s="173" t="str">
        <f t="shared" si="42"/>
        <v/>
      </c>
      <c r="I337" s="173" t="str">
        <f t="shared" si="43"/>
        <v/>
      </c>
      <c r="J337" s="173" t="e">
        <f t="shared" ref="J337:J376" si="48">IF(AND(Pay_Num&lt;&gt;"",Sched_Pay+Extra_Pay&lt;Beg_Bal),Beg_Bal-Princ,IF(Pay_Num&lt;&gt;"",0,""))</f>
        <v>#VALUE!</v>
      </c>
      <c r="K337" s="173">
        <f>SUM($I$17:$I337)</f>
        <v>0</v>
      </c>
      <c r="L337" s="168"/>
      <c r="M337" s="168"/>
      <c r="N337" s="150"/>
    </row>
    <row r="338" spans="1:14" ht="12.75">
      <c r="A338" s="191" t="str">
        <f t="shared" ref="A338:A376" si="49">IF(Values_Entered,A337+1,"")</f>
        <v/>
      </c>
      <c r="B338" s="171"/>
      <c r="C338" s="172" t="str">
        <f t="shared" si="45"/>
        <v/>
      </c>
      <c r="D338" s="173" t="str">
        <f t="shared" ref="D338:D376" si="50">IF(Pay_Num&lt;&gt;"",J337,"")</f>
        <v/>
      </c>
      <c r="E338" s="173" t="str">
        <f t="shared" si="44"/>
        <v/>
      </c>
      <c r="F338" s="174" t="e">
        <f t="shared" si="46"/>
        <v>#VALUE!</v>
      </c>
      <c r="G338" s="173" t="e">
        <f t="shared" si="47"/>
        <v>#VALUE!</v>
      </c>
      <c r="H338" s="173" t="str">
        <f t="shared" ref="H338:H376" si="51">IF(Pay_Num&lt;&gt;"",Total_Pay-Int,"")</f>
        <v/>
      </c>
      <c r="I338" s="173" t="str">
        <f t="shared" ref="I338:I376" si="52">IF(Pay_Num&lt;&gt;"",Beg_Bal*Interest_Rate/Num_Pmt_Per_Year,"")</f>
        <v/>
      </c>
      <c r="J338" s="173" t="e">
        <f t="shared" si="48"/>
        <v>#VALUE!</v>
      </c>
      <c r="K338" s="173">
        <f>SUM($I$17:$I338)</f>
        <v>0</v>
      </c>
      <c r="L338" s="168"/>
      <c r="M338" s="168"/>
      <c r="N338" s="150"/>
    </row>
    <row r="339" spans="1:14" ht="12.75">
      <c r="A339" s="191" t="str">
        <f t="shared" si="49"/>
        <v/>
      </c>
      <c r="B339" s="171"/>
      <c r="C339" s="172" t="str">
        <f t="shared" si="45"/>
        <v/>
      </c>
      <c r="D339" s="173" t="str">
        <f t="shared" si="50"/>
        <v/>
      </c>
      <c r="E339" s="173" t="str">
        <f t="shared" ref="E339:E376" si="53">IF(Pay_Num&lt;&gt;"",Scheduled_Monthly_Payment,"")</f>
        <v/>
      </c>
      <c r="F339" s="174" t="e">
        <f t="shared" si="46"/>
        <v>#VALUE!</v>
      </c>
      <c r="G339" s="173" t="e">
        <f t="shared" si="47"/>
        <v>#VALUE!</v>
      </c>
      <c r="H339" s="173" t="str">
        <f t="shared" si="51"/>
        <v/>
      </c>
      <c r="I339" s="173" t="str">
        <f t="shared" si="52"/>
        <v/>
      </c>
      <c r="J339" s="173" t="e">
        <f t="shared" si="48"/>
        <v>#VALUE!</v>
      </c>
      <c r="K339" s="173">
        <f>SUM($I$17:$I339)</f>
        <v>0</v>
      </c>
      <c r="L339" s="168"/>
      <c r="M339" s="168"/>
      <c r="N339" s="150"/>
    </row>
    <row r="340" spans="1:14" ht="12.75">
      <c r="A340" s="191" t="str">
        <f t="shared" si="49"/>
        <v/>
      </c>
      <c r="B340" s="171"/>
      <c r="C340" s="172" t="str">
        <f t="shared" si="45"/>
        <v/>
      </c>
      <c r="D340" s="173" t="str">
        <f t="shared" si="50"/>
        <v/>
      </c>
      <c r="E340" s="173" t="str">
        <f t="shared" si="53"/>
        <v/>
      </c>
      <c r="F340" s="174" t="e">
        <f t="shared" si="46"/>
        <v>#VALUE!</v>
      </c>
      <c r="G340" s="173" t="e">
        <f t="shared" si="47"/>
        <v>#VALUE!</v>
      </c>
      <c r="H340" s="173" t="str">
        <f t="shared" si="51"/>
        <v/>
      </c>
      <c r="I340" s="173" t="str">
        <f t="shared" si="52"/>
        <v/>
      </c>
      <c r="J340" s="173" t="e">
        <f t="shared" si="48"/>
        <v>#VALUE!</v>
      </c>
      <c r="K340" s="173">
        <f>SUM($I$17:$I340)</f>
        <v>0</v>
      </c>
      <c r="L340" s="168"/>
      <c r="M340" s="168"/>
      <c r="N340" s="150"/>
    </row>
    <row r="341" spans="1:14" ht="12.75">
      <c r="A341" s="191" t="str">
        <f t="shared" si="49"/>
        <v/>
      </c>
      <c r="B341" s="171"/>
      <c r="C341" s="172" t="str">
        <f t="shared" si="45"/>
        <v/>
      </c>
      <c r="D341" s="173" t="str">
        <f t="shared" si="50"/>
        <v/>
      </c>
      <c r="E341" s="173" t="str">
        <f t="shared" si="53"/>
        <v/>
      </c>
      <c r="F341" s="174" t="e">
        <f t="shared" si="46"/>
        <v>#VALUE!</v>
      </c>
      <c r="G341" s="173" t="e">
        <f t="shared" si="47"/>
        <v>#VALUE!</v>
      </c>
      <c r="H341" s="173" t="str">
        <f t="shared" si="51"/>
        <v/>
      </c>
      <c r="I341" s="173" t="str">
        <f t="shared" si="52"/>
        <v/>
      </c>
      <c r="J341" s="173" t="e">
        <f t="shared" si="48"/>
        <v>#VALUE!</v>
      </c>
      <c r="K341" s="173">
        <f>SUM($I$17:$I341)</f>
        <v>0</v>
      </c>
      <c r="L341" s="168"/>
      <c r="M341" s="168"/>
      <c r="N341" s="150"/>
    </row>
    <row r="342" spans="1:14" ht="12.75">
      <c r="A342" s="191" t="str">
        <f t="shared" si="49"/>
        <v/>
      </c>
      <c r="B342" s="171"/>
      <c r="C342" s="172" t="str">
        <f t="shared" si="45"/>
        <v/>
      </c>
      <c r="D342" s="173" t="str">
        <f t="shared" si="50"/>
        <v/>
      </c>
      <c r="E342" s="173" t="str">
        <f t="shared" si="53"/>
        <v/>
      </c>
      <c r="F342" s="174" t="e">
        <f t="shared" si="46"/>
        <v>#VALUE!</v>
      </c>
      <c r="G342" s="173" t="e">
        <f t="shared" si="47"/>
        <v>#VALUE!</v>
      </c>
      <c r="H342" s="173" t="str">
        <f t="shared" si="51"/>
        <v/>
      </c>
      <c r="I342" s="173" t="str">
        <f t="shared" si="52"/>
        <v/>
      </c>
      <c r="J342" s="173" t="e">
        <f t="shared" si="48"/>
        <v>#VALUE!</v>
      </c>
      <c r="K342" s="173">
        <f>SUM($I$17:$I342)</f>
        <v>0</v>
      </c>
      <c r="L342" s="168"/>
      <c r="M342" s="168"/>
      <c r="N342" s="150"/>
    </row>
    <row r="343" spans="1:14" ht="12.75">
      <c r="A343" s="191" t="str">
        <f t="shared" si="49"/>
        <v/>
      </c>
      <c r="B343" s="171"/>
      <c r="C343" s="172" t="str">
        <f t="shared" si="45"/>
        <v/>
      </c>
      <c r="D343" s="173" t="str">
        <f t="shared" si="50"/>
        <v/>
      </c>
      <c r="E343" s="173" t="str">
        <f t="shared" si="53"/>
        <v/>
      </c>
      <c r="F343" s="174" t="e">
        <f t="shared" si="46"/>
        <v>#VALUE!</v>
      </c>
      <c r="G343" s="173" t="e">
        <f t="shared" si="47"/>
        <v>#VALUE!</v>
      </c>
      <c r="H343" s="173" t="str">
        <f t="shared" si="51"/>
        <v/>
      </c>
      <c r="I343" s="173" t="str">
        <f t="shared" si="52"/>
        <v/>
      </c>
      <c r="J343" s="173" t="e">
        <f t="shared" si="48"/>
        <v>#VALUE!</v>
      </c>
      <c r="K343" s="173">
        <f>SUM($I$17:$I343)</f>
        <v>0</v>
      </c>
      <c r="L343" s="168"/>
      <c r="M343" s="168"/>
      <c r="N343" s="150"/>
    </row>
    <row r="344" spans="1:14" ht="12.75">
      <c r="A344" s="191" t="str">
        <f t="shared" si="49"/>
        <v/>
      </c>
      <c r="B344" s="171"/>
      <c r="C344" s="172" t="str">
        <f t="shared" si="45"/>
        <v/>
      </c>
      <c r="D344" s="173" t="str">
        <f t="shared" si="50"/>
        <v/>
      </c>
      <c r="E344" s="173" t="str">
        <f t="shared" si="53"/>
        <v/>
      </c>
      <c r="F344" s="174" t="e">
        <f t="shared" si="46"/>
        <v>#VALUE!</v>
      </c>
      <c r="G344" s="173" t="e">
        <f t="shared" si="47"/>
        <v>#VALUE!</v>
      </c>
      <c r="H344" s="173" t="str">
        <f t="shared" si="51"/>
        <v/>
      </c>
      <c r="I344" s="173" t="str">
        <f t="shared" si="52"/>
        <v/>
      </c>
      <c r="J344" s="173" t="e">
        <f t="shared" si="48"/>
        <v>#VALUE!</v>
      </c>
      <c r="K344" s="173">
        <f>SUM($I$17:$I344)</f>
        <v>0</v>
      </c>
      <c r="L344" s="168"/>
      <c r="M344" s="168"/>
      <c r="N344" s="150"/>
    </row>
    <row r="345" spans="1:14" ht="12.75">
      <c r="A345" s="191" t="str">
        <f t="shared" si="49"/>
        <v/>
      </c>
      <c r="B345" s="171"/>
      <c r="C345" s="172" t="str">
        <f t="shared" si="45"/>
        <v/>
      </c>
      <c r="D345" s="173" t="str">
        <f t="shared" si="50"/>
        <v/>
      </c>
      <c r="E345" s="173" t="str">
        <f t="shared" si="53"/>
        <v/>
      </c>
      <c r="F345" s="174" t="e">
        <f t="shared" si="46"/>
        <v>#VALUE!</v>
      </c>
      <c r="G345" s="173" t="e">
        <f t="shared" si="47"/>
        <v>#VALUE!</v>
      </c>
      <c r="H345" s="173" t="str">
        <f t="shared" si="51"/>
        <v/>
      </c>
      <c r="I345" s="173" t="str">
        <f t="shared" si="52"/>
        <v/>
      </c>
      <c r="J345" s="173" t="e">
        <f t="shared" si="48"/>
        <v>#VALUE!</v>
      </c>
      <c r="K345" s="173">
        <f>SUM($I$17:$I345)</f>
        <v>0</v>
      </c>
      <c r="L345" s="168"/>
      <c r="M345" s="168"/>
      <c r="N345" s="150"/>
    </row>
    <row r="346" spans="1:14" ht="12.75">
      <c r="A346" s="191" t="str">
        <f t="shared" si="49"/>
        <v/>
      </c>
      <c r="B346" s="171"/>
      <c r="C346" s="172" t="str">
        <f t="shared" si="45"/>
        <v/>
      </c>
      <c r="D346" s="173" t="str">
        <f t="shared" si="50"/>
        <v/>
      </c>
      <c r="E346" s="173" t="str">
        <f t="shared" si="53"/>
        <v/>
      </c>
      <c r="F346" s="174" t="e">
        <f t="shared" si="46"/>
        <v>#VALUE!</v>
      </c>
      <c r="G346" s="173" t="e">
        <f t="shared" si="47"/>
        <v>#VALUE!</v>
      </c>
      <c r="H346" s="173" t="str">
        <f t="shared" si="51"/>
        <v/>
      </c>
      <c r="I346" s="173" t="str">
        <f t="shared" si="52"/>
        <v/>
      </c>
      <c r="J346" s="173" t="e">
        <f t="shared" si="48"/>
        <v>#VALUE!</v>
      </c>
      <c r="K346" s="173">
        <f>SUM($I$17:$I346)</f>
        <v>0</v>
      </c>
      <c r="L346" s="168"/>
      <c r="M346" s="168"/>
      <c r="N346" s="150"/>
    </row>
    <row r="347" spans="1:14" ht="12.75">
      <c r="A347" s="191" t="str">
        <f t="shared" si="49"/>
        <v/>
      </c>
      <c r="B347" s="171"/>
      <c r="C347" s="172" t="str">
        <f t="shared" si="45"/>
        <v/>
      </c>
      <c r="D347" s="173" t="str">
        <f t="shared" si="50"/>
        <v/>
      </c>
      <c r="E347" s="173" t="str">
        <f t="shared" si="53"/>
        <v/>
      </c>
      <c r="F347" s="174" t="e">
        <f t="shared" si="46"/>
        <v>#VALUE!</v>
      </c>
      <c r="G347" s="173" t="e">
        <f t="shared" si="47"/>
        <v>#VALUE!</v>
      </c>
      <c r="H347" s="173" t="str">
        <f t="shared" si="51"/>
        <v/>
      </c>
      <c r="I347" s="173" t="str">
        <f t="shared" si="52"/>
        <v/>
      </c>
      <c r="J347" s="173" t="e">
        <f t="shared" si="48"/>
        <v>#VALUE!</v>
      </c>
      <c r="K347" s="173">
        <f>SUM($I$17:$I347)</f>
        <v>0</v>
      </c>
      <c r="L347" s="168"/>
      <c r="M347" s="168"/>
      <c r="N347" s="150"/>
    </row>
    <row r="348" spans="1:14" ht="12.75">
      <c r="A348" s="191" t="str">
        <f t="shared" si="49"/>
        <v/>
      </c>
      <c r="B348" s="171"/>
      <c r="C348" s="172" t="str">
        <f t="shared" si="45"/>
        <v/>
      </c>
      <c r="D348" s="173" t="str">
        <f t="shared" si="50"/>
        <v/>
      </c>
      <c r="E348" s="173" t="str">
        <f t="shared" si="53"/>
        <v/>
      </c>
      <c r="F348" s="174" t="e">
        <f t="shared" si="46"/>
        <v>#VALUE!</v>
      </c>
      <c r="G348" s="173" t="e">
        <f t="shared" si="47"/>
        <v>#VALUE!</v>
      </c>
      <c r="H348" s="173" t="str">
        <f t="shared" si="51"/>
        <v/>
      </c>
      <c r="I348" s="173" t="str">
        <f t="shared" si="52"/>
        <v/>
      </c>
      <c r="J348" s="173" t="e">
        <f t="shared" si="48"/>
        <v>#VALUE!</v>
      </c>
      <c r="K348" s="173">
        <f>SUM($I$17:$I348)</f>
        <v>0</v>
      </c>
      <c r="L348" s="168"/>
      <c r="M348" s="168"/>
      <c r="N348" s="150"/>
    </row>
    <row r="349" spans="1:14" ht="12.75">
      <c r="A349" s="191" t="str">
        <f t="shared" si="49"/>
        <v/>
      </c>
      <c r="B349" s="171"/>
      <c r="C349" s="172" t="str">
        <f t="shared" si="45"/>
        <v/>
      </c>
      <c r="D349" s="173" t="str">
        <f t="shared" si="50"/>
        <v/>
      </c>
      <c r="E349" s="173" t="str">
        <f t="shared" si="53"/>
        <v/>
      </c>
      <c r="F349" s="174" t="e">
        <f t="shared" si="46"/>
        <v>#VALUE!</v>
      </c>
      <c r="G349" s="173" t="e">
        <f t="shared" si="47"/>
        <v>#VALUE!</v>
      </c>
      <c r="H349" s="173" t="str">
        <f t="shared" si="51"/>
        <v/>
      </c>
      <c r="I349" s="173" t="str">
        <f t="shared" si="52"/>
        <v/>
      </c>
      <c r="J349" s="173" t="e">
        <f t="shared" si="48"/>
        <v>#VALUE!</v>
      </c>
      <c r="K349" s="173">
        <f>SUM($I$17:$I349)</f>
        <v>0</v>
      </c>
      <c r="L349" s="168"/>
      <c r="M349" s="168"/>
      <c r="N349" s="150"/>
    </row>
    <row r="350" spans="1:14" ht="12.75">
      <c r="A350" s="191" t="str">
        <f t="shared" si="49"/>
        <v/>
      </c>
      <c r="B350" s="171"/>
      <c r="C350" s="172" t="str">
        <f t="shared" si="45"/>
        <v/>
      </c>
      <c r="D350" s="173" t="str">
        <f t="shared" si="50"/>
        <v/>
      </c>
      <c r="E350" s="173" t="str">
        <f t="shared" si="53"/>
        <v/>
      </c>
      <c r="F350" s="174" t="e">
        <f t="shared" si="46"/>
        <v>#VALUE!</v>
      </c>
      <c r="G350" s="173" t="e">
        <f t="shared" si="47"/>
        <v>#VALUE!</v>
      </c>
      <c r="H350" s="173" t="str">
        <f t="shared" si="51"/>
        <v/>
      </c>
      <c r="I350" s="173" t="str">
        <f t="shared" si="52"/>
        <v/>
      </c>
      <c r="J350" s="173" t="e">
        <f t="shared" si="48"/>
        <v>#VALUE!</v>
      </c>
      <c r="K350" s="173">
        <f>SUM($I$17:$I350)</f>
        <v>0</v>
      </c>
      <c r="L350" s="168"/>
      <c r="M350" s="168"/>
      <c r="N350" s="150"/>
    </row>
    <row r="351" spans="1:14" ht="12.75">
      <c r="A351" s="191" t="str">
        <f t="shared" si="49"/>
        <v/>
      </c>
      <c r="B351" s="171"/>
      <c r="C351" s="172" t="str">
        <f t="shared" si="45"/>
        <v/>
      </c>
      <c r="D351" s="173" t="str">
        <f t="shared" si="50"/>
        <v/>
      </c>
      <c r="E351" s="173" t="str">
        <f t="shared" si="53"/>
        <v/>
      </c>
      <c r="F351" s="174" t="e">
        <f t="shared" si="46"/>
        <v>#VALUE!</v>
      </c>
      <c r="G351" s="173" t="e">
        <f t="shared" si="47"/>
        <v>#VALUE!</v>
      </c>
      <c r="H351" s="173" t="str">
        <f t="shared" si="51"/>
        <v/>
      </c>
      <c r="I351" s="173" t="str">
        <f t="shared" si="52"/>
        <v/>
      </c>
      <c r="J351" s="173" t="e">
        <f t="shared" si="48"/>
        <v>#VALUE!</v>
      </c>
      <c r="K351" s="173">
        <f>SUM($I$17:$I351)</f>
        <v>0</v>
      </c>
      <c r="L351" s="168"/>
      <c r="M351" s="168"/>
      <c r="N351" s="150"/>
    </row>
    <row r="352" spans="1:14" ht="12.75">
      <c r="A352" s="191" t="str">
        <f t="shared" si="49"/>
        <v/>
      </c>
      <c r="B352" s="171"/>
      <c r="C352" s="172" t="str">
        <f t="shared" si="45"/>
        <v/>
      </c>
      <c r="D352" s="173" t="str">
        <f t="shared" si="50"/>
        <v/>
      </c>
      <c r="E352" s="173" t="str">
        <f t="shared" si="53"/>
        <v/>
      </c>
      <c r="F352" s="174" t="e">
        <f t="shared" si="46"/>
        <v>#VALUE!</v>
      </c>
      <c r="G352" s="173" t="e">
        <f t="shared" si="47"/>
        <v>#VALUE!</v>
      </c>
      <c r="H352" s="173" t="str">
        <f t="shared" si="51"/>
        <v/>
      </c>
      <c r="I352" s="173" t="str">
        <f t="shared" si="52"/>
        <v/>
      </c>
      <c r="J352" s="173" t="e">
        <f t="shared" si="48"/>
        <v>#VALUE!</v>
      </c>
      <c r="K352" s="173">
        <f>SUM($I$17:$I352)</f>
        <v>0</v>
      </c>
      <c r="L352" s="168"/>
      <c r="M352" s="168"/>
      <c r="N352" s="150"/>
    </row>
    <row r="353" spans="1:14" ht="12.75">
      <c r="A353" s="191" t="str">
        <f t="shared" si="49"/>
        <v/>
      </c>
      <c r="B353" s="171"/>
      <c r="C353" s="172" t="str">
        <f t="shared" si="45"/>
        <v/>
      </c>
      <c r="D353" s="173" t="str">
        <f t="shared" si="50"/>
        <v/>
      </c>
      <c r="E353" s="173" t="str">
        <f t="shared" si="53"/>
        <v/>
      </c>
      <c r="F353" s="174" t="e">
        <f t="shared" si="46"/>
        <v>#VALUE!</v>
      </c>
      <c r="G353" s="173" t="e">
        <f t="shared" si="47"/>
        <v>#VALUE!</v>
      </c>
      <c r="H353" s="173" t="str">
        <f t="shared" si="51"/>
        <v/>
      </c>
      <c r="I353" s="173" t="str">
        <f t="shared" si="52"/>
        <v/>
      </c>
      <c r="J353" s="173" t="e">
        <f t="shared" si="48"/>
        <v>#VALUE!</v>
      </c>
      <c r="K353" s="173">
        <f>SUM($I$17:$I353)</f>
        <v>0</v>
      </c>
      <c r="L353" s="168"/>
      <c r="M353" s="168"/>
      <c r="N353" s="150"/>
    </row>
    <row r="354" spans="1:14" ht="12.75">
      <c r="A354" s="191" t="str">
        <f t="shared" si="49"/>
        <v/>
      </c>
      <c r="B354" s="171"/>
      <c r="C354" s="172" t="str">
        <f t="shared" si="45"/>
        <v/>
      </c>
      <c r="D354" s="173" t="str">
        <f t="shared" si="50"/>
        <v/>
      </c>
      <c r="E354" s="173" t="str">
        <f t="shared" si="53"/>
        <v/>
      </c>
      <c r="F354" s="174" t="e">
        <f t="shared" si="46"/>
        <v>#VALUE!</v>
      </c>
      <c r="G354" s="173" t="e">
        <f t="shared" si="47"/>
        <v>#VALUE!</v>
      </c>
      <c r="H354" s="173" t="str">
        <f t="shared" si="51"/>
        <v/>
      </c>
      <c r="I354" s="173" t="str">
        <f t="shared" si="52"/>
        <v/>
      </c>
      <c r="J354" s="173" t="e">
        <f t="shared" si="48"/>
        <v>#VALUE!</v>
      </c>
      <c r="K354" s="173">
        <f>SUM($I$17:$I354)</f>
        <v>0</v>
      </c>
      <c r="L354" s="168"/>
      <c r="M354" s="168"/>
      <c r="N354" s="150"/>
    </row>
    <row r="355" spans="1:14" ht="12.75">
      <c r="A355" s="191" t="str">
        <f t="shared" si="49"/>
        <v/>
      </c>
      <c r="B355" s="171"/>
      <c r="C355" s="172" t="str">
        <f t="shared" si="45"/>
        <v/>
      </c>
      <c r="D355" s="173" t="str">
        <f t="shared" si="50"/>
        <v/>
      </c>
      <c r="E355" s="173" t="str">
        <f t="shared" si="53"/>
        <v/>
      </c>
      <c r="F355" s="174" t="e">
        <f t="shared" si="46"/>
        <v>#VALUE!</v>
      </c>
      <c r="G355" s="173" t="e">
        <f t="shared" si="47"/>
        <v>#VALUE!</v>
      </c>
      <c r="H355" s="173" t="str">
        <f t="shared" si="51"/>
        <v/>
      </c>
      <c r="I355" s="173" t="str">
        <f t="shared" si="52"/>
        <v/>
      </c>
      <c r="J355" s="173" t="e">
        <f t="shared" si="48"/>
        <v>#VALUE!</v>
      </c>
      <c r="K355" s="173">
        <f>SUM($I$17:$I355)</f>
        <v>0</v>
      </c>
      <c r="L355" s="168"/>
      <c r="M355" s="168"/>
      <c r="N355" s="150"/>
    </row>
    <row r="356" spans="1:14" ht="12.75">
      <c r="A356" s="191" t="str">
        <f t="shared" si="49"/>
        <v/>
      </c>
      <c r="B356" s="171"/>
      <c r="C356" s="172" t="str">
        <f t="shared" si="45"/>
        <v/>
      </c>
      <c r="D356" s="173" t="str">
        <f t="shared" si="50"/>
        <v/>
      </c>
      <c r="E356" s="173" t="str">
        <f t="shared" si="53"/>
        <v/>
      </c>
      <c r="F356" s="174" t="e">
        <f t="shared" si="46"/>
        <v>#VALUE!</v>
      </c>
      <c r="G356" s="173" t="e">
        <f t="shared" si="47"/>
        <v>#VALUE!</v>
      </c>
      <c r="H356" s="173" t="str">
        <f t="shared" si="51"/>
        <v/>
      </c>
      <c r="I356" s="173" t="str">
        <f t="shared" si="52"/>
        <v/>
      </c>
      <c r="J356" s="173" t="e">
        <f t="shared" si="48"/>
        <v>#VALUE!</v>
      </c>
      <c r="K356" s="173">
        <f>SUM($I$17:$I356)</f>
        <v>0</v>
      </c>
      <c r="L356" s="168"/>
      <c r="M356" s="168"/>
      <c r="N356" s="150"/>
    </row>
    <row r="357" spans="1:14" ht="12.75">
      <c r="A357" s="191" t="str">
        <f t="shared" si="49"/>
        <v/>
      </c>
      <c r="B357" s="171"/>
      <c r="C357" s="172" t="str">
        <f t="shared" si="45"/>
        <v/>
      </c>
      <c r="D357" s="173" t="str">
        <f t="shared" si="50"/>
        <v/>
      </c>
      <c r="E357" s="173" t="str">
        <f t="shared" si="53"/>
        <v/>
      </c>
      <c r="F357" s="174" t="e">
        <f t="shared" si="46"/>
        <v>#VALUE!</v>
      </c>
      <c r="G357" s="173" t="e">
        <f t="shared" si="47"/>
        <v>#VALUE!</v>
      </c>
      <c r="H357" s="173" t="str">
        <f t="shared" si="51"/>
        <v/>
      </c>
      <c r="I357" s="173" t="str">
        <f t="shared" si="52"/>
        <v/>
      </c>
      <c r="J357" s="173" t="e">
        <f t="shared" si="48"/>
        <v>#VALUE!</v>
      </c>
      <c r="K357" s="173">
        <f>SUM($I$17:$I357)</f>
        <v>0</v>
      </c>
      <c r="L357" s="168"/>
      <c r="M357" s="168"/>
      <c r="N357" s="150"/>
    </row>
    <row r="358" spans="1:14" ht="12.75">
      <c r="A358" s="191" t="str">
        <f t="shared" si="49"/>
        <v/>
      </c>
      <c r="B358" s="171"/>
      <c r="C358" s="172" t="str">
        <f t="shared" si="45"/>
        <v/>
      </c>
      <c r="D358" s="173" t="str">
        <f t="shared" si="50"/>
        <v/>
      </c>
      <c r="E358" s="173" t="str">
        <f t="shared" si="53"/>
        <v/>
      </c>
      <c r="F358" s="174" t="e">
        <f t="shared" si="46"/>
        <v>#VALUE!</v>
      </c>
      <c r="G358" s="173" t="e">
        <f t="shared" si="47"/>
        <v>#VALUE!</v>
      </c>
      <c r="H358" s="173" t="str">
        <f t="shared" si="51"/>
        <v/>
      </c>
      <c r="I358" s="173" t="str">
        <f t="shared" si="52"/>
        <v/>
      </c>
      <c r="J358" s="173" t="e">
        <f t="shared" si="48"/>
        <v>#VALUE!</v>
      </c>
      <c r="K358" s="173">
        <f>SUM($I$17:$I358)</f>
        <v>0</v>
      </c>
      <c r="L358" s="168"/>
      <c r="M358" s="168"/>
      <c r="N358" s="150"/>
    </row>
    <row r="359" spans="1:14" ht="12.75">
      <c r="A359" s="191" t="str">
        <f t="shared" si="49"/>
        <v/>
      </c>
      <c r="B359" s="171"/>
      <c r="C359" s="172" t="str">
        <f t="shared" si="45"/>
        <v/>
      </c>
      <c r="D359" s="173" t="str">
        <f t="shared" si="50"/>
        <v/>
      </c>
      <c r="E359" s="173" t="str">
        <f t="shared" si="53"/>
        <v/>
      </c>
      <c r="F359" s="174" t="e">
        <f t="shared" si="46"/>
        <v>#VALUE!</v>
      </c>
      <c r="G359" s="173" t="e">
        <f t="shared" si="47"/>
        <v>#VALUE!</v>
      </c>
      <c r="H359" s="173" t="str">
        <f t="shared" si="51"/>
        <v/>
      </c>
      <c r="I359" s="173" t="str">
        <f t="shared" si="52"/>
        <v/>
      </c>
      <c r="J359" s="173" t="e">
        <f t="shared" si="48"/>
        <v>#VALUE!</v>
      </c>
      <c r="K359" s="173">
        <f>SUM($I$17:$I359)</f>
        <v>0</v>
      </c>
      <c r="L359" s="168"/>
      <c r="M359" s="168"/>
      <c r="N359" s="150"/>
    </row>
    <row r="360" spans="1:14" ht="12.75">
      <c r="A360" s="191" t="str">
        <f t="shared" si="49"/>
        <v/>
      </c>
      <c r="B360" s="171"/>
      <c r="C360" s="172" t="str">
        <f t="shared" si="45"/>
        <v/>
      </c>
      <c r="D360" s="173" t="str">
        <f t="shared" si="50"/>
        <v/>
      </c>
      <c r="E360" s="173" t="str">
        <f t="shared" si="53"/>
        <v/>
      </c>
      <c r="F360" s="174" t="e">
        <f t="shared" si="46"/>
        <v>#VALUE!</v>
      </c>
      <c r="G360" s="173" t="e">
        <f t="shared" si="47"/>
        <v>#VALUE!</v>
      </c>
      <c r="H360" s="173" t="str">
        <f t="shared" si="51"/>
        <v/>
      </c>
      <c r="I360" s="173" t="str">
        <f t="shared" si="52"/>
        <v/>
      </c>
      <c r="J360" s="173" t="e">
        <f t="shared" si="48"/>
        <v>#VALUE!</v>
      </c>
      <c r="K360" s="173">
        <f>SUM($I$17:$I360)</f>
        <v>0</v>
      </c>
      <c r="L360" s="168"/>
      <c r="M360" s="168"/>
      <c r="N360" s="150"/>
    </row>
    <row r="361" spans="1:14" ht="12.75">
      <c r="A361" s="191" t="str">
        <f t="shared" si="49"/>
        <v/>
      </c>
      <c r="B361" s="171"/>
      <c r="C361" s="172" t="str">
        <f t="shared" si="45"/>
        <v/>
      </c>
      <c r="D361" s="173" t="str">
        <f t="shared" si="50"/>
        <v/>
      </c>
      <c r="E361" s="173" t="str">
        <f t="shared" si="53"/>
        <v/>
      </c>
      <c r="F361" s="174" t="e">
        <f t="shared" si="46"/>
        <v>#VALUE!</v>
      </c>
      <c r="G361" s="173" t="e">
        <f t="shared" si="47"/>
        <v>#VALUE!</v>
      </c>
      <c r="H361" s="173" t="str">
        <f t="shared" si="51"/>
        <v/>
      </c>
      <c r="I361" s="173" t="str">
        <f t="shared" si="52"/>
        <v/>
      </c>
      <c r="J361" s="173" t="e">
        <f t="shared" si="48"/>
        <v>#VALUE!</v>
      </c>
      <c r="K361" s="173">
        <f>SUM($I$17:$I361)</f>
        <v>0</v>
      </c>
      <c r="L361" s="168"/>
      <c r="M361" s="168"/>
      <c r="N361" s="150"/>
    </row>
    <row r="362" spans="1:14" ht="12.75">
      <c r="A362" s="191" t="str">
        <f t="shared" si="49"/>
        <v/>
      </c>
      <c r="B362" s="171"/>
      <c r="C362" s="172" t="str">
        <f t="shared" si="45"/>
        <v/>
      </c>
      <c r="D362" s="173" t="str">
        <f t="shared" si="50"/>
        <v/>
      </c>
      <c r="E362" s="173" t="str">
        <f t="shared" si="53"/>
        <v/>
      </c>
      <c r="F362" s="174" t="e">
        <f t="shared" si="46"/>
        <v>#VALUE!</v>
      </c>
      <c r="G362" s="173" t="e">
        <f t="shared" si="47"/>
        <v>#VALUE!</v>
      </c>
      <c r="H362" s="173" t="str">
        <f t="shared" si="51"/>
        <v/>
      </c>
      <c r="I362" s="173" t="str">
        <f t="shared" si="52"/>
        <v/>
      </c>
      <c r="J362" s="173" t="e">
        <f t="shared" si="48"/>
        <v>#VALUE!</v>
      </c>
      <c r="K362" s="173">
        <f>SUM($I$17:$I362)</f>
        <v>0</v>
      </c>
      <c r="L362" s="168"/>
      <c r="M362" s="168"/>
      <c r="N362" s="150"/>
    </row>
    <row r="363" spans="1:14" ht="12.75">
      <c r="A363" s="191" t="str">
        <f t="shared" si="49"/>
        <v/>
      </c>
      <c r="B363" s="171"/>
      <c r="C363" s="172" t="str">
        <f t="shared" si="45"/>
        <v/>
      </c>
      <c r="D363" s="173" t="str">
        <f t="shared" si="50"/>
        <v/>
      </c>
      <c r="E363" s="173" t="str">
        <f t="shared" si="53"/>
        <v/>
      </c>
      <c r="F363" s="174" t="e">
        <f t="shared" si="46"/>
        <v>#VALUE!</v>
      </c>
      <c r="G363" s="173" t="e">
        <f t="shared" si="47"/>
        <v>#VALUE!</v>
      </c>
      <c r="H363" s="173" t="str">
        <f t="shared" si="51"/>
        <v/>
      </c>
      <c r="I363" s="173" t="str">
        <f t="shared" si="52"/>
        <v/>
      </c>
      <c r="J363" s="173" t="e">
        <f t="shared" si="48"/>
        <v>#VALUE!</v>
      </c>
      <c r="K363" s="173">
        <f>SUM($I$17:$I363)</f>
        <v>0</v>
      </c>
      <c r="L363" s="168"/>
      <c r="M363" s="168"/>
      <c r="N363" s="150"/>
    </row>
    <row r="364" spans="1:14" ht="12.75">
      <c r="A364" s="191" t="str">
        <f t="shared" si="49"/>
        <v/>
      </c>
      <c r="B364" s="171"/>
      <c r="C364" s="172" t="str">
        <f t="shared" si="45"/>
        <v/>
      </c>
      <c r="D364" s="173" t="str">
        <f t="shared" si="50"/>
        <v/>
      </c>
      <c r="E364" s="173" t="str">
        <f t="shared" si="53"/>
        <v/>
      </c>
      <c r="F364" s="174" t="e">
        <f t="shared" si="46"/>
        <v>#VALUE!</v>
      </c>
      <c r="G364" s="173" t="e">
        <f t="shared" si="47"/>
        <v>#VALUE!</v>
      </c>
      <c r="H364" s="173" t="str">
        <f t="shared" si="51"/>
        <v/>
      </c>
      <c r="I364" s="173" t="str">
        <f t="shared" si="52"/>
        <v/>
      </c>
      <c r="J364" s="173" t="e">
        <f t="shared" si="48"/>
        <v>#VALUE!</v>
      </c>
      <c r="K364" s="173">
        <f>SUM($I$17:$I364)</f>
        <v>0</v>
      </c>
      <c r="L364" s="168"/>
      <c r="M364" s="168"/>
      <c r="N364" s="150"/>
    </row>
    <row r="365" spans="1:14" ht="12.75">
      <c r="A365" s="191" t="str">
        <f t="shared" si="49"/>
        <v/>
      </c>
      <c r="B365" s="171"/>
      <c r="C365" s="172" t="str">
        <f t="shared" si="45"/>
        <v/>
      </c>
      <c r="D365" s="173" t="str">
        <f t="shared" si="50"/>
        <v/>
      </c>
      <c r="E365" s="173" t="str">
        <f t="shared" si="53"/>
        <v/>
      </c>
      <c r="F365" s="174" t="e">
        <f t="shared" si="46"/>
        <v>#VALUE!</v>
      </c>
      <c r="G365" s="173" t="e">
        <f t="shared" si="47"/>
        <v>#VALUE!</v>
      </c>
      <c r="H365" s="173" t="str">
        <f t="shared" si="51"/>
        <v/>
      </c>
      <c r="I365" s="173" t="str">
        <f t="shared" si="52"/>
        <v/>
      </c>
      <c r="J365" s="173" t="e">
        <f t="shared" si="48"/>
        <v>#VALUE!</v>
      </c>
      <c r="K365" s="173">
        <f>SUM($I$17:$I365)</f>
        <v>0</v>
      </c>
      <c r="L365" s="168"/>
      <c r="M365" s="168"/>
      <c r="N365" s="150"/>
    </row>
    <row r="366" spans="1:14" ht="12.75">
      <c r="A366" s="191" t="str">
        <f t="shared" si="49"/>
        <v/>
      </c>
      <c r="B366" s="171"/>
      <c r="C366" s="172" t="str">
        <f t="shared" si="45"/>
        <v/>
      </c>
      <c r="D366" s="173" t="str">
        <f t="shared" si="50"/>
        <v/>
      </c>
      <c r="E366" s="173" t="str">
        <f t="shared" si="53"/>
        <v/>
      </c>
      <c r="F366" s="174" t="e">
        <f t="shared" si="46"/>
        <v>#VALUE!</v>
      </c>
      <c r="G366" s="173" t="e">
        <f t="shared" si="47"/>
        <v>#VALUE!</v>
      </c>
      <c r="H366" s="173" t="str">
        <f t="shared" si="51"/>
        <v/>
      </c>
      <c r="I366" s="173" t="str">
        <f t="shared" si="52"/>
        <v/>
      </c>
      <c r="J366" s="173" t="e">
        <f t="shared" si="48"/>
        <v>#VALUE!</v>
      </c>
      <c r="K366" s="173">
        <f>SUM($I$17:$I366)</f>
        <v>0</v>
      </c>
      <c r="L366" s="168"/>
      <c r="M366" s="168"/>
      <c r="N366" s="150"/>
    </row>
    <row r="367" spans="1:14" ht="12.75">
      <c r="A367" s="191" t="str">
        <f t="shared" si="49"/>
        <v/>
      </c>
      <c r="B367" s="171"/>
      <c r="C367" s="172" t="str">
        <f t="shared" si="45"/>
        <v/>
      </c>
      <c r="D367" s="173" t="str">
        <f t="shared" si="50"/>
        <v/>
      </c>
      <c r="E367" s="173" t="str">
        <f t="shared" si="53"/>
        <v/>
      </c>
      <c r="F367" s="174" t="e">
        <f t="shared" si="46"/>
        <v>#VALUE!</v>
      </c>
      <c r="G367" s="173" t="e">
        <f t="shared" si="47"/>
        <v>#VALUE!</v>
      </c>
      <c r="H367" s="173" t="str">
        <f t="shared" si="51"/>
        <v/>
      </c>
      <c r="I367" s="173" t="str">
        <f t="shared" si="52"/>
        <v/>
      </c>
      <c r="J367" s="173" t="e">
        <f t="shared" si="48"/>
        <v>#VALUE!</v>
      </c>
      <c r="K367" s="173">
        <f>SUM($I$17:$I367)</f>
        <v>0</v>
      </c>
      <c r="L367" s="168"/>
      <c r="M367" s="168"/>
      <c r="N367" s="150"/>
    </row>
    <row r="368" spans="1:14" ht="12.75">
      <c r="A368" s="191" t="str">
        <f t="shared" si="49"/>
        <v/>
      </c>
      <c r="B368" s="171"/>
      <c r="C368" s="172" t="str">
        <f t="shared" si="45"/>
        <v/>
      </c>
      <c r="D368" s="173" t="str">
        <f t="shared" si="50"/>
        <v/>
      </c>
      <c r="E368" s="173" t="str">
        <f t="shared" si="53"/>
        <v/>
      </c>
      <c r="F368" s="174" t="e">
        <f t="shared" si="46"/>
        <v>#VALUE!</v>
      </c>
      <c r="G368" s="173" t="e">
        <f t="shared" si="47"/>
        <v>#VALUE!</v>
      </c>
      <c r="H368" s="173" t="str">
        <f t="shared" si="51"/>
        <v/>
      </c>
      <c r="I368" s="173" t="str">
        <f t="shared" si="52"/>
        <v/>
      </c>
      <c r="J368" s="173" t="e">
        <f t="shared" si="48"/>
        <v>#VALUE!</v>
      </c>
      <c r="K368" s="173">
        <f>SUM($I$17:$I368)</f>
        <v>0</v>
      </c>
      <c r="L368" s="168"/>
      <c r="M368" s="168"/>
      <c r="N368" s="150"/>
    </row>
    <row r="369" spans="1:14" ht="12.75">
      <c r="A369" s="191" t="str">
        <f t="shared" si="49"/>
        <v/>
      </c>
      <c r="B369" s="171"/>
      <c r="C369" s="172" t="str">
        <f t="shared" si="45"/>
        <v/>
      </c>
      <c r="D369" s="173" t="str">
        <f t="shared" si="50"/>
        <v/>
      </c>
      <c r="E369" s="173" t="str">
        <f t="shared" si="53"/>
        <v/>
      </c>
      <c r="F369" s="174" t="e">
        <f t="shared" si="46"/>
        <v>#VALUE!</v>
      </c>
      <c r="G369" s="173" t="e">
        <f t="shared" si="47"/>
        <v>#VALUE!</v>
      </c>
      <c r="H369" s="173" t="str">
        <f t="shared" si="51"/>
        <v/>
      </c>
      <c r="I369" s="173" t="str">
        <f t="shared" si="52"/>
        <v/>
      </c>
      <c r="J369" s="173" t="e">
        <f t="shared" si="48"/>
        <v>#VALUE!</v>
      </c>
      <c r="K369" s="173">
        <f>SUM($I$17:$I369)</f>
        <v>0</v>
      </c>
      <c r="L369" s="168"/>
      <c r="M369" s="168"/>
      <c r="N369" s="150"/>
    </row>
    <row r="370" spans="1:14" ht="12.75">
      <c r="A370" s="191" t="str">
        <f t="shared" si="49"/>
        <v/>
      </c>
      <c r="B370" s="171"/>
      <c r="C370" s="172" t="str">
        <f t="shared" si="45"/>
        <v/>
      </c>
      <c r="D370" s="173" t="str">
        <f t="shared" si="50"/>
        <v/>
      </c>
      <c r="E370" s="173" t="str">
        <f t="shared" si="53"/>
        <v/>
      </c>
      <c r="F370" s="174" t="e">
        <f t="shared" si="46"/>
        <v>#VALUE!</v>
      </c>
      <c r="G370" s="173" t="e">
        <f t="shared" si="47"/>
        <v>#VALUE!</v>
      </c>
      <c r="H370" s="173" t="str">
        <f t="shared" si="51"/>
        <v/>
      </c>
      <c r="I370" s="173" t="str">
        <f t="shared" si="52"/>
        <v/>
      </c>
      <c r="J370" s="173" t="e">
        <f t="shared" si="48"/>
        <v>#VALUE!</v>
      </c>
      <c r="K370" s="173">
        <f>SUM($I$17:$I370)</f>
        <v>0</v>
      </c>
      <c r="L370" s="168"/>
      <c r="M370" s="168"/>
      <c r="N370" s="150"/>
    </row>
    <row r="371" spans="1:14" ht="12.75">
      <c r="A371" s="191" t="str">
        <f t="shared" si="49"/>
        <v/>
      </c>
      <c r="B371" s="171"/>
      <c r="C371" s="172" t="str">
        <f t="shared" si="45"/>
        <v/>
      </c>
      <c r="D371" s="173" t="str">
        <f t="shared" si="50"/>
        <v/>
      </c>
      <c r="E371" s="173" t="str">
        <f t="shared" si="53"/>
        <v/>
      </c>
      <c r="F371" s="174" t="e">
        <f t="shared" si="46"/>
        <v>#VALUE!</v>
      </c>
      <c r="G371" s="173" t="e">
        <f t="shared" si="47"/>
        <v>#VALUE!</v>
      </c>
      <c r="H371" s="173" t="str">
        <f t="shared" si="51"/>
        <v/>
      </c>
      <c r="I371" s="173" t="str">
        <f t="shared" si="52"/>
        <v/>
      </c>
      <c r="J371" s="173" t="e">
        <f t="shared" si="48"/>
        <v>#VALUE!</v>
      </c>
      <c r="K371" s="173">
        <f>SUM($I$17:$I371)</f>
        <v>0</v>
      </c>
      <c r="L371" s="168"/>
      <c r="M371" s="168"/>
      <c r="N371" s="150"/>
    </row>
    <row r="372" spans="1:14" ht="12.75">
      <c r="A372" s="191" t="str">
        <f t="shared" si="49"/>
        <v/>
      </c>
      <c r="B372" s="171"/>
      <c r="C372" s="172" t="str">
        <f t="shared" si="45"/>
        <v/>
      </c>
      <c r="D372" s="173" t="str">
        <f t="shared" si="50"/>
        <v/>
      </c>
      <c r="E372" s="173" t="str">
        <f t="shared" si="53"/>
        <v/>
      </c>
      <c r="F372" s="174" t="e">
        <f t="shared" si="46"/>
        <v>#VALUE!</v>
      </c>
      <c r="G372" s="173" t="e">
        <f t="shared" si="47"/>
        <v>#VALUE!</v>
      </c>
      <c r="H372" s="173" t="str">
        <f t="shared" si="51"/>
        <v/>
      </c>
      <c r="I372" s="173" t="str">
        <f t="shared" si="52"/>
        <v/>
      </c>
      <c r="J372" s="173" t="e">
        <f t="shared" si="48"/>
        <v>#VALUE!</v>
      </c>
      <c r="K372" s="173">
        <f>SUM($I$17:$I372)</f>
        <v>0</v>
      </c>
      <c r="L372" s="168"/>
      <c r="M372" s="168"/>
      <c r="N372" s="150"/>
    </row>
    <row r="373" spans="1:14" ht="12.75">
      <c r="A373" s="191" t="str">
        <f t="shared" si="49"/>
        <v/>
      </c>
      <c r="B373" s="171"/>
      <c r="C373" s="172" t="str">
        <f t="shared" si="45"/>
        <v/>
      </c>
      <c r="D373" s="173" t="str">
        <f t="shared" si="50"/>
        <v/>
      </c>
      <c r="E373" s="173" t="str">
        <f t="shared" si="53"/>
        <v/>
      </c>
      <c r="F373" s="174" t="e">
        <f t="shared" si="46"/>
        <v>#VALUE!</v>
      </c>
      <c r="G373" s="173" t="e">
        <f t="shared" si="47"/>
        <v>#VALUE!</v>
      </c>
      <c r="H373" s="173" t="str">
        <f t="shared" si="51"/>
        <v/>
      </c>
      <c r="I373" s="173" t="str">
        <f t="shared" si="52"/>
        <v/>
      </c>
      <c r="J373" s="173" t="e">
        <f t="shared" si="48"/>
        <v>#VALUE!</v>
      </c>
      <c r="K373" s="173">
        <f>SUM($I$17:$I373)</f>
        <v>0</v>
      </c>
      <c r="L373" s="168"/>
      <c r="M373" s="168"/>
      <c r="N373" s="150"/>
    </row>
    <row r="374" spans="1:14" ht="12.75">
      <c r="A374" s="191" t="str">
        <f t="shared" si="49"/>
        <v/>
      </c>
      <c r="B374" s="171"/>
      <c r="C374" s="172" t="str">
        <f t="shared" si="45"/>
        <v/>
      </c>
      <c r="D374" s="173" t="str">
        <f t="shared" si="50"/>
        <v/>
      </c>
      <c r="E374" s="173" t="str">
        <f t="shared" si="53"/>
        <v/>
      </c>
      <c r="F374" s="174" t="e">
        <f t="shared" si="46"/>
        <v>#VALUE!</v>
      </c>
      <c r="G374" s="173" t="e">
        <f t="shared" si="47"/>
        <v>#VALUE!</v>
      </c>
      <c r="H374" s="173" t="str">
        <f t="shared" si="51"/>
        <v/>
      </c>
      <c r="I374" s="173" t="str">
        <f t="shared" si="52"/>
        <v/>
      </c>
      <c r="J374" s="173" t="e">
        <f t="shared" si="48"/>
        <v>#VALUE!</v>
      </c>
      <c r="K374" s="173">
        <f>SUM($I$17:$I374)</f>
        <v>0</v>
      </c>
      <c r="L374" s="168"/>
      <c r="M374" s="168"/>
      <c r="N374" s="150"/>
    </row>
    <row r="375" spans="1:14" ht="12.75">
      <c r="A375" s="191" t="str">
        <f t="shared" si="49"/>
        <v/>
      </c>
      <c r="B375" s="171"/>
      <c r="C375" s="172" t="str">
        <f t="shared" si="45"/>
        <v/>
      </c>
      <c r="D375" s="173" t="str">
        <f t="shared" si="50"/>
        <v/>
      </c>
      <c r="E375" s="173" t="str">
        <f t="shared" si="53"/>
        <v/>
      </c>
      <c r="F375" s="174" t="e">
        <f t="shared" si="46"/>
        <v>#VALUE!</v>
      </c>
      <c r="G375" s="173" t="e">
        <f t="shared" si="47"/>
        <v>#VALUE!</v>
      </c>
      <c r="H375" s="173" t="str">
        <f t="shared" si="51"/>
        <v/>
      </c>
      <c r="I375" s="173" t="str">
        <f t="shared" si="52"/>
        <v/>
      </c>
      <c r="J375" s="173" t="e">
        <f t="shared" si="48"/>
        <v>#VALUE!</v>
      </c>
      <c r="K375" s="173">
        <f>SUM($I$17:$I375)</f>
        <v>0</v>
      </c>
      <c r="L375" s="168"/>
      <c r="M375" s="168"/>
      <c r="N375" s="150"/>
    </row>
    <row r="376" spans="1:14" ht="12.75">
      <c r="A376" s="191" t="str">
        <f t="shared" si="49"/>
        <v/>
      </c>
      <c r="B376" s="171"/>
      <c r="C376" s="172" t="str">
        <f t="shared" si="45"/>
        <v/>
      </c>
      <c r="D376" s="173" t="str">
        <f t="shared" si="50"/>
        <v/>
      </c>
      <c r="E376" s="173" t="str">
        <f t="shared" si="53"/>
        <v/>
      </c>
      <c r="F376" s="174" t="e">
        <f t="shared" si="46"/>
        <v>#VALUE!</v>
      </c>
      <c r="G376" s="173" t="e">
        <f t="shared" si="47"/>
        <v>#VALUE!</v>
      </c>
      <c r="H376" s="173" t="str">
        <f t="shared" si="51"/>
        <v/>
      </c>
      <c r="I376" s="173" t="str">
        <f t="shared" si="52"/>
        <v/>
      </c>
      <c r="J376" s="173" t="e">
        <f t="shared" si="48"/>
        <v>#VALUE!</v>
      </c>
      <c r="K376" s="173">
        <f>SUM($I$17:$I376)</f>
        <v>0</v>
      </c>
      <c r="L376" s="168"/>
      <c r="M376" s="168"/>
      <c r="N376" s="150"/>
    </row>
    <row r="377" spans="1:14">
      <c r="E377" s="181"/>
      <c r="F377" s="150"/>
      <c r="G377" s="150"/>
      <c r="H377" s="150"/>
      <c r="I377" s="150"/>
      <c r="J377" s="150"/>
      <c r="K377" s="150"/>
      <c r="L377" s="150"/>
      <c r="M377" s="150"/>
    </row>
  </sheetData>
  <sheetProtection selectLockedCells="1"/>
  <mergeCells count="4">
    <mergeCell ref="C5:E5"/>
    <mergeCell ref="G5:I5"/>
    <mergeCell ref="D13:E13"/>
    <mergeCell ref="H13:I13"/>
  </mergeCells>
  <conditionalFormatting sqref="A17:F376">
    <cfRule type="expression" dxfId="43" priority="4" stopIfTrue="1">
      <formula>IF(ROW(A17)&gt;Last_Row,TRUE, FALSE)</formula>
    </cfRule>
    <cfRule type="expression" dxfId="42" priority="5" stopIfTrue="1">
      <formula>IF(ROW(A17)=Last_Row,TRUE, FALSE)</formula>
    </cfRule>
    <cfRule type="expression" dxfId="41" priority="6" stopIfTrue="1">
      <formula>IF(ROW(A17)&lt;Last_Row,TRUE, FALSE)</formula>
    </cfRule>
  </conditionalFormatting>
  <conditionalFormatting sqref="G17:K74 G77:K376">
    <cfRule type="expression" dxfId="40" priority="7" stopIfTrue="1">
      <formula>IF(ROW(G17)&gt;Last_Row,TRUE, FALSE)</formula>
    </cfRule>
    <cfRule type="expression" dxfId="39" priority="8" stopIfTrue="1">
      <formula>IF(ROW(G17)=Last_Row,TRUE, FALSE)</formula>
    </cfRule>
    <cfRule type="expression" dxfId="38" priority="9" stopIfTrue="1">
      <formula>IF(ROW(G17)&lt;=Last_Row,TRUE, FALSE)</formula>
    </cfRule>
  </conditionalFormatting>
  <conditionalFormatting sqref="G75:K76">
    <cfRule type="expression" dxfId="37" priority="1" stopIfTrue="1">
      <formula>IF(ROW(G75)&gt;Last_Row,TRUE, FALSE)</formula>
    </cfRule>
    <cfRule type="expression" dxfId="36" priority="2" stopIfTrue="1">
      <formula>IF(ROW(G75)=Last_Row,TRUE, FALSE)</formula>
    </cfRule>
    <cfRule type="expression" dxfId="35" priority="3" stopIfTrue="1">
      <formula>IF(ROW(G75)&lt;=Last_Row,TRUE, FALSE)</formula>
    </cfRule>
  </conditionalFormatting>
  <dataValidations count="1">
    <dataValidation allowBlank="1" showInputMessage="1" showErrorMessage="1" promptTitle="Extra Payments" prompt="Enter an amount here if you want to make additional principal payments every pay period._x000a__x000a_For occasional extra payments, enter the extra principal amounts directly in the 'Extra Payment' column below." sqref="E11" xr:uid="{B698BEC6-9FA4-4F6B-B257-9ADB7E257AD1}"/>
  </dataValidations>
  <printOptions horizontalCentered="1"/>
  <pageMargins left="0.9055118110236221" right="0.70866141732283472" top="0.74803149606299213" bottom="0.74803149606299213" header="0.31496062992125984" footer="0.31496062992125984"/>
  <pageSetup paperSize="9" scale="51" fitToHeight="0" orientation="portrait" errors="blank" r:id="rId1"/>
  <headerFooter>
    <oddFooter>&amp;L&amp;"-,Bold Italic"&amp;8&amp;K01+027Developed By: MAIUMAS Consulting
Hani Omar Skaik&amp;C&amp;A&amp;R&amp;D / &amp;T</oddFooter>
  </headerFooter>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469AC-BA2F-4C68-8221-4CCAFDC2FB70}">
  <sheetPr codeName="Sheet17">
    <pageSetUpPr fitToPage="1"/>
  </sheetPr>
  <dimension ref="A1:N377"/>
  <sheetViews>
    <sheetView showGridLines="0" workbookViewId="0">
      <selection activeCell="E7" sqref="E7"/>
    </sheetView>
  </sheetViews>
  <sheetFormatPr defaultColWidth="8.88671875" defaultRowHeight="15"/>
  <cols>
    <col min="1" max="1" width="8.77734375" customWidth="1"/>
    <col min="2" max="2" width="7.5546875" style="155" customWidth="1"/>
    <col min="3" max="3" width="13.109375" bestFit="1" customWidth="1"/>
    <col min="4" max="4" width="13.109375" style="155" bestFit="1" customWidth="1"/>
    <col min="5" max="5" width="13.109375" style="182" bestFit="1" customWidth="1"/>
    <col min="6" max="6" width="15.88671875" style="149" customWidth="1"/>
    <col min="7" max="7" width="16.6640625" style="149" customWidth="1"/>
    <col min="8" max="8" width="13.88671875" style="149" customWidth="1"/>
    <col min="9" max="9" width="12.6640625" style="149" customWidth="1"/>
    <col min="10" max="10" width="11" style="149" customWidth="1"/>
    <col min="11" max="11" width="10.5546875" style="149" customWidth="1"/>
    <col min="12" max="12" width="13.5546875" style="149" customWidth="1"/>
    <col min="13" max="13" width="16.109375" style="149" customWidth="1"/>
    <col min="14" max="14" width="4.77734375" style="149" customWidth="1"/>
    <col min="15" max="15" width="8.88671875" style="150"/>
    <col min="16" max="16" width="11.88671875" style="150" customWidth="1"/>
    <col min="17" max="16384" width="8.88671875" style="150"/>
  </cols>
  <sheetData>
    <row r="1" spans="1:14" ht="24" customHeight="1">
      <c r="A1" s="147" t="s">
        <v>974</v>
      </c>
      <c r="B1" s="147"/>
      <c r="C1" s="148"/>
      <c r="D1" s="148"/>
      <c r="E1" s="148"/>
      <c r="F1" s="148"/>
      <c r="G1" s="148"/>
      <c r="H1" s="148"/>
      <c r="I1" s="148"/>
      <c r="J1" s="148"/>
      <c r="K1" s="148"/>
      <c r="M1" s="150"/>
      <c r="N1" s="150"/>
    </row>
    <row r="2" spans="1:14" ht="12.75" customHeight="1">
      <c r="A2" s="148"/>
      <c r="B2" s="148"/>
      <c r="C2" s="151"/>
      <c r="D2" s="151"/>
      <c r="E2" s="151"/>
      <c r="F2" s="151"/>
      <c r="G2" s="151"/>
      <c r="H2" s="151"/>
      <c r="I2" s="151"/>
      <c r="J2" s="151"/>
      <c r="K2" s="151"/>
      <c r="M2" s="150"/>
      <c r="N2" s="150"/>
    </row>
    <row r="3" spans="1:14" ht="3" customHeight="1">
      <c r="A3" s="152"/>
      <c r="B3" s="152"/>
      <c r="C3" s="153"/>
      <c r="D3" s="153"/>
      <c r="E3" s="153"/>
      <c r="F3" s="153"/>
      <c r="G3" s="153"/>
      <c r="H3" s="153"/>
      <c r="I3" s="153"/>
      <c r="J3" s="153"/>
      <c r="K3" s="153"/>
      <c r="M3" s="150"/>
      <c r="N3" s="150"/>
    </row>
    <row r="4" spans="1:14" ht="6.75" customHeight="1">
      <c r="A4" s="148"/>
      <c r="B4" s="148"/>
      <c r="C4" s="151"/>
      <c r="D4" s="151"/>
      <c r="E4" s="151"/>
      <c r="F4" s="151"/>
      <c r="G4" s="151"/>
      <c r="H4" s="151"/>
      <c r="I4" s="151"/>
      <c r="J4" s="151"/>
      <c r="K4" s="151"/>
      <c r="M4" s="150"/>
      <c r="N4" s="150"/>
    </row>
    <row r="5" spans="1:14" ht="14.25" customHeight="1">
      <c r="A5" s="148"/>
      <c r="B5" s="148"/>
      <c r="C5" s="817" t="s">
        <v>975</v>
      </c>
      <c r="D5" s="818"/>
      <c r="E5" s="819"/>
      <c r="F5" s="148"/>
      <c r="G5" s="817" t="s">
        <v>976</v>
      </c>
      <c r="H5" s="818"/>
      <c r="I5" s="819"/>
      <c r="J5" s="154"/>
      <c r="K5" s="148"/>
      <c r="L5" s="155"/>
      <c r="M5" s="150"/>
      <c r="N5" s="150"/>
    </row>
    <row r="6" spans="1:14" ht="12.75">
      <c r="A6" s="148"/>
      <c r="B6" s="148"/>
      <c r="C6" s="156"/>
      <c r="D6" s="157" t="s">
        <v>977</v>
      </c>
      <c r="E6" s="183" t="e">
        <f>'Cashflow Projection &amp; Investme'!#REF!</f>
        <v>#REF!</v>
      </c>
      <c r="F6" s="148"/>
      <c r="G6" s="156"/>
      <c r="H6" s="157" t="s">
        <v>978</v>
      </c>
      <c r="I6" s="184" t="e">
        <f>IF(Values_Entered,-PMT(Interest_Rate/Num_Pmt_Per_Year,Loan_Years*Num_Pmt_Per_Year,Loan_Amount),"")</f>
        <v>#REF!</v>
      </c>
      <c r="J6" s="158"/>
      <c r="K6" s="148"/>
      <c r="L6" s="155"/>
      <c r="M6" s="150"/>
      <c r="N6" s="150"/>
    </row>
    <row r="7" spans="1:14" ht="12.75">
      <c r="A7" s="148"/>
      <c r="B7" s="148"/>
      <c r="C7" s="156"/>
      <c r="D7" s="157" t="s">
        <v>66</v>
      </c>
      <c r="E7" s="187">
        <f>'Summary. Assumptions. Inputs'!I33</f>
        <v>7.0000000000000007E-2</v>
      </c>
      <c r="F7" s="148"/>
      <c r="G7" s="156"/>
      <c r="H7" s="157" t="s">
        <v>979</v>
      </c>
      <c r="I7" s="160" t="e">
        <f>IF(Values_Entered,Loan_Years*Num_Pmt_Per_Year,"")</f>
        <v>#REF!</v>
      </c>
      <c r="J7" s="161"/>
      <c r="K7" s="148"/>
      <c r="L7" s="155"/>
      <c r="M7" s="150"/>
      <c r="N7" s="150"/>
    </row>
    <row r="8" spans="1:14" ht="12.75">
      <c r="A8" s="148"/>
      <c r="B8" s="148"/>
      <c r="C8" s="156"/>
      <c r="D8" s="157" t="s">
        <v>70</v>
      </c>
      <c r="E8" s="186">
        <f>'Summary. Assumptions. Inputs'!I34</f>
        <v>10</v>
      </c>
      <c r="F8" s="148"/>
      <c r="G8" s="156"/>
      <c r="H8" s="157" t="s">
        <v>980</v>
      </c>
      <c r="I8" s="160" t="e">
        <f>IF(Values_Entered,Number_of_Payments,"")</f>
        <v>#REF!</v>
      </c>
      <c r="J8" s="161"/>
      <c r="K8" s="148"/>
      <c r="L8" s="155"/>
      <c r="M8" s="150"/>
      <c r="N8" s="150"/>
    </row>
    <row r="9" spans="1:14" ht="12.75">
      <c r="A9" s="148"/>
      <c r="B9" s="148"/>
      <c r="C9" s="156"/>
      <c r="D9" s="157" t="s">
        <v>981</v>
      </c>
      <c r="E9" s="186">
        <f>'Summary. Assumptions. Inputs'!I35</f>
        <v>12</v>
      </c>
      <c r="F9" s="148"/>
      <c r="G9" s="156"/>
      <c r="H9" s="157" t="s">
        <v>982</v>
      </c>
      <c r="I9" s="184" t="e">
        <f>IF(Values_Entered,SUMIF(Beg_Bal,"&gt;0",Extra_Pay),"")</f>
        <v>#REF!</v>
      </c>
      <c r="J9" s="158"/>
      <c r="K9" s="148"/>
      <c r="L9" s="155"/>
      <c r="M9" s="150"/>
      <c r="N9" s="150"/>
    </row>
    <row r="10" spans="1:14" ht="12.75">
      <c r="A10" s="148"/>
      <c r="B10" s="148"/>
      <c r="C10" s="156"/>
      <c r="D10" s="157" t="s">
        <v>79</v>
      </c>
      <c r="E10" s="162">
        <v>44562</v>
      </c>
      <c r="F10" s="148"/>
      <c r="G10" s="156"/>
      <c r="H10" s="157" t="s">
        <v>983</v>
      </c>
      <c r="I10" s="184" t="e">
        <f>IF(Values_Entered,SUMIF(Beg_Bal,"&gt;0",Int),"")</f>
        <v>#REF!</v>
      </c>
      <c r="K10" s="148"/>
      <c r="L10" s="155"/>
      <c r="M10" s="150"/>
      <c r="N10" s="150"/>
    </row>
    <row r="11" spans="1:14" ht="12.75">
      <c r="A11" s="148"/>
      <c r="B11" s="148"/>
      <c r="C11" s="163"/>
      <c r="D11" s="164" t="s">
        <v>984</v>
      </c>
      <c r="E11" s="165"/>
      <c r="F11" s="148"/>
      <c r="G11" s="163"/>
      <c r="H11" s="164" t="s">
        <v>985</v>
      </c>
      <c r="I11" s="159">
        <f>IFERROR(Total_Interest/Loan_Amount/Loan_Years,0)</f>
        <v>0</v>
      </c>
      <c r="J11" s="151"/>
      <c r="K11" s="148"/>
      <c r="L11" s="155"/>
      <c r="M11" s="150"/>
      <c r="N11" s="150"/>
    </row>
    <row r="12" spans="1:14" ht="12.75">
      <c r="A12" s="148"/>
      <c r="B12" s="148"/>
      <c r="C12" s="151"/>
      <c r="D12" s="151"/>
      <c r="E12" s="151"/>
      <c r="F12" s="151"/>
      <c r="G12" s="151"/>
      <c r="H12" s="151"/>
      <c r="I12" s="151"/>
      <c r="J12" s="151"/>
      <c r="K12" s="151"/>
      <c r="L12" s="155"/>
      <c r="M12" s="150"/>
      <c r="N12" s="150"/>
    </row>
    <row r="13" spans="1:14" ht="17.25" customHeight="1">
      <c r="A13" s="148"/>
      <c r="B13" s="148"/>
      <c r="C13" s="199" t="s">
        <v>621</v>
      </c>
      <c r="D13" s="820" t="str">
        <f>'Summary. Assumptions. Inputs'!J7</f>
        <v>USD</v>
      </c>
      <c r="E13" s="821"/>
      <c r="F13" s="151"/>
      <c r="G13" s="166" t="s">
        <v>986</v>
      </c>
      <c r="H13" s="822">
        <f>IFERROR(Total_Interest+Loan_Amount,0)</f>
        <v>0</v>
      </c>
      <c r="I13" s="823"/>
      <c r="J13" s="151"/>
      <c r="K13" s="151"/>
      <c r="L13" s="155"/>
      <c r="M13" s="150"/>
      <c r="N13" s="150"/>
    </row>
    <row r="14" spans="1:14" ht="12.75">
      <c r="A14" s="148"/>
      <c r="B14" s="148"/>
      <c r="C14" s="166"/>
      <c r="D14" s="167"/>
      <c r="E14" s="167"/>
      <c r="F14" s="151"/>
      <c r="G14" s="151"/>
      <c r="H14" s="151"/>
      <c r="I14" s="151"/>
      <c r="J14" s="151"/>
      <c r="K14" s="151"/>
      <c r="L14" s="155"/>
      <c r="M14" s="150"/>
      <c r="N14" s="150"/>
    </row>
    <row r="15" spans="1:14" s="168" customFormat="1" ht="36" customHeight="1">
      <c r="A15" s="189" t="s">
        <v>987</v>
      </c>
      <c r="B15" s="189" t="s">
        <v>988</v>
      </c>
      <c r="C15" s="190" t="s">
        <v>989</v>
      </c>
      <c r="D15" s="190" t="s">
        <v>990</v>
      </c>
      <c r="E15" s="190" t="s">
        <v>978</v>
      </c>
      <c r="F15" s="190" t="s">
        <v>991</v>
      </c>
      <c r="G15" s="190" t="s">
        <v>992</v>
      </c>
      <c r="H15" s="190" t="s">
        <v>993</v>
      </c>
      <c r="I15" s="190" t="s">
        <v>206</v>
      </c>
      <c r="J15" s="190" t="s">
        <v>994</v>
      </c>
      <c r="K15" s="190" t="s">
        <v>995</v>
      </c>
    </row>
    <row r="16" spans="1:14" s="168" customFormat="1" ht="43.5" hidden="1" customHeight="1">
      <c r="A16" s="152"/>
      <c r="B16" s="152"/>
      <c r="C16" s="169"/>
      <c r="D16" s="169"/>
      <c r="E16" s="169"/>
      <c r="F16" s="169"/>
      <c r="G16" s="169"/>
      <c r="H16" s="169"/>
      <c r="I16" s="169"/>
      <c r="J16" s="169"/>
      <c r="K16" s="170"/>
    </row>
    <row r="17" spans="1:14" s="168" customFormat="1" ht="21.75" customHeight="1">
      <c r="A17" s="191" t="e">
        <f>IF(Values_Entered,1,"")</f>
        <v>#REF!</v>
      </c>
      <c r="B17" s="172" t="s">
        <v>996</v>
      </c>
      <c r="C17" s="172" t="e">
        <f t="shared" ref="C17:C80" si="0">IF(Pay_Num&lt;&gt;"",DATE(YEAR(Loan_Start),MONTH(Loan_Start)+(Pay_Num)*12/Num_Pmt_Per_Year,DAY(Loan_Start)),"")</f>
        <v>#REF!</v>
      </c>
      <c r="D17" s="185" t="e">
        <f>IF(Values_Entered,Loan_Amount,"")</f>
        <v>#REF!</v>
      </c>
      <c r="E17" s="185" t="e">
        <f>IF(Pay_Num&lt;&gt;"",Scheduled_Monthly_Payment,"")</f>
        <v>#REF!</v>
      </c>
      <c r="F17" s="174" t="e">
        <f t="shared" ref="F17:F80" si="1">IF(AND(Pay_Num&lt;&gt;"",Sched_Pay+Scheduled_Extra_Payments&lt;Beg_Bal),Scheduled_Extra_Payments,IF(AND(Pay_Num&lt;&gt;"",Beg_Bal-Sched_Pay&gt;0),Beg_Bal-Sched_Pay,IF(Pay_Num&lt;&gt;"",0,"")))</f>
        <v>#REF!</v>
      </c>
      <c r="G17" s="185" t="e">
        <f t="shared" ref="G17:G80" si="2">IF(AND(Pay_Num&lt;&gt;"",Sched_Pay+Extra_Pay&lt;Beg_Bal),Sched_Pay+Extra_Pay,IF(Pay_Num&lt;&gt;"",Beg_Bal,""))</f>
        <v>#REF!</v>
      </c>
      <c r="H17" s="185" t="e">
        <f>IF(Pay_Num&lt;&gt;"",Total_Pay-Int,"")</f>
        <v>#REF!</v>
      </c>
      <c r="I17" s="185" t="e">
        <f>IF(Pay_Num&lt;&gt;"",Beg_Bal*(Interest_Rate/Num_Pmt_Per_Year),"")</f>
        <v>#REF!</v>
      </c>
      <c r="J17" s="185" t="e">
        <f t="shared" ref="J17:J80" si="3">IF(AND(Pay_Num&lt;&gt;"",Sched_Pay+Extra_Pay&lt;Beg_Bal),Beg_Bal-Princ,IF(Pay_Num&lt;&gt;"",0,""))</f>
        <v>#REF!</v>
      </c>
      <c r="K17" s="185" t="e">
        <f>SUM($I$17:$I17)</f>
        <v>#REF!</v>
      </c>
      <c r="M17" s="194"/>
    </row>
    <row r="18" spans="1:14" s="168" customFormat="1" ht="21.75" customHeight="1">
      <c r="A18" s="191" t="e">
        <f t="shared" ref="A18:A81" si="4">IF(Values_Entered,A17+1,"")</f>
        <v>#REF!</v>
      </c>
      <c r="B18" s="172" t="s">
        <v>997</v>
      </c>
      <c r="C18" s="172" t="e">
        <f t="shared" si="0"/>
        <v>#REF!</v>
      </c>
      <c r="D18" s="173" t="e">
        <f t="shared" ref="D18:D81" si="5">IF(Pay_Num&lt;&gt;"",J17,"")</f>
        <v>#REF!</v>
      </c>
      <c r="E18" s="173" t="e">
        <f>IF(Pay_Num&lt;&gt;"",Scheduled_Monthly_Payment,"")</f>
        <v>#REF!</v>
      </c>
      <c r="F18" s="174" t="e">
        <f t="shared" si="1"/>
        <v>#REF!</v>
      </c>
      <c r="G18" s="173" t="e">
        <f t="shared" si="2"/>
        <v>#REF!</v>
      </c>
      <c r="H18" s="173" t="e">
        <f t="shared" ref="H18:H81" si="6">IF(Pay_Num&lt;&gt;"",Total_Pay-Int,"")</f>
        <v>#REF!</v>
      </c>
      <c r="I18" s="173" t="e">
        <f t="shared" ref="I18:I81" si="7">IF(Pay_Num&lt;&gt;"",Beg_Bal*Interest_Rate/Num_Pmt_Per_Year,"")</f>
        <v>#REF!</v>
      </c>
      <c r="J18" s="173" t="e">
        <f t="shared" si="3"/>
        <v>#REF!</v>
      </c>
      <c r="K18" s="173" t="e">
        <f>SUM($I$17:$I18)</f>
        <v>#REF!</v>
      </c>
    </row>
    <row r="19" spans="1:14" s="168" customFormat="1" ht="21.75" customHeight="1">
      <c r="A19" s="191" t="e">
        <f t="shared" si="4"/>
        <v>#REF!</v>
      </c>
      <c r="B19" s="172" t="s">
        <v>998</v>
      </c>
      <c r="C19" s="172" t="e">
        <f t="shared" si="0"/>
        <v>#REF!</v>
      </c>
      <c r="D19" s="173" t="e">
        <f t="shared" si="5"/>
        <v>#REF!</v>
      </c>
      <c r="E19" s="173" t="e">
        <f t="shared" ref="E19:E82" si="8">IF(Pay_Num&lt;&gt;"",Scheduled_Monthly_Payment,"")</f>
        <v>#REF!</v>
      </c>
      <c r="F19" s="174" t="e">
        <f t="shared" si="1"/>
        <v>#REF!</v>
      </c>
      <c r="G19" s="173" t="e">
        <f t="shared" si="2"/>
        <v>#REF!</v>
      </c>
      <c r="H19" s="173" t="e">
        <f t="shared" si="6"/>
        <v>#REF!</v>
      </c>
      <c r="I19" s="173" t="e">
        <f t="shared" si="7"/>
        <v>#REF!</v>
      </c>
      <c r="J19" s="173" t="e">
        <f t="shared" si="3"/>
        <v>#REF!</v>
      </c>
      <c r="K19" s="173" t="e">
        <f>SUM($I$17:$I19)</f>
        <v>#REF!</v>
      </c>
    </row>
    <row r="20" spans="1:14" s="168" customFormat="1" ht="21.75" customHeight="1">
      <c r="A20" s="191" t="e">
        <f t="shared" si="4"/>
        <v>#REF!</v>
      </c>
      <c r="B20" s="172" t="s">
        <v>999</v>
      </c>
      <c r="C20" s="172" t="e">
        <f t="shared" si="0"/>
        <v>#REF!</v>
      </c>
      <c r="D20" s="173" t="e">
        <f t="shared" si="5"/>
        <v>#REF!</v>
      </c>
      <c r="E20" s="173" t="e">
        <f>IF(Pay_Num&lt;&gt;"",Scheduled_Monthly_Payment,"")</f>
        <v>#REF!</v>
      </c>
      <c r="F20" s="174" t="e">
        <f t="shared" si="1"/>
        <v>#REF!</v>
      </c>
      <c r="G20" s="173" t="e">
        <f t="shared" si="2"/>
        <v>#REF!</v>
      </c>
      <c r="H20" s="173" t="e">
        <f t="shared" si="6"/>
        <v>#REF!</v>
      </c>
      <c r="I20" s="173" t="e">
        <f t="shared" si="7"/>
        <v>#REF!</v>
      </c>
      <c r="J20" s="173" t="e">
        <f t="shared" si="3"/>
        <v>#REF!</v>
      </c>
      <c r="K20" s="173" t="e">
        <f>SUM($I$17:$I20)</f>
        <v>#REF!</v>
      </c>
    </row>
    <row r="21" spans="1:14" s="168" customFormat="1" ht="21.75" customHeight="1">
      <c r="A21" s="191" t="e">
        <f t="shared" si="4"/>
        <v>#REF!</v>
      </c>
      <c r="B21" s="172" t="s">
        <v>1000</v>
      </c>
      <c r="C21" s="172" t="e">
        <f t="shared" si="0"/>
        <v>#REF!</v>
      </c>
      <c r="D21" s="173" t="e">
        <f t="shared" si="5"/>
        <v>#REF!</v>
      </c>
      <c r="E21" s="173" t="e">
        <f t="shared" si="8"/>
        <v>#REF!</v>
      </c>
      <c r="F21" s="174" t="e">
        <f t="shared" si="1"/>
        <v>#REF!</v>
      </c>
      <c r="G21" s="173" t="e">
        <f t="shared" si="2"/>
        <v>#REF!</v>
      </c>
      <c r="H21" s="173" t="e">
        <f t="shared" si="6"/>
        <v>#REF!</v>
      </c>
      <c r="I21" s="173" t="e">
        <f t="shared" si="7"/>
        <v>#REF!</v>
      </c>
      <c r="J21" s="173" t="e">
        <f t="shared" si="3"/>
        <v>#REF!</v>
      </c>
      <c r="K21" s="173" t="e">
        <f>SUM($I$17:$I21)</f>
        <v>#REF!</v>
      </c>
    </row>
    <row r="22" spans="1:14" ht="21.75" customHeight="1">
      <c r="A22" s="191" t="e">
        <f t="shared" si="4"/>
        <v>#REF!</v>
      </c>
      <c r="B22" s="172" t="s">
        <v>1001</v>
      </c>
      <c r="C22" s="172" t="e">
        <f t="shared" si="0"/>
        <v>#REF!</v>
      </c>
      <c r="D22" s="173" t="e">
        <f t="shared" si="5"/>
        <v>#REF!</v>
      </c>
      <c r="E22" s="173" t="e">
        <f t="shared" si="8"/>
        <v>#REF!</v>
      </c>
      <c r="F22" s="174" t="e">
        <f t="shared" si="1"/>
        <v>#REF!</v>
      </c>
      <c r="G22" s="173" t="e">
        <f t="shared" si="2"/>
        <v>#REF!</v>
      </c>
      <c r="H22" s="173" t="e">
        <f t="shared" si="6"/>
        <v>#REF!</v>
      </c>
      <c r="I22" s="173" t="e">
        <f t="shared" si="7"/>
        <v>#REF!</v>
      </c>
      <c r="J22" s="173" t="e">
        <f t="shared" si="3"/>
        <v>#REF!</v>
      </c>
      <c r="K22" s="173" t="e">
        <f>SUM($I$17:$I22)</f>
        <v>#REF!</v>
      </c>
      <c r="L22" s="168"/>
      <c r="M22" s="168"/>
      <c r="N22" s="150"/>
    </row>
    <row r="23" spans="1:14" ht="21.75" customHeight="1">
      <c r="A23" s="191" t="e">
        <f t="shared" si="4"/>
        <v>#REF!</v>
      </c>
      <c r="B23" s="172" t="s">
        <v>1002</v>
      </c>
      <c r="C23" s="172" t="e">
        <f t="shared" si="0"/>
        <v>#REF!</v>
      </c>
      <c r="D23" s="173" t="e">
        <f t="shared" si="5"/>
        <v>#REF!</v>
      </c>
      <c r="E23" s="173" t="e">
        <f t="shared" si="8"/>
        <v>#REF!</v>
      </c>
      <c r="F23" s="174" t="e">
        <f t="shared" si="1"/>
        <v>#REF!</v>
      </c>
      <c r="G23" s="173" t="e">
        <f t="shared" si="2"/>
        <v>#REF!</v>
      </c>
      <c r="H23" s="173" t="e">
        <f t="shared" si="6"/>
        <v>#REF!</v>
      </c>
      <c r="I23" s="173" t="e">
        <f t="shared" si="7"/>
        <v>#REF!</v>
      </c>
      <c r="J23" s="173" t="e">
        <f t="shared" si="3"/>
        <v>#REF!</v>
      </c>
      <c r="K23" s="173" t="e">
        <f>SUM($I$17:$I23)</f>
        <v>#REF!</v>
      </c>
      <c r="L23" s="168"/>
      <c r="M23" s="168"/>
      <c r="N23" s="150"/>
    </row>
    <row r="24" spans="1:14" ht="21.75" customHeight="1">
      <c r="A24" s="191" t="e">
        <f t="shared" si="4"/>
        <v>#REF!</v>
      </c>
      <c r="B24" s="172" t="s">
        <v>1003</v>
      </c>
      <c r="C24" s="172" t="e">
        <f t="shared" si="0"/>
        <v>#REF!</v>
      </c>
      <c r="D24" s="173" t="e">
        <f t="shared" si="5"/>
        <v>#REF!</v>
      </c>
      <c r="E24" s="173" t="e">
        <f t="shared" si="8"/>
        <v>#REF!</v>
      </c>
      <c r="F24" s="174" t="e">
        <f t="shared" si="1"/>
        <v>#REF!</v>
      </c>
      <c r="G24" s="173" t="e">
        <f t="shared" si="2"/>
        <v>#REF!</v>
      </c>
      <c r="H24" s="173" t="e">
        <f t="shared" si="6"/>
        <v>#REF!</v>
      </c>
      <c r="I24" s="173" t="e">
        <f t="shared" si="7"/>
        <v>#REF!</v>
      </c>
      <c r="J24" s="173" t="e">
        <f t="shared" si="3"/>
        <v>#REF!</v>
      </c>
      <c r="K24" s="173" t="e">
        <f>SUM($I$17:$I24)</f>
        <v>#REF!</v>
      </c>
      <c r="L24" s="168"/>
      <c r="M24" s="168"/>
      <c r="N24" s="150"/>
    </row>
    <row r="25" spans="1:14" ht="21.75" customHeight="1">
      <c r="A25" s="191" t="e">
        <f t="shared" si="4"/>
        <v>#REF!</v>
      </c>
      <c r="B25" s="172" t="s">
        <v>1004</v>
      </c>
      <c r="C25" s="172" t="e">
        <f t="shared" si="0"/>
        <v>#REF!</v>
      </c>
      <c r="D25" s="173" t="e">
        <f t="shared" si="5"/>
        <v>#REF!</v>
      </c>
      <c r="E25" s="173" t="e">
        <f t="shared" si="8"/>
        <v>#REF!</v>
      </c>
      <c r="F25" s="174" t="e">
        <f t="shared" si="1"/>
        <v>#REF!</v>
      </c>
      <c r="G25" s="173" t="e">
        <f t="shared" si="2"/>
        <v>#REF!</v>
      </c>
      <c r="H25" s="173" t="e">
        <f t="shared" si="6"/>
        <v>#REF!</v>
      </c>
      <c r="I25" s="173" t="e">
        <f t="shared" si="7"/>
        <v>#REF!</v>
      </c>
      <c r="J25" s="173" t="e">
        <f t="shared" si="3"/>
        <v>#REF!</v>
      </c>
      <c r="K25" s="173" t="e">
        <f>SUM($I$17:$I25)</f>
        <v>#REF!</v>
      </c>
      <c r="L25" s="168"/>
      <c r="M25" s="168"/>
      <c r="N25" s="150"/>
    </row>
    <row r="26" spans="1:14" ht="21.75" customHeight="1">
      <c r="A26" s="191" t="e">
        <f t="shared" si="4"/>
        <v>#REF!</v>
      </c>
      <c r="B26" s="172" t="s">
        <v>1005</v>
      </c>
      <c r="C26" s="172" t="e">
        <f t="shared" si="0"/>
        <v>#REF!</v>
      </c>
      <c r="D26" s="173" t="e">
        <f t="shared" si="5"/>
        <v>#REF!</v>
      </c>
      <c r="E26" s="173" t="e">
        <f t="shared" si="8"/>
        <v>#REF!</v>
      </c>
      <c r="F26" s="174" t="e">
        <f t="shared" si="1"/>
        <v>#REF!</v>
      </c>
      <c r="G26" s="173" t="e">
        <f t="shared" si="2"/>
        <v>#REF!</v>
      </c>
      <c r="H26" s="173" t="e">
        <f t="shared" si="6"/>
        <v>#REF!</v>
      </c>
      <c r="I26" s="173" t="e">
        <f t="shared" si="7"/>
        <v>#REF!</v>
      </c>
      <c r="J26" s="173" t="e">
        <f t="shared" si="3"/>
        <v>#REF!</v>
      </c>
      <c r="K26" s="173" t="e">
        <f>SUM($I$17:$I26)</f>
        <v>#REF!</v>
      </c>
      <c r="L26" s="168"/>
      <c r="M26" s="168"/>
      <c r="N26" s="150"/>
    </row>
    <row r="27" spans="1:14" ht="21.75" customHeight="1">
      <c r="A27" s="191" t="e">
        <f t="shared" si="4"/>
        <v>#REF!</v>
      </c>
      <c r="B27" s="172" t="s">
        <v>1006</v>
      </c>
      <c r="C27" s="172" t="e">
        <f t="shared" si="0"/>
        <v>#REF!</v>
      </c>
      <c r="D27" s="173" t="e">
        <f t="shared" si="5"/>
        <v>#REF!</v>
      </c>
      <c r="E27" s="173" t="e">
        <f t="shared" si="8"/>
        <v>#REF!</v>
      </c>
      <c r="F27" s="174" t="e">
        <f t="shared" si="1"/>
        <v>#REF!</v>
      </c>
      <c r="G27" s="173" t="e">
        <f t="shared" si="2"/>
        <v>#REF!</v>
      </c>
      <c r="H27" s="173" t="e">
        <f t="shared" si="6"/>
        <v>#REF!</v>
      </c>
      <c r="I27" s="173" t="e">
        <f t="shared" si="7"/>
        <v>#REF!</v>
      </c>
      <c r="J27" s="173" t="e">
        <f t="shared" si="3"/>
        <v>#REF!</v>
      </c>
      <c r="K27" s="173" t="e">
        <f>SUM($I$17:$I27)</f>
        <v>#REF!</v>
      </c>
      <c r="L27" s="168"/>
      <c r="M27" s="168"/>
      <c r="N27" s="150"/>
    </row>
    <row r="28" spans="1:14" ht="21.75" customHeight="1">
      <c r="A28" s="191" t="e">
        <f t="shared" si="4"/>
        <v>#REF!</v>
      </c>
      <c r="B28" s="172" t="s">
        <v>1007</v>
      </c>
      <c r="C28" s="172" t="e">
        <f t="shared" si="0"/>
        <v>#REF!</v>
      </c>
      <c r="D28" s="173" t="e">
        <f t="shared" si="5"/>
        <v>#REF!</v>
      </c>
      <c r="E28" s="173" t="e">
        <f t="shared" si="8"/>
        <v>#REF!</v>
      </c>
      <c r="F28" s="174" t="e">
        <f t="shared" si="1"/>
        <v>#REF!</v>
      </c>
      <c r="G28" s="173" t="e">
        <f t="shared" si="2"/>
        <v>#REF!</v>
      </c>
      <c r="H28" s="173" t="e">
        <f t="shared" si="6"/>
        <v>#REF!</v>
      </c>
      <c r="I28" s="173" t="e">
        <f t="shared" si="7"/>
        <v>#REF!</v>
      </c>
      <c r="J28" s="173" t="e">
        <f t="shared" si="3"/>
        <v>#REF!</v>
      </c>
      <c r="K28" s="173" t="e">
        <f>SUM($I$17:$I28)</f>
        <v>#REF!</v>
      </c>
      <c r="L28" s="168"/>
      <c r="M28" s="168"/>
      <c r="N28" s="150"/>
    </row>
    <row r="29" spans="1:14" ht="21.75" customHeight="1">
      <c r="A29" s="191" t="e">
        <f t="shared" si="4"/>
        <v>#REF!</v>
      </c>
      <c r="B29" s="172" t="s">
        <v>1008</v>
      </c>
      <c r="C29" s="172" t="e">
        <f t="shared" si="0"/>
        <v>#REF!</v>
      </c>
      <c r="D29" s="173" t="e">
        <f t="shared" si="5"/>
        <v>#REF!</v>
      </c>
      <c r="E29" s="173" t="e">
        <f t="shared" si="8"/>
        <v>#REF!</v>
      </c>
      <c r="F29" s="174" t="e">
        <f t="shared" si="1"/>
        <v>#REF!</v>
      </c>
      <c r="G29" s="173" t="e">
        <f t="shared" si="2"/>
        <v>#REF!</v>
      </c>
      <c r="H29" s="173" t="e">
        <f t="shared" si="6"/>
        <v>#REF!</v>
      </c>
      <c r="I29" s="173" t="e">
        <f t="shared" si="7"/>
        <v>#REF!</v>
      </c>
      <c r="J29" s="173" t="e">
        <f t="shared" si="3"/>
        <v>#REF!</v>
      </c>
      <c r="K29" s="173" t="e">
        <f>SUM($I$17:$I29)</f>
        <v>#REF!</v>
      </c>
      <c r="L29" s="168"/>
      <c r="M29" s="168"/>
      <c r="N29" s="150"/>
    </row>
    <row r="30" spans="1:14" ht="21.75" customHeight="1">
      <c r="A30" s="191" t="e">
        <f t="shared" si="4"/>
        <v>#REF!</v>
      </c>
      <c r="B30" s="172" t="s">
        <v>1009</v>
      </c>
      <c r="C30" s="172" t="e">
        <f t="shared" si="0"/>
        <v>#REF!</v>
      </c>
      <c r="D30" s="173" t="e">
        <f t="shared" si="5"/>
        <v>#REF!</v>
      </c>
      <c r="E30" s="173" t="e">
        <f t="shared" si="8"/>
        <v>#REF!</v>
      </c>
      <c r="F30" s="174" t="e">
        <f t="shared" si="1"/>
        <v>#REF!</v>
      </c>
      <c r="G30" s="173" t="e">
        <f t="shared" si="2"/>
        <v>#REF!</v>
      </c>
      <c r="H30" s="173" t="e">
        <f t="shared" si="6"/>
        <v>#REF!</v>
      </c>
      <c r="I30" s="173" t="e">
        <f t="shared" si="7"/>
        <v>#REF!</v>
      </c>
      <c r="J30" s="173" t="e">
        <f t="shared" si="3"/>
        <v>#REF!</v>
      </c>
      <c r="K30" s="173" t="e">
        <f>SUM($I$17:$I30)</f>
        <v>#REF!</v>
      </c>
      <c r="L30" s="168"/>
      <c r="M30" s="168"/>
      <c r="N30" s="150"/>
    </row>
    <row r="31" spans="1:14" ht="21.75" customHeight="1">
      <c r="A31" s="191" t="e">
        <f t="shared" si="4"/>
        <v>#REF!</v>
      </c>
      <c r="B31" s="172" t="s">
        <v>1010</v>
      </c>
      <c r="C31" s="172" t="e">
        <f t="shared" si="0"/>
        <v>#REF!</v>
      </c>
      <c r="D31" s="173" t="e">
        <f t="shared" si="5"/>
        <v>#REF!</v>
      </c>
      <c r="E31" s="173" t="e">
        <f t="shared" si="8"/>
        <v>#REF!</v>
      </c>
      <c r="F31" s="174" t="e">
        <f t="shared" si="1"/>
        <v>#REF!</v>
      </c>
      <c r="G31" s="173" t="e">
        <f t="shared" si="2"/>
        <v>#REF!</v>
      </c>
      <c r="H31" s="173" t="e">
        <f t="shared" si="6"/>
        <v>#REF!</v>
      </c>
      <c r="I31" s="173" t="e">
        <f t="shared" si="7"/>
        <v>#REF!</v>
      </c>
      <c r="J31" s="173" t="e">
        <f t="shared" si="3"/>
        <v>#REF!</v>
      </c>
      <c r="K31" s="173" t="e">
        <f>SUM($I$17:$I31)</f>
        <v>#REF!</v>
      </c>
      <c r="L31" s="168"/>
      <c r="M31" s="168"/>
      <c r="N31" s="150"/>
    </row>
    <row r="32" spans="1:14" ht="21.75" customHeight="1">
      <c r="A32" s="191" t="e">
        <f t="shared" si="4"/>
        <v>#REF!</v>
      </c>
      <c r="B32" s="172" t="s">
        <v>1011</v>
      </c>
      <c r="C32" s="172" t="e">
        <f t="shared" si="0"/>
        <v>#REF!</v>
      </c>
      <c r="D32" s="173" t="e">
        <f t="shared" si="5"/>
        <v>#REF!</v>
      </c>
      <c r="E32" s="173" t="e">
        <f t="shared" si="8"/>
        <v>#REF!</v>
      </c>
      <c r="F32" s="174" t="e">
        <f t="shared" si="1"/>
        <v>#REF!</v>
      </c>
      <c r="G32" s="173" t="e">
        <f t="shared" si="2"/>
        <v>#REF!</v>
      </c>
      <c r="H32" s="173" t="e">
        <f t="shared" si="6"/>
        <v>#REF!</v>
      </c>
      <c r="I32" s="173" t="e">
        <f t="shared" si="7"/>
        <v>#REF!</v>
      </c>
      <c r="J32" s="173" t="e">
        <f t="shared" si="3"/>
        <v>#REF!</v>
      </c>
      <c r="K32" s="173" t="e">
        <f>SUM($I$17:$I32)</f>
        <v>#REF!</v>
      </c>
      <c r="L32" s="168"/>
      <c r="M32" s="168"/>
      <c r="N32" s="150"/>
    </row>
    <row r="33" spans="1:14" ht="21.75" customHeight="1">
      <c r="A33" s="191" t="e">
        <f t="shared" si="4"/>
        <v>#REF!</v>
      </c>
      <c r="B33" s="172" t="s">
        <v>1012</v>
      </c>
      <c r="C33" s="172" t="e">
        <f t="shared" si="0"/>
        <v>#REF!</v>
      </c>
      <c r="D33" s="173" t="e">
        <f t="shared" si="5"/>
        <v>#REF!</v>
      </c>
      <c r="E33" s="173" t="e">
        <f t="shared" si="8"/>
        <v>#REF!</v>
      </c>
      <c r="F33" s="174" t="e">
        <f t="shared" si="1"/>
        <v>#REF!</v>
      </c>
      <c r="G33" s="173" t="e">
        <f t="shared" si="2"/>
        <v>#REF!</v>
      </c>
      <c r="H33" s="173" t="e">
        <f t="shared" si="6"/>
        <v>#REF!</v>
      </c>
      <c r="I33" s="173" t="e">
        <f t="shared" si="7"/>
        <v>#REF!</v>
      </c>
      <c r="J33" s="173" t="e">
        <f t="shared" si="3"/>
        <v>#REF!</v>
      </c>
      <c r="K33" s="173" t="e">
        <f>SUM($I$17:$I33)</f>
        <v>#REF!</v>
      </c>
      <c r="L33" s="168"/>
      <c r="M33" s="168"/>
      <c r="N33" s="150"/>
    </row>
    <row r="34" spans="1:14" ht="21.75" customHeight="1">
      <c r="A34" s="191" t="e">
        <f t="shared" si="4"/>
        <v>#REF!</v>
      </c>
      <c r="B34" s="172" t="s">
        <v>1013</v>
      </c>
      <c r="C34" s="172" t="e">
        <f t="shared" si="0"/>
        <v>#REF!</v>
      </c>
      <c r="D34" s="173" t="e">
        <f t="shared" si="5"/>
        <v>#REF!</v>
      </c>
      <c r="E34" s="173" t="e">
        <f t="shared" si="8"/>
        <v>#REF!</v>
      </c>
      <c r="F34" s="174" t="e">
        <f t="shared" si="1"/>
        <v>#REF!</v>
      </c>
      <c r="G34" s="173" t="e">
        <f t="shared" si="2"/>
        <v>#REF!</v>
      </c>
      <c r="H34" s="173" t="e">
        <f t="shared" si="6"/>
        <v>#REF!</v>
      </c>
      <c r="I34" s="173" t="e">
        <f t="shared" si="7"/>
        <v>#REF!</v>
      </c>
      <c r="J34" s="173" t="e">
        <f t="shared" si="3"/>
        <v>#REF!</v>
      </c>
      <c r="K34" s="173" t="e">
        <f>SUM($I$17:$I34)</f>
        <v>#REF!</v>
      </c>
      <c r="L34" s="168"/>
      <c r="M34" s="168"/>
      <c r="N34" s="150"/>
    </row>
    <row r="35" spans="1:14" ht="21.75" customHeight="1">
      <c r="A35" s="191" t="e">
        <f t="shared" si="4"/>
        <v>#REF!</v>
      </c>
      <c r="B35" s="172" t="s">
        <v>1014</v>
      </c>
      <c r="C35" s="172" t="e">
        <f t="shared" si="0"/>
        <v>#REF!</v>
      </c>
      <c r="D35" s="173" t="e">
        <f t="shared" si="5"/>
        <v>#REF!</v>
      </c>
      <c r="E35" s="173" t="e">
        <f t="shared" si="8"/>
        <v>#REF!</v>
      </c>
      <c r="F35" s="174" t="e">
        <f t="shared" si="1"/>
        <v>#REF!</v>
      </c>
      <c r="G35" s="173" t="e">
        <f t="shared" si="2"/>
        <v>#REF!</v>
      </c>
      <c r="H35" s="173" t="e">
        <f t="shared" si="6"/>
        <v>#REF!</v>
      </c>
      <c r="I35" s="173" t="e">
        <f t="shared" si="7"/>
        <v>#REF!</v>
      </c>
      <c r="J35" s="173" t="e">
        <f t="shared" si="3"/>
        <v>#REF!</v>
      </c>
      <c r="K35" s="173" t="e">
        <f>SUM($I$17:$I35)</f>
        <v>#REF!</v>
      </c>
      <c r="L35" s="168"/>
      <c r="M35" s="168"/>
      <c r="N35" s="150"/>
    </row>
    <row r="36" spans="1:14" ht="21.75" customHeight="1">
      <c r="A36" s="191" t="e">
        <f t="shared" si="4"/>
        <v>#REF!</v>
      </c>
      <c r="B36" s="172" t="s">
        <v>1015</v>
      </c>
      <c r="C36" s="172" t="e">
        <f t="shared" si="0"/>
        <v>#REF!</v>
      </c>
      <c r="D36" s="173" t="e">
        <f t="shared" si="5"/>
        <v>#REF!</v>
      </c>
      <c r="E36" s="173" t="e">
        <f t="shared" si="8"/>
        <v>#REF!</v>
      </c>
      <c r="F36" s="174" t="e">
        <f t="shared" si="1"/>
        <v>#REF!</v>
      </c>
      <c r="G36" s="173" t="e">
        <f t="shared" si="2"/>
        <v>#REF!</v>
      </c>
      <c r="H36" s="173" t="e">
        <f t="shared" si="6"/>
        <v>#REF!</v>
      </c>
      <c r="I36" s="173" t="e">
        <f t="shared" si="7"/>
        <v>#REF!</v>
      </c>
      <c r="J36" s="173" t="e">
        <f t="shared" si="3"/>
        <v>#REF!</v>
      </c>
      <c r="K36" s="173" t="e">
        <f>SUM($I$17:$I36)</f>
        <v>#REF!</v>
      </c>
      <c r="L36" s="168"/>
      <c r="M36" s="168"/>
      <c r="N36" s="150"/>
    </row>
    <row r="37" spans="1:14" ht="21.75" customHeight="1">
      <c r="A37" s="191" t="e">
        <f t="shared" si="4"/>
        <v>#REF!</v>
      </c>
      <c r="B37" s="172" t="s">
        <v>1016</v>
      </c>
      <c r="C37" s="172" t="e">
        <f t="shared" si="0"/>
        <v>#REF!</v>
      </c>
      <c r="D37" s="173" t="e">
        <f t="shared" si="5"/>
        <v>#REF!</v>
      </c>
      <c r="E37" s="173" t="e">
        <f t="shared" si="8"/>
        <v>#REF!</v>
      </c>
      <c r="F37" s="174" t="e">
        <f t="shared" si="1"/>
        <v>#REF!</v>
      </c>
      <c r="G37" s="173" t="e">
        <f t="shared" si="2"/>
        <v>#REF!</v>
      </c>
      <c r="H37" s="173" t="e">
        <f t="shared" si="6"/>
        <v>#REF!</v>
      </c>
      <c r="I37" s="173" t="e">
        <f t="shared" si="7"/>
        <v>#REF!</v>
      </c>
      <c r="J37" s="173" t="e">
        <f t="shared" si="3"/>
        <v>#REF!</v>
      </c>
      <c r="K37" s="173" t="e">
        <f>SUM($I$17:$I37)</f>
        <v>#REF!</v>
      </c>
      <c r="L37" s="168"/>
      <c r="M37" s="168"/>
      <c r="N37" s="150"/>
    </row>
    <row r="38" spans="1:14" ht="21.75" customHeight="1">
      <c r="A38" s="191" t="e">
        <f t="shared" si="4"/>
        <v>#REF!</v>
      </c>
      <c r="B38" s="172" t="s">
        <v>1017</v>
      </c>
      <c r="C38" s="172" t="e">
        <f t="shared" si="0"/>
        <v>#REF!</v>
      </c>
      <c r="D38" s="173" t="e">
        <f t="shared" si="5"/>
        <v>#REF!</v>
      </c>
      <c r="E38" s="173" t="e">
        <f t="shared" si="8"/>
        <v>#REF!</v>
      </c>
      <c r="F38" s="174" t="e">
        <f t="shared" si="1"/>
        <v>#REF!</v>
      </c>
      <c r="G38" s="173" t="e">
        <f t="shared" si="2"/>
        <v>#REF!</v>
      </c>
      <c r="H38" s="173" t="e">
        <f t="shared" si="6"/>
        <v>#REF!</v>
      </c>
      <c r="I38" s="173" t="e">
        <f t="shared" si="7"/>
        <v>#REF!</v>
      </c>
      <c r="J38" s="173" t="e">
        <f t="shared" si="3"/>
        <v>#REF!</v>
      </c>
      <c r="K38" s="173" t="e">
        <f>SUM($I$17:$I38)</f>
        <v>#REF!</v>
      </c>
      <c r="L38" s="168"/>
      <c r="M38" s="168"/>
      <c r="N38" s="150"/>
    </row>
    <row r="39" spans="1:14" ht="21.75" customHeight="1">
      <c r="A39" s="191" t="e">
        <f t="shared" si="4"/>
        <v>#REF!</v>
      </c>
      <c r="B39" s="172" t="s">
        <v>1018</v>
      </c>
      <c r="C39" s="172" t="e">
        <f t="shared" si="0"/>
        <v>#REF!</v>
      </c>
      <c r="D39" s="173" t="e">
        <f t="shared" si="5"/>
        <v>#REF!</v>
      </c>
      <c r="E39" s="173" t="e">
        <f t="shared" si="8"/>
        <v>#REF!</v>
      </c>
      <c r="F39" s="174" t="e">
        <f t="shared" si="1"/>
        <v>#REF!</v>
      </c>
      <c r="G39" s="173" t="e">
        <f t="shared" si="2"/>
        <v>#REF!</v>
      </c>
      <c r="H39" s="173" t="e">
        <f t="shared" si="6"/>
        <v>#REF!</v>
      </c>
      <c r="I39" s="173" t="e">
        <f t="shared" si="7"/>
        <v>#REF!</v>
      </c>
      <c r="J39" s="173" t="e">
        <f t="shared" si="3"/>
        <v>#REF!</v>
      </c>
      <c r="K39" s="173" t="e">
        <f>SUM($I$17:$I39)</f>
        <v>#REF!</v>
      </c>
      <c r="L39" s="168"/>
      <c r="M39" s="168"/>
      <c r="N39" s="150"/>
    </row>
    <row r="40" spans="1:14" ht="21.75" customHeight="1">
      <c r="A40" s="191" t="e">
        <f t="shared" si="4"/>
        <v>#REF!</v>
      </c>
      <c r="B40" s="172" t="s">
        <v>1019</v>
      </c>
      <c r="C40" s="172" t="e">
        <f t="shared" si="0"/>
        <v>#REF!</v>
      </c>
      <c r="D40" s="173" t="e">
        <f t="shared" si="5"/>
        <v>#REF!</v>
      </c>
      <c r="E40" s="173" t="e">
        <f t="shared" si="8"/>
        <v>#REF!</v>
      </c>
      <c r="F40" s="174" t="e">
        <f t="shared" si="1"/>
        <v>#REF!</v>
      </c>
      <c r="G40" s="173" t="e">
        <f t="shared" si="2"/>
        <v>#REF!</v>
      </c>
      <c r="H40" s="173" t="e">
        <f t="shared" si="6"/>
        <v>#REF!</v>
      </c>
      <c r="I40" s="173" t="e">
        <f t="shared" si="7"/>
        <v>#REF!</v>
      </c>
      <c r="J40" s="173" t="e">
        <f t="shared" si="3"/>
        <v>#REF!</v>
      </c>
      <c r="K40" s="173" t="e">
        <f>SUM($I$17:$I40)</f>
        <v>#REF!</v>
      </c>
      <c r="L40" s="168"/>
      <c r="M40" s="168"/>
      <c r="N40" s="150"/>
    </row>
    <row r="41" spans="1:14" ht="21.75" customHeight="1">
      <c r="A41" s="191" t="e">
        <f t="shared" si="4"/>
        <v>#REF!</v>
      </c>
      <c r="B41" s="172" t="s">
        <v>1020</v>
      </c>
      <c r="C41" s="172" t="e">
        <f t="shared" si="0"/>
        <v>#REF!</v>
      </c>
      <c r="D41" s="173" t="e">
        <f t="shared" si="5"/>
        <v>#REF!</v>
      </c>
      <c r="E41" s="173" t="e">
        <f t="shared" si="8"/>
        <v>#REF!</v>
      </c>
      <c r="F41" s="174" t="e">
        <f t="shared" si="1"/>
        <v>#REF!</v>
      </c>
      <c r="G41" s="173" t="e">
        <f t="shared" si="2"/>
        <v>#REF!</v>
      </c>
      <c r="H41" s="173" t="e">
        <f t="shared" si="6"/>
        <v>#REF!</v>
      </c>
      <c r="I41" s="173" t="e">
        <f t="shared" si="7"/>
        <v>#REF!</v>
      </c>
      <c r="J41" s="173" t="e">
        <f t="shared" si="3"/>
        <v>#REF!</v>
      </c>
      <c r="K41" s="173" t="e">
        <f>SUM($I$17:$I41)</f>
        <v>#REF!</v>
      </c>
      <c r="L41" s="168"/>
      <c r="M41" s="168"/>
      <c r="N41" s="150"/>
    </row>
    <row r="42" spans="1:14" ht="21.75" customHeight="1">
      <c r="A42" s="191" t="e">
        <f t="shared" si="4"/>
        <v>#REF!</v>
      </c>
      <c r="B42" s="172" t="s">
        <v>1021</v>
      </c>
      <c r="C42" s="172" t="e">
        <f t="shared" si="0"/>
        <v>#REF!</v>
      </c>
      <c r="D42" s="173" t="e">
        <f t="shared" si="5"/>
        <v>#REF!</v>
      </c>
      <c r="E42" s="173" t="e">
        <f t="shared" si="8"/>
        <v>#REF!</v>
      </c>
      <c r="F42" s="174" t="e">
        <f t="shared" si="1"/>
        <v>#REF!</v>
      </c>
      <c r="G42" s="173" t="e">
        <f t="shared" si="2"/>
        <v>#REF!</v>
      </c>
      <c r="H42" s="173" t="e">
        <f t="shared" si="6"/>
        <v>#REF!</v>
      </c>
      <c r="I42" s="173" t="e">
        <f t="shared" si="7"/>
        <v>#REF!</v>
      </c>
      <c r="J42" s="173" t="e">
        <f t="shared" si="3"/>
        <v>#REF!</v>
      </c>
      <c r="K42" s="173" t="e">
        <f>SUM($I$17:$I42)</f>
        <v>#REF!</v>
      </c>
      <c r="L42" s="168"/>
      <c r="M42" s="168"/>
      <c r="N42" s="150"/>
    </row>
    <row r="43" spans="1:14" ht="21.75" customHeight="1">
      <c r="A43" s="191" t="e">
        <f t="shared" si="4"/>
        <v>#REF!</v>
      </c>
      <c r="B43" s="172" t="s">
        <v>1022</v>
      </c>
      <c r="C43" s="172" t="e">
        <f t="shared" si="0"/>
        <v>#REF!</v>
      </c>
      <c r="D43" s="173" t="e">
        <f t="shared" si="5"/>
        <v>#REF!</v>
      </c>
      <c r="E43" s="173" t="e">
        <f t="shared" si="8"/>
        <v>#REF!</v>
      </c>
      <c r="F43" s="174" t="e">
        <f t="shared" si="1"/>
        <v>#REF!</v>
      </c>
      <c r="G43" s="173" t="e">
        <f t="shared" si="2"/>
        <v>#REF!</v>
      </c>
      <c r="H43" s="173" t="e">
        <f t="shared" si="6"/>
        <v>#REF!</v>
      </c>
      <c r="I43" s="173" t="e">
        <f t="shared" si="7"/>
        <v>#REF!</v>
      </c>
      <c r="J43" s="173" t="e">
        <f t="shared" si="3"/>
        <v>#REF!</v>
      </c>
      <c r="K43" s="173" t="e">
        <f>SUM($I$17:$I43)</f>
        <v>#REF!</v>
      </c>
      <c r="L43" s="168"/>
      <c r="M43" s="168"/>
      <c r="N43" s="150"/>
    </row>
    <row r="44" spans="1:14" ht="21.75" customHeight="1">
      <c r="A44" s="191" t="e">
        <f t="shared" si="4"/>
        <v>#REF!</v>
      </c>
      <c r="B44" s="172" t="s">
        <v>1023</v>
      </c>
      <c r="C44" s="172" t="e">
        <f t="shared" si="0"/>
        <v>#REF!</v>
      </c>
      <c r="D44" s="173" t="e">
        <f t="shared" si="5"/>
        <v>#REF!</v>
      </c>
      <c r="E44" s="173" t="e">
        <f t="shared" si="8"/>
        <v>#REF!</v>
      </c>
      <c r="F44" s="174" t="e">
        <f t="shared" si="1"/>
        <v>#REF!</v>
      </c>
      <c r="G44" s="173" t="e">
        <f t="shared" si="2"/>
        <v>#REF!</v>
      </c>
      <c r="H44" s="173" t="e">
        <f t="shared" si="6"/>
        <v>#REF!</v>
      </c>
      <c r="I44" s="173" t="e">
        <f t="shared" si="7"/>
        <v>#REF!</v>
      </c>
      <c r="J44" s="173" t="e">
        <f t="shared" si="3"/>
        <v>#REF!</v>
      </c>
      <c r="K44" s="173" t="e">
        <f>SUM($I$17:$I44)</f>
        <v>#REF!</v>
      </c>
      <c r="L44" s="168"/>
      <c r="M44" s="168"/>
      <c r="N44" s="150"/>
    </row>
    <row r="45" spans="1:14" ht="21.75" customHeight="1">
      <c r="A45" s="191" t="e">
        <f t="shared" si="4"/>
        <v>#REF!</v>
      </c>
      <c r="B45" s="172" t="s">
        <v>1024</v>
      </c>
      <c r="C45" s="172" t="e">
        <f t="shared" si="0"/>
        <v>#REF!</v>
      </c>
      <c r="D45" s="173" t="e">
        <f t="shared" si="5"/>
        <v>#REF!</v>
      </c>
      <c r="E45" s="173" t="e">
        <f t="shared" si="8"/>
        <v>#REF!</v>
      </c>
      <c r="F45" s="174" t="e">
        <f t="shared" si="1"/>
        <v>#REF!</v>
      </c>
      <c r="G45" s="173" t="e">
        <f t="shared" si="2"/>
        <v>#REF!</v>
      </c>
      <c r="H45" s="173" t="e">
        <f t="shared" si="6"/>
        <v>#REF!</v>
      </c>
      <c r="I45" s="173" t="e">
        <f t="shared" si="7"/>
        <v>#REF!</v>
      </c>
      <c r="J45" s="173" t="e">
        <f t="shared" si="3"/>
        <v>#REF!</v>
      </c>
      <c r="K45" s="173" t="e">
        <f>SUM($I$17:$I45)</f>
        <v>#REF!</v>
      </c>
      <c r="L45" s="168"/>
      <c r="M45" s="168"/>
      <c r="N45" s="150"/>
    </row>
    <row r="46" spans="1:14" ht="21.75" customHeight="1">
      <c r="A46" s="191" t="e">
        <f t="shared" si="4"/>
        <v>#REF!</v>
      </c>
      <c r="B46" s="172" t="s">
        <v>1025</v>
      </c>
      <c r="C46" s="172" t="e">
        <f t="shared" si="0"/>
        <v>#REF!</v>
      </c>
      <c r="D46" s="173" t="e">
        <f t="shared" si="5"/>
        <v>#REF!</v>
      </c>
      <c r="E46" s="173" t="e">
        <f t="shared" si="8"/>
        <v>#REF!</v>
      </c>
      <c r="F46" s="174" t="e">
        <f t="shared" si="1"/>
        <v>#REF!</v>
      </c>
      <c r="G46" s="173" t="e">
        <f t="shared" si="2"/>
        <v>#REF!</v>
      </c>
      <c r="H46" s="173" t="e">
        <f t="shared" si="6"/>
        <v>#REF!</v>
      </c>
      <c r="I46" s="173" t="e">
        <f t="shared" si="7"/>
        <v>#REF!</v>
      </c>
      <c r="J46" s="173" t="e">
        <f t="shared" si="3"/>
        <v>#REF!</v>
      </c>
      <c r="K46" s="173" t="e">
        <f>SUM($I$17:$I46)</f>
        <v>#REF!</v>
      </c>
      <c r="L46" s="168"/>
      <c r="M46" s="168"/>
      <c r="N46" s="150"/>
    </row>
    <row r="47" spans="1:14" ht="21.75" customHeight="1">
      <c r="A47" s="191" t="e">
        <f t="shared" si="4"/>
        <v>#REF!</v>
      </c>
      <c r="B47" s="172" t="s">
        <v>1026</v>
      </c>
      <c r="C47" s="172" t="e">
        <f t="shared" si="0"/>
        <v>#REF!</v>
      </c>
      <c r="D47" s="173" t="e">
        <f t="shared" si="5"/>
        <v>#REF!</v>
      </c>
      <c r="E47" s="173" t="e">
        <f t="shared" si="8"/>
        <v>#REF!</v>
      </c>
      <c r="F47" s="174" t="e">
        <f t="shared" si="1"/>
        <v>#REF!</v>
      </c>
      <c r="G47" s="173" t="e">
        <f t="shared" si="2"/>
        <v>#REF!</v>
      </c>
      <c r="H47" s="173" t="e">
        <f t="shared" si="6"/>
        <v>#REF!</v>
      </c>
      <c r="I47" s="173" t="e">
        <f t="shared" si="7"/>
        <v>#REF!</v>
      </c>
      <c r="J47" s="173" t="e">
        <f t="shared" si="3"/>
        <v>#REF!</v>
      </c>
      <c r="K47" s="173" t="e">
        <f>SUM($I$17:$I47)</f>
        <v>#REF!</v>
      </c>
      <c r="L47" s="168"/>
      <c r="M47" s="168"/>
      <c r="N47" s="150"/>
    </row>
    <row r="48" spans="1:14" ht="21.75" customHeight="1">
      <c r="A48" s="191" t="e">
        <f t="shared" si="4"/>
        <v>#REF!</v>
      </c>
      <c r="B48" s="172" t="s">
        <v>1027</v>
      </c>
      <c r="C48" s="172" t="e">
        <f t="shared" si="0"/>
        <v>#REF!</v>
      </c>
      <c r="D48" s="173" t="e">
        <f t="shared" si="5"/>
        <v>#REF!</v>
      </c>
      <c r="E48" s="173" t="e">
        <f t="shared" si="8"/>
        <v>#REF!</v>
      </c>
      <c r="F48" s="174" t="e">
        <f t="shared" si="1"/>
        <v>#REF!</v>
      </c>
      <c r="G48" s="173" t="e">
        <f t="shared" si="2"/>
        <v>#REF!</v>
      </c>
      <c r="H48" s="173" t="e">
        <f t="shared" si="6"/>
        <v>#REF!</v>
      </c>
      <c r="I48" s="173" t="e">
        <f t="shared" si="7"/>
        <v>#REF!</v>
      </c>
      <c r="J48" s="173" t="e">
        <f t="shared" si="3"/>
        <v>#REF!</v>
      </c>
      <c r="K48" s="173" t="e">
        <f>SUM($I$17:$I48)</f>
        <v>#REF!</v>
      </c>
      <c r="L48" s="168"/>
      <c r="M48" s="168"/>
      <c r="N48" s="150"/>
    </row>
    <row r="49" spans="1:14" ht="21.75" customHeight="1">
      <c r="A49" s="191" t="e">
        <f t="shared" si="4"/>
        <v>#REF!</v>
      </c>
      <c r="B49" s="172" t="s">
        <v>1028</v>
      </c>
      <c r="C49" s="172" t="e">
        <f t="shared" si="0"/>
        <v>#REF!</v>
      </c>
      <c r="D49" s="173" t="e">
        <f t="shared" si="5"/>
        <v>#REF!</v>
      </c>
      <c r="E49" s="173" t="e">
        <f t="shared" si="8"/>
        <v>#REF!</v>
      </c>
      <c r="F49" s="174" t="e">
        <f t="shared" si="1"/>
        <v>#REF!</v>
      </c>
      <c r="G49" s="173" t="e">
        <f t="shared" si="2"/>
        <v>#REF!</v>
      </c>
      <c r="H49" s="173" t="e">
        <f t="shared" si="6"/>
        <v>#REF!</v>
      </c>
      <c r="I49" s="173" t="e">
        <f t="shared" si="7"/>
        <v>#REF!</v>
      </c>
      <c r="J49" s="173" t="e">
        <f t="shared" si="3"/>
        <v>#REF!</v>
      </c>
      <c r="K49" s="173" t="e">
        <f>SUM($I$17:$I49)</f>
        <v>#REF!</v>
      </c>
      <c r="L49" s="168"/>
      <c r="M49" s="168"/>
      <c r="N49" s="150"/>
    </row>
    <row r="50" spans="1:14" ht="21.75" customHeight="1">
      <c r="A50" s="191" t="e">
        <f t="shared" si="4"/>
        <v>#REF!</v>
      </c>
      <c r="B50" s="172" t="s">
        <v>1029</v>
      </c>
      <c r="C50" s="172" t="e">
        <f t="shared" si="0"/>
        <v>#REF!</v>
      </c>
      <c r="D50" s="173" t="e">
        <f t="shared" si="5"/>
        <v>#REF!</v>
      </c>
      <c r="E50" s="173" t="e">
        <f t="shared" si="8"/>
        <v>#REF!</v>
      </c>
      <c r="F50" s="174" t="e">
        <f t="shared" si="1"/>
        <v>#REF!</v>
      </c>
      <c r="G50" s="173" t="e">
        <f t="shared" si="2"/>
        <v>#REF!</v>
      </c>
      <c r="H50" s="173" t="e">
        <f t="shared" si="6"/>
        <v>#REF!</v>
      </c>
      <c r="I50" s="173" t="e">
        <f t="shared" si="7"/>
        <v>#REF!</v>
      </c>
      <c r="J50" s="173" t="e">
        <f t="shared" si="3"/>
        <v>#REF!</v>
      </c>
      <c r="K50" s="173" t="e">
        <f>SUM($I$17:$I50)</f>
        <v>#REF!</v>
      </c>
      <c r="L50" s="168"/>
      <c r="M50" s="168"/>
      <c r="N50" s="150"/>
    </row>
    <row r="51" spans="1:14" ht="21.75" customHeight="1">
      <c r="A51" s="191" t="e">
        <f t="shared" si="4"/>
        <v>#REF!</v>
      </c>
      <c r="B51" s="172" t="s">
        <v>1030</v>
      </c>
      <c r="C51" s="172" t="e">
        <f t="shared" si="0"/>
        <v>#REF!</v>
      </c>
      <c r="D51" s="173" t="e">
        <f t="shared" si="5"/>
        <v>#REF!</v>
      </c>
      <c r="E51" s="173" t="e">
        <f t="shared" si="8"/>
        <v>#REF!</v>
      </c>
      <c r="F51" s="174" t="e">
        <f t="shared" si="1"/>
        <v>#REF!</v>
      </c>
      <c r="G51" s="173" t="e">
        <f t="shared" si="2"/>
        <v>#REF!</v>
      </c>
      <c r="H51" s="173" t="e">
        <f t="shared" si="6"/>
        <v>#REF!</v>
      </c>
      <c r="I51" s="173" t="e">
        <f t="shared" si="7"/>
        <v>#REF!</v>
      </c>
      <c r="J51" s="173" t="e">
        <f t="shared" si="3"/>
        <v>#REF!</v>
      </c>
      <c r="K51" s="173" t="e">
        <f>SUM($I$17:$I51)</f>
        <v>#REF!</v>
      </c>
      <c r="L51" s="168"/>
      <c r="M51" s="168"/>
      <c r="N51" s="150"/>
    </row>
    <row r="52" spans="1:14" ht="21.75" customHeight="1">
      <c r="A52" s="191" t="e">
        <f t="shared" si="4"/>
        <v>#REF!</v>
      </c>
      <c r="B52" s="172" t="s">
        <v>1031</v>
      </c>
      <c r="C52" s="172" t="e">
        <f t="shared" si="0"/>
        <v>#REF!</v>
      </c>
      <c r="D52" s="173" t="e">
        <f t="shared" si="5"/>
        <v>#REF!</v>
      </c>
      <c r="E52" s="173" t="e">
        <f t="shared" si="8"/>
        <v>#REF!</v>
      </c>
      <c r="F52" s="174" t="e">
        <f t="shared" si="1"/>
        <v>#REF!</v>
      </c>
      <c r="G52" s="173" t="e">
        <f t="shared" si="2"/>
        <v>#REF!</v>
      </c>
      <c r="H52" s="173" t="e">
        <f t="shared" si="6"/>
        <v>#REF!</v>
      </c>
      <c r="I52" s="173" t="e">
        <f t="shared" si="7"/>
        <v>#REF!</v>
      </c>
      <c r="J52" s="173" t="e">
        <f t="shared" si="3"/>
        <v>#REF!</v>
      </c>
      <c r="K52" s="173" t="e">
        <f>SUM($I$17:$I52)</f>
        <v>#REF!</v>
      </c>
      <c r="L52" s="168"/>
      <c r="M52" s="168"/>
      <c r="N52" s="150"/>
    </row>
    <row r="53" spans="1:14" ht="21.75" customHeight="1">
      <c r="A53" s="191" t="e">
        <f t="shared" si="4"/>
        <v>#REF!</v>
      </c>
      <c r="B53" s="172" t="s">
        <v>1032</v>
      </c>
      <c r="C53" s="172" t="e">
        <f t="shared" si="0"/>
        <v>#REF!</v>
      </c>
      <c r="D53" s="173" t="e">
        <f t="shared" si="5"/>
        <v>#REF!</v>
      </c>
      <c r="E53" s="173" t="e">
        <f t="shared" si="8"/>
        <v>#REF!</v>
      </c>
      <c r="F53" s="174" t="e">
        <f t="shared" si="1"/>
        <v>#REF!</v>
      </c>
      <c r="G53" s="173" t="e">
        <f t="shared" si="2"/>
        <v>#REF!</v>
      </c>
      <c r="H53" s="173" t="e">
        <f t="shared" si="6"/>
        <v>#REF!</v>
      </c>
      <c r="I53" s="173" t="e">
        <f t="shared" si="7"/>
        <v>#REF!</v>
      </c>
      <c r="J53" s="173" t="e">
        <f t="shared" si="3"/>
        <v>#REF!</v>
      </c>
      <c r="K53" s="173" t="e">
        <f>SUM($I$17:$I53)</f>
        <v>#REF!</v>
      </c>
      <c r="L53" s="168"/>
      <c r="M53" s="168"/>
      <c r="N53" s="150"/>
    </row>
    <row r="54" spans="1:14" ht="21.75" customHeight="1">
      <c r="A54" s="191" t="e">
        <f t="shared" si="4"/>
        <v>#REF!</v>
      </c>
      <c r="B54" s="172" t="s">
        <v>1033</v>
      </c>
      <c r="C54" s="172" t="e">
        <f t="shared" si="0"/>
        <v>#REF!</v>
      </c>
      <c r="D54" s="173" t="e">
        <f t="shared" si="5"/>
        <v>#REF!</v>
      </c>
      <c r="E54" s="173" t="e">
        <f t="shared" si="8"/>
        <v>#REF!</v>
      </c>
      <c r="F54" s="174" t="e">
        <f t="shared" si="1"/>
        <v>#REF!</v>
      </c>
      <c r="G54" s="173" t="e">
        <f t="shared" si="2"/>
        <v>#REF!</v>
      </c>
      <c r="H54" s="173" t="e">
        <f t="shared" si="6"/>
        <v>#REF!</v>
      </c>
      <c r="I54" s="173" t="e">
        <f t="shared" si="7"/>
        <v>#REF!</v>
      </c>
      <c r="J54" s="173" t="e">
        <f t="shared" si="3"/>
        <v>#REF!</v>
      </c>
      <c r="K54" s="173" t="e">
        <f>SUM($I$17:$I54)</f>
        <v>#REF!</v>
      </c>
      <c r="L54" s="168"/>
      <c r="M54" s="168"/>
      <c r="N54" s="150"/>
    </row>
    <row r="55" spans="1:14" ht="21.75" customHeight="1">
      <c r="A55" s="191" t="e">
        <f t="shared" si="4"/>
        <v>#REF!</v>
      </c>
      <c r="B55" s="172" t="s">
        <v>1034</v>
      </c>
      <c r="C55" s="172" t="e">
        <f t="shared" si="0"/>
        <v>#REF!</v>
      </c>
      <c r="D55" s="173" t="e">
        <f t="shared" si="5"/>
        <v>#REF!</v>
      </c>
      <c r="E55" s="173" t="e">
        <f t="shared" si="8"/>
        <v>#REF!</v>
      </c>
      <c r="F55" s="174" t="e">
        <f t="shared" si="1"/>
        <v>#REF!</v>
      </c>
      <c r="G55" s="173" t="e">
        <f t="shared" si="2"/>
        <v>#REF!</v>
      </c>
      <c r="H55" s="173" t="e">
        <f t="shared" si="6"/>
        <v>#REF!</v>
      </c>
      <c r="I55" s="173" t="e">
        <f t="shared" si="7"/>
        <v>#REF!</v>
      </c>
      <c r="J55" s="173" t="e">
        <f t="shared" si="3"/>
        <v>#REF!</v>
      </c>
      <c r="K55" s="173" t="e">
        <f>SUM($I$17:$I55)</f>
        <v>#REF!</v>
      </c>
      <c r="L55" s="168"/>
      <c r="M55" s="168"/>
      <c r="N55" s="150"/>
    </row>
    <row r="56" spans="1:14" ht="21.75" customHeight="1">
      <c r="A56" s="191" t="e">
        <f t="shared" si="4"/>
        <v>#REF!</v>
      </c>
      <c r="B56" s="172" t="s">
        <v>1035</v>
      </c>
      <c r="C56" s="172" t="e">
        <f t="shared" si="0"/>
        <v>#REF!</v>
      </c>
      <c r="D56" s="173" t="e">
        <f t="shared" si="5"/>
        <v>#REF!</v>
      </c>
      <c r="E56" s="173" t="e">
        <f t="shared" si="8"/>
        <v>#REF!</v>
      </c>
      <c r="F56" s="174" t="e">
        <f t="shared" si="1"/>
        <v>#REF!</v>
      </c>
      <c r="G56" s="173" t="e">
        <f t="shared" si="2"/>
        <v>#REF!</v>
      </c>
      <c r="H56" s="173" t="e">
        <f t="shared" si="6"/>
        <v>#REF!</v>
      </c>
      <c r="I56" s="173" t="e">
        <f t="shared" si="7"/>
        <v>#REF!</v>
      </c>
      <c r="J56" s="173" t="e">
        <f t="shared" si="3"/>
        <v>#REF!</v>
      </c>
      <c r="K56" s="173" t="e">
        <f>SUM($I$17:$I56)</f>
        <v>#REF!</v>
      </c>
      <c r="L56" s="168"/>
      <c r="M56" s="168"/>
      <c r="N56" s="150"/>
    </row>
    <row r="57" spans="1:14" ht="21.75" customHeight="1">
      <c r="A57" s="191" t="e">
        <f t="shared" si="4"/>
        <v>#REF!</v>
      </c>
      <c r="B57" s="172" t="s">
        <v>1036</v>
      </c>
      <c r="C57" s="172" t="e">
        <f t="shared" si="0"/>
        <v>#REF!</v>
      </c>
      <c r="D57" s="173" t="e">
        <f t="shared" si="5"/>
        <v>#REF!</v>
      </c>
      <c r="E57" s="173" t="e">
        <f t="shared" si="8"/>
        <v>#REF!</v>
      </c>
      <c r="F57" s="174" t="e">
        <f t="shared" si="1"/>
        <v>#REF!</v>
      </c>
      <c r="G57" s="173" t="e">
        <f t="shared" si="2"/>
        <v>#REF!</v>
      </c>
      <c r="H57" s="173" t="e">
        <f t="shared" si="6"/>
        <v>#REF!</v>
      </c>
      <c r="I57" s="173" t="e">
        <f t="shared" si="7"/>
        <v>#REF!</v>
      </c>
      <c r="J57" s="173" t="e">
        <f t="shared" si="3"/>
        <v>#REF!</v>
      </c>
      <c r="K57" s="173" t="e">
        <f>SUM($I$17:$I57)</f>
        <v>#REF!</v>
      </c>
      <c r="L57" s="168"/>
      <c r="M57" s="168"/>
      <c r="N57" s="150"/>
    </row>
    <row r="58" spans="1:14" ht="21.75" customHeight="1">
      <c r="A58" s="191" t="e">
        <f t="shared" si="4"/>
        <v>#REF!</v>
      </c>
      <c r="B58" s="172" t="s">
        <v>1037</v>
      </c>
      <c r="C58" s="172" t="e">
        <f t="shared" si="0"/>
        <v>#REF!</v>
      </c>
      <c r="D58" s="173" t="e">
        <f t="shared" si="5"/>
        <v>#REF!</v>
      </c>
      <c r="E58" s="173" t="e">
        <f t="shared" si="8"/>
        <v>#REF!</v>
      </c>
      <c r="F58" s="174" t="e">
        <f t="shared" si="1"/>
        <v>#REF!</v>
      </c>
      <c r="G58" s="173" t="e">
        <f t="shared" si="2"/>
        <v>#REF!</v>
      </c>
      <c r="H58" s="173" t="e">
        <f t="shared" si="6"/>
        <v>#REF!</v>
      </c>
      <c r="I58" s="173" t="e">
        <f t="shared" si="7"/>
        <v>#REF!</v>
      </c>
      <c r="J58" s="173" t="e">
        <f t="shared" si="3"/>
        <v>#REF!</v>
      </c>
      <c r="K58" s="173" t="e">
        <f>SUM($I$17:$I58)</f>
        <v>#REF!</v>
      </c>
      <c r="L58" s="168"/>
      <c r="M58" s="168"/>
      <c r="N58" s="150"/>
    </row>
    <row r="59" spans="1:14" s="180" customFormat="1" ht="21.75" customHeight="1">
      <c r="A59" s="192" t="e">
        <f t="shared" si="4"/>
        <v>#REF!</v>
      </c>
      <c r="B59" s="172" t="s">
        <v>1038</v>
      </c>
      <c r="C59" s="176" t="e">
        <f t="shared" si="0"/>
        <v>#REF!</v>
      </c>
      <c r="D59" s="177" t="e">
        <f t="shared" si="5"/>
        <v>#REF!</v>
      </c>
      <c r="E59" s="177" t="e">
        <f t="shared" si="8"/>
        <v>#REF!</v>
      </c>
      <c r="F59" s="178" t="e">
        <f t="shared" si="1"/>
        <v>#REF!</v>
      </c>
      <c r="G59" s="177" t="e">
        <f t="shared" si="2"/>
        <v>#REF!</v>
      </c>
      <c r="H59" s="177" t="e">
        <f t="shared" si="6"/>
        <v>#REF!</v>
      </c>
      <c r="I59" s="177" t="e">
        <f t="shared" si="7"/>
        <v>#REF!</v>
      </c>
      <c r="J59" s="177" t="e">
        <f t="shared" si="3"/>
        <v>#REF!</v>
      </c>
      <c r="K59" s="177" t="e">
        <f>SUM($I$17:$I59)</f>
        <v>#REF!</v>
      </c>
      <c r="L59" s="179"/>
      <c r="M59" s="179"/>
    </row>
    <row r="60" spans="1:14" s="180" customFormat="1" ht="21.75" customHeight="1">
      <c r="A60" s="192" t="e">
        <f t="shared" si="4"/>
        <v>#REF!</v>
      </c>
      <c r="B60" s="172" t="s">
        <v>1039</v>
      </c>
      <c r="C60" s="176" t="e">
        <f t="shared" si="0"/>
        <v>#REF!</v>
      </c>
      <c r="D60" s="177" t="e">
        <f t="shared" si="5"/>
        <v>#REF!</v>
      </c>
      <c r="E60" s="177" t="e">
        <f t="shared" si="8"/>
        <v>#REF!</v>
      </c>
      <c r="F60" s="178" t="e">
        <f t="shared" si="1"/>
        <v>#REF!</v>
      </c>
      <c r="G60" s="177" t="e">
        <f t="shared" si="2"/>
        <v>#REF!</v>
      </c>
      <c r="H60" s="177" t="e">
        <f t="shared" si="6"/>
        <v>#REF!</v>
      </c>
      <c r="I60" s="177" t="e">
        <f t="shared" si="7"/>
        <v>#REF!</v>
      </c>
      <c r="J60" s="177" t="e">
        <f t="shared" si="3"/>
        <v>#REF!</v>
      </c>
      <c r="K60" s="177" t="e">
        <f>SUM($I$17:$I60)</f>
        <v>#REF!</v>
      </c>
      <c r="L60" s="179"/>
      <c r="M60" s="179"/>
    </row>
    <row r="61" spans="1:14" s="180" customFormat="1" ht="21.75" customHeight="1">
      <c r="A61" s="192" t="e">
        <f t="shared" si="4"/>
        <v>#REF!</v>
      </c>
      <c r="B61" s="172" t="s">
        <v>1040</v>
      </c>
      <c r="C61" s="176" t="e">
        <f t="shared" si="0"/>
        <v>#REF!</v>
      </c>
      <c r="D61" s="177" t="e">
        <f t="shared" si="5"/>
        <v>#REF!</v>
      </c>
      <c r="E61" s="177" t="e">
        <f t="shared" si="8"/>
        <v>#REF!</v>
      </c>
      <c r="F61" s="178" t="e">
        <f t="shared" si="1"/>
        <v>#REF!</v>
      </c>
      <c r="G61" s="177" t="e">
        <f t="shared" si="2"/>
        <v>#REF!</v>
      </c>
      <c r="H61" s="177" t="e">
        <f t="shared" si="6"/>
        <v>#REF!</v>
      </c>
      <c r="I61" s="177" t="e">
        <f t="shared" si="7"/>
        <v>#REF!</v>
      </c>
      <c r="J61" s="177" t="e">
        <f t="shared" si="3"/>
        <v>#REF!</v>
      </c>
      <c r="K61" s="177" t="e">
        <f>SUM($I$17:$I61)</f>
        <v>#REF!</v>
      </c>
      <c r="L61" s="179"/>
      <c r="M61" s="179"/>
    </row>
    <row r="62" spans="1:14" s="180" customFormat="1" ht="21.75" customHeight="1">
      <c r="A62" s="192" t="e">
        <f t="shared" si="4"/>
        <v>#REF!</v>
      </c>
      <c r="B62" s="172" t="s">
        <v>1041</v>
      </c>
      <c r="C62" s="176" t="e">
        <f t="shared" si="0"/>
        <v>#REF!</v>
      </c>
      <c r="D62" s="177" t="e">
        <f t="shared" si="5"/>
        <v>#REF!</v>
      </c>
      <c r="E62" s="177" t="e">
        <f t="shared" si="8"/>
        <v>#REF!</v>
      </c>
      <c r="F62" s="178" t="e">
        <f t="shared" si="1"/>
        <v>#REF!</v>
      </c>
      <c r="G62" s="177" t="e">
        <f t="shared" si="2"/>
        <v>#REF!</v>
      </c>
      <c r="H62" s="177" t="e">
        <f t="shared" si="6"/>
        <v>#REF!</v>
      </c>
      <c r="I62" s="177" t="e">
        <f t="shared" si="7"/>
        <v>#REF!</v>
      </c>
      <c r="J62" s="177" t="e">
        <f t="shared" si="3"/>
        <v>#REF!</v>
      </c>
      <c r="K62" s="177" t="e">
        <f>SUM($I$17:$I62)</f>
        <v>#REF!</v>
      </c>
      <c r="L62" s="179"/>
      <c r="M62" s="179"/>
    </row>
    <row r="63" spans="1:14" s="180" customFormat="1" ht="21.75" customHeight="1">
      <c r="A63" s="192" t="e">
        <f t="shared" si="4"/>
        <v>#REF!</v>
      </c>
      <c r="B63" s="172" t="s">
        <v>1042</v>
      </c>
      <c r="C63" s="176" t="e">
        <f t="shared" si="0"/>
        <v>#REF!</v>
      </c>
      <c r="D63" s="177" t="e">
        <f t="shared" si="5"/>
        <v>#REF!</v>
      </c>
      <c r="E63" s="177" t="e">
        <f t="shared" si="8"/>
        <v>#REF!</v>
      </c>
      <c r="F63" s="178" t="e">
        <f t="shared" si="1"/>
        <v>#REF!</v>
      </c>
      <c r="G63" s="177" t="e">
        <f t="shared" si="2"/>
        <v>#REF!</v>
      </c>
      <c r="H63" s="177" t="e">
        <f t="shared" si="6"/>
        <v>#REF!</v>
      </c>
      <c r="I63" s="177" t="e">
        <f t="shared" si="7"/>
        <v>#REF!</v>
      </c>
      <c r="J63" s="177" t="e">
        <f t="shared" si="3"/>
        <v>#REF!</v>
      </c>
      <c r="K63" s="177" t="e">
        <f>SUM($I$17:$I63)</f>
        <v>#REF!</v>
      </c>
      <c r="L63" s="179"/>
      <c r="M63" s="179"/>
    </row>
    <row r="64" spans="1:14" s="180" customFormat="1" ht="21.75" customHeight="1">
      <c r="A64" s="192" t="e">
        <f t="shared" si="4"/>
        <v>#REF!</v>
      </c>
      <c r="B64" s="172" t="s">
        <v>1043</v>
      </c>
      <c r="C64" s="176" t="e">
        <f t="shared" si="0"/>
        <v>#REF!</v>
      </c>
      <c r="D64" s="177" t="e">
        <f t="shared" si="5"/>
        <v>#REF!</v>
      </c>
      <c r="E64" s="177" t="e">
        <f t="shared" si="8"/>
        <v>#REF!</v>
      </c>
      <c r="F64" s="178" t="e">
        <f t="shared" si="1"/>
        <v>#REF!</v>
      </c>
      <c r="G64" s="177" t="e">
        <f t="shared" si="2"/>
        <v>#REF!</v>
      </c>
      <c r="H64" s="177" t="e">
        <f t="shared" si="6"/>
        <v>#REF!</v>
      </c>
      <c r="I64" s="177" t="e">
        <f t="shared" si="7"/>
        <v>#REF!</v>
      </c>
      <c r="J64" s="177" t="e">
        <f t="shared" si="3"/>
        <v>#REF!</v>
      </c>
      <c r="K64" s="177" t="e">
        <f>SUM($I$17:$I64)</f>
        <v>#REF!</v>
      </c>
      <c r="L64" s="179"/>
      <c r="M64" s="179"/>
    </row>
    <row r="65" spans="1:13" s="180" customFormat="1" ht="21.75" customHeight="1">
      <c r="A65" s="192" t="e">
        <f t="shared" si="4"/>
        <v>#REF!</v>
      </c>
      <c r="B65" s="172" t="s">
        <v>1044</v>
      </c>
      <c r="C65" s="176" t="e">
        <f t="shared" si="0"/>
        <v>#REF!</v>
      </c>
      <c r="D65" s="177" t="e">
        <f t="shared" si="5"/>
        <v>#REF!</v>
      </c>
      <c r="E65" s="177" t="e">
        <f t="shared" si="8"/>
        <v>#REF!</v>
      </c>
      <c r="F65" s="178" t="e">
        <f t="shared" si="1"/>
        <v>#REF!</v>
      </c>
      <c r="G65" s="177" t="e">
        <f t="shared" si="2"/>
        <v>#REF!</v>
      </c>
      <c r="H65" s="177" t="e">
        <f t="shared" si="6"/>
        <v>#REF!</v>
      </c>
      <c r="I65" s="177" t="e">
        <f t="shared" si="7"/>
        <v>#REF!</v>
      </c>
      <c r="J65" s="177" t="e">
        <f t="shared" si="3"/>
        <v>#REF!</v>
      </c>
      <c r="K65" s="177" t="e">
        <f>SUM($I$17:$I65)</f>
        <v>#REF!</v>
      </c>
      <c r="L65" s="179"/>
      <c r="M65" s="179"/>
    </row>
    <row r="66" spans="1:13" s="180" customFormat="1" ht="21.75" customHeight="1">
      <c r="A66" s="192" t="e">
        <f t="shared" si="4"/>
        <v>#REF!</v>
      </c>
      <c r="B66" s="172" t="s">
        <v>1045</v>
      </c>
      <c r="C66" s="176" t="e">
        <f t="shared" si="0"/>
        <v>#REF!</v>
      </c>
      <c r="D66" s="177" t="e">
        <f t="shared" si="5"/>
        <v>#REF!</v>
      </c>
      <c r="E66" s="177" t="e">
        <f t="shared" si="8"/>
        <v>#REF!</v>
      </c>
      <c r="F66" s="178" t="e">
        <f t="shared" si="1"/>
        <v>#REF!</v>
      </c>
      <c r="G66" s="177" t="e">
        <f t="shared" si="2"/>
        <v>#REF!</v>
      </c>
      <c r="H66" s="177" t="e">
        <f t="shared" si="6"/>
        <v>#REF!</v>
      </c>
      <c r="I66" s="177" t="e">
        <f t="shared" si="7"/>
        <v>#REF!</v>
      </c>
      <c r="J66" s="177" t="e">
        <f t="shared" si="3"/>
        <v>#REF!</v>
      </c>
      <c r="K66" s="177" t="e">
        <f>SUM($I$17:$I66)</f>
        <v>#REF!</v>
      </c>
      <c r="L66" s="179"/>
      <c r="M66" s="179"/>
    </row>
    <row r="67" spans="1:13" s="180" customFormat="1" ht="21.75" customHeight="1">
      <c r="A67" s="192" t="e">
        <f t="shared" si="4"/>
        <v>#REF!</v>
      </c>
      <c r="B67" s="172" t="s">
        <v>1046</v>
      </c>
      <c r="C67" s="176" t="e">
        <f t="shared" si="0"/>
        <v>#REF!</v>
      </c>
      <c r="D67" s="177" t="e">
        <f t="shared" si="5"/>
        <v>#REF!</v>
      </c>
      <c r="E67" s="177" t="e">
        <f t="shared" si="8"/>
        <v>#REF!</v>
      </c>
      <c r="F67" s="178" t="e">
        <f t="shared" si="1"/>
        <v>#REF!</v>
      </c>
      <c r="G67" s="177" t="e">
        <f t="shared" si="2"/>
        <v>#REF!</v>
      </c>
      <c r="H67" s="177" t="e">
        <f t="shared" si="6"/>
        <v>#REF!</v>
      </c>
      <c r="I67" s="177" t="e">
        <f t="shared" si="7"/>
        <v>#REF!</v>
      </c>
      <c r="J67" s="177" t="e">
        <f t="shared" si="3"/>
        <v>#REF!</v>
      </c>
      <c r="K67" s="177" t="e">
        <f>SUM($I$17:$I67)</f>
        <v>#REF!</v>
      </c>
      <c r="L67" s="179"/>
      <c r="M67" s="179"/>
    </row>
    <row r="68" spans="1:13" s="180" customFormat="1" ht="21.75" customHeight="1">
      <c r="A68" s="192" t="e">
        <f t="shared" si="4"/>
        <v>#REF!</v>
      </c>
      <c r="B68" s="172" t="s">
        <v>1047</v>
      </c>
      <c r="C68" s="176" t="e">
        <f t="shared" si="0"/>
        <v>#REF!</v>
      </c>
      <c r="D68" s="177" t="e">
        <f t="shared" si="5"/>
        <v>#REF!</v>
      </c>
      <c r="E68" s="177" t="e">
        <f t="shared" si="8"/>
        <v>#REF!</v>
      </c>
      <c r="F68" s="178" t="e">
        <f t="shared" si="1"/>
        <v>#REF!</v>
      </c>
      <c r="G68" s="177" t="e">
        <f t="shared" si="2"/>
        <v>#REF!</v>
      </c>
      <c r="H68" s="177" t="e">
        <f t="shared" si="6"/>
        <v>#REF!</v>
      </c>
      <c r="I68" s="177" t="e">
        <f t="shared" si="7"/>
        <v>#REF!</v>
      </c>
      <c r="J68" s="177" t="e">
        <f t="shared" si="3"/>
        <v>#REF!</v>
      </c>
      <c r="K68" s="177" t="e">
        <f>SUM($I$17:$I68)</f>
        <v>#REF!</v>
      </c>
      <c r="L68" s="179"/>
      <c r="M68" s="179"/>
    </row>
    <row r="69" spans="1:13" s="180" customFormat="1" ht="21.75" customHeight="1">
      <c r="A69" s="192" t="e">
        <f t="shared" si="4"/>
        <v>#REF!</v>
      </c>
      <c r="B69" s="172" t="s">
        <v>1048</v>
      </c>
      <c r="C69" s="176" t="e">
        <f t="shared" si="0"/>
        <v>#REF!</v>
      </c>
      <c r="D69" s="177" t="e">
        <f t="shared" si="5"/>
        <v>#REF!</v>
      </c>
      <c r="E69" s="177" t="e">
        <f t="shared" si="8"/>
        <v>#REF!</v>
      </c>
      <c r="F69" s="178" t="e">
        <f t="shared" si="1"/>
        <v>#REF!</v>
      </c>
      <c r="G69" s="177" t="e">
        <f t="shared" si="2"/>
        <v>#REF!</v>
      </c>
      <c r="H69" s="177" t="e">
        <f t="shared" si="6"/>
        <v>#REF!</v>
      </c>
      <c r="I69" s="177" t="e">
        <f t="shared" si="7"/>
        <v>#REF!</v>
      </c>
      <c r="J69" s="177" t="e">
        <f t="shared" si="3"/>
        <v>#REF!</v>
      </c>
      <c r="K69" s="177" t="e">
        <f>SUM($I$17:$I69)</f>
        <v>#REF!</v>
      </c>
      <c r="L69" s="179"/>
      <c r="M69" s="179"/>
    </row>
    <row r="70" spans="1:13" s="180" customFormat="1" ht="21.75" customHeight="1">
      <c r="A70" s="192" t="e">
        <f t="shared" si="4"/>
        <v>#REF!</v>
      </c>
      <c r="B70" s="172" t="s">
        <v>1049</v>
      </c>
      <c r="C70" s="176" t="e">
        <f t="shared" si="0"/>
        <v>#REF!</v>
      </c>
      <c r="D70" s="177" t="e">
        <f t="shared" si="5"/>
        <v>#REF!</v>
      </c>
      <c r="E70" s="177" t="e">
        <f t="shared" si="8"/>
        <v>#REF!</v>
      </c>
      <c r="F70" s="178" t="e">
        <f t="shared" si="1"/>
        <v>#REF!</v>
      </c>
      <c r="G70" s="177" t="e">
        <f t="shared" si="2"/>
        <v>#REF!</v>
      </c>
      <c r="H70" s="177" t="e">
        <f t="shared" si="6"/>
        <v>#REF!</v>
      </c>
      <c r="I70" s="177" t="e">
        <f t="shared" si="7"/>
        <v>#REF!</v>
      </c>
      <c r="J70" s="177" t="e">
        <f t="shared" si="3"/>
        <v>#REF!</v>
      </c>
      <c r="K70" s="177" t="e">
        <f>SUM($I$17:$I70)</f>
        <v>#REF!</v>
      </c>
      <c r="L70" s="179"/>
      <c r="M70" s="179"/>
    </row>
    <row r="71" spans="1:13" s="180" customFormat="1" ht="21.75" customHeight="1">
      <c r="A71" s="192" t="e">
        <f t="shared" si="4"/>
        <v>#REF!</v>
      </c>
      <c r="B71" s="172" t="s">
        <v>1050</v>
      </c>
      <c r="C71" s="176" t="e">
        <f t="shared" si="0"/>
        <v>#REF!</v>
      </c>
      <c r="D71" s="177" t="e">
        <f t="shared" si="5"/>
        <v>#REF!</v>
      </c>
      <c r="E71" s="177" t="e">
        <f t="shared" si="8"/>
        <v>#REF!</v>
      </c>
      <c r="F71" s="178" t="e">
        <f t="shared" si="1"/>
        <v>#REF!</v>
      </c>
      <c r="G71" s="177" t="e">
        <f t="shared" si="2"/>
        <v>#REF!</v>
      </c>
      <c r="H71" s="177" t="e">
        <f t="shared" si="6"/>
        <v>#REF!</v>
      </c>
      <c r="I71" s="177" t="e">
        <f t="shared" si="7"/>
        <v>#REF!</v>
      </c>
      <c r="J71" s="177" t="e">
        <f t="shared" si="3"/>
        <v>#REF!</v>
      </c>
      <c r="K71" s="177" t="e">
        <f>SUM($I$17:$I71)</f>
        <v>#REF!</v>
      </c>
      <c r="L71" s="179"/>
      <c r="M71" s="179"/>
    </row>
    <row r="72" spans="1:13" s="180" customFormat="1" ht="21.75" customHeight="1">
      <c r="A72" s="192" t="e">
        <f t="shared" si="4"/>
        <v>#REF!</v>
      </c>
      <c r="B72" s="172" t="s">
        <v>1051</v>
      </c>
      <c r="C72" s="176" t="e">
        <f t="shared" si="0"/>
        <v>#REF!</v>
      </c>
      <c r="D72" s="177" t="e">
        <f t="shared" si="5"/>
        <v>#REF!</v>
      </c>
      <c r="E72" s="177" t="e">
        <f t="shared" si="8"/>
        <v>#REF!</v>
      </c>
      <c r="F72" s="178" t="e">
        <f t="shared" si="1"/>
        <v>#REF!</v>
      </c>
      <c r="G72" s="177" t="e">
        <f t="shared" si="2"/>
        <v>#REF!</v>
      </c>
      <c r="H72" s="177" t="e">
        <f t="shared" si="6"/>
        <v>#REF!</v>
      </c>
      <c r="I72" s="177" t="e">
        <f t="shared" si="7"/>
        <v>#REF!</v>
      </c>
      <c r="J72" s="177" t="e">
        <f t="shared" si="3"/>
        <v>#REF!</v>
      </c>
      <c r="K72" s="177" t="e">
        <f>SUM($I$17:$I72)</f>
        <v>#REF!</v>
      </c>
      <c r="L72" s="179"/>
      <c r="M72" s="179"/>
    </row>
    <row r="73" spans="1:13" s="180" customFormat="1" ht="21.75" customHeight="1">
      <c r="A73" s="192" t="e">
        <f t="shared" si="4"/>
        <v>#REF!</v>
      </c>
      <c r="B73" s="172" t="s">
        <v>1052</v>
      </c>
      <c r="C73" s="176" t="e">
        <f t="shared" si="0"/>
        <v>#REF!</v>
      </c>
      <c r="D73" s="177" t="e">
        <f t="shared" si="5"/>
        <v>#REF!</v>
      </c>
      <c r="E73" s="177" t="e">
        <f t="shared" si="8"/>
        <v>#REF!</v>
      </c>
      <c r="F73" s="178" t="e">
        <f t="shared" si="1"/>
        <v>#REF!</v>
      </c>
      <c r="G73" s="177" t="e">
        <f t="shared" si="2"/>
        <v>#REF!</v>
      </c>
      <c r="H73" s="177" t="e">
        <f t="shared" si="6"/>
        <v>#REF!</v>
      </c>
      <c r="I73" s="177" t="e">
        <f t="shared" si="7"/>
        <v>#REF!</v>
      </c>
      <c r="J73" s="177" t="e">
        <f t="shared" si="3"/>
        <v>#REF!</v>
      </c>
      <c r="K73" s="177" t="e">
        <f>SUM($I$17:$I73)</f>
        <v>#REF!</v>
      </c>
      <c r="L73" s="179"/>
      <c r="M73" s="179"/>
    </row>
    <row r="74" spans="1:13" s="180" customFormat="1" ht="21.75" customHeight="1">
      <c r="A74" s="192" t="e">
        <f t="shared" si="4"/>
        <v>#REF!</v>
      </c>
      <c r="B74" s="172" t="s">
        <v>1053</v>
      </c>
      <c r="C74" s="176" t="e">
        <f t="shared" si="0"/>
        <v>#REF!</v>
      </c>
      <c r="D74" s="177" t="e">
        <f t="shared" si="5"/>
        <v>#REF!</v>
      </c>
      <c r="E74" s="177" t="e">
        <f t="shared" si="8"/>
        <v>#REF!</v>
      </c>
      <c r="F74" s="178" t="e">
        <f t="shared" si="1"/>
        <v>#REF!</v>
      </c>
      <c r="G74" s="177" t="e">
        <f t="shared" si="2"/>
        <v>#REF!</v>
      </c>
      <c r="H74" s="177" t="e">
        <f t="shared" si="6"/>
        <v>#REF!</v>
      </c>
      <c r="I74" s="177" t="e">
        <f t="shared" si="7"/>
        <v>#REF!</v>
      </c>
      <c r="J74" s="177" t="e">
        <f t="shared" si="3"/>
        <v>#REF!</v>
      </c>
      <c r="K74" s="177" t="e">
        <f>SUM($I$17:$I74)</f>
        <v>#REF!</v>
      </c>
      <c r="L74" s="179"/>
      <c r="M74" s="179"/>
    </row>
    <row r="75" spans="1:13" s="180" customFormat="1" ht="21.75" customHeight="1">
      <c r="A75" s="192" t="e">
        <f t="shared" si="4"/>
        <v>#REF!</v>
      </c>
      <c r="B75" s="172" t="s">
        <v>1054</v>
      </c>
      <c r="C75" s="176" t="e">
        <f t="shared" si="0"/>
        <v>#REF!</v>
      </c>
      <c r="D75" s="177" t="e">
        <f t="shared" si="5"/>
        <v>#REF!</v>
      </c>
      <c r="E75" s="177" t="e">
        <f t="shared" si="8"/>
        <v>#REF!</v>
      </c>
      <c r="F75" s="178" t="e">
        <f t="shared" si="1"/>
        <v>#REF!</v>
      </c>
      <c r="G75" s="177" t="e">
        <f t="shared" si="2"/>
        <v>#REF!</v>
      </c>
      <c r="H75" s="177" t="e">
        <f t="shared" si="6"/>
        <v>#REF!</v>
      </c>
      <c r="I75" s="177" t="e">
        <f t="shared" si="7"/>
        <v>#REF!</v>
      </c>
      <c r="J75" s="177" t="e">
        <f t="shared" si="3"/>
        <v>#REF!</v>
      </c>
      <c r="K75" s="177" t="e">
        <f>SUM($I$17:$I75)</f>
        <v>#REF!</v>
      </c>
      <c r="L75" s="179"/>
      <c r="M75" s="179"/>
    </row>
    <row r="76" spans="1:13" s="180" customFormat="1" ht="21.75" customHeight="1">
      <c r="A76" s="192" t="e">
        <f t="shared" si="4"/>
        <v>#REF!</v>
      </c>
      <c r="B76" s="172" t="s">
        <v>1055</v>
      </c>
      <c r="C76" s="176" t="e">
        <f t="shared" si="0"/>
        <v>#REF!</v>
      </c>
      <c r="D76" s="177" t="e">
        <f t="shared" si="5"/>
        <v>#REF!</v>
      </c>
      <c r="E76" s="177" t="e">
        <f t="shared" si="8"/>
        <v>#REF!</v>
      </c>
      <c r="F76" s="178" t="e">
        <f t="shared" si="1"/>
        <v>#REF!</v>
      </c>
      <c r="G76" s="177" t="e">
        <f t="shared" si="2"/>
        <v>#REF!</v>
      </c>
      <c r="H76" s="177" t="e">
        <f t="shared" si="6"/>
        <v>#REF!</v>
      </c>
      <c r="I76" s="177" t="e">
        <f t="shared" si="7"/>
        <v>#REF!</v>
      </c>
      <c r="J76" s="177" t="e">
        <f t="shared" si="3"/>
        <v>#REF!</v>
      </c>
      <c r="K76" s="177" t="e">
        <f>SUM($I$17:$I76)</f>
        <v>#REF!</v>
      </c>
      <c r="L76" s="179"/>
      <c r="M76" s="179"/>
    </row>
    <row r="77" spans="1:13" s="180" customFormat="1" ht="21.75" customHeight="1">
      <c r="A77" s="192" t="e">
        <f t="shared" si="4"/>
        <v>#REF!</v>
      </c>
      <c r="B77" s="175"/>
      <c r="C77" s="176" t="e">
        <f t="shared" si="0"/>
        <v>#REF!</v>
      </c>
      <c r="D77" s="177" t="e">
        <f t="shared" si="5"/>
        <v>#REF!</v>
      </c>
      <c r="E77" s="177" t="e">
        <f t="shared" si="8"/>
        <v>#REF!</v>
      </c>
      <c r="F77" s="178" t="e">
        <f t="shared" si="1"/>
        <v>#REF!</v>
      </c>
      <c r="G77" s="177" t="e">
        <f t="shared" si="2"/>
        <v>#REF!</v>
      </c>
      <c r="H77" s="177" t="e">
        <f t="shared" si="6"/>
        <v>#REF!</v>
      </c>
      <c r="I77" s="177" t="e">
        <f t="shared" si="7"/>
        <v>#REF!</v>
      </c>
      <c r="J77" s="177" t="e">
        <f t="shared" si="3"/>
        <v>#REF!</v>
      </c>
      <c r="K77" s="177" t="e">
        <f>SUM($I$17:$I77)</f>
        <v>#REF!</v>
      </c>
      <c r="L77" s="179"/>
      <c r="M77" s="179"/>
    </row>
    <row r="78" spans="1:13" s="180" customFormat="1" ht="21.75" customHeight="1">
      <c r="A78" s="192" t="e">
        <f t="shared" si="4"/>
        <v>#REF!</v>
      </c>
      <c r="B78" s="175"/>
      <c r="C78" s="176" t="e">
        <f t="shared" si="0"/>
        <v>#REF!</v>
      </c>
      <c r="D78" s="177" t="e">
        <f t="shared" si="5"/>
        <v>#REF!</v>
      </c>
      <c r="E78" s="177" t="e">
        <f t="shared" si="8"/>
        <v>#REF!</v>
      </c>
      <c r="F78" s="178" t="e">
        <f t="shared" si="1"/>
        <v>#REF!</v>
      </c>
      <c r="G78" s="177" t="e">
        <f t="shared" si="2"/>
        <v>#REF!</v>
      </c>
      <c r="H78" s="177" t="e">
        <f t="shared" si="6"/>
        <v>#REF!</v>
      </c>
      <c r="I78" s="177" t="e">
        <f t="shared" si="7"/>
        <v>#REF!</v>
      </c>
      <c r="J78" s="177" t="e">
        <f t="shared" si="3"/>
        <v>#REF!</v>
      </c>
      <c r="K78" s="177" t="e">
        <f>SUM($I$17:$I78)</f>
        <v>#REF!</v>
      </c>
      <c r="L78" s="179"/>
      <c r="M78" s="179"/>
    </row>
    <row r="79" spans="1:13" s="180" customFormat="1" ht="21.75" customHeight="1">
      <c r="A79" s="192" t="e">
        <f t="shared" si="4"/>
        <v>#REF!</v>
      </c>
      <c r="B79" s="175"/>
      <c r="C79" s="176" t="e">
        <f t="shared" si="0"/>
        <v>#REF!</v>
      </c>
      <c r="D79" s="177" t="e">
        <f t="shared" si="5"/>
        <v>#REF!</v>
      </c>
      <c r="E79" s="177" t="e">
        <f t="shared" si="8"/>
        <v>#REF!</v>
      </c>
      <c r="F79" s="178" t="e">
        <f t="shared" si="1"/>
        <v>#REF!</v>
      </c>
      <c r="G79" s="177" t="e">
        <f t="shared" si="2"/>
        <v>#REF!</v>
      </c>
      <c r="H79" s="177" t="e">
        <f t="shared" si="6"/>
        <v>#REF!</v>
      </c>
      <c r="I79" s="177" t="e">
        <f t="shared" si="7"/>
        <v>#REF!</v>
      </c>
      <c r="J79" s="177" t="e">
        <f t="shared" si="3"/>
        <v>#REF!</v>
      </c>
      <c r="K79" s="177" t="e">
        <f>SUM($I$17:$I79)</f>
        <v>#REF!</v>
      </c>
      <c r="L79" s="179"/>
      <c r="M79" s="179"/>
    </row>
    <row r="80" spans="1:13" s="180" customFormat="1" ht="21.75" customHeight="1">
      <c r="A80" s="192" t="e">
        <f t="shared" si="4"/>
        <v>#REF!</v>
      </c>
      <c r="B80" s="175"/>
      <c r="C80" s="176" t="e">
        <f t="shared" si="0"/>
        <v>#REF!</v>
      </c>
      <c r="D80" s="177" t="e">
        <f t="shared" si="5"/>
        <v>#REF!</v>
      </c>
      <c r="E80" s="177" t="e">
        <f t="shared" si="8"/>
        <v>#REF!</v>
      </c>
      <c r="F80" s="178" t="e">
        <f t="shared" si="1"/>
        <v>#REF!</v>
      </c>
      <c r="G80" s="177" t="e">
        <f t="shared" si="2"/>
        <v>#REF!</v>
      </c>
      <c r="H80" s="177" t="e">
        <f t="shared" si="6"/>
        <v>#REF!</v>
      </c>
      <c r="I80" s="177" t="e">
        <f t="shared" si="7"/>
        <v>#REF!</v>
      </c>
      <c r="J80" s="177" t="e">
        <f t="shared" si="3"/>
        <v>#REF!</v>
      </c>
      <c r="K80" s="177" t="e">
        <f>SUM($I$17:$I80)</f>
        <v>#REF!</v>
      </c>
      <c r="L80" s="179"/>
      <c r="M80" s="179"/>
    </row>
    <row r="81" spans="1:13" s="180" customFormat="1" ht="21.75" customHeight="1">
      <c r="A81" s="192" t="e">
        <f t="shared" si="4"/>
        <v>#REF!</v>
      </c>
      <c r="B81" s="175"/>
      <c r="C81" s="176" t="e">
        <f t="shared" ref="C81:C144" si="9">IF(Pay_Num&lt;&gt;"",DATE(YEAR(Loan_Start),MONTH(Loan_Start)+(Pay_Num)*12/Num_Pmt_Per_Year,DAY(Loan_Start)),"")</f>
        <v>#REF!</v>
      </c>
      <c r="D81" s="177" t="e">
        <f t="shared" si="5"/>
        <v>#REF!</v>
      </c>
      <c r="E81" s="177" t="e">
        <f t="shared" si="8"/>
        <v>#REF!</v>
      </c>
      <c r="F81" s="178" t="e">
        <f t="shared" ref="F81:F144" si="10">IF(AND(Pay_Num&lt;&gt;"",Sched_Pay+Scheduled_Extra_Payments&lt;Beg_Bal),Scheduled_Extra_Payments,IF(AND(Pay_Num&lt;&gt;"",Beg_Bal-Sched_Pay&gt;0),Beg_Bal-Sched_Pay,IF(Pay_Num&lt;&gt;"",0,"")))</f>
        <v>#REF!</v>
      </c>
      <c r="G81" s="177" t="e">
        <f t="shared" ref="G81:G144" si="11">IF(AND(Pay_Num&lt;&gt;"",Sched_Pay+Extra_Pay&lt;Beg_Bal),Sched_Pay+Extra_Pay,IF(Pay_Num&lt;&gt;"",Beg_Bal,""))</f>
        <v>#REF!</v>
      </c>
      <c r="H81" s="177" t="e">
        <f t="shared" si="6"/>
        <v>#REF!</v>
      </c>
      <c r="I81" s="177" t="e">
        <f t="shared" si="7"/>
        <v>#REF!</v>
      </c>
      <c r="J81" s="177" t="e">
        <f t="shared" ref="J81:J144" si="12">IF(AND(Pay_Num&lt;&gt;"",Sched_Pay+Extra_Pay&lt;Beg_Bal),Beg_Bal-Princ,IF(Pay_Num&lt;&gt;"",0,""))</f>
        <v>#REF!</v>
      </c>
      <c r="K81" s="177" t="e">
        <f>SUM($I$17:$I81)</f>
        <v>#REF!</v>
      </c>
      <c r="L81" s="179"/>
      <c r="M81" s="179"/>
    </row>
    <row r="82" spans="1:13" s="180" customFormat="1" ht="21.75" customHeight="1">
      <c r="A82" s="192" t="e">
        <f t="shared" ref="A82:A145" si="13">IF(Values_Entered,A81+1,"")</f>
        <v>#REF!</v>
      </c>
      <c r="B82" s="175"/>
      <c r="C82" s="176" t="e">
        <f t="shared" si="9"/>
        <v>#REF!</v>
      </c>
      <c r="D82" s="177" t="e">
        <f t="shared" ref="D82:D145" si="14">IF(Pay_Num&lt;&gt;"",J81,"")</f>
        <v>#REF!</v>
      </c>
      <c r="E82" s="177" t="e">
        <f t="shared" si="8"/>
        <v>#REF!</v>
      </c>
      <c r="F82" s="178" t="e">
        <f t="shared" si="10"/>
        <v>#REF!</v>
      </c>
      <c r="G82" s="177" t="e">
        <f t="shared" si="11"/>
        <v>#REF!</v>
      </c>
      <c r="H82" s="177" t="e">
        <f t="shared" ref="H82:H145" si="15">IF(Pay_Num&lt;&gt;"",Total_Pay-Int,"")</f>
        <v>#REF!</v>
      </c>
      <c r="I82" s="177" t="e">
        <f t="shared" ref="I82:I145" si="16">IF(Pay_Num&lt;&gt;"",Beg_Bal*Interest_Rate/Num_Pmt_Per_Year,"")</f>
        <v>#REF!</v>
      </c>
      <c r="J82" s="177" t="e">
        <f t="shared" si="12"/>
        <v>#REF!</v>
      </c>
      <c r="K82" s="177" t="e">
        <f>SUM($I$17:$I82)</f>
        <v>#REF!</v>
      </c>
      <c r="L82" s="179"/>
      <c r="M82" s="179"/>
    </row>
    <row r="83" spans="1:13" s="180" customFormat="1" ht="21.75" customHeight="1">
      <c r="A83" s="192" t="e">
        <f t="shared" si="13"/>
        <v>#REF!</v>
      </c>
      <c r="B83" s="175"/>
      <c r="C83" s="176" t="e">
        <f t="shared" si="9"/>
        <v>#REF!</v>
      </c>
      <c r="D83" s="177" t="e">
        <f t="shared" si="14"/>
        <v>#REF!</v>
      </c>
      <c r="E83" s="177" t="e">
        <f t="shared" ref="E83:E146" si="17">IF(Pay_Num&lt;&gt;"",Scheduled_Monthly_Payment,"")</f>
        <v>#REF!</v>
      </c>
      <c r="F83" s="178" t="e">
        <f t="shared" si="10"/>
        <v>#REF!</v>
      </c>
      <c r="G83" s="177" t="e">
        <f t="shared" si="11"/>
        <v>#REF!</v>
      </c>
      <c r="H83" s="177" t="e">
        <f t="shared" si="15"/>
        <v>#REF!</v>
      </c>
      <c r="I83" s="177" t="e">
        <f t="shared" si="16"/>
        <v>#REF!</v>
      </c>
      <c r="J83" s="177" t="e">
        <f t="shared" si="12"/>
        <v>#REF!</v>
      </c>
      <c r="K83" s="177" t="e">
        <f>SUM($I$17:$I83)</f>
        <v>#REF!</v>
      </c>
      <c r="L83" s="179"/>
      <c r="M83" s="179"/>
    </row>
    <row r="84" spans="1:13" s="180" customFormat="1" ht="21.75" customHeight="1">
      <c r="A84" s="192" t="e">
        <f t="shared" si="13"/>
        <v>#REF!</v>
      </c>
      <c r="B84" s="175"/>
      <c r="C84" s="176" t="e">
        <f t="shared" si="9"/>
        <v>#REF!</v>
      </c>
      <c r="D84" s="177" t="e">
        <f t="shared" si="14"/>
        <v>#REF!</v>
      </c>
      <c r="E84" s="177" t="e">
        <f t="shared" si="17"/>
        <v>#REF!</v>
      </c>
      <c r="F84" s="178" t="e">
        <f t="shared" si="10"/>
        <v>#REF!</v>
      </c>
      <c r="G84" s="177" t="e">
        <f t="shared" si="11"/>
        <v>#REF!</v>
      </c>
      <c r="H84" s="177" t="e">
        <f t="shared" si="15"/>
        <v>#REF!</v>
      </c>
      <c r="I84" s="177" t="e">
        <f t="shared" si="16"/>
        <v>#REF!</v>
      </c>
      <c r="J84" s="177" t="e">
        <f t="shared" si="12"/>
        <v>#REF!</v>
      </c>
      <c r="K84" s="177" t="e">
        <f>SUM($I$17:$I84)</f>
        <v>#REF!</v>
      </c>
      <c r="L84" s="179"/>
      <c r="M84" s="179"/>
    </row>
    <row r="85" spans="1:13" s="180" customFormat="1" ht="21.75" customHeight="1">
      <c r="A85" s="192" t="e">
        <f t="shared" si="13"/>
        <v>#REF!</v>
      </c>
      <c r="B85" s="175"/>
      <c r="C85" s="176" t="e">
        <f t="shared" si="9"/>
        <v>#REF!</v>
      </c>
      <c r="D85" s="177" t="e">
        <f t="shared" si="14"/>
        <v>#REF!</v>
      </c>
      <c r="E85" s="177" t="e">
        <f t="shared" si="17"/>
        <v>#REF!</v>
      </c>
      <c r="F85" s="178" t="e">
        <f t="shared" si="10"/>
        <v>#REF!</v>
      </c>
      <c r="G85" s="177" t="e">
        <f t="shared" si="11"/>
        <v>#REF!</v>
      </c>
      <c r="H85" s="177" t="e">
        <f t="shared" si="15"/>
        <v>#REF!</v>
      </c>
      <c r="I85" s="177" t="e">
        <f t="shared" si="16"/>
        <v>#REF!</v>
      </c>
      <c r="J85" s="177" t="e">
        <f t="shared" si="12"/>
        <v>#REF!</v>
      </c>
      <c r="K85" s="177" t="e">
        <f>SUM($I$17:$I85)</f>
        <v>#REF!</v>
      </c>
      <c r="L85" s="179"/>
      <c r="M85" s="179"/>
    </row>
    <row r="86" spans="1:13" s="180" customFormat="1" ht="21.75" customHeight="1">
      <c r="A86" s="192" t="e">
        <f t="shared" si="13"/>
        <v>#REF!</v>
      </c>
      <c r="B86" s="175"/>
      <c r="C86" s="176" t="e">
        <f t="shared" si="9"/>
        <v>#REF!</v>
      </c>
      <c r="D86" s="177" t="e">
        <f t="shared" si="14"/>
        <v>#REF!</v>
      </c>
      <c r="E86" s="177" t="e">
        <f t="shared" si="17"/>
        <v>#REF!</v>
      </c>
      <c r="F86" s="178" t="e">
        <f t="shared" si="10"/>
        <v>#REF!</v>
      </c>
      <c r="G86" s="177" t="e">
        <f t="shared" si="11"/>
        <v>#REF!</v>
      </c>
      <c r="H86" s="177" t="e">
        <f t="shared" si="15"/>
        <v>#REF!</v>
      </c>
      <c r="I86" s="177" t="e">
        <f t="shared" si="16"/>
        <v>#REF!</v>
      </c>
      <c r="J86" s="177" t="e">
        <f t="shared" si="12"/>
        <v>#REF!</v>
      </c>
      <c r="K86" s="177" t="e">
        <f>SUM($I$17:$I86)</f>
        <v>#REF!</v>
      </c>
      <c r="L86" s="179"/>
      <c r="M86" s="179"/>
    </row>
    <row r="87" spans="1:13" s="180" customFormat="1" ht="21.75" customHeight="1">
      <c r="A87" s="192" t="e">
        <f t="shared" si="13"/>
        <v>#REF!</v>
      </c>
      <c r="B87" s="175"/>
      <c r="C87" s="176" t="e">
        <f t="shared" si="9"/>
        <v>#REF!</v>
      </c>
      <c r="D87" s="177" t="e">
        <f t="shared" si="14"/>
        <v>#REF!</v>
      </c>
      <c r="E87" s="177" t="e">
        <f t="shared" si="17"/>
        <v>#REF!</v>
      </c>
      <c r="F87" s="178" t="e">
        <f t="shared" si="10"/>
        <v>#REF!</v>
      </c>
      <c r="G87" s="177" t="e">
        <f t="shared" si="11"/>
        <v>#REF!</v>
      </c>
      <c r="H87" s="177" t="e">
        <f t="shared" si="15"/>
        <v>#REF!</v>
      </c>
      <c r="I87" s="177" t="e">
        <f t="shared" si="16"/>
        <v>#REF!</v>
      </c>
      <c r="J87" s="177" t="e">
        <f t="shared" si="12"/>
        <v>#REF!</v>
      </c>
      <c r="K87" s="177" t="e">
        <f>SUM($I$17:$I87)</f>
        <v>#REF!</v>
      </c>
      <c r="L87" s="179"/>
      <c r="M87" s="179"/>
    </row>
    <row r="88" spans="1:13" s="180" customFormat="1" ht="21.75" customHeight="1">
      <c r="A88" s="192" t="e">
        <f t="shared" si="13"/>
        <v>#REF!</v>
      </c>
      <c r="B88" s="175"/>
      <c r="C88" s="176" t="e">
        <f t="shared" si="9"/>
        <v>#REF!</v>
      </c>
      <c r="D88" s="177" t="e">
        <f t="shared" si="14"/>
        <v>#REF!</v>
      </c>
      <c r="E88" s="177" t="e">
        <f t="shared" si="17"/>
        <v>#REF!</v>
      </c>
      <c r="F88" s="178" t="e">
        <f t="shared" si="10"/>
        <v>#REF!</v>
      </c>
      <c r="G88" s="177" t="e">
        <f t="shared" si="11"/>
        <v>#REF!</v>
      </c>
      <c r="H88" s="177" t="e">
        <f t="shared" si="15"/>
        <v>#REF!</v>
      </c>
      <c r="I88" s="177" t="e">
        <f t="shared" si="16"/>
        <v>#REF!</v>
      </c>
      <c r="J88" s="177" t="e">
        <f t="shared" si="12"/>
        <v>#REF!</v>
      </c>
      <c r="K88" s="177" t="e">
        <f>SUM($I$17:$I88)</f>
        <v>#REF!</v>
      </c>
      <c r="L88" s="179"/>
      <c r="M88" s="179"/>
    </row>
    <row r="89" spans="1:13" s="180" customFormat="1" ht="21.75" customHeight="1">
      <c r="A89" s="192" t="e">
        <f t="shared" si="13"/>
        <v>#REF!</v>
      </c>
      <c r="B89" s="175"/>
      <c r="C89" s="176" t="e">
        <f t="shared" si="9"/>
        <v>#REF!</v>
      </c>
      <c r="D89" s="177" t="e">
        <f t="shared" si="14"/>
        <v>#REF!</v>
      </c>
      <c r="E89" s="177" t="e">
        <f t="shared" si="17"/>
        <v>#REF!</v>
      </c>
      <c r="F89" s="178" t="e">
        <f t="shared" si="10"/>
        <v>#REF!</v>
      </c>
      <c r="G89" s="177" t="e">
        <f t="shared" si="11"/>
        <v>#REF!</v>
      </c>
      <c r="H89" s="177" t="e">
        <f t="shared" si="15"/>
        <v>#REF!</v>
      </c>
      <c r="I89" s="177" t="e">
        <f t="shared" si="16"/>
        <v>#REF!</v>
      </c>
      <c r="J89" s="177" t="e">
        <f t="shared" si="12"/>
        <v>#REF!</v>
      </c>
      <c r="K89" s="177" t="e">
        <f>SUM($I$17:$I89)</f>
        <v>#REF!</v>
      </c>
      <c r="L89" s="179"/>
      <c r="M89" s="179"/>
    </row>
    <row r="90" spans="1:13" s="180" customFormat="1" ht="21.75" customHeight="1">
      <c r="A90" s="192" t="e">
        <f t="shared" si="13"/>
        <v>#REF!</v>
      </c>
      <c r="B90" s="175"/>
      <c r="C90" s="176" t="e">
        <f t="shared" si="9"/>
        <v>#REF!</v>
      </c>
      <c r="D90" s="177" t="e">
        <f t="shared" si="14"/>
        <v>#REF!</v>
      </c>
      <c r="E90" s="177" t="e">
        <f t="shared" si="17"/>
        <v>#REF!</v>
      </c>
      <c r="F90" s="178" t="e">
        <f t="shared" si="10"/>
        <v>#REF!</v>
      </c>
      <c r="G90" s="177" t="e">
        <f t="shared" si="11"/>
        <v>#REF!</v>
      </c>
      <c r="H90" s="177" t="e">
        <f t="shared" si="15"/>
        <v>#REF!</v>
      </c>
      <c r="I90" s="177" t="e">
        <f t="shared" si="16"/>
        <v>#REF!</v>
      </c>
      <c r="J90" s="177" t="e">
        <f t="shared" si="12"/>
        <v>#REF!</v>
      </c>
      <c r="K90" s="177" t="e">
        <f>SUM($I$17:$I90)</f>
        <v>#REF!</v>
      </c>
      <c r="L90" s="179"/>
      <c r="M90" s="179"/>
    </row>
    <row r="91" spans="1:13" s="180" customFormat="1" ht="21.75" customHeight="1">
      <c r="A91" s="192" t="e">
        <f t="shared" si="13"/>
        <v>#REF!</v>
      </c>
      <c r="B91" s="175"/>
      <c r="C91" s="176" t="e">
        <f t="shared" si="9"/>
        <v>#REF!</v>
      </c>
      <c r="D91" s="177" t="e">
        <f t="shared" si="14"/>
        <v>#REF!</v>
      </c>
      <c r="E91" s="177" t="e">
        <f t="shared" si="17"/>
        <v>#REF!</v>
      </c>
      <c r="F91" s="178" t="e">
        <f t="shared" si="10"/>
        <v>#REF!</v>
      </c>
      <c r="G91" s="177" t="e">
        <f t="shared" si="11"/>
        <v>#REF!</v>
      </c>
      <c r="H91" s="177" t="e">
        <f t="shared" si="15"/>
        <v>#REF!</v>
      </c>
      <c r="I91" s="177" t="e">
        <f t="shared" si="16"/>
        <v>#REF!</v>
      </c>
      <c r="J91" s="177" t="e">
        <f t="shared" si="12"/>
        <v>#REF!</v>
      </c>
      <c r="K91" s="177" t="e">
        <f>SUM($I$17:$I91)</f>
        <v>#REF!</v>
      </c>
      <c r="L91" s="179"/>
      <c r="M91" s="179"/>
    </row>
    <row r="92" spans="1:13" s="180" customFormat="1" ht="21.75" customHeight="1">
      <c r="A92" s="192" t="e">
        <f t="shared" si="13"/>
        <v>#REF!</v>
      </c>
      <c r="B92" s="175"/>
      <c r="C92" s="176" t="e">
        <f t="shared" si="9"/>
        <v>#REF!</v>
      </c>
      <c r="D92" s="177" t="e">
        <f t="shared" si="14"/>
        <v>#REF!</v>
      </c>
      <c r="E92" s="177" t="e">
        <f t="shared" si="17"/>
        <v>#REF!</v>
      </c>
      <c r="F92" s="178" t="e">
        <f t="shared" si="10"/>
        <v>#REF!</v>
      </c>
      <c r="G92" s="177" t="e">
        <f t="shared" si="11"/>
        <v>#REF!</v>
      </c>
      <c r="H92" s="177" t="e">
        <f t="shared" si="15"/>
        <v>#REF!</v>
      </c>
      <c r="I92" s="177" t="e">
        <f t="shared" si="16"/>
        <v>#REF!</v>
      </c>
      <c r="J92" s="177" t="e">
        <f t="shared" si="12"/>
        <v>#REF!</v>
      </c>
      <c r="K92" s="177" t="e">
        <f>SUM($I$17:$I92)</f>
        <v>#REF!</v>
      </c>
      <c r="L92" s="179"/>
      <c r="M92" s="179"/>
    </row>
    <row r="93" spans="1:13" s="180" customFormat="1" ht="21.75" customHeight="1">
      <c r="A93" s="192" t="e">
        <f t="shared" si="13"/>
        <v>#REF!</v>
      </c>
      <c r="B93" s="175"/>
      <c r="C93" s="176" t="e">
        <f t="shared" si="9"/>
        <v>#REF!</v>
      </c>
      <c r="D93" s="177" t="e">
        <f t="shared" si="14"/>
        <v>#REF!</v>
      </c>
      <c r="E93" s="177" t="e">
        <f t="shared" si="17"/>
        <v>#REF!</v>
      </c>
      <c r="F93" s="178" t="e">
        <f t="shared" si="10"/>
        <v>#REF!</v>
      </c>
      <c r="G93" s="177" t="e">
        <f t="shared" si="11"/>
        <v>#REF!</v>
      </c>
      <c r="H93" s="177" t="e">
        <f t="shared" si="15"/>
        <v>#REF!</v>
      </c>
      <c r="I93" s="177" t="e">
        <f t="shared" si="16"/>
        <v>#REF!</v>
      </c>
      <c r="J93" s="177" t="e">
        <f t="shared" si="12"/>
        <v>#REF!</v>
      </c>
      <c r="K93" s="177" t="e">
        <f>SUM($I$17:$I93)</f>
        <v>#REF!</v>
      </c>
      <c r="L93" s="179"/>
      <c r="M93" s="179"/>
    </row>
    <row r="94" spans="1:13" s="180" customFormat="1" ht="21.75" customHeight="1">
      <c r="A94" s="192" t="e">
        <f t="shared" si="13"/>
        <v>#REF!</v>
      </c>
      <c r="B94" s="175"/>
      <c r="C94" s="176" t="e">
        <f t="shared" si="9"/>
        <v>#REF!</v>
      </c>
      <c r="D94" s="177" t="e">
        <f t="shared" si="14"/>
        <v>#REF!</v>
      </c>
      <c r="E94" s="177" t="e">
        <f t="shared" si="17"/>
        <v>#REF!</v>
      </c>
      <c r="F94" s="178" t="e">
        <f t="shared" si="10"/>
        <v>#REF!</v>
      </c>
      <c r="G94" s="177" t="e">
        <f t="shared" si="11"/>
        <v>#REF!</v>
      </c>
      <c r="H94" s="177" t="e">
        <f t="shared" si="15"/>
        <v>#REF!</v>
      </c>
      <c r="I94" s="177" t="e">
        <f t="shared" si="16"/>
        <v>#REF!</v>
      </c>
      <c r="J94" s="177" t="e">
        <f t="shared" si="12"/>
        <v>#REF!</v>
      </c>
      <c r="K94" s="177" t="e">
        <f>SUM($I$17:$I94)</f>
        <v>#REF!</v>
      </c>
      <c r="L94" s="179"/>
      <c r="M94" s="179"/>
    </row>
    <row r="95" spans="1:13" s="180" customFormat="1" ht="21.75" customHeight="1">
      <c r="A95" s="192" t="e">
        <f t="shared" si="13"/>
        <v>#REF!</v>
      </c>
      <c r="B95" s="175"/>
      <c r="C95" s="176" t="e">
        <f t="shared" si="9"/>
        <v>#REF!</v>
      </c>
      <c r="D95" s="177" t="e">
        <f t="shared" si="14"/>
        <v>#REF!</v>
      </c>
      <c r="E95" s="177" t="e">
        <f t="shared" si="17"/>
        <v>#REF!</v>
      </c>
      <c r="F95" s="178" t="e">
        <f t="shared" si="10"/>
        <v>#REF!</v>
      </c>
      <c r="G95" s="177" t="e">
        <f t="shared" si="11"/>
        <v>#REF!</v>
      </c>
      <c r="H95" s="177" t="e">
        <f t="shared" si="15"/>
        <v>#REF!</v>
      </c>
      <c r="I95" s="177" t="e">
        <f t="shared" si="16"/>
        <v>#REF!</v>
      </c>
      <c r="J95" s="177" t="e">
        <f t="shared" si="12"/>
        <v>#REF!</v>
      </c>
      <c r="K95" s="177" t="e">
        <f>SUM($I$17:$I95)</f>
        <v>#REF!</v>
      </c>
      <c r="L95" s="179"/>
      <c r="M95" s="179"/>
    </row>
    <row r="96" spans="1:13" s="180" customFormat="1" ht="21.75" customHeight="1">
      <c r="A96" s="192" t="e">
        <f t="shared" si="13"/>
        <v>#REF!</v>
      </c>
      <c r="B96" s="175"/>
      <c r="C96" s="176" t="e">
        <f t="shared" si="9"/>
        <v>#REF!</v>
      </c>
      <c r="D96" s="177" t="e">
        <f t="shared" si="14"/>
        <v>#REF!</v>
      </c>
      <c r="E96" s="177" t="e">
        <f t="shared" si="17"/>
        <v>#REF!</v>
      </c>
      <c r="F96" s="178" t="e">
        <f t="shared" si="10"/>
        <v>#REF!</v>
      </c>
      <c r="G96" s="177" t="e">
        <f t="shared" si="11"/>
        <v>#REF!</v>
      </c>
      <c r="H96" s="177" t="e">
        <f t="shared" si="15"/>
        <v>#REF!</v>
      </c>
      <c r="I96" s="177" t="e">
        <f t="shared" si="16"/>
        <v>#REF!</v>
      </c>
      <c r="J96" s="177" t="e">
        <f t="shared" si="12"/>
        <v>#REF!</v>
      </c>
      <c r="K96" s="177" t="e">
        <f>SUM($I$17:$I96)</f>
        <v>#REF!</v>
      </c>
      <c r="L96" s="179"/>
      <c r="M96" s="179"/>
    </row>
    <row r="97" spans="1:13" s="180" customFormat="1" ht="21.75" customHeight="1">
      <c r="A97" s="192" t="e">
        <f t="shared" si="13"/>
        <v>#REF!</v>
      </c>
      <c r="B97" s="175"/>
      <c r="C97" s="176" t="e">
        <f t="shared" si="9"/>
        <v>#REF!</v>
      </c>
      <c r="D97" s="177" t="e">
        <f t="shared" si="14"/>
        <v>#REF!</v>
      </c>
      <c r="E97" s="177" t="e">
        <f t="shared" si="17"/>
        <v>#REF!</v>
      </c>
      <c r="F97" s="178" t="e">
        <f t="shared" si="10"/>
        <v>#REF!</v>
      </c>
      <c r="G97" s="177" t="e">
        <f t="shared" si="11"/>
        <v>#REF!</v>
      </c>
      <c r="H97" s="177" t="e">
        <f t="shared" si="15"/>
        <v>#REF!</v>
      </c>
      <c r="I97" s="177" t="e">
        <f t="shared" si="16"/>
        <v>#REF!</v>
      </c>
      <c r="J97" s="177" t="e">
        <f t="shared" si="12"/>
        <v>#REF!</v>
      </c>
      <c r="K97" s="177" t="e">
        <f>SUM($I$17:$I97)</f>
        <v>#REF!</v>
      </c>
      <c r="L97" s="179"/>
      <c r="M97" s="179"/>
    </row>
    <row r="98" spans="1:13" s="180" customFormat="1" ht="21.75" customHeight="1">
      <c r="A98" s="192" t="e">
        <f t="shared" si="13"/>
        <v>#REF!</v>
      </c>
      <c r="B98" s="175"/>
      <c r="C98" s="176" t="e">
        <f t="shared" si="9"/>
        <v>#REF!</v>
      </c>
      <c r="D98" s="177" t="e">
        <f t="shared" si="14"/>
        <v>#REF!</v>
      </c>
      <c r="E98" s="177" t="e">
        <f t="shared" si="17"/>
        <v>#REF!</v>
      </c>
      <c r="F98" s="178" t="e">
        <f t="shared" si="10"/>
        <v>#REF!</v>
      </c>
      <c r="G98" s="177" t="e">
        <f t="shared" si="11"/>
        <v>#REF!</v>
      </c>
      <c r="H98" s="177" t="e">
        <f t="shared" si="15"/>
        <v>#REF!</v>
      </c>
      <c r="I98" s="177" t="e">
        <f t="shared" si="16"/>
        <v>#REF!</v>
      </c>
      <c r="J98" s="177" t="e">
        <f t="shared" si="12"/>
        <v>#REF!</v>
      </c>
      <c r="K98" s="177" t="e">
        <f>SUM($I$17:$I98)</f>
        <v>#REF!</v>
      </c>
      <c r="L98" s="179"/>
      <c r="M98" s="179"/>
    </row>
    <row r="99" spans="1:13" s="180" customFormat="1" ht="21.75" customHeight="1">
      <c r="A99" s="192" t="e">
        <f t="shared" si="13"/>
        <v>#REF!</v>
      </c>
      <c r="B99" s="175"/>
      <c r="C99" s="176" t="e">
        <f t="shared" si="9"/>
        <v>#REF!</v>
      </c>
      <c r="D99" s="177" t="e">
        <f t="shared" si="14"/>
        <v>#REF!</v>
      </c>
      <c r="E99" s="177" t="e">
        <f t="shared" si="17"/>
        <v>#REF!</v>
      </c>
      <c r="F99" s="178" t="e">
        <f t="shared" si="10"/>
        <v>#REF!</v>
      </c>
      <c r="G99" s="177" t="e">
        <f t="shared" si="11"/>
        <v>#REF!</v>
      </c>
      <c r="H99" s="177" t="e">
        <f t="shared" si="15"/>
        <v>#REF!</v>
      </c>
      <c r="I99" s="177" t="e">
        <f t="shared" si="16"/>
        <v>#REF!</v>
      </c>
      <c r="J99" s="177" t="e">
        <f t="shared" si="12"/>
        <v>#REF!</v>
      </c>
      <c r="K99" s="177" t="e">
        <f>SUM($I$17:$I99)</f>
        <v>#REF!</v>
      </c>
      <c r="L99" s="179"/>
      <c r="M99" s="179"/>
    </row>
    <row r="100" spans="1:13" s="180" customFormat="1" ht="21.75" customHeight="1">
      <c r="A100" s="192" t="e">
        <f t="shared" si="13"/>
        <v>#REF!</v>
      </c>
      <c r="B100" s="175"/>
      <c r="C100" s="176" t="e">
        <f t="shared" si="9"/>
        <v>#REF!</v>
      </c>
      <c r="D100" s="177" t="e">
        <f t="shared" si="14"/>
        <v>#REF!</v>
      </c>
      <c r="E100" s="177" t="e">
        <f t="shared" si="17"/>
        <v>#REF!</v>
      </c>
      <c r="F100" s="178" t="e">
        <f t="shared" si="10"/>
        <v>#REF!</v>
      </c>
      <c r="G100" s="177" t="e">
        <f t="shared" si="11"/>
        <v>#REF!</v>
      </c>
      <c r="H100" s="177" t="e">
        <f t="shared" si="15"/>
        <v>#REF!</v>
      </c>
      <c r="I100" s="177" t="e">
        <f t="shared" si="16"/>
        <v>#REF!</v>
      </c>
      <c r="J100" s="177" t="e">
        <f t="shared" si="12"/>
        <v>#REF!</v>
      </c>
      <c r="K100" s="177" t="e">
        <f>SUM($I$17:$I100)</f>
        <v>#REF!</v>
      </c>
      <c r="L100" s="179"/>
      <c r="M100" s="179"/>
    </row>
    <row r="101" spans="1:13" s="180" customFormat="1" ht="21.75" customHeight="1">
      <c r="A101" s="192" t="e">
        <f t="shared" si="13"/>
        <v>#REF!</v>
      </c>
      <c r="B101" s="175"/>
      <c r="C101" s="176" t="e">
        <f t="shared" si="9"/>
        <v>#REF!</v>
      </c>
      <c r="D101" s="177" t="e">
        <f t="shared" si="14"/>
        <v>#REF!</v>
      </c>
      <c r="E101" s="177" t="e">
        <f t="shared" si="17"/>
        <v>#REF!</v>
      </c>
      <c r="F101" s="178" t="e">
        <f t="shared" si="10"/>
        <v>#REF!</v>
      </c>
      <c r="G101" s="177" t="e">
        <f t="shared" si="11"/>
        <v>#REF!</v>
      </c>
      <c r="H101" s="177" t="e">
        <f t="shared" si="15"/>
        <v>#REF!</v>
      </c>
      <c r="I101" s="177" t="e">
        <f t="shared" si="16"/>
        <v>#REF!</v>
      </c>
      <c r="J101" s="177" t="e">
        <f t="shared" si="12"/>
        <v>#REF!</v>
      </c>
      <c r="K101" s="177" t="e">
        <f>SUM($I$17:$I101)</f>
        <v>#REF!</v>
      </c>
      <c r="L101" s="179"/>
      <c r="M101" s="179"/>
    </row>
    <row r="102" spans="1:13" s="180" customFormat="1" ht="21.75" customHeight="1">
      <c r="A102" s="192" t="e">
        <f t="shared" si="13"/>
        <v>#REF!</v>
      </c>
      <c r="B102" s="175"/>
      <c r="C102" s="176" t="e">
        <f t="shared" si="9"/>
        <v>#REF!</v>
      </c>
      <c r="D102" s="177" t="e">
        <f t="shared" si="14"/>
        <v>#REF!</v>
      </c>
      <c r="E102" s="177" t="e">
        <f t="shared" si="17"/>
        <v>#REF!</v>
      </c>
      <c r="F102" s="178" t="e">
        <f t="shared" si="10"/>
        <v>#REF!</v>
      </c>
      <c r="G102" s="177" t="e">
        <f t="shared" si="11"/>
        <v>#REF!</v>
      </c>
      <c r="H102" s="177" t="e">
        <f t="shared" si="15"/>
        <v>#REF!</v>
      </c>
      <c r="I102" s="177" t="e">
        <f t="shared" si="16"/>
        <v>#REF!</v>
      </c>
      <c r="J102" s="177" t="e">
        <f t="shared" si="12"/>
        <v>#REF!</v>
      </c>
      <c r="K102" s="177" t="e">
        <f>SUM($I$17:$I102)</f>
        <v>#REF!</v>
      </c>
      <c r="L102" s="179"/>
      <c r="M102" s="179"/>
    </row>
    <row r="103" spans="1:13" s="180" customFormat="1" ht="21.75" customHeight="1">
      <c r="A103" s="192" t="e">
        <f t="shared" si="13"/>
        <v>#REF!</v>
      </c>
      <c r="B103" s="175"/>
      <c r="C103" s="176" t="e">
        <f t="shared" si="9"/>
        <v>#REF!</v>
      </c>
      <c r="D103" s="177" t="e">
        <f t="shared" si="14"/>
        <v>#REF!</v>
      </c>
      <c r="E103" s="177" t="e">
        <f t="shared" si="17"/>
        <v>#REF!</v>
      </c>
      <c r="F103" s="178" t="e">
        <f t="shared" si="10"/>
        <v>#REF!</v>
      </c>
      <c r="G103" s="177" t="e">
        <f t="shared" si="11"/>
        <v>#REF!</v>
      </c>
      <c r="H103" s="177" t="e">
        <f t="shared" si="15"/>
        <v>#REF!</v>
      </c>
      <c r="I103" s="177" t="e">
        <f t="shared" si="16"/>
        <v>#REF!</v>
      </c>
      <c r="J103" s="177" t="e">
        <f t="shared" si="12"/>
        <v>#REF!</v>
      </c>
      <c r="K103" s="177" t="e">
        <f>SUM($I$17:$I103)</f>
        <v>#REF!</v>
      </c>
      <c r="L103" s="179"/>
      <c r="M103" s="179"/>
    </row>
    <row r="104" spans="1:13" s="180" customFormat="1" ht="21.75" customHeight="1">
      <c r="A104" s="192" t="e">
        <f t="shared" si="13"/>
        <v>#REF!</v>
      </c>
      <c r="B104" s="175"/>
      <c r="C104" s="176" t="e">
        <f t="shared" si="9"/>
        <v>#REF!</v>
      </c>
      <c r="D104" s="177" t="e">
        <f t="shared" si="14"/>
        <v>#REF!</v>
      </c>
      <c r="E104" s="177" t="e">
        <f t="shared" si="17"/>
        <v>#REF!</v>
      </c>
      <c r="F104" s="178" t="e">
        <f t="shared" si="10"/>
        <v>#REF!</v>
      </c>
      <c r="G104" s="177" t="e">
        <f t="shared" si="11"/>
        <v>#REF!</v>
      </c>
      <c r="H104" s="177" t="e">
        <f t="shared" si="15"/>
        <v>#REF!</v>
      </c>
      <c r="I104" s="177" t="e">
        <f t="shared" si="16"/>
        <v>#REF!</v>
      </c>
      <c r="J104" s="177" t="e">
        <f t="shared" si="12"/>
        <v>#REF!</v>
      </c>
      <c r="K104" s="177" t="e">
        <f>SUM($I$17:$I104)</f>
        <v>#REF!</v>
      </c>
      <c r="L104" s="179"/>
      <c r="M104" s="179"/>
    </row>
    <row r="105" spans="1:13" s="180" customFormat="1" ht="21.75" customHeight="1">
      <c r="A105" s="192" t="e">
        <f t="shared" si="13"/>
        <v>#REF!</v>
      </c>
      <c r="B105" s="175"/>
      <c r="C105" s="176" t="e">
        <f t="shared" si="9"/>
        <v>#REF!</v>
      </c>
      <c r="D105" s="177" t="e">
        <f t="shared" si="14"/>
        <v>#REF!</v>
      </c>
      <c r="E105" s="177" t="e">
        <f t="shared" si="17"/>
        <v>#REF!</v>
      </c>
      <c r="F105" s="178" t="e">
        <f t="shared" si="10"/>
        <v>#REF!</v>
      </c>
      <c r="G105" s="177" t="e">
        <f t="shared" si="11"/>
        <v>#REF!</v>
      </c>
      <c r="H105" s="177" t="e">
        <f t="shared" si="15"/>
        <v>#REF!</v>
      </c>
      <c r="I105" s="177" t="e">
        <f t="shared" si="16"/>
        <v>#REF!</v>
      </c>
      <c r="J105" s="177" t="e">
        <f t="shared" si="12"/>
        <v>#REF!</v>
      </c>
      <c r="K105" s="177" t="e">
        <f>SUM($I$17:$I105)</f>
        <v>#REF!</v>
      </c>
      <c r="L105" s="179"/>
      <c r="M105" s="179"/>
    </row>
    <row r="106" spans="1:13" s="180" customFormat="1" ht="21.75" customHeight="1">
      <c r="A106" s="192" t="e">
        <f t="shared" si="13"/>
        <v>#REF!</v>
      </c>
      <c r="B106" s="175"/>
      <c r="C106" s="176" t="e">
        <f t="shared" si="9"/>
        <v>#REF!</v>
      </c>
      <c r="D106" s="177" t="e">
        <f t="shared" si="14"/>
        <v>#REF!</v>
      </c>
      <c r="E106" s="177" t="e">
        <f t="shared" si="17"/>
        <v>#REF!</v>
      </c>
      <c r="F106" s="178" t="e">
        <f t="shared" si="10"/>
        <v>#REF!</v>
      </c>
      <c r="G106" s="177" t="e">
        <f t="shared" si="11"/>
        <v>#REF!</v>
      </c>
      <c r="H106" s="177" t="e">
        <f t="shared" si="15"/>
        <v>#REF!</v>
      </c>
      <c r="I106" s="177" t="e">
        <f t="shared" si="16"/>
        <v>#REF!</v>
      </c>
      <c r="J106" s="177" t="e">
        <f t="shared" si="12"/>
        <v>#REF!</v>
      </c>
      <c r="K106" s="177" t="e">
        <f>SUM($I$17:$I106)</f>
        <v>#REF!</v>
      </c>
      <c r="L106" s="179"/>
      <c r="M106" s="179"/>
    </row>
    <row r="107" spans="1:13" s="180" customFormat="1" ht="21.75" customHeight="1">
      <c r="A107" s="192" t="e">
        <f t="shared" si="13"/>
        <v>#REF!</v>
      </c>
      <c r="B107" s="175"/>
      <c r="C107" s="176" t="e">
        <f t="shared" si="9"/>
        <v>#REF!</v>
      </c>
      <c r="D107" s="177" t="e">
        <f t="shared" si="14"/>
        <v>#REF!</v>
      </c>
      <c r="E107" s="177" t="e">
        <f t="shared" si="17"/>
        <v>#REF!</v>
      </c>
      <c r="F107" s="178" t="e">
        <f t="shared" si="10"/>
        <v>#REF!</v>
      </c>
      <c r="G107" s="177" t="e">
        <f t="shared" si="11"/>
        <v>#REF!</v>
      </c>
      <c r="H107" s="177" t="e">
        <f t="shared" si="15"/>
        <v>#REF!</v>
      </c>
      <c r="I107" s="177" t="e">
        <f t="shared" si="16"/>
        <v>#REF!</v>
      </c>
      <c r="J107" s="177" t="e">
        <f t="shared" si="12"/>
        <v>#REF!</v>
      </c>
      <c r="K107" s="177" t="e">
        <f>SUM($I$17:$I107)</f>
        <v>#REF!</v>
      </c>
      <c r="L107" s="179"/>
      <c r="M107" s="179"/>
    </row>
    <row r="108" spans="1:13" s="180" customFormat="1" ht="21.75" customHeight="1">
      <c r="A108" s="192" t="e">
        <f t="shared" si="13"/>
        <v>#REF!</v>
      </c>
      <c r="B108" s="175"/>
      <c r="C108" s="176" t="e">
        <f t="shared" si="9"/>
        <v>#REF!</v>
      </c>
      <c r="D108" s="177" t="e">
        <f t="shared" si="14"/>
        <v>#REF!</v>
      </c>
      <c r="E108" s="177" t="e">
        <f t="shared" si="17"/>
        <v>#REF!</v>
      </c>
      <c r="F108" s="178" t="e">
        <f t="shared" si="10"/>
        <v>#REF!</v>
      </c>
      <c r="G108" s="177" t="e">
        <f t="shared" si="11"/>
        <v>#REF!</v>
      </c>
      <c r="H108" s="177" t="e">
        <f t="shared" si="15"/>
        <v>#REF!</v>
      </c>
      <c r="I108" s="177" t="e">
        <f t="shared" si="16"/>
        <v>#REF!</v>
      </c>
      <c r="J108" s="177" t="e">
        <f t="shared" si="12"/>
        <v>#REF!</v>
      </c>
      <c r="K108" s="177" t="e">
        <f>SUM($I$17:$I108)</f>
        <v>#REF!</v>
      </c>
      <c r="L108" s="179"/>
      <c r="M108" s="179"/>
    </row>
    <row r="109" spans="1:13" s="180" customFormat="1" ht="21.75" customHeight="1">
      <c r="A109" s="192" t="e">
        <f t="shared" si="13"/>
        <v>#REF!</v>
      </c>
      <c r="B109" s="175"/>
      <c r="C109" s="176" t="e">
        <f t="shared" si="9"/>
        <v>#REF!</v>
      </c>
      <c r="D109" s="177" t="e">
        <f t="shared" si="14"/>
        <v>#REF!</v>
      </c>
      <c r="E109" s="177" t="e">
        <f t="shared" si="17"/>
        <v>#REF!</v>
      </c>
      <c r="F109" s="178" t="e">
        <f t="shared" si="10"/>
        <v>#REF!</v>
      </c>
      <c r="G109" s="177" t="e">
        <f t="shared" si="11"/>
        <v>#REF!</v>
      </c>
      <c r="H109" s="177" t="e">
        <f t="shared" si="15"/>
        <v>#REF!</v>
      </c>
      <c r="I109" s="177" t="e">
        <f t="shared" si="16"/>
        <v>#REF!</v>
      </c>
      <c r="J109" s="177" t="e">
        <f t="shared" si="12"/>
        <v>#REF!</v>
      </c>
      <c r="K109" s="177" t="e">
        <f>SUM($I$17:$I109)</f>
        <v>#REF!</v>
      </c>
      <c r="L109" s="179"/>
      <c r="M109" s="179"/>
    </row>
    <row r="110" spans="1:13" s="180" customFormat="1" ht="21.75" customHeight="1">
      <c r="A110" s="192" t="e">
        <f t="shared" si="13"/>
        <v>#REF!</v>
      </c>
      <c r="B110" s="175"/>
      <c r="C110" s="176" t="e">
        <f t="shared" si="9"/>
        <v>#REF!</v>
      </c>
      <c r="D110" s="177" t="e">
        <f t="shared" si="14"/>
        <v>#REF!</v>
      </c>
      <c r="E110" s="177" t="e">
        <f t="shared" si="17"/>
        <v>#REF!</v>
      </c>
      <c r="F110" s="178" t="e">
        <f t="shared" si="10"/>
        <v>#REF!</v>
      </c>
      <c r="G110" s="177" t="e">
        <f t="shared" si="11"/>
        <v>#REF!</v>
      </c>
      <c r="H110" s="177" t="e">
        <f t="shared" si="15"/>
        <v>#REF!</v>
      </c>
      <c r="I110" s="177" t="e">
        <f t="shared" si="16"/>
        <v>#REF!</v>
      </c>
      <c r="J110" s="177" t="e">
        <f t="shared" si="12"/>
        <v>#REF!</v>
      </c>
      <c r="K110" s="177" t="e">
        <f>SUM($I$17:$I110)</f>
        <v>#REF!</v>
      </c>
      <c r="L110" s="179"/>
      <c r="M110" s="179"/>
    </row>
    <row r="111" spans="1:13" s="180" customFormat="1" ht="21.75" customHeight="1">
      <c r="A111" s="192" t="e">
        <f t="shared" si="13"/>
        <v>#REF!</v>
      </c>
      <c r="B111" s="175"/>
      <c r="C111" s="176" t="e">
        <f t="shared" si="9"/>
        <v>#REF!</v>
      </c>
      <c r="D111" s="177" t="e">
        <f t="shared" si="14"/>
        <v>#REF!</v>
      </c>
      <c r="E111" s="177" t="e">
        <f t="shared" si="17"/>
        <v>#REF!</v>
      </c>
      <c r="F111" s="178" t="e">
        <f t="shared" si="10"/>
        <v>#REF!</v>
      </c>
      <c r="G111" s="177" t="e">
        <f t="shared" si="11"/>
        <v>#REF!</v>
      </c>
      <c r="H111" s="177" t="e">
        <f t="shared" si="15"/>
        <v>#REF!</v>
      </c>
      <c r="I111" s="177" t="e">
        <f t="shared" si="16"/>
        <v>#REF!</v>
      </c>
      <c r="J111" s="177" t="e">
        <f t="shared" si="12"/>
        <v>#REF!</v>
      </c>
      <c r="K111" s="177" t="e">
        <f>SUM($I$17:$I111)</f>
        <v>#REF!</v>
      </c>
      <c r="L111" s="179"/>
      <c r="M111" s="179"/>
    </row>
    <row r="112" spans="1:13" s="180" customFormat="1" ht="21.75" customHeight="1">
      <c r="A112" s="192" t="e">
        <f t="shared" si="13"/>
        <v>#REF!</v>
      </c>
      <c r="B112" s="175"/>
      <c r="C112" s="176" t="e">
        <f t="shared" si="9"/>
        <v>#REF!</v>
      </c>
      <c r="D112" s="177" t="e">
        <f t="shared" si="14"/>
        <v>#REF!</v>
      </c>
      <c r="E112" s="177" t="e">
        <f t="shared" si="17"/>
        <v>#REF!</v>
      </c>
      <c r="F112" s="178" t="e">
        <f t="shared" si="10"/>
        <v>#REF!</v>
      </c>
      <c r="G112" s="177" t="e">
        <f t="shared" si="11"/>
        <v>#REF!</v>
      </c>
      <c r="H112" s="177" t="e">
        <f t="shared" si="15"/>
        <v>#REF!</v>
      </c>
      <c r="I112" s="177" t="e">
        <f t="shared" si="16"/>
        <v>#REF!</v>
      </c>
      <c r="J112" s="177" t="e">
        <f t="shared" si="12"/>
        <v>#REF!</v>
      </c>
      <c r="K112" s="177" t="e">
        <f>SUM($I$17:$I112)</f>
        <v>#REF!</v>
      </c>
      <c r="L112" s="179"/>
      <c r="M112" s="179"/>
    </row>
    <row r="113" spans="1:13" s="180" customFormat="1" ht="12.75">
      <c r="A113" s="192" t="e">
        <f t="shared" si="13"/>
        <v>#REF!</v>
      </c>
      <c r="B113" s="175"/>
      <c r="C113" s="176" t="e">
        <f t="shared" si="9"/>
        <v>#REF!</v>
      </c>
      <c r="D113" s="177" t="e">
        <f t="shared" si="14"/>
        <v>#REF!</v>
      </c>
      <c r="E113" s="177" t="e">
        <f t="shared" si="17"/>
        <v>#REF!</v>
      </c>
      <c r="F113" s="178" t="e">
        <f t="shared" si="10"/>
        <v>#REF!</v>
      </c>
      <c r="G113" s="177" t="e">
        <f t="shared" si="11"/>
        <v>#REF!</v>
      </c>
      <c r="H113" s="177" t="e">
        <f t="shared" si="15"/>
        <v>#REF!</v>
      </c>
      <c r="I113" s="177" t="e">
        <f t="shared" si="16"/>
        <v>#REF!</v>
      </c>
      <c r="J113" s="177" t="e">
        <f t="shared" si="12"/>
        <v>#REF!</v>
      </c>
      <c r="K113" s="177" t="e">
        <f>SUM($I$17:$I113)</f>
        <v>#REF!</v>
      </c>
      <c r="L113" s="179"/>
      <c r="M113" s="179"/>
    </row>
    <row r="114" spans="1:13" s="180" customFormat="1" ht="12.75">
      <c r="A114" s="192" t="e">
        <f t="shared" si="13"/>
        <v>#REF!</v>
      </c>
      <c r="B114" s="175"/>
      <c r="C114" s="176" t="e">
        <f t="shared" si="9"/>
        <v>#REF!</v>
      </c>
      <c r="D114" s="177" t="e">
        <f t="shared" si="14"/>
        <v>#REF!</v>
      </c>
      <c r="E114" s="177" t="e">
        <f t="shared" si="17"/>
        <v>#REF!</v>
      </c>
      <c r="F114" s="178" t="e">
        <f t="shared" si="10"/>
        <v>#REF!</v>
      </c>
      <c r="G114" s="177" t="e">
        <f t="shared" si="11"/>
        <v>#REF!</v>
      </c>
      <c r="H114" s="177" t="e">
        <f t="shared" si="15"/>
        <v>#REF!</v>
      </c>
      <c r="I114" s="177" t="e">
        <f t="shared" si="16"/>
        <v>#REF!</v>
      </c>
      <c r="J114" s="177" t="e">
        <f t="shared" si="12"/>
        <v>#REF!</v>
      </c>
      <c r="K114" s="177" t="e">
        <f>SUM($I$17:$I114)</f>
        <v>#REF!</v>
      </c>
      <c r="L114" s="179"/>
      <c r="M114" s="179"/>
    </row>
    <row r="115" spans="1:13" s="180" customFormat="1" ht="12.75">
      <c r="A115" s="192" t="e">
        <f t="shared" si="13"/>
        <v>#REF!</v>
      </c>
      <c r="B115" s="175"/>
      <c r="C115" s="176" t="e">
        <f t="shared" si="9"/>
        <v>#REF!</v>
      </c>
      <c r="D115" s="177" t="e">
        <f t="shared" si="14"/>
        <v>#REF!</v>
      </c>
      <c r="E115" s="177" t="e">
        <f t="shared" si="17"/>
        <v>#REF!</v>
      </c>
      <c r="F115" s="178" t="e">
        <f t="shared" si="10"/>
        <v>#REF!</v>
      </c>
      <c r="G115" s="177" t="e">
        <f t="shared" si="11"/>
        <v>#REF!</v>
      </c>
      <c r="H115" s="177" t="e">
        <f t="shared" si="15"/>
        <v>#REF!</v>
      </c>
      <c r="I115" s="177" t="e">
        <f t="shared" si="16"/>
        <v>#REF!</v>
      </c>
      <c r="J115" s="177" t="e">
        <f t="shared" si="12"/>
        <v>#REF!</v>
      </c>
      <c r="K115" s="177" t="e">
        <f>SUM($I$17:$I115)</f>
        <v>#REF!</v>
      </c>
      <c r="L115" s="179"/>
      <c r="M115" s="179"/>
    </row>
    <row r="116" spans="1:13" s="180" customFormat="1" ht="12.75">
      <c r="A116" s="192" t="e">
        <f t="shared" si="13"/>
        <v>#REF!</v>
      </c>
      <c r="B116" s="175"/>
      <c r="C116" s="176" t="e">
        <f t="shared" si="9"/>
        <v>#REF!</v>
      </c>
      <c r="D116" s="177" t="e">
        <f t="shared" si="14"/>
        <v>#REF!</v>
      </c>
      <c r="E116" s="177" t="e">
        <f t="shared" si="17"/>
        <v>#REF!</v>
      </c>
      <c r="F116" s="178" t="e">
        <f t="shared" si="10"/>
        <v>#REF!</v>
      </c>
      <c r="G116" s="177" t="e">
        <f t="shared" si="11"/>
        <v>#REF!</v>
      </c>
      <c r="H116" s="177" t="e">
        <f t="shared" si="15"/>
        <v>#REF!</v>
      </c>
      <c r="I116" s="177" t="e">
        <f t="shared" si="16"/>
        <v>#REF!</v>
      </c>
      <c r="J116" s="177" t="e">
        <f t="shared" si="12"/>
        <v>#REF!</v>
      </c>
      <c r="K116" s="177" t="e">
        <f>SUM($I$17:$I116)</f>
        <v>#REF!</v>
      </c>
      <c r="L116" s="179"/>
      <c r="M116" s="179"/>
    </row>
    <row r="117" spans="1:13" s="180" customFormat="1" ht="12.75">
      <c r="A117" s="192" t="e">
        <f t="shared" si="13"/>
        <v>#REF!</v>
      </c>
      <c r="B117" s="175"/>
      <c r="C117" s="176" t="e">
        <f t="shared" si="9"/>
        <v>#REF!</v>
      </c>
      <c r="D117" s="177" t="e">
        <f t="shared" si="14"/>
        <v>#REF!</v>
      </c>
      <c r="E117" s="177" t="e">
        <f t="shared" si="17"/>
        <v>#REF!</v>
      </c>
      <c r="F117" s="178" t="e">
        <f t="shared" si="10"/>
        <v>#REF!</v>
      </c>
      <c r="G117" s="177" t="e">
        <f t="shared" si="11"/>
        <v>#REF!</v>
      </c>
      <c r="H117" s="177" t="e">
        <f t="shared" si="15"/>
        <v>#REF!</v>
      </c>
      <c r="I117" s="177" t="e">
        <f t="shared" si="16"/>
        <v>#REF!</v>
      </c>
      <c r="J117" s="177" t="e">
        <f t="shared" si="12"/>
        <v>#REF!</v>
      </c>
      <c r="K117" s="177" t="e">
        <f>SUM($I$17:$I117)</f>
        <v>#REF!</v>
      </c>
      <c r="L117" s="179"/>
      <c r="M117" s="179"/>
    </row>
    <row r="118" spans="1:13" s="180" customFormat="1" ht="12.75">
      <c r="A118" s="192" t="e">
        <f t="shared" si="13"/>
        <v>#REF!</v>
      </c>
      <c r="B118" s="175"/>
      <c r="C118" s="176" t="e">
        <f t="shared" si="9"/>
        <v>#REF!</v>
      </c>
      <c r="D118" s="177" t="e">
        <f t="shared" si="14"/>
        <v>#REF!</v>
      </c>
      <c r="E118" s="177" t="e">
        <f t="shared" si="17"/>
        <v>#REF!</v>
      </c>
      <c r="F118" s="178" t="e">
        <f t="shared" si="10"/>
        <v>#REF!</v>
      </c>
      <c r="G118" s="177" t="e">
        <f t="shared" si="11"/>
        <v>#REF!</v>
      </c>
      <c r="H118" s="177" t="e">
        <f t="shared" si="15"/>
        <v>#REF!</v>
      </c>
      <c r="I118" s="177" t="e">
        <f t="shared" si="16"/>
        <v>#REF!</v>
      </c>
      <c r="J118" s="177" t="e">
        <f t="shared" si="12"/>
        <v>#REF!</v>
      </c>
      <c r="K118" s="177" t="e">
        <f>SUM($I$17:$I118)</f>
        <v>#REF!</v>
      </c>
      <c r="L118" s="179"/>
      <c r="M118" s="179"/>
    </row>
    <row r="119" spans="1:13" s="180" customFormat="1" ht="12.75">
      <c r="A119" s="192" t="e">
        <f t="shared" si="13"/>
        <v>#REF!</v>
      </c>
      <c r="B119" s="175"/>
      <c r="C119" s="176" t="e">
        <f t="shared" si="9"/>
        <v>#REF!</v>
      </c>
      <c r="D119" s="177" t="e">
        <f t="shared" si="14"/>
        <v>#REF!</v>
      </c>
      <c r="E119" s="177" t="e">
        <f t="shared" si="17"/>
        <v>#REF!</v>
      </c>
      <c r="F119" s="178" t="e">
        <f t="shared" si="10"/>
        <v>#REF!</v>
      </c>
      <c r="G119" s="177" t="e">
        <f t="shared" si="11"/>
        <v>#REF!</v>
      </c>
      <c r="H119" s="177" t="e">
        <f t="shared" si="15"/>
        <v>#REF!</v>
      </c>
      <c r="I119" s="177" t="e">
        <f t="shared" si="16"/>
        <v>#REF!</v>
      </c>
      <c r="J119" s="177" t="e">
        <f t="shared" si="12"/>
        <v>#REF!</v>
      </c>
      <c r="K119" s="177" t="e">
        <f>SUM($I$17:$I119)</f>
        <v>#REF!</v>
      </c>
      <c r="L119" s="179"/>
      <c r="M119" s="179"/>
    </row>
    <row r="120" spans="1:13" s="180" customFormat="1" ht="12.75">
      <c r="A120" s="192" t="e">
        <f t="shared" si="13"/>
        <v>#REF!</v>
      </c>
      <c r="B120" s="175"/>
      <c r="C120" s="176" t="e">
        <f t="shared" si="9"/>
        <v>#REF!</v>
      </c>
      <c r="D120" s="177" t="e">
        <f t="shared" si="14"/>
        <v>#REF!</v>
      </c>
      <c r="E120" s="177" t="e">
        <f t="shared" si="17"/>
        <v>#REF!</v>
      </c>
      <c r="F120" s="178" t="e">
        <f t="shared" si="10"/>
        <v>#REF!</v>
      </c>
      <c r="G120" s="177" t="e">
        <f t="shared" si="11"/>
        <v>#REF!</v>
      </c>
      <c r="H120" s="177" t="e">
        <f t="shared" si="15"/>
        <v>#REF!</v>
      </c>
      <c r="I120" s="177" t="e">
        <f t="shared" si="16"/>
        <v>#REF!</v>
      </c>
      <c r="J120" s="177" t="e">
        <f t="shared" si="12"/>
        <v>#REF!</v>
      </c>
      <c r="K120" s="177" t="e">
        <f>SUM($I$17:$I120)</f>
        <v>#REF!</v>
      </c>
      <c r="L120" s="179"/>
      <c r="M120" s="179"/>
    </row>
    <row r="121" spans="1:13" s="180" customFormat="1" ht="12.75">
      <c r="A121" s="192" t="e">
        <f t="shared" si="13"/>
        <v>#REF!</v>
      </c>
      <c r="B121" s="175"/>
      <c r="C121" s="176" t="e">
        <f t="shared" si="9"/>
        <v>#REF!</v>
      </c>
      <c r="D121" s="177" t="e">
        <f t="shared" si="14"/>
        <v>#REF!</v>
      </c>
      <c r="E121" s="177" t="e">
        <f t="shared" si="17"/>
        <v>#REF!</v>
      </c>
      <c r="F121" s="178" t="e">
        <f t="shared" si="10"/>
        <v>#REF!</v>
      </c>
      <c r="G121" s="177" t="e">
        <f t="shared" si="11"/>
        <v>#REF!</v>
      </c>
      <c r="H121" s="177" t="e">
        <f t="shared" si="15"/>
        <v>#REF!</v>
      </c>
      <c r="I121" s="177" t="e">
        <f t="shared" si="16"/>
        <v>#REF!</v>
      </c>
      <c r="J121" s="177" t="e">
        <f t="shared" si="12"/>
        <v>#REF!</v>
      </c>
      <c r="K121" s="177" t="e">
        <f>SUM($I$17:$I121)</f>
        <v>#REF!</v>
      </c>
      <c r="L121" s="179"/>
      <c r="M121" s="179"/>
    </row>
    <row r="122" spans="1:13" s="180" customFormat="1" ht="12.75">
      <c r="A122" s="192" t="e">
        <f t="shared" si="13"/>
        <v>#REF!</v>
      </c>
      <c r="B122" s="175"/>
      <c r="C122" s="176" t="e">
        <f t="shared" si="9"/>
        <v>#REF!</v>
      </c>
      <c r="D122" s="177" t="e">
        <f t="shared" si="14"/>
        <v>#REF!</v>
      </c>
      <c r="E122" s="177" t="e">
        <f t="shared" si="17"/>
        <v>#REF!</v>
      </c>
      <c r="F122" s="178" t="e">
        <f t="shared" si="10"/>
        <v>#REF!</v>
      </c>
      <c r="G122" s="177" t="e">
        <f t="shared" si="11"/>
        <v>#REF!</v>
      </c>
      <c r="H122" s="177" t="e">
        <f t="shared" si="15"/>
        <v>#REF!</v>
      </c>
      <c r="I122" s="177" t="e">
        <f t="shared" si="16"/>
        <v>#REF!</v>
      </c>
      <c r="J122" s="177" t="e">
        <f t="shared" si="12"/>
        <v>#REF!</v>
      </c>
      <c r="K122" s="177" t="e">
        <f>SUM($I$17:$I122)</f>
        <v>#REF!</v>
      </c>
      <c r="L122" s="179"/>
      <c r="M122" s="179"/>
    </row>
    <row r="123" spans="1:13" s="180" customFormat="1" ht="12.75">
      <c r="A123" s="192" t="e">
        <f t="shared" si="13"/>
        <v>#REF!</v>
      </c>
      <c r="B123" s="175"/>
      <c r="C123" s="176" t="e">
        <f t="shared" si="9"/>
        <v>#REF!</v>
      </c>
      <c r="D123" s="177" t="e">
        <f t="shared" si="14"/>
        <v>#REF!</v>
      </c>
      <c r="E123" s="177" t="e">
        <f t="shared" si="17"/>
        <v>#REF!</v>
      </c>
      <c r="F123" s="178" t="e">
        <f t="shared" si="10"/>
        <v>#REF!</v>
      </c>
      <c r="G123" s="177" t="e">
        <f t="shared" si="11"/>
        <v>#REF!</v>
      </c>
      <c r="H123" s="177" t="e">
        <f t="shared" si="15"/>
        <v>#REF!</v>
      </c>
      <c r="I123" s="177" t="e">
        <f t="shared" si="16"/>
        <v>#REF!</v>
      </c>
      <c r="J123" s="177" t="e">
        <f t="shared" si="12"/>
        <v>#REF!</v>
      </c>
      <c r="K123" s="177" t="e">
        <f>SUM($I$17:$I123)</f>
        <v>#REF!</v>
      </c>
      <c r="L123" s="179"/>
      <c r="M123" s="179"/>
    </row>
    <row r="124" spans="1:13" s="180" customFormat="1" ht="12.75">
      <c r="A124" s="192" t="e">
        <f t="shared" si="13"/>
        <v>#REF!</v>
      </c>
      <c r="B124" s="175"/>
      <c r="C124" s="176" t="e">
        <f t="shared" si="9"/>
        <v>#REF!</v>
      </c>
      <c r="D124" s="177" t="e">
        <f t="shared" si="14"/>
        <v>#REF!</v>
      </c>
      <c r="E124" s="177" t="e">
        <f t="shared" si="17"/>
        <v>#REF!</v>
      </c>
      <c r="F124" s="178" t="e">
        <f t="shared" si="10"/>
        <v>#REF!</v>
      </c>
      <c r="G124" s="177" t="e">
        <f t="shared" si="11"/>
        <v>#REF!</v>
      </c>
      <c r="H124" s="177" t="e">
        <f t="shared" si="15"/>
        <v>#REF!</v>
      </c>
      <c r="I124" s="177" t="e">
        <f t="shared" si="16"/>
        <v>#REF!</v>
      </c>
      <c r="J124" s="177" t="e">
        <f t="shared" si="12"/>
        <v>#REF!</v>
      </c>
      <c r="K124" s="177" t="e">
        <f>SUM($I$17:$I124)</f>
        <v>#REF!</v>
      </c>
      <c r="L124" s="179"/>
      <c r="M124" s="179"/>
    </row>
    <row r="125" spans="1:13" s="180" customFormat="1" ht="12.75">
      <c r="A125" s="192" t="e">
        <f t="shared" si="13"/>
        <v>#REF!</v>
      </c>
      <c r="B125" s="175"/>
      <c r="C125" s="176" t="e">
        <f t="shared" si="9"/>
        <v>#REF!</v>
      </c>
      <c r="D125" s="177" t="e">
        <f t="shared" si="14"/>
        <v>#REF!</v>
      </c>
      <c r="E125" s="177" t="e">
        <f t="shared" si="17"/>
        <v>#REF!</v>
      </c>
      <c r="F125" s="178" t="e">
        <f t="shared" si="10"/>
        <v>#REF!</v>
      </c>
      <c r="G125" s="177" t="e">
        <f t="shared" si="11"/>
        <v>#REF!</v>
      </c>
      <c r="H125" s="177" t="e">
        <f t="shared" si="15"/>
        <v>#REF!</v>
      </c>
      <c r="I125" s="177" t="e">
        <f t="shared" si="16"/>
        <v>#REF!</v>
      </c>
      <c r="J125" s="177" t="e">
        <f t="shared" si="12"/>
        <v>#REF!</v>
      </c>
      <c r="K125" s="177" t="e">
        <f>SUM($I$17:$I125)</f>
        <v>#REF!</v>
      </c>
      <c r="L125" s="179"/>
      <c r="M125" s="179"/>
    </row>
    <row r="126" spans="1:13" s="180" customFormat="1" ht="12.75">
      <c r="A126" s="192" t="e">
        <f t="shared" si="13"/>
        <v>#REF!</v>
      </c>
      <c r="B126" s="175"/>
      <c r="C126" s="176" t="e">
        <f t="shared" si="9"/>
        <v>#REF!</v>
      </c>
      <c r="D126" s="177" t="e">
        <f t="shared" si="14"/>
        <v>#REF!</v>
      </c>
      <c r="E126" s="177" t="e">
        <f t="shared" si="17"/>
        <v>#REF!</v>
      </c>
      <c r="F126" s="178" t="e">
        <f t="shared" si="10"/>
        <v>#REF!</v>
      </c>
      <c r="G126" s="177" t="e">
        <f t="shared" si="11"/>
        <v>#REF!</v>
      </c>
      <c r="H126" s="177" t="e">
        <f t="shared" si="15"/>
        <v>#REF!</v>
      </c>
      <c r="I126" s="177" t="e">
        <f t="shared" si="16"/>
        <v>#REF!</v>
      </c>
      <c r="J126" s="177" t="e">
        <f t="shared" si="12"/>
        <v>#REF!</v>
      </c>
      <c r="K126" s="177" t="e">
        <f>SUM($I$17:$I126)</f>
        <v>#REF!</v>
      </c>
      <c r="L126" s="179"/>
      <c r="M126" s="179"/>
    </row>
    <row r="127" spans="1:13" s="180" customFormat="1" ht="12.75">
      <c r="A127" s="192" t="e">
        <f t="shared" si="13"/>
        <v>#REF!</v>
      </c>
      <c r="B127" s="175"/>
      <c r="C127" s="176" t="e">
        <f t="shared" si="9"/>
        <v>#REF!</v>
      </c>
      <c r="D127" s="177" t="e">
        <f t="shared" si="14"/>
        <v>#REF!</v>
      </c>
      <c r="E127" s="177" t="e">
        <f t="shared" si="17"/>
        <v>#REF!</v>
      </c>
      <c r="F127" s="178" t="e">
        <f t="shared" si="10"/>
        <v>#REF!</v>
      </c>
      <c r="G127" s="177" t="e">
        <f t="shared" si="11"/>
        <v>#REF!</v>
      </c>
      <c r="H127" s="177" t="e">
        <f t="shared" si="15"/>
        <v>#REF!</v>
      </c>
      <c r="I127" s="177" t="e">
        <f t="shared" si="16"/>
        <v>#REF!</v>
      </c>
      <c r="J127" s="177" t="e">
        <f t="shared" si="12"/>
        <v>#REF!</v>
      </c>
      <c r="K127" s="177" t="e">
        <f>SUM($I$17:$I127)</f>
        <v>#REF!</v>
      </c>
      <c r="L127" s="179"/>
      <c r="M127" s="179"/>
    </row>
    <row r="128" spans="1:13" s="180" customFormat="1" ht="12.75">
      <c r="A128" s="192" t="e">
        <f t="shared" si="13"/>
        <v>#REF!</v>
      </c>
      <c r="B128" s="175"/>
      <c r="C128" s="176" t="e">
        <f t="shared" si="9"/>
        <v>#REF!</v>
      </c>
      <c r="D128" s="177" t="e">
        <f t="shared" si="14"/>
        <v>#REF!</v>
      </c>
      <c r="E128" s="177" t="e">
        <f t="shared" si="17"/>
        <v>#REF!</v>
      </c>
      <c r="F128" s="178" t="e">
        <f t="shared" si="10"/>
        <v>#REF!</v>
      </c>
      <c r="G128" s="177" t="e">
        <f t="shared" si="11"/>
        <v>#REF!</v>
      </c>
      <c r="H128" s="177" t="e">
        <f t="shared" si="15"/>
        <v>#REF!</v>
      </c>
      <c r="I128" s="177" t="e">
        <f t="shared" si="16"/>
        <v>#REF!</v>
      </c>
      <c r="J128" s="177" t="e">
        <f t="shared" si="12"/>
        <v>#REF!</v>
      </c>
      <c r="K128" s="177" t="e">
        <f>SUM($I$17:$I128)</f>
        <v>#REF!</v>
      </c>
      <c r="L128" s="179"/>
      <c r="M128" s="179"/>
    </row>
    <row r="129" spans="1:13" s="180" customFormat="1" ht="12.75">
      <c r="A129" s="192" t="e">
        <f t="shared" si="13"/>
        <v>#REF!</v>
      </c>
      <c r="B129" s="175"/>
      <c r="C129" s="176" t="e">
        <f t="shared" si="9"/>
        <v>#REF!</v>
      </c>
      <c r="D129" s="177" t="e">
        <f t="shared" si="14"/>
        <v>#REF!</v>
      </c>
      <c r="E129" s="177" t="e">
        <f t="shared" si="17"/>
        <v>#REF!</v>
      </c>
      <c r="F129" s="178" t="e">
        <f t="shared" si="10"/>
        <v>#REF!</v>
      </c>
      <c r="G129" s="177" t="e">
        <f t="shared" si="11"/>
        <v>#REF!</v>
      </c>
      <c r="H129" s="177" t="e">
        <f t="shared" si="15"/>
        <v>#REF!</v>
      </c>
      <c r="I129" s="177" t="e">
        <f t="shared" si="16"/>
        <v>#REF!</v>
      </c>
      <c r="J129" s="177" t="e">
        <f t="shared" si="12"/>
        <v>#REF!</v>
      </c>
      <c r="K129" s="177" t="e">
        <f>SUM($I$17:$I129)</f>
        <v>#REF!</v>
      </c>
      <c r="L129" s="179"/>
      <c r="M129" s="179"/>
    </row>
    <row r="130" spans="1:13" s="180" customFormat="1" ht="12.75">
      <c r="A130" s="192" t="e">
        <f t="shared" si="13"/>
        <v>#REF!</v>
      </c>
      <c r="B130" s="175"/>
      <c r="C130" s="176" t="e">
        <f t="shared" si="9"/>
        <v>#REF!</v>
      </c>
      <c r="D130" s="177" t="e">
        <f t="shared" si="14"/>
        <v>#REF!</v>
      </c>
      <c r="E130" s="177" t="e">
        <f t="shared" si="17"/>
        <v>#REF!</v>
      </c>
      <c r="F130" s="178" t="e">
        <f t="shared" si="10"/>
        <v>#REF!</v>
      </c>
      <c r="G130" s="177" t="e">
        <f t="shared" si="11"/>
        <v>#REF!</v>
      </c>
      <c r="H130" s="177" t="e">
        <f t="shared" si="15"/>
        <v>#REF!</v>
      </c>
      <c r="I130" s="177" t="e">
        <f t="shared" si="16"/>
        <v>#REF!</v>
      </c>
      <c r="J130" s="177" t="e">
        <f t="shared" si="12"/>
        <v>#REF!</v>
      </c>
      <c r="K130" s="177" t="e">
        <f>SUM($I$17:$I130)</f>
        <v>#REF!</v>
      </c>
      <c r="L130" s="179"/>
      <c r="M130" s="179"/>
    </row>
    <row r="131" spans="1:13" s="180" customFormat="1" ht="12.75">
      <c r="A131" s="192" t="e">
        <f t="shared" si="13"/>
        <v>#REF!</v>
      </c>
      <c r="B131" s="175"/>
      <c r="C131" s="176" t="e">
        <f t="shared" si="9"/>
        <v>#REF!</v>
      </c>
      <c r="D131" s="177" t="e">
        <f t="shared" si="14"/>
        <v>#REF!</v>
      </c>
      <c r="E131" s="177" t="e">
        <f t="shared" si="17"/>
        <v>#REF!</v>
      </c>
      <c r="F131" s="178" t="e">
        <f t="shared" si="10"/>
        <v>#REF!</v>
      </c>
      <c r="G131" s="177" t="e">
        <f t="shared" si="11"/>
        <v>#REF!</v>
      </c>
      <c r="H131" s="177" t="e">
        <f t="shared" si="15"/>
        <v>#REF!</v>
      </c>
      <c r="I131" s="177" t="e">
        <f t="shared" si="16"/>
        <v>#REF!</v>
      </c>
      <c r="J131" s="177" t="e">
        <f t="shared" si="12"/>
        <v>#REF!</v>
      </c>
      <c r="K131" s="177" t="e">
        <f>SUM($I$17:$I131)</f>
        <v>#REF!</v>
      </c>
      <c r="L131" s="179"/>
      <c r="M131" s="179"/>
    </row>
    <row r="132" spans="1:13" s="180" customFormat="1" ht="12.75">
      <c r="A132" s="192" t="e">
        <f t="shared" si="13"/>
        <v>#REF!</v>
      </c>
      <c r="B132" s="175"/>
      <c r="C132" s="176" t="e">
        <f t="shared" si="9"/>
        <v>#REF!</v>
      </c>
      <c r="D132" s="177" t="e">
        <f t="shared" si="14"/>
        <v>#REF!</v>
      </c>
      <c r="E132" s="177" t="e">
        <f t="shared" si="17"/>
        <v>#REF!</v>
      </c>
      <c r="F132" s="178" t="e">
        <f t="shared" si="10"/>
        <v>#REF!</v>
      </c>
      <c r="G132" s="177" t="e">
        <f t="shared" si="11"/>
        <v>#REF!</v>
      </c>
      <c r="H132" s="177" t="e">
        <f t="shared" si="15"/>
        <v>#REF!</v>
      </c>
      <c r="I132" s="177" t="e">
        <f t="shared" si="16"/>
        <v>#REF!</v>
      </c>
      <c r="J132" s="177" t="e">
        <f t="shared" si="12"/>
        <v>#REF!</v>
      </c>
      <c r="K132" s="177" t="e">
        <f>SUM($I$17:$I132)</f>
        <v>#REF!</v>
      </c>
      <c r="L132" s="179"/>
      <c r="M132" s="179"/>
    </row>
    <row r="133" spans="1:13" s="180" customFormat="1" ht="12.75">
      <c r="A133" s="192" t="e">
        <f t="shared" si="13"/>
        <v>#REF!</v>
      </c>
      <c r="B133" s="175"/>
      <c r="C133" s="176" t="e">
        <f t="shared" si="9"/>
        <v>#REF!</v>
      </c>
      <c r="D133" s="177" t="e">
        <f t="shared" si="14"/>
        <v>#REF!</v>
      </c>
      <c r="E133" s="177" t="e">
        <f t="shared" si="17"/>
        <v>#REF!</v>
      </c>
      <c r="F133" s="178" t="e">
        <f t="shared" si="10"/>
        <v>#REF!</v>
      </c>
      <c r="G133" s="177" t="e">
        <f t="shared" si="11"/>
        <v>#REF!</v>
      </c>
      <c r="H133" s="177" t="e">
        <f t="shared" si="15"/>
        <v>#REF!</v>
      </c>
      <c r="I133" s="177" t="e">
        <f t="shared" si="16"/>
        <v>#REF!</v>
      </c>
      <c r="J133" s="177" t="e">
        <f t="shared" si="12"/>
        <v>#REF!</v>
      </c>
      <c r="K133" s="177" t="e">
        <f>SUM($I$17:$I133)</f>
        <v>#REF!</v>
      </c>
      <c r="L133" s="179"/>
      <c r="M133" s="179"/>
    </row>
    <row r="134" spans="1:13" s="180" customFormat="1" ht="12.75">
      <c r="A134" s="192" t="e">
        <f t="shared" si="13"/>
        <v>#REF!</v>
      </c>
      <c r="B134" s="175"/>
      <c r="C134" s="176" t="e">
        <f t="shared" si="9"/>
        <v>#REF!</v>
      </c>
      <c r="D134" s="177" t="e">
        <f t="shared" si="14"/>
        <v>#REF!</v>
      </c>
      <c r="E134" s="177" t="e">
        <f t="shared" si="17"/>
        <v>#REF!</v>
      </c>
      <c r="F134" s="178" t="e">
        <f t="shared" si="10"/>
        <v>#REF!</v>
      </c>
      <c r="G134" s="177" t="e">
        <f t="shared" si="11"/>
        <v>#REF!</v>
      </c>
      <c r="H134" s="177" t="e">
        <f t="shared" si="15"/>
        <v>#REF!</v>
      </c>
      <c r="I134" s="177" t="e">
        <f t="shared" si="16"/>
        <v>#REF!</v>
      </c>
      <c r="J134" s="177" t="e">
        <f t="shared" si="12"/>
        <v>#REF!</v>
      </c>
      <c r="K134" s="177" t="e">
        <f>SUM($I$17:$I134)</f>
        <v>#REF!</v>
      </c>
      <c r="L134" s="179"/>
      <c r="M134" s="179"/>
    </row>
    <row r="135" spans="1:13" s="180" customFormat="1" ht="12.75">
      <c r="A135" s="192" t="e">
        <f t="shared" si="13"/>
        <v>#REF!</v>
      </c>
      <c r="B135" s="175"/>
      <c r="C135" s="176" t="e">
        <f t="shared" si="9"/>
        <v>#REF!</v>
      </c>
      <c r="D135" s="177" t="e">
        <f t="shared" si="14"/>
        <v>#REF!</v>
      </c>
      <c r="E135" s="177" t="e">
        <f t="shared" si="17"/>
        <v>#REF!</v>
      </c>
      <c r="F135" s="178" t="e">
        <f t="shared" si="10"/>
        <v>#REF!</v>
      </c>
      <c r="G135" s="177" t="e">
        <f t="shared" si="11"/>
        <v>#REF!</v>
      </c>
      <c r="H135" s="177" t="e">
        <f t="shared" si="15"/>
        <v>#REF!</v>
      </c>
      <c r="I135" s="177" t="e">
        <f t="shared" si="16"/>
        <v>#REF!</v>
      </c>
      <c r="J135" s="177" t="e">
        <f t="shared" si="12"/>
        <v>#REF!</v>
      </c>
      <c r="K135" s="177" t="e">
        <f>SUM($I$17:$I135)</f>
        <v>#REF!</v>
      </c>
      <c r="L135" s="179"/>
      <c r="M135" s="179"/>
    </row>
    <row r="136" spans="1:13" s="180" customFormat="1" ht="12.75">
      <c r="A136" s="192" t="e">
        <f t="shared" si="13"/>
        <v>#REF!</v>
      </c>
      <c r="B136" s="175"/>
      <c r="C136" s="176" t="e">
        <f t="shared" si="9"/>
        <v>#REF!</v>
      </c>
      <c r="D136" s="177" t="e">
        <f t="shared" si="14"/>
        <v>#REF!</v>
      </c>
      <c r="E136" s="177" t="e">
        <f t="shared" si="17"/>
        <v>#REF!</v>
      </c>
      <c r="F136" s="178" t="e">
        <f t="shared" si="10"/>
        <v>#REF!</v>
      </c>
      <c r="G136" s="177" t="e">
        <f t="shared" si="11"/>
        <v>#REF!</v>
      </c>
      <c r="H136" s="177" t="e">
        <f t="shared" si="15"/>
        <v>#REF!</v>
      </c>
      <c r="I136" s="177" t="e">
        <f t="shared" si="16"/>
        <v>#REF!</v>
      </c>
      <c r="J136" s="177" t="e">
        <f t="shared" si="12"/>
        <v>#REF!</v>
      </c>
      <c r="K136" s="177" t="e">
        <f>SUM($I$17:$I136)</f>
        <v>#REF!</v>
      </c>
      <c r="L136" s="179"/>
      <c r="M136" s="179"/>
    </row>
    <row r="137" spans="1:13" s="180" customFormat="1" ht="12.75">
      <c r="A137" s="192" t="e">
        <f t="shared" si="13"/>
        <v>#REF!</v>
      </c>
      <c r="B137" s="175"/>
      <c r="C137" s="176" t="e">
        <f t="shared" si="9"/>
        <v>#REF!</v>
      </c>
      <c r="D137" s="177" t="e">
        <f t="shared" si="14"/>
        <v>#REF!</v>
      </c>
      <c r="E137" s="177" t="e">
        <f t="shared" si="17"/>
        <v>#REF!</v>
      </c>
      <c r="F137" s="178" t="e">
        <f t="shared" si="10"/>
        <v>#REF!</v>
      </c>
      <c r="G137" s="177" t="e">
        <f t="shared" si="11"/>
        <v>#REF!</v>
      </c>
      <c r="H137" s="177" t="e">
        <f t="shared" si="15"/>
        <v>#REF!</v>
      </c>
      <c r="I137" s="177" t="e">
        <f t="shared" si="16"/>
        <v>#REF!</v>
      </c>
      <c r="J137" s="177" t="e">
        <f t="shared" si="12"/>
        <v>#REF!</v>
      </c>
      <c r="K137" s="177" t="e">
        <f>SUM($I$17:$I137)</f>
        <v>#REF!</v>
      </c>
      <c r="L137" s="179"/>
      <c r="M137" s="179"/>
    </row>
    <row r="138" spans="1:13" s="180" customFormat="1" ht="12.75">
      <c r="A138" s="192" t="e">
        <f t="shared" si="13"/>
        <v>#REF!</v>
      </c>
      <c r="B138" s="175"/>
      <c r="C138" s="176" t="e">
        <f t="shared" si="9"/>
        <v>#REF!</v>
      </c>
      <c r="D138" s="177" t="e">
        <f t="shared" si="14"/>
        <v>#REF!</v>
      </c>
      <c r="E138" s="177" t="e">
        <f t="shared" si="17"/>
        <v>#REF!</v>
      </c>
      <c r="F138" s="178" t="e">
        <f t="shared" si="10"/>
        <v>#REF!</v>
      </c>
      <c r="G138" s="177" t="e">
        <f t="shared" si="11"/>
        <v>#REF!</v>
      </c>
      <c r="H138" s="177" t="e">
        <f t="shared" si="15"/>
        <v>#REF!</v>
      </c>
      <c r="I138" s="177" t="e">
        <f t="shared" si="16"/>
        <v>#REF!</v>
      </c>
      <c r="J138" s="177" t="e">
        <f t="shared" si="12"/>
        <v>#REF!</v>
      </c>
      <c r="K138" s="177" t="e">
        <f>SUM($I$17:$I138)</f>
        <v>#REF!</v>
      </c>
      <c r="L138" s="179"/>
      <c r="M138" s="179"/>
    </row>
    <row r="139" spans="1:13" s="180" customFormat="1" ht="12.75">
      <c r="A139" s="192" t="e">
        <f t="shared" si="13"/>
        <v>#REF!</v>
      </c>
      <c r="B139" s="175"/>
      <c r="C139" s="176" t="e">
        <f t="shared" si="9"/>
        <v>#REF!</v>
      </c>
      <c r="D139" s="177" t="e">
        <f t="shared" si="14"/>
        <v>#REF!</v>
      </c>
      <c r="E139" s="177" t="e">
        <f t="shared" si="17"/>
        <v>#REF!</v>
      </c>
      <c r="F139" s="178" t="e">
        <f t="shared" si="10"/>
        <v>#REF!</v>
      </c>
      <c r="G139" s="177" t="e">
        <f t="shared" si="11"/>
        <v>#REF!</v>
      </c>
      <c r="H139" s="177" t="e">
        <f t="shared" si="15"/>
        <v>#REF!</v>
      </c>
      <c r="I139" s="177" t="e">
        <f t="shared" si="16"/>
        <v>#REF!</v>
      </c>
      <c r="J139" s="177" t="e">
        <f t="shared" si="12"/>
        <v>#REF!</v>
      </c>
      <c r="K139" s="177" t="e">
        <f>SUM($I$17:$I139)</f>
        <v>#REF!</v>
      </c>
      <c r="L139" s="179"/>
      <c r="M139" s="179"/>
    </row>
    <row r="140" spans="1:13" s="180" customFormat="1" ht="12.75">
      <c r="A140" s="192" t="e">
        <f t="shared" si="13"/>
        <v>#REF!</v>
      </c>
      <c r="B140" s="175"/>
      <c r="C140" s="176" t="e">
        <f t="shared" si="9"/>
        <v>#REF!</v>
      </c>
      <c r="D140" s="177" t="e">
        <f t="shared" si="14"/>
        <v>#REF!</v>
      </c>
      <c r="E140" s="177" t="e">
        <f t="shared" si="17"/>
        <v>#REF!</v>
      </c>
      <c r="F140" s="178" t="e">
        <f t="shared" si="10"/>
        <v>#REF!</v>
      </c>
      <c r="G140" s="177" t="e">
        <f t="shared" si="11"/>
        <v>#REF!</v>
      </c>
      <c r="H140" s="177" t="e">
        <f t="shared" si="15"/>
        <v>#REF!</v>
      </c>
      <c r="I140" s="177" t="e">
        <f t="shared" si="16"/>
        <v>#REF!</v>
      </c>
      <c r="J140" s="177" t="e">
        <f t="shared" si="12"/>
        <v>#REF!</v>
      </c>
      <c r="K140" s="177" t="e">
        <f>SUM($I$17:$I140)</f>
        <v>#REF!</v>
      </c>
      <c r="L140" s="179"/>
      <c r="M140" s="179"/>
    </row>
    <row r="141" spans="1:13" s="180" customFormat="1" ht="12.75">
      <c r="A141" s="192" t="e">
        <f t="shared" si="13"/>
        <v>#REF!</v>
      </c>
      <c r="B141" s="175"/>
      <c r="C141" s="176" t="e">
        <f t="shared" si="9"/>
        <v>#REF!</v>
      </c>
      <c r="D141" s="177" t="e">
        <f t="shared" si="14"/>
        <v>#REF!</v>
      </c>
      <c r="E141" s="177" t="e">
        <f t="shared" si="17"/>
        <v>#REF!</v>
      </c>
      <c r="F141" s="178" t="e">
        <f t="shared" si="10"/>
        <v>#REF!</v>
      </c>
      <c r="G141" s="177" t="e">
        <f t="shared" si="11"/>
        <v>#REF!</v>
      </c>
      <c r="H141" s="177" t="e">
        <f t="shared" si="15"/>
        <v>#REF!</v>
      </c>
      <c r="I141" s="177" t="e">
        <f t="shared" si="16"/>
        <v>#REF!</v>
      </c>
      <c r="J141" s="177" t="e">
        <f t="shared" si="12"/>
        <v>#REF!</v>
      </c>
      <c r="K141" s="177" t="e">
        <f>SUM($I$17:$I141)</f>
        <v>#REF!</v>
      </c>
      <c r="L141" s="179"/>
      <c r="M141" s="179"/>
    </row>
    <row r="142" spans="1:13" s="180" customFormat="1" ht="12.75">
      <c r="A142" s="192" t="e">
        <f t="shared" si="13"/>
        <v>#REF!</v>
      </c>
      <c r="B142" s="175"/>
      <c r="C142" s="176" t="e">
        <f t="shared" si="9"/>
        <v>#REF!</v>
      </c>
      <c r="D142" s="177" t="e">
        <f t="shared" si="14"/>
        <v>#REF!</v>
      </c>
      <c r="E142" s="177" t="e">
        <f t="shared" si="17"/>
        <v>#REF!</v>
      </c>
      <c r="F142" s="178" t="e">
        <f t="shared" si="10"/>
        <v>#REF!</v>
      </c>
      <c r="G142" s="177" t="e">
        <f t="shared" si="11"/>
        <v>#REF!</v>
      </c>
      <c r="H142" s="177" t="e">
        <f t="shared" si="15"/>
        <v>#REF!</v>
      </c>
      <c r="I142" s="177" t="e">
        <f t="shared" si="16"/>
        <v>#REF!</v>
      </c>
      <c r="J142" s="177" t="e">
        <f t="shared" si="12"/>
        <v>#REF!</v>
      </c>
      <c r="K142" s="177" t="e">
        <f>SUM($I$17:$I142)</f>
        <v>#REF!</v>
      </c>
      <c r="L142" s="179"/>
      <c r="M142" s="179"/>
    </row>
    <row r="143" spans="1:13" s="180" customFormat="1" ht="12.75">
      <c r="A143" s="192" t="e">
        <f t="shared" si="13"/>
        <v>#REF!</v>
      </c>
      <c r="B143" s="175"/>
      <c r="C143" s="176" t="e">
        <f t="shared" si="9"/>
        <v>#REF!</v>
      </c>
      <c r="D143" s="177" t="e">
        <f t="shared" si="14"/>
        <v>#REF!</v>
      </c>
      <c r="E143" s="177" t="e">
        <f t="shared" si="17"/>
        <v>#REF!</v>
      </c>
      <c r="F143" s="178" t="e">
        <f t="shared" si="10"/>
        <v>#REF!</v>
      </c>
      <c r="G143" s="177" t="e">
        <f t="shared" si="11"/>
        <v>#REF!</v>
      </c>
      <c r="H143" s="177" t="e">
        <f t="shared" si="15"/>
        <v>#REF!</v>
      </c>
      <c r="I143" s="177" t="e">
        <f t="shared" si="16"/>
        <v>#REF!</v>
      </c>
      <c r="J143" s="177" t="e">
        <f t="shared" si="12"/>
        <v>#REF!</v>
      </c>
      <c r="K143" s="177" t="e">
        <f>SUM($I$17:$I143)</f>
        <v>#REF!</v>
      </c>
      <c r="L143" s="179"/>
      <c r="M143" s="179"/>
    </row>
    <row r="144" spans="1:13" s="180" customFormat="1" ht="12.75">
      <c r="A144" s="192" t="e">
        <f t="shared" si="13"/>
        <v>#REF!</v>
      </c>
      <c r="B144" s="175"/>
      <c r="C144" s="176" t="e">
        <f t="shared" si="9"/>
        <v>#REF!</v>
      </c>
      <c r="D144" s="177" t="e">
        <f t="shared" si="14"/>
        <v>#REF!</v>
      </c>
      <c r="E144" s="177" t="e">
        <f t="shared" si="17"/>
        <v>#REF!</v>
      </c>
      <c r="F144" s="178" t="e">
        <f t="shared" si="10"/>
        <v>#REF!</v>
      </c>
      <c r="G144" s="177" t="e">
        <f t="shared" si="11"/>
        <v>#REF!</v>
      </c>
      <c r="H144" s="177" t="e">
        <f t="shared" si="15"/>
        <v>#REF!</v>
      </c>
      <c r="I144" s="177" t="e">
        <f t="shared" si="16"/>
        <v>#REF!</v>
      </c>
      <c r="J144" s="177" t="e">
        <f t="shared" si="12"/>
        <v>#REF!</v>
      </c>
      <c r="K144" s="177" t="e">
        <f>SUM($I$17:$I144)</f>
        <v>#REF!</v>
      </c>
      <c r="L144" s="179"/>
      <c r="M144" s="179"/>
    </row>
    <row r="145" spans="1:13" s="180" customFormat="1" ht="12.75">
      <c r="A145" s="192" t="e">
        <f t="shared" si="13"/>
        <v>#REF!</v>
      </c>
      <c r="B145" s="175"/>
      <c r="C145" s="176" t="e">
        <f t="shared" ref="C145:C208" si="18">IF(Pay_Num&lt;&gt;"",DATE(YEAR(Loan_Start),MONTH(Loan_Start)+(Pay_Num)*12/Num_Pmt_Per_Year,DAY(Loan_Start)),"")</f>
        <v>#REF!</v>
      </c>
      <c r="D145" s="177" t="e">
        <f t="shared" si="14"/>
        <v>#REF!</v>
      </c>
      <c r="E145" s="177" t="e">
        <f t="shared" si="17"/>
        <v>#REF!</v>
      </c>
      <c r="F145" s="178" t="e">
        <f t="shared" ref="F145:F208" si="19">IF(AND(Pay_Num&lt;&gt;"",Sched_Pay+Scheduled_Extra_Payments&lt;Beg_Bal),Scheduled_Extra_Payments,IF(AND(Pay_Num&lt;&gt;"",Beg_Bal-Sched_Pay&gt;0),Beg_Bal-Sched_Pay,IF(Pay_Num&lt;&gt;"",0,"")))</f>
        <v>#REF!</v>
      </c>
      <c r="G145" s="177" t="e">
        <f t="shared" ref="G145:G208" si="20">IF(AND(Pay_Num&lt;&gt;"",Sched_Pay+Extra_Pay&lt;Beg_Bal),Sched_Pay+Extra_Pay,IF(Pay_Num&lt;&gt;"",Beg_Bal,""))</f>
        <v>#REF!</v>
      </c>
      <c r="H145" s="177" t="e">
        <f t="shared" si="15"/>
        <v>#REF!</v>
      </c>
      <c r="I145" s="177" t="e">
        <f t="shared" si="16"/>
        <v>#REF!</v>
      </c>
      <c r="J145" s="177" t="e">
        <f t="shared" ref="J145:J208" si="21">IF(AND(Pay_Num&lt;&gt;"",Sched_Pay+Extra_Pay&lt;Beg_Bal),Beg_Bal-Princ,IF(Pay_Num&lt;&gt;"",0,""))</f>
        <v>#REF!</v>
      </c>
      <c r="K145" s="177" t="e">
        <f>SUM($I$17:$I145)</f>
        <v>#REF!</v>
      </c>
      <c r="L145" s="179"/>
      <c r="M145" s="179"/>
    </row>
    <row r="146" spans="1:13" s="180" customFormat="1" ht="12.75">
      <c r="A146" s="192" t="e">
        <f t="shared" ref="A146:A209" si="22">IF(Values_Entered,A145+1,"")</f>
        <v>#REF!</v>
      </c>
      <c r="B146" s="175"/>
      <c r="C146" s="176" t="e">
        <f t="shared" si="18"/>
        <v>#REF!</v>
      </c>
      <c r="D146" s="177" t="e">
        <f t="shared" ref="D146:D209" si="23">IF(Pay_Num&lt;&gt;"",J145,"")</f>
        <v>#REF!</v>
      </c>
      <c r="E146" s="177" t="e">
        <f t="shared" si="17"/>
        <v>#REF!</v>
      </c>
      <c r="F146" s="178" t="e">
        <f t="shared" si="19"/>
        <v>#REF!</v>
      </c>
      <c r="G146" s="177" t="e">
        <f t="shared" si="20"/>
        <v>#REF!</v>
      </c>
      <c r="H146" s="177" t="e">
        <f t="shared" ref="H146:H209" si="24">IF(Pay_Num&lt;&gt;"",Total_Pay-Int,"")</f>
        <v>#REF!</v>
      </c>
      <c r="I146" s="177" t="e">
        <f t="shared" ref="I146:I209" si="25">IF(Pay_Num&lt;&gt;"",Beg_Bal*Interest_Rate/Num_Pmt_Per_Year,"")</f>
        <v>#REF!</v>
      </c>
      <c r="J146" s="177" t="e">
        <f t="shared" si="21"/>
        <v>#REF!</v>
      </c>
      <c r="K146" s="177" t="e">
        <f>SUM($I$17:$I146)</f>
        <v>#REF!</v>
      </c>
      <c r="L146" s="179"/>
      <c r="M146" s="179"/>
    </row>
    <row r="147" spans="1:13" s="180" customFormat="1" ht="12.75">
      <c r="A147" s="192" t="e">
        <f t="shared" si="22"/>
        <v>#REF!</v>
      </c>
      <c r="B147" s="175"/>
      <c r="C147" s="176" t="e">
        <f t="shared" si="18"/>
        <v>#REF!</v>
      </c>
      <c r="D147" s="177" t="e">
        <f t="shared" si="23"/>
        <v>#REF!</v>
      </c>
      <c r="E147" s="177" t="e">
        <f t="shared" ref="E147:E210" si="26">IF(Pay_Num&lt;&gt;"",Scheduled_Monthly_Payment,"")</f>
        <v>#REF!</v>
      </c>
      <c r="F147" s="178" t="e">
        <f t="shared" si="19"/>
        <v>#REF!</v>
      </c>
      <c r="G147" s="177" t="e">
        <f t="shared" si="20"/>
        <v>#REF!</v>
      </c>
      <c r="H147" s="177" t="e">
        <f t="shared" si="24"/>
        <v>#REF!</v>
      </c>
      <c r="I147" s="177" t="e">
        <f t="shared" si="25"/>
        <v>#REF!</v>
      </c>
      <c r="J147" s="177" t="e">
        <f t="shared" si="21"/>
        <v>#REF!</v>
      </c>
      <c r="K147" s="177" t="e">
        <f>SUM($I$17:$I147)</f>
        <v>#REF!</v>
      </c>
      <c r="L147" s="179"/>
      <c r="M147" s="179"/>
    </row>
    <row r="148" spans="1:13" s="180" customFormat="1" ht="12.75">
      <c r="A148" s="192" t="e">
        <f t="shared" si="22"/>
        <v>#REF!</v>
      </c>
      <c r="B148" s="175"/>
      <c r="C148" s="176" t="e">
        <f t="shared" si="18"/>
        <v>#REF!</v>
      </c>
      <c r="D148" s="177" t="e">
        <f t="shared" si="23"/>
        <v>#REF!</v>
      </c>
      <c r="E148" s="177" t="e">
        <f t="shared" si="26"/>
        <v>#REF!</v>
      </c>
      <c r="F148" s="178" t="e">
        <f t="shared" si="19"/>
        <v>#REF!</v>
      </c>
      <c r="G148" s="177" t="e">
        <f t="shared" si="20"/>
        <v>#REF!</v>
      </c>
      <c r="H148" s="177" t="e">
        <f t="shared" si="24"/>
        <v>#REF!</v>
      </c>
      <c r="I148" s="177" t="e">
        <f t="shared" si="25"/>
        <v>#REF!</v>
      </c>
      <c r="J148" s="177" t="e">
        <f t="shared" si="21"/>
        <v>#REF!</v>
      </c>
      <c r="K148" s="177" t="e">
        <f>SUM($I$17:$I148)</f>
        <v>#REF!</v>
      </c>
      <c r="L148" s="179"/>
      <c r="M148" s="179"/>
    </row>
    <row r="149" spans="1:13" s="180" customFormat="1" ht="12.75">
      <c r="A149" s="192" t="e">
        <f t="shared" si="22"/>
        <v>#REF!</v>
      </c>
      <c r="B149" s="175"/>
      <c r="C149" s="176" t="e">
        <f t="shared" si="18"/>
        <v>#REF!</v>
      </c>
      <c r="D149" s="177" t="e">
        <f t="shared" si="23"/>
        <v>#REF!</v>
      </c>
      <c r="E149" s="177" t="e">
        <f t="shared" si="26"/>
        <v>#REF!</v>
      </c>
      <c r="F149" s="178" t="e">
        <f t="shared" si="19"/>
        <v>#REF!</v>
      </c>
      <c r="G149" s="177" t="e">
        <f t="shared" si="20"/>
        <v>#REF!</v>
      </c>
      <c r="H149" s="177" t="e">
        <f t="shared" si="24"/>
        <v>#REF!</v>
      </c>
      <c r="I149" s="177" t="e">
        <f t="shared" si="25"/>
        <v>#REF!</v>
      </c>
      <c r="J149" s="177" t="e">
        <f t="shared" si="21"/>
        <v>#REF!</v>
      </c>
      <c r="K149" s="177" t="e">
        <f>SUM($I$17:$I149)</f>
        <v>#REF!</v>
      </c>
      <c r="L149" s="179"/>
      <c r="M149" s="179"/>
    </row>
    <row r="150" spans="1:13" s="180" customFormat="1" ht="12.75">
      <c r="A150" s="192" t="e">
        <f t="shared" si="22"/>
        <v>#REF!</v>
      </c>
      <c r="B150" s="175"/>
      <c r="C150" s="176" t="e">
        <f t="shared" si="18"/>
        <v>#REF!</v>
      </c>
      <c r="D150" s="177" t="e">
        <f t="shared" si="23"/>
        <v>#REF!</v>
      </c>
      <c r="E150" s="177" t="e">
        <f t="shared" si="26"/>
        <v>#REF!</v>
      </c>
      <c r="F150" s="178" t="e">
        <f t="shared" si="19"/>
        <v>#REF!</v>
      </c>
      <c r="G150" s="177" t="e">
        <f t="shared" si="20"/>
        <v>#REF!</v>
      </c>
      <c r="H150" s="177" t="e">
        <f t="shared" si="24"/>
        <v>#REF!</v>
      </c>
      <c r="I150" s="177" t="e">
        <f t="shared" si="25"/>
        <v>#REF!</v>
      </c>
      <c r="J150" s="177" t="e">
        <f t="shared" si="21"/>
        <v>#REF!</v>
      </c>
      <c r="K150" s="177" t="e">
        <f>SUM($I$17:$I150)</f>
        <v>#REF!</v>
      </c>
      <c r="L150" s="179"/>
      <c r="M150" s="179"/>
    </row>
    <row r="151" spans="1:13" s="180" customFormat="1" ht="12.75">
      <c r="A151" s="192" t="e">
        <f t="shared" si="22"/>
        <v>#REF!</v>
      </c>
      <c r="B151" s="175"/>
      <c r="C151" s="176" t="e">
        <f t="shared" si="18"/>
        <v>#REF!</v>
      </c>
      <c r="D151" s="177" t="e">
        <f t="shared" si="23"/>
        <v>#REF!</v>
      </c>
      <c r="E151" s="177" t="e">
        <f t="shared" si="26"/>
        <v>#REF!</v>
      </c>
      <c r="F151" s="178" t="e">
        <f t="shared" si="19"/>
        <v>#REF!</v>
      </c>
      <c r="G151" s="177" t="e">
        <f t="shared" si="20"/>
        <v>#REF!</v>
      </c>
      <c r="H151" s="177" t="e">
        <f t="shared" si="24"/>
        <v>#REF!</v>
      </c>
      <c r="I151" s="177" t="e">
        <f t="shared" si="25"/>
        <v>#REF!</v>
      </c>
      <c r="J151" s="177" t="e">
        <f t="shared" si="21"/>
        <v>#REF!</v>
      </c>
      <c r="K151" s="177" t="e">
        <f>SUM($I$17:$I151)</f>
        <v>#REF!</v>
      </c>
      <c r="L151" s="179"/>
      <c r="M151" s="179"/>
    </row>
    <row r="152" spans="1:13" s="180" customFormat="1" ht="12.75">
      <c r="A152" s="192" t="e">
        <f t="shared" si="22"/>
        <v>#REF!</v>
      </c>
      <c r="B152" s="175"/>
      <c r="C152" s="176" t="e">
        <f t="shared" si="18"/>
        <v>#REF!</v>
      </c>
      <c r="D152" s="177" t="e">
        <f t="shared" si="23"/>
        <v>#REF!</v>
      </c>
      <c r="E152" s="177" t="e">
        <f t="shared" si="26"/>
        <v>#REF!</v>
      </c>
      <c r="F152" s="178" t="e">
        <f t="shared" si="19"/>
        <v>#REF!</v>
      </c>
      <c r="G152" s="177" t="e">
        <f t="shared" si="20"/>
        <v>#REF!</v>
      </c>
      <c r="H152" s="177" t="e">
        <f t="shared" si="24"/>
        <v>#REF!</v>
      </c>
      <c r="I152" s="177" t="e">
        <f t="shared" si="25"/>
        <v>#REF!</v>
      </c>
      <c r="J152" s="177" t="e">
        <f t="shared" si="21"/>
        <v>#REF!</v>
      </c>
      <c r="K152" s="177" t="e">
        <f>SUM($I$17:$I152)</f>
        <v>#REF!</v>
      </c>
      <c r="L152" s="179"/>
      <c r="M152" s="179"/>
    </row>
    <row r="153" spans="1:13" s="180" customFormat="1" ht="12.75">
      <c r="A153" s="192" t="e">
        <f t="shared" si="22"/>
        <v>#REF!</v>
      </c>
      <c r="B153" s="175"/>
      <c r="C153" s="176" t="e">
        <f t="shared" si="18"/>
        <v>#REF!</v>
      </c>
      <c r="D153" s="177" t="e">
        <f t="shared" si="23"/>
        <v>#REF!</v>
      </c>
      <c r="E153" s="177" t="e">
        <f t="shared" si="26"/>
        <v>#REF!</v>
      </c>
      <c r="F153" s="178" t="e">
        <f t="shared" si="19"/>
        <v>#REF!</v>
      </c>
      <c r="G153" s="177" t="e">
        <f t="shared" si="20"/>
        <v>#REF!</v>
      </c>
      <c r="H153" s="177" t="e">
        <f t="shared" si="24"/>
        <v>#REF!</v>
      </c>
      <c r="I153" s="177" t="e">
        <f t="shared" si="25"/>
        <v>#REF!</v>
      </c>
      <c r="J153" s="177" t="e">
        <f t="shared" si="21"/>
        <v>#REF!</v>
      </c>
      <c r="K153" s="177" t="e">
        <f>SUM($I$17:$I153)</f>
        <v>#REF!</v>
      </c>
      <c r="L153" s="179"/>
      <c r="M153" s="179"/>
    </row>
    <row r="154" spans="1:13" s="180" customFormat="1" ht="12.75">
      <c r="A154" s="192" t="e">
        <f t="shared" si="22"/>
        <v>#REF!</v>
      </c>
      <c r="B154" s="175"/>
      <c r="C154" s="176" t="e">
        <f t="shared" si="18"/>
        <v>#REF!</v>
      </c>
      <c r="D154" s="177" t="e">
        <f t="shared" si="23"/>
        <v>#REF!</v>
      </c>
      <c r="E154" s="177" t="e">
        <f t="shared" si="26"/>
        <v>#REF!</v>
      </c>
      <c r="F154" s="178" t="e">
        <f t="shared" si="19"/>
        <v>#REF!</v>
      </c>
      <c r="G154" s="177" t="e">
        <f t="shared" si="20"/>
        <v>#REF!</v>
      </c>
      <c r="H154" s="177" t="e">
        <f t="shared" si="24"/>
        <v>#REF!</v>
      </c>
      <c r="I154" s="177" t="e">
        <f t="shared" si="25"/>
        <v>#REF!</v>
      </c>
      <c r="J154" s="177" t="e">
        <f t="shared" si="21"/>
        <v>#REF!</v>
      </c>
      <c r="K154" s="177" t="e">
        <f>SUM($I$17:$I154)</f>
        <v>#REF!</v>
      </c>
      <c r="L154" s="179"/>
      <c r="M154" s="179"/>
    </row>
    <row r="155" spans="1:13" s="180" customFormat="1" ht="12.75">
      <c r="A155" s="192" t="e">
        <f t="shared" si="22"/>
        <v>#REF!</v>
      </c>
      <c r="B155" s="175"/>
      <c r="C155" s="176" t="e">
        <f t="shared" si="18"/>
        <v>#REF!</v>
      </c>
      <c r="D155" s="177" t="e">
        <f t="shared" si="23"/>
        <v>#REF!</v>
      </c>
      <c r="E155" s="177" t="e">
        <f t="shared" si="26"/>
        <v>#REF!</v>
      </c>
      <c r="F155" s="178" t="e">
        <f t="shared" si="19"/>
        <v>#REF!</v>
      </c>
      <c r="G155" s="177" t="e">
        <f t="shared" si="20"/>
        <v>#REF!</v>
      </c>
      <c r="H155" s="177" t="e">
        <f t="shared" si="24"/>
        <v>#REF!</v>
      </c>
      <c r="I155" s="177" t="e">
        <f t="shared" si="25"/>
        <v>#REF!</v>
      </c>
      <c r="J155" s="177" t="e">
        <f t="shared" si="21"/>
        <v>#REF!</v>
      </c>
      <c r="K155" s="177" t="e">
        <f>SUM($I$17:$I155)</f>
        <v>#REF!</v>
      </c>
      <c r="L155" s="179"/>
      <c r="M155" s="179"/>
    </row>
    <row r="156" spans="1:13" s="180" customFormat="1" ht="12.75">
      <c r="A156" s="192" t="e">
        <f t="shared" si="22"/>
        <v>#REF!</v>
      </c>
      <c r="B156" s="175"/>
      <c r="C156" s="176" t="e">
        <f t="shared" si="18"/>
        <v>#REF!</v>
      </c>
      <c r="D156" s="177" t="e">
        <f t="shared" si="23"/>
        <v>#REF!</v>
      </c>
      <c r="E156" s="177" t="e">
        <f t="shared" si="26"/>
        <v>#REF!</v>
      </c>
      <c r="F156" s="178" t="e">
        <f t="shared" si="19"/>
        <v>#REF!</v>
      </c>
      <c r="G156" s="177" t="e">
        <f t="shared" si="20"/>
        <v>#REF!</v>
      </c>
      <c r="H156" s="177" t="e">
        <f t="shared" si="24"/>
        <v>#REF!</v>
      </c>
      <c r="I156" s="177" t="e">
        <f t="shared" si="25"/>
        <v>#REF!</v>
      </c>
      <c r="J156" s="177" t="e">
        <f t="shared" si="21"/>
        <v>#REF!</v>
      </c>
      <c r="K156" s="177" t="e">
        <f>SUM($I$17:$I156)</f>
        <v>#REF!</v>
      </c>
      <c r="L156" s="179"/>
      <c r="M156" s="179"/>
    </row>
    <row r="157" spans="1:13" s="180" customFormat="1" ht="12.75">
      <c r="A157" s="192" t="e">
        <f t="shared" si="22"/>
        <v>#REF!</v>
      </c>
      <c r="B157" s="175"/>
      <c r="C157" s="176" t="e">
        <f t="shared" si="18"/>
        <v>#REF!</v>
      </c>
      <c r="D157" s="177" t="e">
        <f t="shared" si="23"/>
        <v>#REF!</v>
      </c>
      <c r="E157" s="177" t="e">
        <f t="shared" si="26"/>
        <v>#REF!</v>
      </c>
      <c r="F157" s="178" t="e">
        <f t="shared" si="19"/>
        <v>#REF!</v>
      </c>
      <c r="G157" s="177" t="e">
        <f t="shared" si="20"/>
        <v>#REF!</v>
      </c>
      <c r="H157" s="177" t="e">
        <f t="shared" si="24"/>
        <v>#REF!</v>
      </c>
      <c r="I157" s="177" t="e">
        <f t="shared" si="25"/>
        <v>#REF!</v>
      </c>
      <c r="J157" s="177" t="e">
        <f t="shared" si="21"/>
        <v>#REF!</v>
      </c>
      <c r="K157" s="177" t="e">
        <f>SUM($I$17:$I157)</f>
        <v>#REF!</v>
      </c>
      <c r="L157" s="179"/>
      <c r="M157" s="179"/>
    </row>
    <row r="158" spans="1:13" s="180" customFormat="1" ht="12.75">
      <c r="A158" s="192" t="e">
        <f t="shared" si="22"/>
        <v>#REF!</v>
      </c>
      <c r="B158" s="175"/>
      <c r="C158" s="176" t="e">
        <f t="shared" si="18"/>
        <v>#REF!</v>
      </c>
      <c r="D158" s="177" t="e">
        <f t="shared" si="23"/>
        <v>#REF!</v>
      </c>
      <c r="E158" s="177" t="e">
        <f t="shared" si="26"/>
        <v>#REF!</v>
      </c>
      <c r="F158" s="178" t="e">
        <f t="shared" si="19"/>
        <v>#REF!</v>
      </c>
      <c r="G158" s="177" t="e">
        <f t="shared" si="20"/>
        <v>#REF!</v>
      </c>
      <c r="H158" s="177" t="e">
        <f t="shared" si="24"/>
        <v>#REF!</v>
      </c>
      <c r="I158" s="177" t="e">
        <f t="shared" si="25"/>
        <v>#REF!</v>
      </c>
      <c r="J158" s="177" t="e">
        <f t="shared" si="21"/>
        <v>#REF!</v>
      </c>
      <c r="K158" s="177" t="e">
        <f>SUM($I$17:$I158)</f>
        <v>#REF!</v>
      </c>
      <c r="L158" s="179"/>
      <c r="M158" s="179"/>
    </row>
    <row r="159" spans="1:13" s="180" customFormat="1" ht="12.75">
      <c r="A159" s="192" t="e">
        <f t="shared" si="22"/>
        <v>#REF!</v>
      </c>
      <c r="B159" s="175"/>
      <c r="C159" s="176" t="e">
        <f t="shared" si="18"/>
        <v>#REF!</v>
      </c>
      <c r="D159" s="177" t="e">
        <f t="shared" si="23"/>
        <v>#REF!</v>
      </c>
      <c r="E159" s="177" t="e">
        <f t="shared" si="26"/>
        <v>#REF!</v>
      </c>
      <c r="F159" s="178" t="e">
        <f t="shared" si="19"/>
        <v>#REF!</v>
      </c>
      <c r="G159" s="177" t="e">
        <f t="shared" si="20"/>
        <v>#REF!</v>
      </c>
      <c r="H159" s="177" t="e">
        <f t="shared" si="24"/>
        <v>#REF!</v>
      </c>
      <c r="I159" s="177" t="e">
        <f t="shared" si="25"/>
        <v>#REF!</v>
      </c>
      <c r="J159" s="177" t="e">
        <f t="shared" si="21"/>
        <v>#REF!</v>
      </c>
      <c r="K159" s="177" t="e">
        <f>SUM($I$17:$I159)</f>
        <v>#REF!</v>
      </c>
      <c r="L159" s="179"/>
      <c r="M159" s="179"/>
    </row>
    <row r="160" spans="1:13" s="180" customFormat="1" ht="12.75">
      <c r="A160" s="192" t="e">
        <f t="shared" si="22"/>
        <v>#REF!</v>
      </c>
      <c r="B160" s="175"/>
      <c r="C160" s="176" t="e">
        <f t="shared" si="18"/>
        <v>#REF!</v>
      </c>
      <c r="D160" s="177" t="e">
        <f t="shared" si="23"/>
        <v>#REF!</v>
      </c>
      <c r="E160" s="177" t="e">
        <f t="shared" si="26"/>
        <v>#REF!</v>
      </c>
      <c r="F160" s="178" t="e">
        <f t="shared" si="19"/>
        <v>#REF!</v>
      </c>
      <c r="G160" s="177" t="e">
        <f t="shared" si="20"/>
        <v>#REF!</v>
      </c>
      <c r="H160" s="177" t="e">
        <f t="shared" si="24"/>
        <v>#REF!</v>
      </c>
      <c r="I160" s="177" t="e">
        <f t="shared" si="25"/>
        <v>#REF!</v>
      </c>
      <c r="J160" s="177" t="e">
        <f t="shared" si="21"/>
        <v>#REF!</v>
      </c>
      <c r="K160" s="177" t="e">
        <f>SUM($I$17:$I160)</f>
        <v>#REF!</v>
      </c>
      <c r="L160" s="179"/>
      <c r="M160" s="179"/>
    </row>
    <row r="161" spans="1:13" s="180" customFormat="1" ht="12.75">
      <c r="A161" s="192" t="e">
        <f t="shared" si="22"/>
        <v>#REF!</v>
      </c>
      <c r="B161" s="175"/>
      <c r="C161" s="176" t="e">
        <f t="shared" si="18"/>
        <v>#REF!</v>
      </c>
      <c r="D161" s="177" t="e">
        <f t="shared" si="23"/>
        <v>#REF!</v>
      </c>
      <c r="E161" s="177" t="e">
        <f t="shared" si="26"/>
        <v>#REF!</v>
      </c>
      <c r="F161" s="178" t="e">
        <f t="shared" si="19"/>
        <v>#REF!</v>
      </c>
      <c r="G161" s="177" t="e">
        <f t="shared" si="20"/>
        <v>#REF!</v>
      </c>
      <c r="H161" s="177" t="e">
        <f t="shared" si="24"/>
        <v>#REF!</v>
      </c>
      <c r="I161" s="177" t="e">
        <f t="shared" si="25"/>
        <v>#REF!</v>
      </c>
      <c r="J161" s="177" t="e">
        <f t="shared" si="21"/>
        <v>#REF!</v>
      </c>
      <c r="K161" s="177" t="e">
        <f>SUM($I$17:$I161)</f>
        <v>#REF!</v>
      </c>
      <c r="L161" s="179"/>
      <c r="M161" s="179"/>
    </row>
    <row r="162" spans="1:13" s="180" customFormat="1" ht="12.75">
      <c r="A162" s="192" t="e">
        <f t="shared" si="22"/>
        <v>#REF!</v>
      </c>
      <c r="B162" s="175"/>
      <c r="C162" s="176" t="e">
        <f t="shared" si="18"/>
        <v>#REF!</v>
      </c>
      <c r="D162" s="177" t="e">
        <f t="shared" si="23"/>
        <v>#REF!</v>
      </c>
      <c r="E162" s="177" t="e">
        <f t="shared" si="26"/>
        <v>#REF!</v>
      </c>
      <c r="F162" s="178" t="e">
        <f t="shared" si="19"/>
        <v>#REF!</v>
      </c>
      <c r="G162" s="177" t="e">
        <f t="shared" si="20"/>
        <v>#REF!</v>
      </c>
      <c r="H162" s="177" t="e">
        <f t="shared" si="24"/>
        <v>#REF!</v>
      </c>
      <c r="I162" s="177" t="e">
        <f t="shared" si="25"/>
        <v>#REF!</v>
      </c>
      <c r="J162" s="177" t="e">
        <f t="shared" si="21"/>
        <v>#REF!</v>
      </c>
      <c r="K162" s="177" t="e">
        <f>SUM($I$17:$I162)</f>
        <v>#REF!</v>
      </c>
      <c r="L162" s="179"/>
      <c r="M162" s="179"/>
    </row>
    <row r="163" spans="1:13" s="180" customFormat="1" ht="12.75">
      <c r="A163" s="192" t="e">
        <f t="shared" si="22"/>
        <v>#REF!</v>
      </c>
      <c r="B163" s="175"/>
      <c r="C163" s="176" t="e">
        <f t="shared" si="18"/>
        <v>#REF!</v>
      </c>
      <c r="D163" s="177" t="e">
        <f t="shared" si="23"/>
        <v>#REF!</v>
      </c>
      <c r="E163" s="177" t="e">
        <f t="shared" si="26"/>
        <v>#REF!</v>
      </c>
      <c r="F163" s="178" t="e">
        <f t="shared" si="19"/>
        <v>#REF!</v>
      </c>
      <c r="G163" s="177" t="e">
        <f t="shared" si="20"/>
        <v>#REF!</v>
      </c>
      <c r="H163" s="177" t="e">
        <f t="shared" si="24"/>
        <v>#REF!</v>
      </c>
      <c r="I163" s="177" t="e">
        <f t="shared" si="25"/>
        <v>#REF!</v>
      </c>
      <c r="J163" s="177" t="e">
        <f t="shared" si="21"/>
        <v>#REF!</v>
      </c>
      <c r="K163" s="177" t="e">
        <f>SUM($I$17:$I163)</f>
        <v>#REF!</v>
      </c>
      <c r="L163" s="179"/>
      <c r="M163" s="179"/>
    </row>
    <row r="164" spans="1:13" s="180" customFormat="1" ht="12.75">
      <c r="A164" s="192" t="e">
        <f t="shared" si="22"/>
        <v>#REF!</v>
      </c>
      <c r="B164" s="175"/>
      <c r="C164" s="176" t="e">
        <f t="shared" si="18"/>
        <v>#REF!</v>
      </c>
      <c r="D164" s="177" t="e">
        <f t="shared" si="23"/>
        <v>#REF!</v>
      </c>
      <c r="E164" s="177" t="e">
        <f t="shared" si="26"/>
        <v>#REF!</v>
      </c>
      <c r="F164" s="178" t="e">
        <f t="shared" si="19"/>
        <v>#REF!</v>
      </c>
      <c r="G164" s="177" t="e">
        <f t="shared" si="20"/>
        <v>#REF!</v>
      </c>
      <c r="H164" s="177" t="e">
        <f t="shared" si="24"/>
        <v>#REF!</v>
      </c>
      <c r="I164" s="177" t="e">
        <f t="shared" si="25"/>
        <v>#REF!</v>
      </c>
      <c r="J164" s="177" t="e">
        <f t="shared" si="21"/>
        <v>#REF!</v>
      </c>
      <c r="K164" s="177" t="e">
        <f>SUM($I$17:$I164)</f>
        <v>#REF!</v>
      </c>
      <c r="L164" s="179"/>
      <c r="M164" s="179"/>
    </row>
    <row r="165" spans="1:13" s="180" customFormat="1" ht="12.75">
      <c r="A165" s="192" t="e">
        <f t="shared" si="22"/>
        <v>#REF!</v>
      </c>
      <c r="B165" s="175"/>
      <c r="C165" s="176" t="e">
        <f t="shared" si="18"/>
        <v>#REF!</v>
      </c>
      <c r="D165" s="177" t="e">
        <f t="shared" si="23"/>
        <v>#REF!</v>
      </c>
      <c r="E165" s="177" t="e">
        <f t="shared" si="26"/>
        <v>#REF!</v>
      </c>
      <c r="F165" s="178" t="e">
        <f t="shared" si="19"/>
        <v>#REF!</v>
      </c>
      <c r="G165" s="177" t="e">
        <f t="shared" si="20"/>
        <v>#REF!</v>
      </c>
      <c r="H165" s="177" t="e">
        <f t="shared" si="24"/>
        <v>#REF!</v>
      </c>
      <c r="I165" s="177" t="e">
        <f t="shared" si="25"/>
        <v>#REF!</v>
      </c>
      <c r="J165" s="177" t="e">
        <f t="shared" si="21"/>
        <v>#REF!</v>
      </c>
      <c r="K165" s="177" t="e">
        <f>SUM($I$17:$I165)</f>
        <v>#REF!</v>
      </c>
      <c r="L165" s="179"/>
      <c r="M165" s="179"/>
    </row>
    <row r="166" spans="1:13" s="180" customFormat="1" ht="12.75">
      <c r="A166" s="192" t="e">
        <f t="shared" si="22"/>
        <v>#REF!</v>
      </c>
      <c r="B166" s="175"/>
      <c r="C166" s="176" t="e">
        <f t="shared" si="18"/>
        <v>#REF!</v>
      </c>
      <c r="D166" s="177" t="e">
        <f t="shared" si="23"/>
        <v>#REF!</v>
      </c>
      <c r="E166" s="177" t="e">
        <f t="shared" si="26"/>
        <v>#REF!</v>
      </c>
      <c r="F166" s="178" t="e">
        <f t="shared" si="19"/>
        <v>#REF!</v>
      </c>
      <c r="G166" s="177" t="e">
        <f t="shared" si="20"/>
        <v>#REF!</v>
      </c>
      <c r="H166" s="177" t="e">
        <f t="shared" si="24"/>
        <v>#REF!</v>
      </c>
      <c r="I166" s="177" t="e">
        <f t="shared" si="25"/>
        <v>#REF!</v>
      </c>
      <c r="J166" s="177" t="e">
        <f t="shared" si="21"/>
        <v>#REF!</v>
      </c>
      <c r="K166" s="177" t="e">
        <f>SUM($I$17:$I166)</f>
        <v>#REF!</v>
      </c>
      <c r="L166" s="179"/>
      <c r="M166" s="179"/>
    </row>
    <row r="167" spans="1:13" s="180" customFormat="1" ht="12.75">
      <c r="A167" s="192" t="e">
        <f t="shared" si="22"/>
        <v>#REF!</v>
      </c>
      <c r="B167" s="175"/>
      <c r="C167" s="176" t="e">
        <f t="shared" si="18"/>
        <v>#REF!</v>
      </c>
      <c r="D167" s="177" t="e">
        <f t="shared" si="23"/>
        <v>#REF!</v>
      </c>
      <c r="E167" s="177" t="e">
        <f t="shared" si="26"/>
        <v>#REF!</v>
      </c>
      <c r="F167" s="178" t="e">
        <f t="shared" si="19"/>
        <v>#REF!</v>
      </c>
      <c r="G167" s="177" t="e">
        <f t="shared" si="20"/>
        <v>#REF!</v>
      </c>
      <c r="H167" s="177" t="e">
        <f t="shared" si="24"/>
        <v>#REF!</v>
      </c>
      <c r="I167" s="177" t="e">
        <f t="shared" si="25"/>
        <v>#REF!</v>
      </c>
      <c r="J167" s="177" t="e">
        <f t="shared" si="21"/>
        <v>#REF!</v>
      </c>
      <c r="K167" s="177" t="e">
        <f>SUM($I$17:$I167)</f>
        <v>#REF!</v>
      </c>
      <c r="L167" s="179"/>
      <c r="M167" s="179"/>
    </row>
    <row r="168" spans="1:13" s="180" customFormat="1" ht="12.75">
      <c r="A168" s="192" t="e">
        <f t="shared" si="22"/>
        <v>#REF!</v>
      </c>
      <c r="B168" s="175"/>
      <c r="C168" s="176" t="e">
        <f t="shared" si="18"/>
        <v>#REF!</v>
      </c>
      <c r="D168" s="177" t="e">
        <f t="shared" si="23"/>
        <v>#REF!</v>
      </c>
      <c r="E168" s="177" t="e">
        <f t="shared" si="26"/>
        <v>#REF!</v>
      </c>
      <c r="F168" s="178" t="e">
        <f t="shared" si="19"/>
        <v>#REF!</v>
      </c>
      <c r="G168" s="177" t="e">
        <f t="shared" si="20"/>
        <v>#REF!</v>
      </c>
      <c r="H168" s="177" t="e">
        <f t="shared" si="24"/>
        <v>#REF!</v>
      </c>
      <c r="I168" s="177" t="e">
        <f t="shared" si="25"/>
        <v>#REF!</v>
      </c>
      <c r="J168" s="177" t="e">
        <f t="shared" si="21"/>
        <v>#REF!</v>
      </c>
      <c r="K168" s="177" t="e">
        <f>SUM($I$17:$I168)</f>
        <v>#REF!</v>
      </c>
      <c r="L168" s="179"/>
      <c r="M168" s="179"/>
    </row>
    <row r="169" spans="1:13" s="180" customFormat="1" ht="12.75">
      <c r="A169" s="192" t="e">
        <f t="shared" si="22"/>
        <v>#REF!</v>
      </c>
      <c r="B169" s="175"/>
      <c r="C169" s="176" t="e">
        <f t="shared" si="18"/>
        <v>#REF!</v>
      </c>
      <c r="D169" s="177" t="e">
        <f t="shared" si="23"/>
        <v>#REF!</v>
      </c>
      <c r="E169" s="177" t="e">
        <f t="shared" si="26"/>
        <v>#REF!</v>
      </c>
      <c r="F169" s="178" t="e">
        <f t="shared" si="19"/>
        <v>#REF!</v>
      </c>
      <c r="G169" s="177" t="e">
        <f t="shared" si="20"/>
        <v>#REF!</v>
      </c>
      <c r="H169" s="177" t="e">
        <f t="shared" si="24"/>
        <v>#REF!</v>
      </c>
      <c r="I169" s="177" t="e">
        <f t="shared" si="25"/>
        <v>#REF!</v>
      </c>
      <c r="J169" s="177" t="e">
        <f t="shared" si="21"/>
        <v>#REF!</v>
      </c>
      <c r="K169" s="177" t="e">
        <f>SUM($I$17:$I169)</f>
        <v>#REF!</v>
      </c>
      <c r="L169" s="179"/>
      <c r="M169" s="179"/>
    </row>
    <row r="170" spans="1:13" s="180" customFormat="1" ht="12.75">
      <c r="A170" s="192" t="e">
        <f t="shared" si="22"/>
        <v>#REF!</v>
      </c>
      <c r="B170" s="175"/>
      <c r="C170" s="176" t="e">
        <f t="shared" si="18"/>
        <v>#REF!</v>
      </c>
      <c r="D170" s="177" t="e">
        <f t="shared" si="23"/>
        <v>#REF!</v>
      </c>
      <c r="E170" s="177" t="e">
        <f t="shared" si="26"/>
        <v>#REF!</v>
      </c>
      <c r="F170" s="178" t="e">
        <f t="shared" si="19"/>
        <v>#REF!</v>
      </c>
      <c r="G170" s="177" t="e">
        <f t="shared" si="20"/>
        <v>#REF!</v>
      </c>
      <c r="H170" s="177" t="e">
        <f t="shared" si="24"/>
        <v>#REF!</v>
      </c>
      <c r="I170" s="177" t="e">
        <f t="shared" si="25"/>
        <v>#REF!</v>
      </c>
      <c r="J170" s="177" t="e">
        <f t="shared" si="21"/>
        <v>#REF!</v>
      </c>
      <c r="K170" s="177" t="e">
        <f>SUM($I$17:$I170)</f>
        <v>#REF!</v>
      </c>
      <c r="L170" s="179"/>
      <c r="M170" s="179"/>
    </row>
    <row r="171" spans="1:13" s="180" customFormat="1" ht="12.75">
      <c r="A171" s="192" t="e">
        <f t="shared" si="22"/>
        <v>#REF!</v>
      </c>
      <c r="B171" s="175"/>
      <c r="C171" s="176" t="e">
        <f t="shared" si="18"/>
        <v>#REF!</v>
      </c>
      <c r="D171" s="177" t="e">
        <f t="shared" si="23"/>
        <v>#REF!</v>
      </c>
      <c r="E171" s="177" t="e">
        <f t="shared" si="26"/>
        <v>#REF!</v>
      </c>
      <c r="F171" s="178" t="e">
        <f t="shared" si="19"/>
        <v>#REF!</v>
      </c>
      <c r="G171" s="177" t="e">
        <f t="shared" si="20"/>
        <v>#REF!</v>
      </c>
      <c r="H171" s="177" t="e">
        <f t="shared" si="24"/>
        <v>#REF!</v>
      </c>
      <c r="I171" s="177" t="e">
        <f t="shared" si="25"/>
        <v>#REF!</v>
      </c>
      <c r="J171" s="177" t="e">
        <f t="shared" si="21"/>
        <v>#REF!</v>
      </c>
      <c r="K171" s="177" t="e">
        <f>SUM($I$17:$I171)</f>
        <v>#REF!</v>
      </c>
      <c r="L171" s="179"/>
      <c r="M171" s="179"/>
    </row>
    <row r="172" spans="1:13" s="180" customFormat="1" ht="12.75">
      <c r="A172" s="192" t="e">
        <f t="shared" si="22"/>
        <v>#REF!</v>
      </c>
      <c r="B172" s="175"/>
      <c r="C172" s="176" t="e">
        <f t="shared" si="18"/>
        <v>#REF!</v>
      </c>
      <c r="D172" s="177" t="e">
        <f t="shared" si="23"/>
        <v>#REF!</v>
      </c>
      <c r="E172" s="177" t="e">
        <f t="shared" si="26"/>
        <v>#REF!</v>
      </c>
      <c r="F172" s="178" t="e">
        <f t="shared" si="19"/>
        <v>#REF!</v>
      </c>
      <c r="G172" s="177" t="e">
        <f t="shared" si="20"/>
        <v>#REF!</v>
      </c>
      <c r="H172" s="177" t="e">
        <f t="shared" si="24"/>
        <v>#REF!</v>
      </c>
      <c r="I172" s="177" t="e">
        <f t="shared" si="25"/>
        <v>#REF!</v>
      </c>
      <c r="J172" s="177" t="e">
        <f t="shared" si="21"/>
        <v>#REF!</v>
      </c>
      <c r="K172" s="177" t="e">
        <f>SUM($I$17:$I172)</f>
        <v>#REF!</v>
      </c>
      <c r="L172" s="179"/>
      <c r="M172" s="179"/>
    </row>
    <row r="173" spans="1:13" s="180" customFormat="1" ht="12.75">
      <c r="A173" s="192" t="e">
        <f t="shared" si="22"/>
        <v>#REF!</v>
      </c>
      <c r="B173" s="175"/>
      <c r="C173" s="176" t="e">
        <f t="shared" si="18"/>
        <v>#REF!</v>
      </c>
      <c r="D173" s="177" t="e">
        <f t="shared" si="23"/>
        <v>#REF!</v>
      </c>
      <c r="E173" s="177" t="e">
        <f t="shared" si="26"/>
        <v>#REF!</v>
      </c>
      <c r="F173" s="178" t="e">
        <f t="shared" si="19"/>
        <v>#REF!</v>
      </c>
      <c r="G173" s="177" t="e">
        <f t="shared" si="20"/>
        <v>#REF!</v>
      </c>
      <c r="H173" s="177" t="e">
        <f t="shared" si="24"/>
        <v>#REF!</v>
      </c>
      <c r="I173" s="177" t="e">
        <f t="shared" si="25"/>
        <v>#REF!</v>
      </c>
      <c r="J173" s="177" t="e">
        <f t="shared" si="21"/>
        <v>#REF!</v>
      </c>
      <c r="K173" s="177" t="e">
        <f>SUM($I$17:$I173)</f>
        <v>#REF!</v>
      </c>
      <c r="L173" s="179"/>
      <c r="M173" s="179"/>
    </row>
    <row r="174" spans="1:13" s="180" customFormat="1" ht="12.75">
      <c r="A174" s="192" t="e">
        <f t="shared" si="22"/>
        <v>#REF!</v>
      </c>
      <c r="B174" s="175"/>
      <c r="C174" s="176" t="e">
        <f t="shared" si="18"/>
        <v>#REF!</v>
      </c>
      <c r="D174" s="177" t="e">
        <f t="shared" si="23"/>
        <v>#REF!</v>
      </c>
      <c r="E174" s="177" t="e">
        <f t="shared" si="26"/>
        <v>#REF!</v>
      </c>
      <c r="F174" s="178" t="e">
        <f t="shared" si="19"/>
        <v>#REF!</v>
      </c>
      <c r="G174" s="177" t="e">
        <f t="shared" si="20"/>
        <v>#REF!</v>
      </c>
      <c r="H174" s="177" t="e">
        <f t="shared" si="24"/>
        <v>#REF!</v>
      </c>
      <c r="I174" s="177" t="e">
        <f t="shared" si="25"/>
        <v>#REF!</v>
      </c>
      <c r="J174" s="177" t="e">
        <f t="shared" si="21"/>
        <v>#REF!</v>
      </c>
      <c r="K174" s="177" t="e">
        <f>SUM($I$17:$I174)</f>
        <v>#REF!</v>
      </c>
      <c r="L174" s="179"/>
      <c r="M174" s="179"/>
    </row>
    <row r="175" spans="1:13" s="180" customFormat="1" ht="12.75">
      <c r="A175" s="192" t="e">
        <f t="shared" si="22"/>
        <v>#REF!</v>
      </c>
      <c r="B175" s="175"/>
      <c r="C175" s="176" t="e">
        <f t="shared" si="18"/>
        <v>#REF!</v>
      </c>
      <c r="D175" s="177" t="e">
        <f t="shared" si="23"/>
        <v>#REF!</v>
      </c>
      <c r="E175" s="177" t="e">
        <f t="shared" si="26"/>
        <v>#REF!</v>
      </c>
      <c r="F175" s="178" t="e">
        <f t="shared" si="19"/>
        <v>#REF!</v>
      </c>
      <c r="G175" s="177" t="e">
        <f t="shared" si="20"/>
        <v>#REF!</v>
      </c>
      <c r="H175" s="177" t="e">
        <f t="shared" si="24"/>
        <v>#REF!</v>
      </c>
      <c r="I175" s="177" t="e">
        <f t="shared" si="25"/>
        <v>#REF!</v>
      </c>
      <c r="J175" s="177" t="e">
        <f t="shared" si="21"/>
        <v>#REF!</v>
      </c>
      <c r="K175" s="177" t="e">
        <f>SUM($I$17:$I175)</f>
        <v>#REF!</v>
      </c>
      <c r="L175" s="179"/>
      <c r="M175" s="179"/>
    </row>
    <row r="176" spans="1:13" s="180" customFormat="1" ht="12.75">
      <c r="A176" s="192" t="e">
        <f t="shared" si="22"/>
        <v>#REF!</v>
      </c>
      <c r="B176" s="175"/>
      <c r="C176" s="176" t="e">
        <f t="shared" si="18"/>
        <v>#REF!</v>
      </c>
      <c r="D176" s="177" t="e">
        <f t="shared" si="23"/>
        <v>#REF!</v>
      </c>
      <c r="E176" s="177" t="e">
        <f t="shared" si="26"/>
        <v>#REF!</v>
      </c>
      <c r="F176" s="178" t="e">
        <f t="shared" si="19"/>
        <v>#REF!</v>
      </c>
      <c r="G176" s="177" t="e">
        <f t="shared" si="20"/>
        <v>#REF!</v>
      </c>
      <c r="H176" s="177" t="e">
        <f t="shared" si="24"/>
        <v>#REF!</v>
      </c>
      <c r="I176" s="177" t="e">
        <f t="shared" si="25"/>
        <v>#REF!</v>
      </c>
      <c r="J176" s="177" t="e">
        <f t="shared" si="21"/>
        <v>#REF!</v>
      </c>
      <c r="K176" s="177" t="e">
        <f>SUM($I$17:$I176)</f>
        <v>#REF!</v>
      </c>
      <c r="L176" s="179"/>
      <c r="M176" s="179"/>
    </row>
    <row r="177" spans="1:13" s="180" customFormat="1" ht="12.75">
      <c r="A177" s="192" t="e">
        <f t="shared" si="22"/>
        <v>#REF!</v>
      </c>
      <c r="B177" s="175"/>
      <c r="C177" s="176" t="e">
        <f t="shared" si="18"/>
        <v>#REF!</v>
      </c>
      <c r="D177" s="177" t="e">
        <f t="shared" si="23"/>
        <v>#REF!</v>
      </c>
      <c r="E177" s="177" t="e">
        <f t="shared" si="26"/>
        <v>#REF!</v>
      </c>
      <c r="F177" s="178" t="e">
        <f t="shared" si="19"/>
        <v>#REF!</v>
      </c>
      <c r="G177" s="177" t="e">
        <f t="shared" si="20"/>
        <v>#REF!</v>
      </c>
      <c r="H177" s="177" t="e">
        <f t="shared" si="24"/>
        <v>#REF!</v>
      </c>
      <c r="I177" s="177" t="e">
        <f t="shared" si="25"/>
        <v>#REF!</v>
      </c>
      <c r="J177" s="177" t="e">
        <f t="shared" si="21"/>
        <v>#REF!</v>
      </c>
      <c r="K177" s="177" t="e">
        <f>SUM($I$17:$I177)</f>
        <v>#REF!</v>
      </c>
      <c r="L177" s="179"/>
      <c r="M177" s="179"/>
    </row>
    <row r="178" spans="1:13" s="180" customFormat="1" ht="12.75">
      <c r="A178" s="192" t="e">
        <f t="shared" si="22"/>
        <v>#REF!</v>
      </c>
      <c r="B178" s="175"/>
      <c r="C178" s="176" t="e">
        <f t="shared" si="18"/>
        <v>#REF!</v>
      </c>
      <c r="D178" s="177" t="e">
        <f t="shared" si="23"/>
        <v>#REF!</v>
      </c>
      <c r="E178" s="177" t="e">
        <f t="shared" si="26"/>
        <v>#REF!</v>
      </c>
      <c r="F178" s="178" t="e">
        <f t="shared" si="19"/>
        <v>#REF!</v>
      </c>
      <c r="G178" s="177" t="e">
        <f t="shared" si="20"/>
        <v>#REF!</v>
      </c>
      <c r="H178" s="177" t="e">
        <f t="shared" si="24"/>
        <v>#REF!</v>
      </c>
      <c r="I178" s="177" t="e">
        <f t="shared" si="25"/>
        <v>#REF!</v>
      </c>
      <c r="J178" s="177" t="e">
        <f t="shared" si="21"/>
        <v>#REF!</v>
      </c>
      <c r="K178" s="177" t="e">
        <f>SUM($I$17:$I178)</f>
        <v>#REF!</v>
      </c>
      <c r="L178" s="179"/>
      <c r="M178" s="179"/>
    </row>
    <row r="179" spans="1:13" s="180" customFormat="1" ht="12.75">
      <c r="A179" s="192" t="e">
        <f t="shared" si="22"/>
        <v>#REF!</v>
      </c>
      <c r="B179" s="175"/>
      <c r="C179" s="176" t="e">
        <f t="shared" si="18"/>
        <v>#REF!</v>
      </c>
      <c r="D179" s="177" t="e">
        <f t="shared" si="23"/>
        <v>#REF!</v>
      </c>
      <c r="E179" s="177" t="e">
        <f t="shared" si="26"/>
        <v>#REF!</v>
      </c>
      <c r="F179" s="178" t="e">
        <f t="shared" si="19"/>
        <v>#REF!</v>
      </c>
      <c r="G179" s="177" t="e">
        <f t="shared" si="20"/>
        <v>#REF!</v>
      </c>
      <c r="H179" s="177" t="e">
        <f t="shared" si="24"/>
        <v>#REF!</v>
      </c>
      <c r="I179" s="177" t="e">
        <f t="shared" si="25"/>
        <v>#REF!</v>
      </c>
      <c r="J179" s="177" t="e">
        <f t="shared" si="21"/>
        <v>#REF!</v>
      </c>
      <c r="K179" s="177" t="e">
        <f>SUM($I$17:$I179)</f>
        <v>#REF!</v>
      </c>
      <c r="L179" s="179"/>
      <c r="M179" s="179"/>
    </row>
    <row r="180" spans="1:13" s="180" customFormat="1" ht="12.75">
      <c r="A180" s="192" t="e">
        <f t="shared" si="22"/>
        <v>#REF!</v>
      </c>
      <c r="B180" s="175"/>
      <c r="C180" s="176" t="e">
        <f t="shared" si="18"/>
        <v>#REF!</v>
      </c>
      <c r="D180" s="177" t="e">
        <f t="shared" si="23"/>
        <v>#REF!</v>
      </c>
      <c r="E180" s="177" t="e">
        <f t="shared" si="26"/>
        <v>#REF!</v>
      </c>
      <c r="F180" s="178" t="e">
        <f t="shared" si="19"/>
        <v>#REF!</v>
      </c>
      <c r="G180" s="177" t="e">
        <f t="shared" si="20"/>
        <v>#REF!</v>
      </c>
      <c r="H180" s="177" t="e">
        <f t="shared" si="24"/>
        <v>#REF!</v>
      </c>
      <c r="I180" s="177" t="e">
        <f t="shared" si="25"/>
        <v>#REF!</v>
      </c>
      <c r="J180" s="177" t="e">
        <f t="shared" si="21"/>
        <v>#REF!</v>
      </c>
      <c r="K180" s="177" t="e">
        <f>SUM($I$17:$I180)</f>
        <v>#REF!</v>
      </c>
      <c r="L180" s="179"/>
      <c r="M180" s="179"/>
    </row>
    <row r="181" spans="1:13" s="180" customFormat="1" ht="12.75">
      <c r="A181" s="192" t="e">
        <f t="shared" si="22"/>
        <v>#REF!</v>
      </c>
      <c r="B181" s="175"/>
      <c r="C181" s="176" t="e">
        <f t="shared" si="18"/>
        <v>#REF!</v>
      </c>
      <c r="D181" s="177" t="e">
        <f t="shared" si="23"/>
        <v>#REF!</v>
      </c>
      <c r="E181" s="177" t="e">
        <f t="shared" si="26"/>
        <v>#REF!</v>
      </c>
      <c r="F181" s="178" t="e">
        <f t="shared" si="19"/>
        <v>#REF!</v>
      </c>
      <c r="G181" s="177" t="e">
        <f t="shared" si="20"/>
        <v>#REF!</v>
      </c>
      <c r="H181" s="177" t="e">
        <f t="shared" si="24"/>
        <v>#REF!</v>
      </c>
      <c r="I181" s="177" t="e">
        <f t="shared" si="25"/>
        <v>#REF!</v>
      </c>
      <c r="J181" s="177" t="e">
        <f t="shared" si="21"/>
        <v>#REF!</v>
      </c>
      <c r="K181" s="177" t="e">
        <f>SUM($I$17:$I181)</f>
        <v>#REF!</v>
      </c>
      <c r="L181" s="179"/>
      <c r="M181" s="179"/>
    </row>
    <row r="182" spans="1:13" s="180" customFormat="1" ht="12.75">
      <c r="A182" s="192" t="e">
        <f t="shared" si="22"/>
        <v>#REF!</v>
      </c>
      <c r="B182" s="175"/>
      <c r="C182" s="176" t="e">
        <f t="shared" si="18"/>
        <v>#REF!</v>
      </c>
      <c r="D182" s="177" t="e">
        <f t="shared" si="23"/>
        <v>#REF!</v>
      </c>
      <c r="E182" s="177" t="e">
        <f t="shared" si="26"/>
        <v>#REF!</v>
      </c>
      <c r="F182" s="178" t="e">
        <f t="shared" si="19"/>
        <v>#REF!</v>
      </c>
      <c r="G182" s="177" t="e">
        <f t="shared" si="20"/>
        <v>#REF!</v>
      </c>
      <c r="H182" s="177" t="e">
        <f t="shared" si="24"/>
        <v>#REF!</v>
      </c>
      <c r="I182" s="177" t="e">
        <f t="shared" si="25"/>
        <v>#REF!</v>
      </c>
      <c r="J182" s="177" t="e">
        <f t="shared" si="21"/>
        <v>#REF!</v>
      </c>
      <c r="K182" s="177" t="e">
        <f>SUM($I$17:$I182)</f>
        <v>#REF!</v>
      </c>
      <c r="L182" s="179"/>
      <c r="M182" s="179"/>
    </row>
    <row r="183" spans="1:13" s="180" customFormat="1" ht="12.75">
      <c r="A183" s="192" t="e">
        <f t="shared" si="22"/>
        <v>#REF!</v>
      </c>
      <c r="B183" s="175"/>
      <c r="C183" s="176" t="e">
        <f t="shared" si="18"/>
        <v>#REF!</v>
      </c>
      <c r="D183" s="177" t="e">
        <f t="shared" si="23"/>
        <v>#REF!</v>
      </c>
      <c r="E183" s="177" t="e">
        <f t="shared" si="26"/>
        <v>#REF!</v>
      </c>
      <c r="F183" s="178" t="e">
        <f t="shared" si="19"/>
        <v>#REF!</v>
      </c>
      <c r="G183" s="177" t="e">
        <f t="shared" si="20"/>
        <v>#REF!</v>
      </c>
      <c r="H183" s="177" t="e">
        <f t="shared" si="24"/>
        <v>#REF!</v>
      </c>
      <c r="I183" s="177" t="e">
        <f t="shared" si="25"/>
        <v>#REF!</v>
      </c>
      <c r="J183" s="177" t="e">
        <f t="shared" si="21"/>
        <v>#REF!</v>
      </c>
      <c r="K183" s="177" t="e">
        <f>SUM($I$17:$I183)</f>
        <v>#REF!</v>
      </c>
      <c r="L183" s="179"/>
      <c r="M183" s="179"/>
    </row>
    <row r="184" spans="1:13" s="180" customFormat="1" ht="12.75">
      <c r="A184" s="192" t="e">
        <f t="shared" si="22"/>
        <v>#REF!</v>
      </c>
      <c r="B184" s="175"/>
      <c r="C184" s="176" t="e">
        <f t="shared" si="18"/>
        <v>#REF!</v>
      </c>
      <c r="D184" s="177" t="e">
        <f t="shared" si="23"/>
        <v>#REF!</v>
      </c>
      <c r="E184" s="177" t="e">
        <f t="shared" si="26"/>
        <v>#REF!</v>
      </c>
      <c r="F184" s="178" t="e">
        <f t="shared" si="19"/>
        <v>#REF!</v>
      </c>
      <c r="G184" s="177" t="e">
        <f t="shared" si="20"/>
        <v>#REF!</v>
      </c>
      <c r="H184" s="177" t="e">
        <f t="shared" si="24"/>
        <v>#REF!</v>
      </c>
      <c r="I184" s="177" t="e">
        <f t="shared" si="25"/>
        <v>#REF!</v>
      </c>
      <c r="J184" s="177" t="e">
        <f t="shared" si="21"/>
        <v>#REF!</v>
      </c>
      <c r="K184" s="177" t="e">
        <f>SUM($I$17:$I184)</f>
        <v>#REF!</v>
      </c>
      <c r="L184" s="179"/>
      <c r="M184" s="179"/>
    </row>
    <row r="185" spans="1:13" s="180" customFormat="1" ht="12.75">
      <c r="A185" s="192" t="e">
        <f t="shared" si="22"/>
        <v>#REF!</v>
      </c>
      <c r="B185" s="175"/>
      <c r="C185" s="176" t="e">
        <f t="shared" si="18"/>
        <v>#REF!</v>
      </c>
      <c r="D185" s="177" t="e">
        <f t="shared" si="23"/>
        <v>#REF!</v>
      </c>
      <c r="E185" s="177" t="e">
        <f t="shared" si="26"/>
        <v>#REF!</v>
      </c>
      <c r="F185" s="178" t="e">
        <f t="shared" si="19"/>
        <v>#REF!</v>
      </c>
      <c r="G185" s="177" t="e">
        <f t="shared" si="20"/>
        <v>#REF!</v>
      </c>
      <c r="H185" s="177" t="e">
        <f t="shared" si="24"/>
        <v>#REF!</v>
      </c>
      <c r="I185" s="177" t="e">
        <f t="shared" si="25"/>
        <v>#REF!</v>
      </c>
      <c r="J185" s="177" t="e">
        <f t="shared" si="21"/>
        <v>#REF!</v>
      </c>
      <c r="K185" s="177" t="e">
        <f>SUM($I$17:$I185)</f>
        <v>#REF!</v>
      </c>
      <c r="L185" s="179"/>
      <c r="M185" s="179"/>
    </row>
    <row r="186" spans="1:13" s="180" customFormat="1" ht="12.75">
      <c r="A186" s="192" t="e">
        <f t="shared" si="22"/>
        <v>#REF!</v>
      </c>
      <c r="B186" s="175"/>
      <c r="C186" s="176" t="e">
        <f t="shared" si="18"/>
        <v>#REF!</v>
      </c>
      <c r="D186" s="177" t="e">
        <f t="shared" si="23"/>
        <v>#REF!</v>
      </c>
      <c r="E186" s="177" t="e">
        <f t="shared" si="26"/>
        <v>#REF!</v>
      </c>
      <c r="F186" s="178" t="e">
        <f t="shared" si="19"/>
        <v>#REF!</v>
      </c>
      <c r="G186" s="177" t="e">
        <f t="shared" si="20"/>
        <v>#REF!</v>
      </c>
      <c r="H186" s="177" t="e">
        <f t="shared" si="24"/>
        <v>#REF!</v>
      </c>
      <c r="I186" s="177" t="e">
        <f t="shared" si="25"/>
        <v>#REF!</v>
      </c>
      <c r="J186" s="177" t="e">
        <f t="shared" si="21"/>
        <v>#REF!</v>
      </c>
      <c r="K186" s="177" t="e">
        <f>SUM($I$17:$I186)</f>
        <v>#REF!</v>
      </c>
      <c r="L186" s="179"/>
      <c r="M186" s="179"/>
    </row>
    <row r="187" spans="1:13" s="180" customFormat="1" ht="12.75">
      <c r="A187" s="192" t="e">
        <f t="shared" si="22"/>
        <v>#REF!</v>
      </c>
      <c r="B187" s="175"/>
      <c r="C187" s="176" t="e">
        <f t="shared" si="18"/>
        <v>#REF!</v>
      </c>
      <c r="D187" s="177" t="e">
        <f t="shared" si="23"/>
        <v>#REF!</v>
      </c>
      <c r="E187" s="177" t="e">
        <f t="shared" si="26"/>
        <v>#REF!</v>
      </c>
      <c r="F187" s="178" t="e">
        <f t="shared" si="19"/>
        <v>#REF!</v>
      </c>
      <c r="G187" s="177" t="e">
        <f t="shared" si="20"/>
        <v>#REF!</v>
      </c>
      <c r="H187" s="177" t="e">
        <f t="shared" si="24"/>
        <v>#REF!</v>
      </c>
      <c r="I187" s="177" t="e">
        <f t="shared" si="25"/>
        <v>#REF!</v>
      </c>
      <c r="J187" s="177" t="e">
        <f t="shared" si="21"/>
        <v>#REF!</v>
      </c>
      <c r="K187" s="177" t="e">
        <f>SUM($I$17:$I187)</f>
        <v>#REF!</v>
      </c>
      <c r="L187" s="179"/>
      <c r="M187" s="179"/>
    </row>
    <row r="188" spans="1:13" s="180" customFormat="1" ht="12.75">
      <c r="A188" s="192" t="e">
        <f t="shared" si="22"/>
        <v>#REF!</v>
      </c>
      <c r="B188" s="175"/>
      <c r="C188" s="176" t="e">
        <f t="shared" si="18"/>
        <v>#REF!</v>
      </c>
      <c r="D188" s="177" t="e">
        <f t="shared" si="23"/>
        <v>#REF!</v>
      </c>
      <c r="E188" s="177" t="e">
        <f t="shared" si="26"/>
        <v>#REF!</v>
      </c>
      <c r="F188" s="178" t="e">
        <f t="shared" si="19"/>
        <v>#REF!</v>
      </c>
      <c r="G188" s="177" t="e">
        <f t="shared" si="20"/>
        <v>#REF!</v>
      </c>
      <c r="H188" s="177" t="e">
        <f t="shared" si="24"/>
        <v>#REF!</v>
      </c>
      <c r="I188" s="177" t="e">
        <f t="shared" si="25"/>
        <v>#REF!</v>
      </c>
      <c r="J188" s="177" t="e">
        <f t="shared" si="21"/>
        <v>#REF!</v>
      </c>
      <c r="K188" s="177" t="e">
        <f>SUM($I$17:$I188)</f>
        <v>#REF!</v>
      </c>
      <c r="L188" s="179"/>
      <c r="M188" s="179"/>
    </row>
    <row r="189" spans="1:13" s="180" customFormat="1" ht="12.75">
      <c r="A189" s="192" t="e">
        <f t="shared" si="22"/>
        <v>#REF!</v>
      </c>
      <c r="B189" s="175"/>
      <c r="C189" s="176" t="e">
        <f t="shared" si="18"/>
        <v>#REF!</v>
      </c>
      <c r="D189" s="177" t="e">
        <f t="shared" si="23"/>
        <v>#REF!</v>
      </c>
      <c r="E189" s="177" t="e">
        <f t="shared" si="26"/>
        <v>#REF!</v>
      </c>
      <c r="F189" s="178" t="e">
        <f t="shared" si="19"/>
        <v>#REF!</v>
      </c>
      <c r="G189" s="177" t="e">
        <f t="shared" si="20"/>
        <v>#REF!</v>
      </c>
      <c r="H189" s="177" t="e">
        <f t="shared" si="24"/>
        <v>#REF!</v>
      </c>
      <c r="I189" s="177" t="e">
        <f t="shared" si="25"/>
        <v>#REF!</v>
      </c>
      <c r="J189" s="177" t="e">
        <f t="shared" si="21"/>
        <v>#REF!</v>
      </c>
      <c r="K189" s="177" t="e">
        <f>SUM($I$17:$I189)</f>
        <v>#REF!</v>
      </c>
      <c r="L189" s="179"/>
      <c r="M189" s="179"/>
    </row>
    <row r="190" spans="1:13" s="180" customFormat="1" ht="12.75">
      <c r="A190" s="192" t="e">
        <f t="shared" si="22"/>
        <v>#REF!</v>
      </c>
      <c r="B190" s="175"/>
      <c r="C190" s="176" t="e">
        <f t="shared" si="18"/>
        <v>#REF!</v>
      </c>
      <c r="D190" s="177" t="e">
        <f t="shared" si="23"/>
        <v>#REF!</v>
      </c>
      <c r="E190" s="177" t="e">
        <f t="shared" si="26"/>
        <v>#REF!</v>
      </c>
      <c r="F190" s="178" t="e">
        <f t="shared" si="19"/>
        <v>#REF!</v>
      </c>
      <c r="G190" s="177" t="e">
        <f t="shared" si="20"/>
        <v>#REF!</v>
      </c>
      <c r="H190" s="177" t="e">
        <f t="shared" si="24"/>
        <v>#REF!</v>
      </c>
      <c r="I190" s="177" t="e">
        <f t="shared" si="25"/>
        <v>#REF!</v>
      </c>
      <c r="J190" s="177" t="e">
        <f t="shared" si="21"/>
        <v>#REF!</v>
      </c>
      <c r="K190" s="177" t="e">
        <f>SUM($I$17:$I190)</f>
        <v>#REF!</v>
      </c>
      <c r="L190" s="179"/>
      <c r="M190" s="179"/>
    </row>
    <row r="191" spans="1:13" s="180" customFormat="1" ht="12.75">
      <c r="A191" s="192" t="e">
        <f t="shared" si="22"/>
        <v>#REF!</v>
      </c>
      <c r="B191" s="175"/>
      <c r="C191" s="176" t="e">
        <f t="shared" si="18"/>
        <v>#REF!</v>
      </c>
      <c r="D191" s="177" t="e">
        <f t="shared" si="23"/>
        <v>#REF!</v>
      </c>
      <c r="E191" s="177" t="e">
        <f t="shared" si="26"/>
        <v>#REF!</v>
      </c>
      <c r="F191" s="178" t="e">
        <f t="shared" si="19"/>
        <v>#REF!</v>
      </c>
      <c r="G191" s="177" t="e">
        <f t="shared" si="20"/>
        <v>#REF!</v>
      </c>
      <c r="H191" s="177" t="e">
        <f t="shared" si="24"/>
        <v>#REF!</v>
      </c>
      <c r="I191" s="177" t="e">
        <f t="shared" si="25"/>
        <v>#REF!</v>
      </c>
      <c r="J191" s="177" t="e">
        <f t="shared" si="21"/>
        <v>#REF!</v>
      </c>
      <c r="K191" s="177" t="e">
        <f>SUM($I$17:$I191)</f>
        <v>#REF!</v>
      </c>
      <c r="L191" s="179"/>
      <c r="M191" s="179"/>
    </row>
    <row r="192" spans="1:13" s="180" customFormat="1" ht="12.75">
      <c r="A192" s="192" t="e">
        <f t="shared" si="22"/>
        <v>#REF!</v>
      </c>
      <c r="B192" s="175"/>
      <c r="C192" s="176" t="e">
        <f t="shared" si="18"/>
        <v>#REF!</v>
      </c>
      <c r="D192" s="177" t="e">
        <f t="shared" si="23"/>
        <v>#REF!</v>
      </c>
      <c r="E192" s="177" t="e">
        <f t="shared" si="26"/>
        <v>#REF!</v>
      </c>
      <c r="F192" s="178" t="e">
        <f t="shared" si="19"/>
        <v>#REF!</v>
      </c>
      <c r="G192" s="177" t="e">
        <f t="shared" si="20"/>
        <v>#REF!</v>
      </c>
      <c r="H192" s="177" t="e">
        <f t="shared" si="24"/>
        <v>#REF!</v>
      </c>
      <c r="I192" s="177" t="e">
        <f t="shared" si="25"/>
        <v>#REF!</v>
      </c>
      <c r="J192" s="177" t="e">
        <f t="shared" si="21"/>
        <v>#REF!</v>
      </c>
      <c r="K192" s="177" t="e">
        <f>SUM($I$17:$I192)</f>
        <v>#REF!</v>
      </c>
      <c r="L192" s="179"/>
      <c r="M192" s="179"/>
    </row>
    <row r="193" spans="1:13" s="180" customFormat="1" ht="12.75">
      <c r="A193" s="192" t="e">
        <f t="shared" si="22"/>
        <v>#REF!</v>
      </c>
      <c r="B193" s="175"/>
      <c r="C193" s="176" t="e">
        <f t="shared" si="18"/>
        <v>#REF!</v>
      </c>
      <c r="D193" s="177" t="e">
        <f t="shared" si="23"/>
        <v>#REF!</v>
      </c>
      <c r="E193" s="177" t="e">
        <f t="shared" si="26"/>
        <v>#REF!</v>
      </c>
      <c r="F193" s="178" t="e">
        <f t="shared" si="19"/>
        <v>#REF!</v>
      </c>
      <c r="G193" s="177" t="e">
        <f t="shared" si="20"/>
        <v>#REF!</v>
      </c>
      <c r="H193" s="177" t="e">
        <f t="shared" si="24"/>
        <v>#REF!</v>
      </c>
      <c r="I193" s="177" t="e">
        <f t="shared" si="25"/>
        <v>#REF!</v>
      </c>
      <c r="J193" s="177" t="e">
        <f t="shared" si="21"/>
        <v>#REF!</v>
      </c>
      <c r="K193" s="177" t="e">
        <f>SUM($I$17:$I193)</f>
        <v>#REF!</v>
      </c>
      <c r="L193" s="179"/>
      <c r="M193" s="179"/>
    </row>
    <row r="194" spans="1:13" s="180" customFormat="1" ht="12.75">
      <c r="A194" s="192" t="e">
        <f t="shared" si="22"/>
        <v>#REF!</v>
      </c>
      <c r="B194" s="175"/>
      <c r="C194" s="176" t="e">
        <f t="shared" si="18"/>
        <v>#REF!</v>
      </c>
      <c r="D194" s="177" t="e">
        <f t="shared" si="23"/>
        <v>#REF!</v>
      </c>
      <c r="E194" s="177" t="e">
        <f t="shared" si="26"/>
        <v>#REF!</v>
      </c>
      <c r="F194" s="178" t="e">
        <f t="shared" si="19"/>
        <v>#REF!</v>
      </c>
      <c r="G194" s="177" t="e">
        <f t="shared" si="20"/>
        <v>#REF!</v>
      </c>
      <c r="H194" s="177" t="e">
        <f t="shared" si="24"/>
        <v>#REF!</v>
      </c>
      <c r="I194" s="177" t="e">
        <f t="shared" si="25"/>
        <v>#REF!</v>
      </c>
      <c r="J194" s="177" t="e">
        <f t="shared" si="21"/>
        <v>#REF!</v>
      </c>
      <c r="K194" s="177" t="e">
        <f>SUM($I$17:$I194)</f>
        <v>#REF!</v>
      </c>
      <c r="L194" s="179"/>
      <c r="M194" s="179"/>
    </row>
    <row r="195" spans="1:13" s="180" customFormat="1" ht="12.75">
      <c r="A195" s="192" t="e">
        <f t="shared" si="22"/>
        <v>#REF!</v>
      </c>
      <c r="B195" s="175"/>
      <c r="C195" s="176" t="e">
        <f t="shared" si="18"/>
        <v>#REF!</v>
      </c>
      <c r="D195" s="177" t="e">
        <f t="shared" si="23"/>
        <v>#REF!</v>
      </c>
      <c r="E195" s="177" t="e">
        <f t="shared" si="26"/>
        <v>#REF!</v>
      </c>
      <c r="F195" s="178" t="e">
        <f t="shared" si="19"/>
        <v>#REF!</v>
      </c>
      <c r="G195" s="177" t="e">
        <f t="shared" si="20"/>
        <v>#REF!</v>
      </c>
      <c r="H195" s="177" t="e">
        <f t="shared" si="24"/>
        <v>#REF!</v>
      </c>
      <c r="I195" s="177" t="e">
        <f t="shared" si="25"/>
        <v>#REF!</v>
      </c>
      <c r="J195" s="177" t="e">
        <f t="shared" si="21"/>
        <v>#REF!</v>
      </c>
      <c r="K195" s="177" t="e">
        <f>SUM($I$17:$I195)</f>
        <v>#REF!</v>
      </c>
      <c r="L195" s="179"/>
      <c r="M195" s="179"/>
    </row>
    <row r="196" spans="1:13" s="180" customFormat="1" ht="12.75">
      <c r="A196" s="192" t="e">
        <f t="shared" si="22"/>
        <v>#REF!</v>
      </c>
      <c r="B196" s="175"/>
      <c r="C196" s="176" t="e">
        <f t="shared" si="18"/>
        <v>#REF!</v>
      </c>
      <c r="D196" s="177" t="e">
        <f t="shared" si="23"/>
        <v>#REF!</v>
      </c>
      <c r="E196" s="177" t="e">
        <f t="shared" si="26"/>
        <v>#REF!</v>
      </c>
      <c r="F196" s="178" t="e">
        <f t="shared" si="19"/>
        <v>#REF!</v>
      </c>
      <c r="G196" s="177" t="e">
        <f t="shared" si="20"/>
        <v>#REF!</v>
      </c>
      <c r="H196" s="177" t="e">
        <f t="shared" si="24"/>
        <v>#REF!</v>
      </c>
      <c r="I196" s="177" t="e">
        <f t="shared" si="25"/>
        <v>#REF!</v>
      </c>
      <c r="J196" s="177" t="e">
        <f t="shared" si="21"/>
        <v>#REF!</v>
      </c>
      <c r="K196" s="177" t="e">
        <f>SUM($I$17:$I196)</f>
        <v>#REF!</v>
      </c>
      <c r="L196" s="179"/>
      <c r="M196" s="179"/>
    </row>
    <row r="197" spans="1:13" s="180" customFormat="1" ht="12.75">
      <c r="A197" s="192" t="e">
        <f t="shared" si="22"/>
        <v>#REF!</v>
      </c>
      <c r="B197" s="175"/>
      <c r="C197" s="176" t="e">
        <f t="shared" si="18"/>
        <v>#REF!</v>
      </c>
      <c r="D197" s="177" t="e">
        <f t="shared" si="23"/>
        <v>#REF!</v>
      </c>
      <c r="E197" s="177" t="e">
        <f t="shared" si="26"/>
        <v>#REF!</v>
      </c>
      <c r="F197" s="178" t="e">
        <f t="shared" si="19"/>
        <v>#REF!</v>
      </c>
      <c r="G197" s="177" t="e">
        <f t="shared" si="20"/>
        <v>#REF!</v>
      </c>
      <c r="H197" s="177" t="e">
        <f t="shared" si="24"/>
        <v>#REF!</v>
      </c>
      <c r="I197" s="177" t="e">
        <f t="shared" si="25"/>
        <v>#REF!</v>
      </c>
      <c r="J197" s="177" t="e">
        <f t="shared" si="21"/>
        <v>#REF!</v>
      </c>
      <c r="K197" s="177" t="e">
        <f>SUM($I$17:$I197)</f>
        <v>#REF!</v>
      </c>
      <c r="L197" s="179"/>
      <c r="M197" s="179"/>
    </row>
    <row r="198" spans="1:13" s="180" customFormat="1" ht="12.75">
      <c r="A198" s="192" t="e">
        <f t="shared" si="22"/>
        <v>#REF!</v>
      </c>
      <c r="B198" s="175"/>
      <c r="C198" s="176" t="e">
        <f t="shared" si="18"/>
        <v>#REF!</v>
      </c>
      <c r="D198" s="177" t="e">
        <f t="shared" si="23"/>
        <v>#REF!</v>
      </c>
      <c r="E198" s="177" t="e">
        <f t="shared" si="26"/>
        <v>#REF!</v>
      </c>
      <c r="F198" s="178" t="e">
        <f t="shared" si="19"/>
        <v>#REF!</v>
      </c>
      <c r="G198" s="177" t="e">
        <f t="shared" si="20"/>
        <v>#REF!</v>
      </c>
      <c r="H198" s="177" t="e">
        <f t="shared" si="24"/>
        <v>#REF!</v>
      </c>
      <c r="I198" s="177" t="e">
        <f t="shared" si="25"/>
        <v>#REF!</v>
      </c>
      <c r="J198" s="177" t="e">
        <f t="shared" si="21"/>
        <v>#REF!</v>
      </c>
      <c r="K198" s="177" t="e">
        <f>SUM($I$17:$I198)</f>
        <v>#REF!</v>
      </c>
      <c r="L198" s="179"/>
      <c r="M198" s="179"/>
    </row>
    <row r="199" spans="1:13" s="180" customFormat="1" ht="12.75">
      <c r="A199" s="192" t="e">
        <f t="shared" si="22"/>
        <v>#REF!</v>
      </c>
      <c r="B199" s="175"/>
      <c r="C199" s="176" t="e">
        <f t="shared" si="18"/>
        <v>#REF!</v>
      </c>
      <c r="D199" s="177" t="e">
        <f t="shared" si="23"/>
        <v>#REF!</v>
      </c>
      <c r="E199" s="177" t="e">
        <f t="shared" si="26"/>
        <v>#REF!</v>
      </c>
      <c r="F199" s="178" t="e">
        <f t="shared" si="19"/>
        <v>#REF!</v>
      </c>
      <c r="G199" s="177" t="e">
        <f t="shared" si="20"/>
        <v>#REF!</v>
      </c>
      <c r="H199" s="177" t="e">
        <f t="shared" si="24"/>
        <v>#REF!</v>
      </c>
      <c r="I199" s="177" t="e">
        <f t="shared" si="25"/>
        <v>#REF!</v>
      </c>
      <c r="J199" s="177" t="e">
        <f t="shared" si="21"/>
        <v>#REF!</v>
      </c>
      <c r="K199" s="177" t="e">
        <f>SUM($I$17:$I199)</f>
        <v>#REF!</v>
      </c>
      <c r="L199" s="179"/>
      <c r="M199" s="179"/>
    </row>
    <row r="200" spans="1:13" s="180" customFormat="1" ht="12.75">
      <c r="A200" s="192" t="e">
        <f t="shared" si="22"/>
        <v>#REF!</v>
      </c>
      <c r="B200" s="175"/>
      <c r="C200" s="176" t="e">
        <f t="shared" si="18"/>
        <v>#REF!</v>
      </c>
      <c r="D200" s="177" t="e">
        <f t="shared" si="23"/>
        <v>#REF!</v>
      </c>
      <c r="E200" s="177" t="e">
        <f t="shared" si="26"/>
        <v>#REF!</v>
      </c>
      <c r="F200" s="178" t="e">
        <f t="shared" si="19"/>
        <v>#REF!</v>
      </c>
      <c r="G200" s="177" t="e">
        <f t="shared" si="20"/>
        <v>#REF!</v>
      </c>
      <c r="H200" s="177" t="e">
        <f t="shared" si="24"/>
        <v>#REF!</v>
      </c>
      <c r="I200" s="177" t="e">
        <f t="shared" si="25"/>
        <v>#REF!</v>
      </c>
      <c r="J200" s="177" t="e">
        <f t="shared" si="21"/>
        <v>#REF!</v>
      </c>
      <c r="K200" s="177" t="e">
        <f>SUM($I$17:$I200)</f>
        <v>#REF!</v>
      </c>
      <c r="L200" s="179"/>
      <c r="M200" s="179"/>
    </row>
    <row r="201" spans="1:13" s="180" customFormat="1" ht="12.75">
      <c r="A201" s="192" t="e">
        <f t="shared" si="22"/>
        <v>#REF!</v>
      </c>
      <c r="B201" s="175"/>
      <c r="C201" s="176" t="e">
        <f t="shared" si="18"/>
        <v>#REF!</v>
      </c>
      <c r="D201" s="177" t="e">
        <f t="shared" si="23"/>
        <v>#REF!</v>
      </c>
      <c r="E201" s="177" t="e">
        <f t="shared" si="26"/>
        <v>#REF!</v>
      </c>
      <c r="F201" s="178" t="e">
        <f t="shared" si="19"/>
        <v>#REF!</v>
      </c>
      <c r="G201" s="177" t="e">
        <f t="shared" si="20"/>
        <v>#REF!</v>
      </c>
      <c r="H201" s="177" t="e">
        <f t="shared" si="24"/>
        <v>#REF!</v>
      </c>
      <c r="I201" s="177" t="e">
        <f t="shared" si="25"/>
        <v>#REF!</v>
      </c>
      <c r="J201" s="177" t="e">
        <f t="shared" si="21"/>
        <v>#REF!</v>
      </c>
      <c r="K201" s="177" t="e">
        <f>SUM($I$17:$I201)</f>
        <v>#REF!</v>
      </c>
      <c r="L201" s="179"/>
      <c r="M201" s="179"/>
    </row>
    <row r="202" spans="1:13" s="180" customFormat="1" ht="12.75">
      <c r="A202" s="192" t="e">
        <f t="shared" si="22"/>
        <v>#REF!</v>
      </c>
      <c r="B202" s="175"/>
      <c r="C202" s="176" t="e">
        <f t="shared" si="18"/>
        <v>#REF!</v>
      </c>
      <c r="D202" s="177" t="e">
        <f t="shared" si="23"/>
        <v>#REF!</v>
      </c>
      <c r="E202" s="177" t="e">
        <f t="shared" si="26"/>
        <v>#REF!</v>
      </c>
      <c r="F202" s="178" t="e">
        <f t="shared" si="19"/>
        <v>#REF!</v>
      </c>
      <c r="G202" s="177" t="e">
        <f t="shared" si="20"/>
        <v>#REF!</v>
      </c>
      <c r="H202" s="177" t="e">
        <f t="shared" si="24"/>
        <v>#REF!</v>
      </c>
      <c r="I202" s="177" t="e">
        <f t="shared" si="25"/>
        <v>#REF!</v>
      </c>
      <c r="J202" s="177" t="e">
        <f t="shared" si="21"/>
        <v>#REF!</v>
      </c>
      <c r="K202" s="177" t="e">
        <f>SUM($I$17:$I202)</f>
        <v>#REF!</v>
      </c>
      <c r="L202" s="179"/>
      <c r="M202" s="179"/>
    </row>
    <row r="203" spans="1:13" s="180" customFormat="1" ht="12.75">
      <c r="A203" s="192" t="e">
        <f t="shared" si="22"/>
        <v>#REF!</v>
      </c>
      <c r="B203" s="175"/>
      <c r="C203" s="176" t="e">
        <f t="shared" si="18"/>
        <v>#REF!</v>
      </c>
      <c r="D203" s="177" t="e">
        <f t="shared" si="23"/>
        <v>#REF!</v>
      </c>
      <c r="E203" s="177" t="e">
        <f t="shared" si="26"/>
        <v>#REF!</v>
      </c>
      <c r="F203" s="178" t="e">
        <f t="shared" si="19"/>
        <v>#REF!</v>
      </c>
      <c r="G203" s="177" t="e">
        <f t="shared" si="20"/>
        <v>#REF!</v>
      </c>
      <c r="H203" s="177" t="e">
        <f t="shared" si="24"/>
        <v>#REF!</v>
      </c>
      <c r="I203" s="177" t="e">
        <f t="shared" si="25"/>
        <v>#REF!</v>
      </c>
      <c r="J203" s="177" t="e">
        <f t="shared" si="21"/>
        <v>#REF!</v>
      </c>
      <c r="K203" s="177" t="e">
        <f>SUM($I$17:$I203)</f>
        <v>#REF!</v>
      </c>
      <c r="L203" s="179"/>
      <c r="M203" s="179"/>
    </row>
    <row r="204" spans="1:13" s="180" customFormat="1" ht="12.75">
      <c r="A204" s="192" t="e">
        <f t="shared" si="22"/>
        <v>#REF!</v>
      </c>
      <c r="B204" s="175"/>
      <c r="C204" s="176" t="e">
        <f t="shared" si="18"/>
        <v>#REF!</v>
      </c>
      <c r="D204" s="177" t="e">
        <f t="shared" si="23"/>
        <v>#REF!</v>
      </c>
      <c r="E204" s="177" t="e">
        <f t="shared" si="26"/>
        <v>#REF!</v>
      </c>
      <c r="F204" s="178" t="e">
        <f t="shared" si="19"/>
        <v>#REF!</v>
      </c>
      <c r="G204" s="177" t="e">
        <f t="shared" si="20"/>
        <v>#REF!</v>
      </c>
      <c r="H204" s="177" t="e">
        <f t="shared" si="24"/>
        <v>#REF!</v>
      </c>
      <c r="I204" s="177" t="e">
        <f t="shared" si="25"/>
        <v>#REF!</v>
      </c>
      <c r="J204" s="177" t="e">
        <f t="shared" si="21"/>
        <v>#REF!</v>
      </c>
      <c r="K204" s="177" t="e">
        <f>SUM($I$17:$I204)</f>
        <v>#REF!</v>
      </c>
      <c r="L204" s="179"/>
      <c r="M204" s="179"/>
    </row>
    <row r="205" spans="1:13" s="180" customFormat="1" ht="12.75">
      <c r="A205" s="192" t="e">
        <f t="shared" si="22"/>
        <v>#REF!</v>
      </c>
      <c r="B205" s="175"/>
      <c r="C205" s="176" t="e">
        <f t="shared" si="18"/>
        <v>#REF!</v>
      </c>
      <c r="D205" s="177" t="e">
        <f t="shared" si="23"/>
        <v>#REF!</v>
      </c>
      <c r="E205" s="177" t="e">
        <f t="shared" si="26"/>
        <v>#REF!</v>
      </c>
      <c r="F205" s="178" t="e">
        <f t="shared" si="19"/>
        <v>#REF!</v>
      </c>
      <c r="G205" s="177" t="e">
        <f t="shared" si="20"/>
        <v>#REF!</v>
      </c>
      <c r="H205" s="177" t="e">
        <f t="shared" si="24"/>
        <v>#REF!</v>
      </c>
      <c r="I205" s="177" t="e">
        <f t="shared" si="25"/>
        <v>#REF!</v>
      </c>
      <c r="J205" s="177" t="e">
        <f t="shared" si="21"/>
        <v>#REF!</v>
      </c>
      <c r="K205" s="177" t="e">
        <f>SUM($I$17:$I205)</f>
        <v>#REF!</v>
      </c>
      <c r="L205" s="179"/>
      <c r="M205" s="179"/>
    </row>
    <row r="206" spans="1:13" s="180" customFormat="1" ht="12.75">
      <c r="A206" s="192" t="e">
        <f t="shared" si="22"/>
        <v>#REF!</v>
      </c>
      <c r="B206" s="175"/>
      <c r="C206" s="176" t="e">
        <f t="shared" si="18"/>
        <v>#REF!</v>
      </c>
      <c r="D206" s="177" t="e">
        <f t="shared" si="23"/>
        <v>#REF!</v>
      </c>
      <c r="E206" s="177" t="e">
        <f t="shared" si="26"/>
        <v>#REF!</v>
      </c>
      <c r="F206" s="178" t="e">
        <f t="shared" si="19"/>
        <v>#REF!</v>
      </c>
      <c r="G206" s="177" t="e">
        <f t="shared" si="20"/>
        <v>#REF!</v>
      </c>
      <c r="H206" s="177" t="e">
        <f t="shared" si="24"/>
        <v>#REF!</v>
      </c>
      <c r="I206" s="177" t="e">
        <f t="shared" si="25"/>
        <v>#REF!</v>
      </c>
      <c r="J206" s="177" t="e">
        <f t="shared" si="21"/>
        <v>#REF!</v>
      </c>
      <c r="K206" s="177" t="e">
        <f>SUM($I$17:$I206)</f>
        <v>#REF!</v>
      </c>
      <c r="L206" s="179"/>
      <c r="M206" s="179"/>
    </row>
    <row r="207" spans="1:13" s="180" customFormat="1" ht="12.75">
      <c r="A207" s="192" t="e">
        <f t="shared" si="22"/>
        <v>#REF!</v>
      </c>
      <c r="B207" s="175"/>
      <c r="C207" s="176" t="e">
        <f t="shared" si="18"/>
        <v>#REF!</v>
      </c>
      <c r="D207" s="177" t="e">
        <f t="shared" si="23"/>
        <v>#REF!</v>
      </c>
      <c r="E207" s="177" t="e">
        <f t="shared" si="26"/>
        <v>#REF!</v>
      </c>
      <c r="F207" s="178" t="e">
        <f t="shared" si="19"/>
        <v>#REF!</v>
      </c>
      <c r="G207" s="177" t="e">
        <f t="shared" si="20"/>
        <v>#REF!</v>
      </c>
      <c r="H207" s="177" t="e">
        <f t="shared" si="24"/>
        <v>#REF!</v>
      </c>
      <c r="I207" s="177" t="e">
        <f t="shared" si="25"/>
        <v>#REF!</v>
      </c>
      <c r="J207" s="177" t="e">
        <f t="shared" si="21"/>
        <v>#REF!</v>
      </c>
      <c r="K207" s="177" t="e">
        <f>SUM($I$17:$I207)</f>
        <v>#REF!</v>
      </c>
      <c r="L207" s="179"/>
      <c r="M207" s="179"/>
    </row>
    <row r="208" spans="1:13" s="180" customFormat="1" ht="12.75">
      <c r="A208" s="192" t="e">
        <f t="shared" si="22"/>
        <v>#REF!</v>
      </c>
      <c r="B208" s="175"/>
      <c r="C208" s="176" t="e">
        <f t="shared" si="18"/>
        <v>#REF!</v>
      </c>
      <c r="D208" s="177" t="e">
        <f t="shared" si="23"/>
        <v>#REF!</v>
      </c>
      <c r="E208" s="177" t="e">
        <f t="shared" si="26"/>
        <v>#REF!</v>
      </c>
      <c r="F208" s="178" t="e">
        <f t="shared" si="19"/>
        <v>#REF!</v>
      </c>
      <c r="G208" s="177" t="e">
        <f t="shared" si="20"/>
        <v>#REF!</v>
      </c>
      <c r="H208" s="177" t="e">
        <f t="shared" si="24"/>
        <v>#REF!</v>
      </c>
      <c r="I208" s="177" t="e">
        <f t="shared" si="25"/>
        <v>#REF!</v>
      </c>
      <c r="J208" s="177" t="e">
        <f t="shared" si="21"/>
        <v>#REF!</v>
      </c>
      <c r="K208" s="177" t="e">
        <f>SUM($I$17:$I208)</f>
        <v>#REF!</v>
      </c>
      <c r="L208" s="179"/>
      <c r="M208" s="179"/>
    </row>
    <row r="209" spans="1:13" s="180" customFormat="1" ht="12.75">
      <c r="A209" s="192" t="e">
        <f t="shared" si="22"/>
        <v>#REF!</v>
      </c>
      <c r="B209" s="175"/>
      <c r="C209" s="176" t="e">
        <f t="shared" ref="C209:C272" si="27">IF(Pay_Num&lt;&gt;"",DATE(YEAR(Loan_Start),MONTH(Loan_Start)+(Pay_Num)*12/Num_Pmt_Per_Year,DAY(Loan_Start)),"")</f>
        <v>#REF!</v>
      </c>
      <c r="D209" s="177" t="e">
        <f t="shared" si="23"/>
        <v>#REF!</v>
      </c>
      <c r="E209" s="177" t="e">
        <f t="shared" si="26"/>
        <v>#REF!</v>
      </c>
      <c r="F209" s="178" t="e">
        <f t="shared" ref="F209:F272" si="28">IF(AND(Pay_Num&lt;&gt;"",Sched_Pay+Scheduled_Extra_Payments&lt;Beg_Bal),Scheduled_Extra_Payments,IF(AND(Pay_Num&lt;&gt;"",Beg_Bal-Sched_Pay&gt;0),Beg_Bal-Sched_Pay,IF(Pay_Num&lt;&gt;"",0,"")))</f>
        <v>#REF!</v>
      </c>
      <c r="G209" s="177" t="e">
        <f t="shared" ref="G209:G272" si="29">IF(AND(Pay_Num&lt;&gt;"",Sched_Pay+Extra_Pay&lt;Beg_Bal),Sched_Pay+Extra_Pay,IF(Pay_Num&lt;&gt;"",Beg_Bal,""))</f>
        <v>#REF!</v>
      </c>
      <c r="H209" s="177" t="e">
        <f t="shared" si="24"/>
        <v>#REF!</v>
      </c>
      <c r="I209" s="177" t="e">
        <f t="shared" si="25"/>
        <v>#REF!</v>
      </c>
      <c r="J209" s="177" t="e">
        <f t="shared" ref="J209:J272" si="30">IF(AND(Pay_Num&lt;&gt;"",Sched_Pay+Extra_Pay&lt;Beg_Bal),Beg_Bal-Princ,IF(Pay_Num&lt;&gt;"",0,""))</f>
        <v>#REF!</v>
      </c>
      <c r="K209" s="177" t="e">
        <f>SUM($I$17:$I209)</f>
        <v>#REF!</v>
      </c>
      <c r="L209" s="179"/>
      <c r="M209" s="179"/>
    </row>
    <row r="210" spans="1:13" s="180" customFormat="1" ht="12.75">
      <c r="A210" s="192" t="e">
        <f t="shared" ref="A210:A273" si="31">IF(Values_Entered,A209+1,"")</f>
        <v>#REF!</v>
      </c>
      <c r="B210" s="175"/>
      <c r="C210" s="176" t="e">
        <f t="shared" si="27"/>
        <v>#REF!</v>
      </c>
      <c r="D210" s="177" t="e">
        <f t="shared" ref="D210:D273" si="32">IF(Pay_Num&lt;&gt;"",J209,"")</f>
        <v>#REF!</v>
      </c>
      <c r="E210" s="177" t="e">
        <f t="shared" si="26"/>
        <v>#REF!</v>
      </c>
      <c r="F210" s="178" t="e">
        <f t="shared" si="28"/>
        <v>#REF!</v>
      </c>
      <c r="G210" s="177" t="e">
        <f t="shared" si="29"/>
        <v>#REF!</v>
      </c>
      <c r="H210" s="177" t="e">
        <f t="shared" ref="H210:H273" si="33">IF(Pay_Num&lt;&gt;"",Total_Pay-Int,"")</f>
        <v>#REF!</v>
      </c>
      <c r="I210" s="177" t="e">
        <f t="shared" ref="I210:I273" si="34">IF(Pay_Num&lt;&gt;"",Beg_Bal*Interest_Rate/Num_Pmt_Per_Year,"")</f>
        <v>#REF!</v>
      </c>
      <c r="J210" s="177" t="e">
        <f t="shared" si="30"/>
        <v>#REF!</v>
      </c>
      <c r="K210" s="177" t="e">
        <f>SUM($I$17:$I210)</f>
        <v>#REF!</v>
      </c>
      <c r="L210" s="179"/>
      <c r="M210" s="179"/>
    </row>
    <row r="211" spans="1:13" s="180" customFormat="1" ht="12.75">
      <c r="A211" s="192" t="e">
        <f t="shared" si="31"/>
        <v>#REF!</v>
      </c>
      <c r="B211" s="175"/>
      <c r="C211" s="176" t="e">
        <f t="shared" si="27"/>
        <v>#REF!</v>
      </c>
      <c r="D211" s="177" t="e">
        <f t="shared" si="32"/>
        <v>#REF!</v>
      </c>
      <c r="E211" s="177" t="e">
        <f t="shared" ref="E211:E274" si="35">IF(Pay_Num&lt;&gt;"",Scheduled_Monthly_Payment,"")</f>
        <v>#REF!</v>
      </c>
      <c r="F211" s="178" t="e">
        <f t="shared" si="28"/>
        <v>#REF!</v>
      </c>
      <c r="G211" s="177" t="e">
        <f t="shared" si="29"/>
        <v>#REF!</v>
      </c>
      <c r="H211" s="177" t="e">
        <f t="shared" si="33"/>
        <v>#REF!</v>
      </c>
      <c r="I211" s="177" t="e">
        <f t="shared" si="34"/>
        <v>#REF!</v>
      </c>
      <c r="J211" s="177" t="e">
        <f t="shared" si="30"/>
        <v>#REF!</v>
      </c>
      <c r="K211" s="177" t="e">
        <f>SUM($I$17:$I211)</f>
        <v>#REF!</v>
      </c>
      <c r="L211" s="179"/>
      <c r="M211" s="179"/>
    </row>
    <row r="212" spans="1:13" s="180" customFormat="1" ht="12.75">
      <c r="A212" s="192" t="e">
        <f t="shared" si="31"/>
        <v>#REF!</v>
      </c>
      <c r="B212" s="175"/>
      <c r="C212" s="176" t="e">
        <f t="shared" si="27"/>
        <v>#REF!</v>
      </c>
      <c r="D212" s="177" t="e">
        <f t="shared" si="32"/>
        <v>#REF!</v>
      </c>
      <c r="E212" s="177" t="e">
        <f t="shared" si="35"/>
        <v>#REF!</v>
      </c>
      <c r="F212" s="178" t="e">
        <f t="shared" si="28"/>
        <v>#REF!</v>
      </c>
      <c r="G212" s="177" t="e">
        <f t="shared" si="29"/>
        <v>#REF!</v>
      </c>
      <c r="H212" s="177" t="e">
        <f t="shared" si="33"/>
        <v>#REF!</v>
      </c>
      <c r="I212" s="177" t="e">
        <f t="shared" si="34"/>
        <v>#REF!</v>
      </c>
      <c r="J212" s="177" t="e">
        <f t="shared" si="30"/>
        <v>#REF!</v>
      </c>
      <c r="K212" s="177" t="e">
        <f>SUM($I$17:$I212)</f>
        <v>#REF!</v>
      </c>
      <c r="L212" s="179"/>
      <c r="M212" s="179"/>
    </row>
    <row r="213" spans="1:13" s="180" customFormat="1" ht="12.75">
      <c r="A213" s="192" t="e">
        <f t="shared" si="31"/>
        <v>#REF!</v>
      </c>
      <c r="B213" s="175"/>
      <c r="C213" s="176" t="e">
        <f t="shared" si="27"/>
        <v>#REF!</v>
      </c>
      <c r="D213" s="177" t="e">
        <f t="shared" si="32"/>
        <v>#REF!</v>
      </c>
      <c r="E213" s="177" t="e">
        <f t="shared" si="35"/>
        <v>#REF!</v>
      </c>
      <c r="F213" s="178" t="e">
        <f t="shared" si="28"/>
        <v>#REF!</v>
      </c>
      <c r="G213" s="177" t="e">
        <f t="shared" si="29"/>
        <v>#REF!</v>
      </c>
      <c r="H213" s="177" t="e">
        <f t="shared" si="33"/>
        <v>#REF!</v>
      </c>
      <c r="I213" s="177" t="e">
        <f t="shared" si="34"/>
        <v>#REF!</v>
      </c>
      <c r="J213" s="177" t="e">
        <f t="shared" si="30"/>
        <v>#REF!</v>
      </c>
      <c r="K213" s="177" t="e">
        <f>SUM($I$17:$I213)</f>
        <v>#REF!</v>
      </c>
      <c r="L213" s="179"/>
      <c r="M213" s="179"/>
    </row>
    <row r="214" spans="1:13" s="180" customFormat="1" ht="12.75">
      <c r="A214" s="192" t="e">
        <f t="shared" si="31"/>
        <v>#REF!</v>
      </c>
      <c r="B214" s="175"/>
      <c r="C214" s="176" t="e">
        <f t="shared" si="27"/>
        <v>#REF!</v>
      </c>
      <c r="D214" s="177" t="e">
        <f t="shared" si="32"/>
        <v>#REF!</v>
      </c>
      <c r="E214" s="177" t="e">
        <f t="shared" si="35"/>
        <v>#REF!</v>
      </c>
      <c r="F214" s="178" t="e">
        <f t="shared" si="28"/>
        <v>#REF!</v>
      </c>
      <c r="G214" s="177" t="e">
        <f t="shared" si="29"/>
        <v>#REF!</v>
      </c>
      <c r="H214" s="177" t="e">
        <f t="shared" si="33"/>
        <v>#REF!</v>
      </c>
      <c r="I214" s="177" t="e">
        <f t="shared" si="34"/>
        <v>#REF!</v>
      </c>
      <c r="J214" s="177" t="e">
        <f t="shared" si="30"/>
        <v>#REF!</v>
      </c>
      <c r="K214" s="177" t="e">
        <f>SUM($I$17:$I214)</f>
        <v>#REF!</v>
      </c>
      <c r="L214" s="179"/>
      <c r="M214" s="179"/>
    </row>
    <row r="215" spans="1:13" s="180" customFormat="1" ht="12.75">
      <c r="A215" s="192" t="e">
        <f t="shared" si="31"/>
        <v>#REF!</v>
      </c>
      <c r="B215" s="175"/>
      <c r="C215" s="176" t="e">
        <f t="shared" si="27"/>
        <v>#REF!</v>
      </c>
      <c r="D215" s="177" t="e">
        <f t="shared" si="32"/>
        <v>#REF!</v>
      </c>
      <c r="E215" s="177" t="e">
        <f t="shared" si="35"/>
        <v>#REF!</v>
      </c>
      <c r="F215" s="178" t="e">
        <f t="shared" si="28"/>
        <v>#REF!</v>
      </c>
      <c r="G215" s="177" t="e">
        <f t="shared" si="29"/>
        <v>#REF!</v>
      </c>
      <c r="H215" s="177" t="e">
        <f t="shared" si="33"/>
        <v>#REF!</v>
      </c>
      <c r="I215" s="177" t="e">
        <f t="shared" si="34"/>
        <v>#REF!</v>
      </c>
      <c r="J215" s="177" t="e">
        <f t="shared" si="30"/>
        <v>#REF!</v>
      </c>
      <c r="K215" s="177" t="e">
        <f>SUM($I$17:$I215)</f>
        <v>#REF!</v>
      </c>
      <c r="L215" s="179"/>
      <c r="M215" s="179"/>
    </row>
    <row r="216" spans="1:13" s="180" customFormat="1" ht="12.75">
      <c r="A216" s="192" t="e">
        <f t="shared" si="31"/>
        <v>#REF!</v>
      </c>
      <c r="B216" s="175"/>
      <c r="C216" s="176" t="e">
        <f t="shared" si="27"/>
        <v>#REF!</v>
      </c>
      <c r="D216" s="177" t="e">
        <f t="shared" si="32"/>
        <v>#REF!</v>
      </c>
      <c r="E216" s="177" t="e">
        <f t="shared" si="35"/>
        <v>#REF!</v>
      </c>
      <c r="F216" s="178" t="e">
        <f t="shared" si="28"/>
        <v>#REF!</v>
      </c>
      <c r="G216" s="177" t="e">
        <f t="shared" si="29"/>
        <v>#REF!</v>
      </c>
      <c r="H216" s="177" t="e">
        <f t="shared" si="33"/>
        <v>#REF!</v>
      </c>
      <c r="I216" s="177" t="e">
        <f t="shared" si="34"/>
        <v>#REF!</v>
      </c>
      <c r="J216" s="177" t="e">
        <f t="shared" si="30"/>
        <v>#REF!</v>
      </c>
      <c r="K216" s="177" t="e">
        <f>SUM($I$17:$I216)</f>
        <v>#REF!</v>
      </c>
      <c r="L216" s="179"/>
      <c r="M216" s="179"/>
    </row>
    <row r="217" spans="1:13" s="180" customFormat="1" ht="12.75">
      <c r="A217" s="192" t="e">
        <f t="shared" si="31"/>
        <v>#REF!</v>
      </c>
      <c r="B217" s="175"/>
      <c r="C217" s="176" t="e">
        <f t="shared" si="27"/>
        <v>#REF!</v>
      </c>
      <c r="D217" s="177" t="e">
        <f t="shared" si="32"/>
        <v>#REF!</v>
      </c>
      <c r="E217" s="177" t="e">
        <f t="shared" si="35"/>
        <v>#REF!</v>
      </c>
      <c r="F217" s="178" t="e">
        <f t="shared" si="28"/>
        <v>#REF!</v>
      </c>
      <c r="G217" s="177" t="e">
        <f t="shared" si="29"/>
        <v>#REF!</v>
      </c>
      <c r="H217" s="177" t="e">
        <f t="shared" si="33"/>
        <v>#REF!</v>
      </c>
      <c r="I217" s="177" t="e">
        <f t="shared" si="34"/>
        <v>#REF!</v>
      </c>
      <c r="J217" s="177" t="e">
        <f t="shared" si="30"/>
        <v>#REF!</v>
      </c>
      <c r="K217" s="177" t="e">
        <f>SUM($I$17:$I217)</f>
        <v>#REF!</v>
      </c>
      <c r="L217" s="179"/>
      <c r="M217" s="179"/>
    </row>
    <row r="218" spans="1:13" s="180" customFormat="1" ht="12.75">
      <c r="A218" s="192" t="e">
        <f t="shared" si="31"/>
        <v>#REF!</v>
      </c>
      <c r="B218" s="175"/>
      <c r="C218" s="176" t="e">
        <f t="shared" si="27"/>
        <v>#REF!</v>
      </c>
      <c r="D218" s="177" t="e">
        <f t="shared" si="32"/>
        <v>#REF!</v>
      </c>
      <c r="E218" s="177" t="e">
        <f t="shared" si="35"/>
        <v>#REF!</v>
      </c>
      <c r="F218" s="178" t="e">
        <f t="shared" si="28"/>
        <v>#REF!</v>
      </c>
      <c r="G218" s="177" t="e">
        <f t="shared" si="29"/>
        <v>#REF!</v>
      </c>
      <c r="H218" s="177" t="e">
        <f t="shared" si="33"/>
        <v>#REF!</v>
      </c>
      <c r="I218" s="177" t="e">
        <f t="shared" si="34"/>
        <v>#REF!</v>
      </c>
      <c r="J218" s="177" t="e">
        <f t="shared" si="30"/>
        <v>#REF!</v>
      </c>
      <c r="K218" s="177" t="e">
        <f>SUM($I$17:$I218)</f>
        <v>#REF!</v>
      </c>
      <c r="L218" s="179"/>
      <c r="M218" s="179"/>
    </row>
    <row r="219" spans="1:13" s="180" customFormat="1" ht="12.75">
      <c r="A219" s="192" t="e">
        <f t="shared" si="31"/>
        <v>#REF!</v>
      </c>
      <c r="B219" s="175"/>
      <c r="C219" s="176" t="e">
        <f t="shared" si="27"/>
        <v>#REF!</v>
      </c>
      <c r="D219" s="177" t="e">
        <f t="shared" si="32"/>
        <v>#REF!</v>
      </c>
      <c r="E219" s="177" t="e">
        <f t="shared" si="35"/>
        <v>#REF!</v>
      </c>
      <c r="F219" s="178" t="e">
        <f t="shared" si="28"/>
        <v>#REF!</v>
      </c>
      <c r="G219" s="177" t="e">
        <f t="shared" si="29"/>
        <v>#REF!</v>
      </c>
      <c r="H219" s="177" t="e">
        <f t="shared" si="33"/>
        <v>#REF!</v>
      </c>
      <c r="I219" s="177" t="e">
        <f t="shared" si="34"/>
        <v>#REF!</v>
      </c>
      <c r="J219" s="177" t="e">
        <f t="shared" si="30"/>
        <v>#REF!</v>
      </c>
      <c r="K219" s="177" t="e">
        <f>SUM($I$17:$I219)</f>
        <v>#REF!</v>
      </c>
      <c r="L219" s="179"/>
      <c r="M219" s="179"/>
    </row>
    <row r="220" spans="1:13" s="180" customFormat="1" ht="12.75">
      <c r="A220" s="192" t="e">
        <f t="shared" si="31"/>
        <v>#REF!</v>
      </c>
      <c r="B220" s="175"/>
      <c r="C220" s="176" t="e">
        <f t="shared" si="27"/>
        <v>#REF!</v>
      </c>
      <c r="D220" s="177" t="e">
        <f t="shared" si="32"/>
        <v>#REF!</v>
      </c>
      <c r="E220" s="177" t="e">
        <f t="shared" si="35"/>
        <v>#REF!</v>
      </c>
      <c r="F220" s="178" t="e">
        <f t="shared" si="28"/>
        <v>#REF!</v>
      </c>
      <c r="G220" s="177" t="e">
        <f t="shared" si="29"/>
        <v>#REF!</v>
      </c>
      <c r="H220" s="177" t="e">
        <f t="shared" si="33"/>
        <v>#REF!</v>
      </c>
      <c r="I220" s="177" t="e">
        <f t="shared" si="34"/>
        <v>#REF!</v>
      </c>
      <c r="J220" s="177" t="e">
        <f t="shared" si="30"/>
        <v>#REF!</v>
      </c>
      <c r="K220" s="177" t="e">
        <f>SUM($I$17:$I220)</f>
        <v>#REF!</v>
      </c>
      <c r="L220" s="179"/>
      <c r="M220" s="179"/>
    </row>
    <row r="221" spans="1:13" s="180" customFormat="1" ht="12.75">
      <c r="A221" s="192" t="e">
        <f t="shared" si="31"/>
        <v>#REF!</v>
      </c>
      <c r="B221" s="175"/>
      <c r="C221" s="176" t="e">
        <f t="shared" si="27"/>
        <v>#REF!</v>
      </c>
      <c r="D221" s="177" t="e">
        <f t="shared" si="32"/>
        <v>#REF!</v>
      </c>
      <c r="E221" s="177" t="e">
        <f t="shared" si="35"/>
        <v>#REF!</v>
      </c>
      <c r="F221" s="178" t="e">
        <f t="shared" si="28"/>
        <v>#REF!</v>
      </c>
      <c r="G221" s="177" t="e">
        <f t="shared" si="29"/>
        <v>#REF!</v>
      </c>
      <c r="H221" s="177" t="e">
        <f t="shared" si="33"/>
        <v>#REF!</v>
      </c>
      <c r="I221" s="177" t="e">
        <f t="shared" si="34"/>
        <v>#REF!</v>
      </c>
      <c r="J221" s="177" t="e">
        <f t="shared" si="30"/>
        <v>#REF!</v>
      </c>
      <c r="K221" s="177" t="e">
        <f>SUM($I$17:$I221)</f>
        <v>#REF!</v>
      </c>
      <c r="L221" s="179"/>
      <c r="M221" s="179"/>
    </row>
    <row r="222" spans="1:13" s="180" customFormat="1" ht="12.75">
      <c r="A222" s="192" t="e">
        <f t="shared" si="31"/>
        <v>#REF!</v>
      </c>
      <c r="B222" s="175"/>
      <c r="C222" s="176" t="e">
        <f t="shared" si="27"/>
        <v>#REF!</v>
      </c>
      <c r="D222" s="177" t="e">
        <f t="shared" si="32"/>
        <v>#REF!</v>
      </c>
      <c r="E222" s="177" t="e">
        <f t="shared" si="35"/>
        <v>#REF!</v>
      </c>
      <c r="F222" s="178" t="e">
        <f t="shared" si="28"/>
        <v>#REF!</v>
      </c>
      <c r="G222" s="177" t="e">
        <f t="shared" si="29"/>
        <v>#REF!</v>
      </c>
      <c r="H222" s="177" t="e">
        <f t="shared" si="33"/>
        <v>#REF!</v>
      </c>
      <c r="I222" s="177" t="e">
        <f t="shared" si="34"/>
        <v>#REF!</v>
      </c>
      <c r="J222" s="177" t="e">
        <f t="shared" si="30"/>
        <v>#REF!</v>
      </c>
      <c r="K222" s="177" t="e">
        <f>SUM($I$17:$I222)</f>
        <v>#REF!</v>
      </c>
      <c r="L222" s="179"/>
      <c r="M222" s="179"/>
    </row>
    <row r="223" spans="1:13" s="180" customFormat="1" ht="12.75">
      <c r="A223" s="192" t="e">
        <f t="shared" si="31"/>
        <v>#REF!</v>
      </c>
      <c r="B223" s="175"/>
      <c r="C223" s="176" t="e">
        <f t="shared" si="27"/>
        <v>#REF!</v>
      </c>
      <c r="D223" s="177" t="e">
        <f t="shared" si="32"/>
        <v>#REF!</v>
      </c>
      <c r="E223" s="177" t="e">
        <f t="shared" si="35"/>
        <v>#REF!</v>
      </c>
      <c r="F223" s="178" t="e">
        <f t="shared" si="28"/>
        <v>#REF!</v>
      </c>
      <c r="G223" s="177" t="e">
        <f t="shared" si="29"/>
        <v>#REF!</v>
      </c>
      <c r="H223" s="177" t="e">
        <f t="shared" si="33"/>
        <v>#REF!</v>
      </c>
      <c r="I223" s="177" t="e">
        <f t="shared" si="34"/>
        <v>#REF!</v>
      </c>
      <c r="J223" s="177" t="e">
        <f t="shared" si="30"/>
        <v>#REF!</v>
      </c>
      <c r="K223" s="177" t="e">
        <f>SUM($I$17:$I223)</f>
        <v>#REF!</v>
      </c>
      <c r="L223" s="179"/>
      <c r="M223" s="179"/>
    </row>
    <row r="224" spans="1:13" s="180" customFormat="1" ht="12.75">
      <c r="A224" s="192" t="e">
        <f t="shared" si="31"/>
        <v>#REF!</v>
      </c>
      <c r="B224" s="175"/>
      <c r="C224" s="176" t="e">
        <f t="shared" si="27"/>
        <v>#REF!</v>
      </c>
      <c r="D224" s="177" t="e">
        <f t="shared" si="32"/>
        <v>#REF!</v>
      </c>
      <c r="E224" s="177" t="e">
        <f t="shared" si="35"/>
        <v>#REF!</v>
      </c>
      <c r="F224" s="178" t="e">
        <f t="shared" si="28"/>
        <v>#REF!</v>
      </c>
      <c r="G224" s="177" t="e">
        <f t="shared" si="29"/>
        <v>#REF!</v>
      </c>
      <c r="H224" s="177" t="e">
        <f t="shared" si="33"/>
        <v>#REF!</v>
      </c>
      <c r="I224" s="177" t="e">
        <f t="shared" si="34"/>
        <v>#REF!</v>
      </c>
      <c r="J224" s="177" t="e">
        <f t="shared" si="30"/>
        <v>#REF!</v>
      </c>
      <c r="K224" s="177" t="e">
        <f>SUM($I$17:$I224)</f>
        <v>#REF!</v>
      </c>
      <c r="L224" s="179"/>
      <c r="M224" s="179"/>
    </row>
    <row r="225" spans="1:13" s="180" customFormat="1" ht="12.75">
      <c r="A225" s="192" t="e">
        <f t="shared" si="31"/>
        <v>#REF!</v>
      </c>
      <c r="B225" s="175"/>
      <c r="C225" s="176" t="e">
        <f t="shared" si="27"/>
        <v>#REF!</v>
      </c>
      <c r="D225" s="177" t="e">
        <f t="shared" si="32"/>
        <v>#REF!</v>
      </c>
      <c r="E225" s="177" t="e">
        <f t="shared" si="35"/>
        <v>#REF!</v>
      </c>
      <c r="F225" s="178" t="e">
        <f t="shared" si="28"/>
        <v>#REF!</v>
      </c>
      <c r="G225" s="177" t="e">
        <f t="shared" si="29"/>
        <v>#REF!</v>
      </c>
      <c r="H225" s="177" t="e">
        <f t="shared" si="33"/>
        <v>#REF!</v>
      </c>
      <c r="I225" s="177" t="e">
        <f t="shared" si="34"/>
        <v>#REF!</v>
      </c>
      <c r="J225" s="177" t="e">
        <f t="shared" si="30"/>
        <v>#REF!</v>
      </c>
      <c r="K225" s="177" t="e">
        <f>SUM($I$17:$I225)</f>
        <v>#REF!</v>
      </c>
      <c r="L225" s="179"/>
      <c r="M225" s="179"/>
    </row>
    <row r="226" spans="1:13" s="180" customFormat="1" ht="12.75">
      <c r="A226" s="192" t="e">
        <f t="shared" si="31"/>
        <v>#REF!</v>
      </c>
      <c r="B226" s="175"/>
      <c r="C226" s="176" t="e">
        <f t="shared" si="27"/>
        <v>#REF!</v>
      </c>
      <c r="D226" s="177" t="e">
        <f t="shared" si="32"/>
        <v>#REF!</v>
      </c>
      <c r="E226" s="177" t="e">
        <f t="shared" si="35"/>
        <v>#REF!</v>
      </c>
      <c r="F226" s="178" t="e">
        <f t="shared" si="28"/>
        <v>#REF!</v>
      </c>
      <c r="G226" s="177" t="e">
        <f t="shared" si="29"/>
        <v>#REF!</v>
      </c>
      <c r="H226" s="177" t="e">
        <f t="shared" si="33"/>
        <v>#REF!</v>
      </c>
      <c r="I226" s="177" t="e">
        <f t="shared" si="34"/>
        <v>#REF!</v>
      </c>
      <c r="J226" s="177" t="e">
        <f t="shared" si="30"/>
        <v>#REF!</v>
      </c>
      <c r="K226" s="177" t="e">
        <f>SUM($I$17:$I226)</f>
        <v>#REF!</v>
      </c>
      <c r="L226" s="179"/>
      <c r="M226" s="179"/>
    </row>
    <row r="227" spans="1:13" s="180" customFormat="1" ht="12.75">
      <c r="A227" s="192" t="e">
        <f t="shared" si="31"/>
        <v>#REF!</v>
      </c>
      <c r="B227" s="175"/>
      <c r="C227" s="176" t="e">
        <f t="shared" si="27"/>
        <v>#REF!</v>
      </c>
      <c r="D227" s="177" t="e">
        <f t="shared" si="32"/>
        <v>#REF!</v>
      </c>
      <c r="E227" s="177" t="e">
        <f t="shared" si="35"/>
        <v>#REF!</v>
      </c>
      <c r="F227" s="178" t="e">
        <f t="shared" si="28"/>
        <v>#REF!</v>
      </c>
      <c r="G227" s="177" t="e">
        <f t="shared" si="29"/>
        <v>#REF!</v>
      </c>
      <c r="H227" s="177" t="e">
        <f t="shared" si="33"/>
        <v>#REF!</v>
      </c>
      <c r="I227" s="177" t="e">
        <f t="shared" si="34"/>
        <v>#REF!</v>
      </c>
      <c r="J227" s="177" t="e">
        <f t="shared" si="30"/>
        <v>#REF!</v>
      </c>
      <c r="K227" s="177" t="e">
        <f>SUM($I$17:$I227)</f>
        <v>#REF!</v>
      </c>
      <c r="L227" s="179"/>
      <c r="M227" s="179"/>
    </row>
    <row r="228" spans="1:13" s="180" customFormat="1" ht="12.75">
      <c r="A228" s="192" t="e">
        <f t="shared" si="31"/>
        <v>#REF!</v>
      </c>
      <c r="B228" s="175"/>
      <c r="C228" s="176" t="e">
        <f t="shared" si="27"/>
        <v>#REF!</v>
      </c>
      <c r="D228" s="177" t="e">
        <f t="shared" si="32"/>
        <v>#REF!</v>
      </c>
      <c r="E228" s="177" t="e">
        <f t="shared" si="35"/>
        <v>#REF!</v>
      </c>
      <c r="F228" s="178" t="e">
        <f t="shared" si="28"/>
        <v>#REF!</v>
      </c>
      <c r="G228" s="177" t="e">
        <f t="shared" si="29"/>
        <v>#REF!</v>
      </c>
      <c r="H228" s="177" t="e">
        <f t="shared" si="33"/>
        <v>#REF!</v>
      </c>
      <c r="I228" s="177" t="e">
        <f t="shared" si="34"/>
        <v>#REF!</v>
      </c>
      <c r="J228" s="177" t="e">
        <f t="shared" si="30"/>
        <v>#REF!</v>
      </c>
      <c r="K228" s="177" t="e">
        <f>SUM($I$17:$I228)</f>
        <v>#REF!</v>
      </c>
      <c r="L228" s="179"/>
      <c r="M228" s="179"/>
    </row>
    <row r="229" spans="1:13" s="180" customFormat="1" ht="12.75">
      <c r="A229" s="192" t="e">
        <f t="shared" si="31"/>
        <v>#REF!</v>
      </c>
      <c r="B229" s="175"/>
      <c r="C229" s="176" t="e">
        <f t="shared" si="27"/>
        <v>#REF!</v>
      </c>
      <c r="D229" s="177" t="e">
        <f t="shared" si="32"/>
        <v>#REF!</v>
      </c>
      <c r="E229" s="177" t="e">
        <f t="shared" si="35"/>
        <v>#REF!</v>
      </c>
      <c r="F229" s="178" t="e">
        <f t="shared" si="28"/>
        <v>#REF!</v>
      </c>
      <c r="G229" s="177" t="e">
        <f t="shared" si="29"/>
        <v>#REF!</v>
      </c>
      <c r="H229" s="177" t="e">
        <f t="shared" si="33"/>
        <v>#REF!</v>
      </c>
      <c r="I229" s="177" t="e">
        <f t="shared" si="34"/>
        <v>#REF!</v>
      </c>
      <c r="J229" s="177" t="e">
        <f t="shared" si="30"/>
        <v>#REF!</v>
      </c>
      <c r="K229" s="177" t="e">
        <f>SUM($I$17:$I229)</f>
        <v>#REF!</v>
      </c>
      <c r="L229" s="179"/>
      <c r="M229" s="179"/>
    </row>
    <row r="230" spans="1:13" s="180" customFormat="1" ht="12.75">
      <c r="A230" s="192" t="e">
        <f t="shared" si="31"/>
        <v>#REF!</v>
      </c>
      <c r="B230" s="175"/>
      <c r="C230" s="176" t="e">
        <f t="shared" si="27"/>
        <v>#REF!</v>
      </c>
      <c r="D230" s="177" t="e">
        <f t="shared" si="32"/>
        <v>#REF!</v>
      </c>
      <c r="E230" s="177" t="e">
        <f t="shared" si="35"/>
        <v>#REF!</v>
      </c>
      <c r="F230" s="178" t="e">
        <f t="shared" si="28"/>
        <v>#REF!</v>
      </c>
      <c r="G230" s="177" t="e">
        <f t="shared" si="29"/>
        <v>#REF!</v>
      </c>
      <c r="H230" s="177" t="e">
        <f t="shared" si="33"/>
        <v>#REF!</v>
      </c>
      <c r="I230" s="177" t="e">
        <f t="shared" si="34"/>
        <v>#REF!</v>
      </c>
      <c r="J230" s="177" t="e">
        <f t="shared" si="30"/>
        <v>#REF!</v>
      </c>
      <c r="K230" s="177" t="e">
        <f>SUM($I$17:$I230)</f>
        <v>#REF!</v>
      </c>
      <c r="L230" s="179"/>
      <c r="M230" s="179"/>
    </row>
    <row r="231" spans="1:13" s="180" customFormat="1" ht="12.75">
      <c r="A231" s="192" t="e">
        <f t="shared" si="31"/>
        <v>#REF!</v>
      </c>
      <c r="B231" s="175"/>
      <c r="C231" s="176" t="e">
        <f t="shared" si="27"/>
        <v>#REF!</v>
      </c>
      <c r="D231" s="177" t="e">
        <f t="shared" si="32"/>
        <v>#REF!</v>
      </c>
      <c r="E231" s="177" t="e">
        <f t="shared" si="35"/>
        <v>#REF!</v>
      </c>
      <c r="F231" s="178" t="e">
        <f t="shared" si="28"/>
        <v>#REF!</v>
      </c>
      <c r="G231" s="177" t="e">
        <f t="shared" si="29"/>
        <v>#REF!</v>
      </c>
      <c r="H231" s="177" t="e">
        <f t="shared" si="33"/>
        <v>#REF!</v>
      </c>
      <c r="I231" s="177" t="e">
        <f t="shared" si="34"/>
        <v>#REF!</v>
      </c>
      <c r="J231" s="177" t="e">
        <f t="shared" si="30"/>
        <v>#REF!</v>
      </c>
      <c r="K231" s="177" t="e">
        <f>SUM($I$17:$I231)</f>
        <v>#REF!</v>
      </c>
      <c r="L231" s="179"/>
      <c r="M231" s="179"/>
    </row>
    <row r="232" spans="1:13" s="180" customFormat="1" ht="12.75">
      <c r="A232" s="192" t="e">
        <f t="shared" si="31"/>
        <v>#REF!</v>
      </c>
      <c r="B232" s="175"/>
      <c r="C232" s="176" t="e">
        <f t="shared" si="27"/>
        <v>#REF!</v>
      </c>
      <c r="D232" s="177" t="e">
        <f t="shared" si="32"/>
        <v>#REF!</v>
      </c>
      <c r="E232" s="177" t="e">
        <f t="shared" si="35"/>
        <v>#REF!</v>
      </c>
      <c r="F232" s="178" t="e">
        <f t="shared" si="28"/>
        <v>#REF!</v>
      </c>
      <c r="G232" s="177" t="e">
        <f t="shared" si="29"/>
        <v>#REF!</v>
      </c>
      <c r="H232" s="177" t="e">
        <f t="shared" si="33"/>
        <v>#REF!</v>
      </c>
      <c r="I232" s="177" t="e">
        <f t="shared" si="34"/>
        <v>#REF!</v>
      </c>
      <c r="J232" s="177" t="e">
        <f t="shared" si="30"/>
        <v>#REF!</v>
      </c>
      <c r="K232" s="177" t="e">
        <f>SUM($I$17:$I232)</f>
        <v>#REF!</v>
      </c>
      <c r="L232" s="179"/>
      <c r="M232" s="179"/>
    </row>
    <row r="233" spans="1:13" s="180" customFormat="1" ht="12.75">
      <c r="A233" s="192" t="e">
        <f t="shared" si="31"/>
        <v>#REF!</v>
      </c>
      <c r="B233" s="175"/>
      <c r="C233" s="176" t="e">
        <f t="shared" si="27"/>
        <v>#REF!</v>
      </c>
      <c r="D233" s="177" t="e">
        <f t="shared" si="32"/>
        <v>#REF!</v>
      </c>
      <c r="E233" s="177" t="e">
        <f t="shared" si="35"/>
        <v>#REF!</v>
      </c>
      <c r="F233" s="178" t="e">
        <f t="shared" si="28"/>
        <v>#REF!</v>
      </c>
      <c r="G233" s="177" t="e">
        <f t="shared" si="29"/>
        <v>#REF!</v>
      </c>
      <c r="H233" s="177" t="e">
        <f t="shared" si="33"/>
        <v>#REF!</v>
      </c>
      <c r="I233" s="177" t="e">
        <f t="shared" si="34"/>
        <v>#REF!</v>
      </c>
      <c r="J233" s="177" t="e">
        <f t="shared" si="30"/>
        <v>#REF!</v>
      </c>
      <c r="K233" s="177" t="e">
        <f>SUM($I$17:$I233)</f>
        <v>#REF!</v>
      </c>
      <c r="L233" s="179"/>
      <c r="M233" s="179"/>
    </row>
    <row r="234" spans="1:13" s="180" customFormat="1" ht="12.75">
      <c r="A234" s="192" t="e">
        <f t="shared" si="31"/>
        <v>#REF!</v>
      </c>
      <c r="B234" s="175"/>
      <c r="C234" s="176" t="e">
        <f t="shared" si="27"/>
        <v>#REF!</v>
      </c>
      <c r="D234" s="177" t="e">
        <f t="shared" si="32"/>
        <v>#REF!</v>
      </c>
      <c r="E234" s="177" t="e">
        <f t="shared" si="35"/>
        <v>#REF!</v>
      </c>
      <c r="F234" s="178" t="e">
        <f t="shared" si="28"/>
        <v>#REF!</v>
      </c>
      <c r="G234" s="177" t="e">
        <f t="shared" si="29"/>
        <v>#REF!</v>
      </c>
      <c r="H234" s="177" t="e">
        <f t="shared" si="33"/>
        <v>#REF!</v>
      </c>
      <c r="I234" s="177" t="e">
        <f t="shared" si="34"/>
        <v>#REF!</v>
      </c>
      <c r="J234" s="177" t="e">
        <f t="shared" si="30"/>
        <v>#REF!</v>
      </c>
      <c r="K234" s="177" t="e">
        <f>SUM($I$17:$I234)</f>
        <v>#REF!</v>
      </c>
      <c r="L234" s="179"/>
      <c r="M234" s="179"/>
    </row>
    <row r="235" spans="1:13" s="180" customFormat="1" ht="12.75">
      <c r="A235" s="192" t="e">
        <f t="shared" si="31"/>
        <v>#REF!</v>
      </c>
      <c r="B235" s="175"/>
      <c r="C235" s="176" t="e">
        <f t="shared" si="27"/>
        <v>#REF!</v>
      </c>
      <c r="D235" s="177" t="e">
        <f t="shared" si="32"/>
        <v>#REF!</v>
      </c>
      <c r="E235" s="177" t="e">
        <f t="shared" si="35"/>
        <v>#REF!</v>
      </c>
      <c r="F235" s="178" t="e">
        <f t="shared" si="28"/>
        <v>#REF!</v>
      </c>
      <c r="G235" s="177" t="e">
        <f t="shared" si="29"/>
        <v>#REF!</v>
      </c>
      <c r="H235" s="177" t="e">
        <f t="shared" si="33"/>
        <v>#REF!</v>
      </c>
      <c r="I235" s="177" t="e">
        <f t="shared" si="34"/>
        <v>#REF!</v>
      </c>
      <c r="J235" s="177" t="e">
        <f t="shared" si="30"/>
        <v>#REF!</v>
      </c>
      <c r="K235" s="177" t="e">
        <f>SUM($I$17:$I235)</f>
        <v>#REF!</v>
      </c>
      <c r="L235" s="179"/>
      <c r="M235" s="179"/>
    </row>
    <row r="236" spans="1:13" s="180" customFormat="1" ht="12.75">
      <c r="A236" s="192" t="e">
        <f t="shared" si="31"/>
        <v>#REF!</v>
      </c>
      <c r="B236" s="175"/>
      <c r="C236" s="176" t="e">
        <f t="shared" si="27"/>
        <v>#REF!</v>
      </c>
      <c r="D236" s="177" t="e">
        <f t="shared" si="32"/>
        <v>#REF!</v>
      </c>
      <c r="E236" s="177" t="e">
        <f t="shared" si="35"/>
        <v>#REF!</v>
      </c>
      <c r="F236" s="178" t="e">
        <f t="shared" si="28"/>
        <v>#REF!</v>
      </c>
      <c r="G236" s="177" t="e">
        <f t="shared" si="29"/>
        <v>#REF!</v>
      </c>
      <c r="H236" s="177" t="e">
        <f t="shared" si="33"/>
        <v>#REF!</v>
      </c>
      <c r="I236" s="177" t="e">
        <f t="shared" si="34"/>
        <v>#REF!</v>
      </c>
      <c r="J236" s="177" t="e">
        <f t="shared" si="30"/>
        <v>#REF!</v>
      </c>
      <c r="K236" s="177" t="e">
        <f>SUM($I$17:$I236)</f>
        <v>#REF!</v>
      </c>
      <c r="L236" s="179"/>
      <c r="M236" s="179"/>
    </row>
    <row r="237" spans="1:13" s="180" customFormat="1" ht="12.75">
      <c r="A237" s="192" t="e">
        <f t="shared" si="31"/>
        <v>#REF!</v>
      </c>
      <c r="B237" s="175"/>
      <c r="C237" s="176" t="e">
        <f t="shared" si="27"/>
        <v>#REF!</v>
      </c>
      <c r="D237" s="177" t="e">
        <f t="shared" si="32"/>
        <v>#REF!</v>
      </c>
      <c r="E237" s="177" t="e">
        <f t="shared" si="35"/>
        <v>#REF!</v>
      </c>
      <c r="F237" s="178" t="e">
        <f t="shared" si="28"/>
        <v>#REF!</v>
      </c>
      <c r="G237" s="177" t="e">
        <f t="shared" si="29"/>
        <v>#REF!</v>
      </c>
      <c r="H237" s="177" t="e">
        <f t="shared" si="33"/>
        <v>#REF!</v>
      </c>
      <c r="I237" s="177" t="e">
        <f t="shared" si="34"/>
        <v>#REF!</v>
      </c>
      <c r="J237" s="177" t="e">
        <f t="shared" si="30"/>
        <v>#REF!</v>
      </c>
      <c r="K237" s="177" t="e">
        <f>SUM($I$17:$I237)</f>
        <v>#REF!</v>
      </c>
      <c r="L237" s="179"/>
      <c r="M237" s="179"/>
    </row>
    <row r="238" spans="1:13" s="180" customFormat="1" ht="12.75">
      <c r="A238" s="192" t="e">
        <f t="shared" si="31"/>
        <v>#REF!</v>
      </c>
      <c r="B238" s="175"/>
      <c r="C238" s="176" t="e">
        <f t="shared" si="27"/>
        <v>#REF!</v>
      </c>
      <c r="D238" s="177" t="e">
        <f t="shared" si="32"/>
        <v>#REF!</v>
      </c>
      <c r="E238" s="177" t="e">
        <f t="shared" si="35"/>
        <v>#REF!</v>
      </c>
      <c r="F238" s="178" t="e">
        <f t="shared" si="28"/>
        <v>#REF!</v>
      </c>
      <c r="G238" s="177" t="e">
        <f t="shared" si="29"/>
        <v>#REF!</v>
      </c>
      <c r="H238" s="177" t="e">
        <f t="shared" si="33"/>
        <v>#REF!</v>
      </c>
      <c r="I238" s="177" t="e">
        <f t="shared" si="34"/>
        <v>#REF!</v>
      </c>
      <c r="J238" s="177" t="e">
        <f t="shared" si="30"/>
        <v>#REF!</v>
      </c>
      <c r="K238" s="177" t="e">
        <f>SUM($I$17:$I238)</f>
        <v>#REF!</v>
      </c>
      <c r="L238" s="179"/>
      <c r="M238" s="179"/>
    </row>
    <row r="239" spans="1:13" s="180" customFormat="1" ht="12.75">
      <c r="A239" s="192" t="e">
        <f t="shared" si="31"/>
        <v>#REF!</v>
      </c>
      <c r="B239" s="175"/>
      <c r="C239" s="176" t="e">
        <f t="shared" si="27"/>
        <v>#REF!</v>
      </c>
      <c r="D239" s="177" t="e">
        <f t="shared" si="32"/>
        <v>#REF!</v>
      </c>
      <c r="E239" s="177" t="e">
        <f t="shared" si="35"/>
        <v>#REF!</v>
      </c>
      <c r="F239" s="178" t="e">
        <f t="shared" si="28"/>
        <v>#REF!</v>
      </c>
      <c r="G239" s="177" t="e">
        <f t="shared" si="29"/>
        <v>#REF!</v>
      </c>
      <c r="H239" s="177" t="e">
        <f t="shared" si="33"/>
        <v>#REF!</v>
      </c>
      <c r="I239" s="177" t="e">
        <f t="shared" si="34"/>
        <v>#REF!</v>
      </c>
      <c r="J239" s="177" t="e">
        <f t="shared" si="30"/>
        <v>#REF!</v>
      </c>
      <c r="K239" s="177" t="e">
        <f>SUM($I$17:$I239)</f>
        <v>#REF!</v>
      </c>
      <c r="L239" s="179"/>
      <c r="M239" s="179"/>
    </row>
    <row r="240" spans="1:13" s="180" customFormat="1" ht="12.75">
      <c r="A240" s="192" t="e">
        <f t="shared" si="31"/>
        <v>#REF!</v>
      </c>
      <c r="B240" s="175"/>
      <c r="C240" s="176" t="e">
        <f t="shared" si="27"/>
        <v>#REF!</v>
      </c>
      <c r="D240" s="177" t="e">
        <f t="shared" si="32"/>
        <v>#REF!</v>
      </c>
      <c r="E240" s="177" t="e">
        <f t="shared" si="35"/>
        <v>#REF!</v>
      </c>
      <c r="F240" s="178" t="e">
        <f t="shared" si="28"/>
        <v>#REF!</v>
      </c>
      <c r="G240" s="177" t="e">
        <f t="shared" si="29"/>
        <v>#REF!</v>
      </c>
      <c r="H240" s="177" t="e">
        <f t="shared" si="33"/>
        <v>#REF!</v>
      </c>
      <c r="I240" s="177" t="e">
        <f t="shared" si="34"/>
        <v>#REF!</v>
      </c>
      <c r="J240" s="177" t="e">
        <f t="shared" si="30"/>
        <v>#REF!</v>
      </c>
      <c r="K240" s="177" t="e">
        <f>SUM($I$17:$I240)</f>
        <v>#REF!</v>
      </c>
      <c r="L240" s="179"/>
      <c r="M240" s="179"/>
    </row>
    <row r="241" spans="1:13" s="180" customFormat="1" ht="12.75">
      <c r="A241" s="192" t="e">
        <f t="shared" si="31"/>
        <v>#REF!</v>
      </c>
      <c r="B241" s="175"/>
      <c r="C241" s="176" t="e">
        <f t="shared" si="27"/>
        <v>#REF!</v>
      </c>
      <c r="D241" s="177" t="e">
        <f t="shared" si="32"/>
        <v>#REF!</v>
      </c>
      <c r="E241" s="177" t="e">
        <f t="shared" si="35"/>
        <v>#REF!</v>
      </c>
      <c r="F241" s="178" t="e">
        <f t="shared" si="28"/>
        <v>#REF!</v>
      </c>
      <c r="G241" s="177" t="e">
        <f t="shared" si="29"/>
        <v>#REF!</v>
      </c>
      <c r="H241" s="177" t="e">
        <f t="shared" si="33"/>
        <v>#REF!</v>
      </c>
      <c r="I241" s="177" t="e">
        <f t="shared" si="34"/>
        <v>#REF!</v>
      </c>
      <c r="J241" s="177" t="e">
        <f t="shared" si="30"/>
        <v>#REF!</v>
      </c>
      <c r="K241" s="177" t="e">
        <f>SUM($I$17:$I241)</f>
        <v>#REF!</v>
      </c>
      <c r="L241" s="179"/>
      <c r="M241" s="179"/>
    </row>
    <row r="242" spans="1:13" s="180" customFormat="1" ht="12.75">
      <c r="A242" s="192" t="e">
        <f t="shared" si="31"/>
        <v>#REF!</v>
      </c>
      <c r="B242" s="175"/>
      <c r="C242" s="176" t="e">
        <f t="shared" si="27"/>
        <v>#REF!</v>
      </c>
      <c r="D242" s="177" t="e">
        <f t="shared" si="32"/>
        <v>#REF!</v>
      </c>
      <c r="E242" s="177" t="e">
        <f t="shared" si="35"/>
        <v>#REF!</v>
      </c>
      <c r="F242" s="178" t="e">
        <f t="shared" si="28"/>
        <v>#REF!</v>
      </c>
      <c r="G242" s="177" t="e">
        <f t="shared" si="29"/>
        <v>#REF!</v>
      </c>
      <c r="H242" s="177" t="e">
        <f t="shared" si="33"/>
        <v>#REF!</v>
      </c>
      <c r="I242" s="177" t="e">
        <f t="shared" si="34"/>
        <v>#REF!</v>
      </c>
      <c r="J242" s="177" t="e">
        <f t="shared" si="30"/>
        <v>#REF!</v>
      </c>
      <c r="K242" s="177" t="e">
        <f>SUM($I$17:$I242)</f>
        <v>#REF!</v>
      </c>
      <c r="L242" s="179"/>
      <c r="M242" s="179"/>
    </row>
    <row r="243" spans="1:13" s="180" customFormat="1" ht="12.75">
      <c r="A243" s="192" t="e">
        <f t="shared" si="31"/>
        <v>#REF!</v>
      </c>
      <c r="B243" s="175"/>
      <c r="C243" s="176" t="e">
        <f t="shared" si="27"/>
        <v>#REF!</v>
      </c>
      <c r="D243" s="177" t="e">
        <f t="shared" si="32"/>
        <v>#REF!</v>
      </c>
      <c r="E243" s="177" t="e">
        <f t="shared" si="35"/>
        <v>#REF!</v>
      </c>
      <c r="F243" s="178" t="e">
        <f t="shared" si="28"/>
        <v>#REF!</v>
      </c>
      <c r="G243" s="177" t="e">
        <f t="shared" si="29"/>
        <v>#REF!</v>
      </c>
      <c r="H243" s="177" t="e">
        <f t="shared" si="33"/>
        <v>#REF!</v>
      </c>
      <c r="I243" s="177" t="e">
        <f t="shared" si="34"/>
        <v>#REF!</v>
      </c>
      <c r="J243" s="177" t="e">
        <f t="shared" si="30"/>
        <v>#REF!</v>
      </c>
      <c r="K243" s="177" t="e">
        <f>SUM($I$17:$I243)</f>
        <v>#REF!</v>
      </c>
      <c r="L243" s="179"/>
      <c r="M243" s="179"/>
    </row>
    <row r="244" spans="1:13" s="180" customFormat="1" ht="12.75">
      <c r="A244" s="192" t="e">
        <f t="shared" si="31"/>
        <v>#REF!</v>
      </c>
      <c r="B244" s="175"/>
      <c r="C244" s="176" t="e">
        <f t="shared" si="27"/>
        <v>#REF!</v>
      </c>
      <c r="D244" s="177" t="e">
        <f t="shared" si="32"/>
        <v>#REF!</v>
      </c>
      <c r="E244" s="177" t="e">
        <f t="shared" si="35"/>
        <v>#REF!</v>
      </c>
      <c r="F244" s="178" t="e">
        <f t="shared" si="28"/>
        <v>#REF!</v>
      </c>
      <c r="G244" s="177" t="e">
        <f t="shared" si="29"/>
        <v>#REF!</v>
      </c>
      <c r="H244" s="177" t="e">
        <f t="shared" si="33"/>
        <v>#REF!</v>
      </c>
      <c r="I244" s="177" t="e">
        <f t="shared" si="34"/>
        <v>#REF!</v>
      </c>
      <c r="J244" s="177" t="e">
        <f t="shared" si="30"/>
        <v>#REF!</v>
      </c>
      <c r="K244" s="177" t="e">
        <f>SUM($I$17:$I244)</f>
        <v>#REF!</v>
      </c>
      <c r="L244" s="179"/>
      <c r="M244" s="179"/>
    </row>
    <row r="245" spans="1:13" s="180" customFormat="1" ht="12.75">
      <c r="A245" s="192" t="e">
        <f t="shared" si="31"/>
        <v>#REF!</v>
      </c>
      <c r="B245" s="175"/>
      <c r="C245" s="176" t="e">
        <f t="shared" si="27"/>
        <v>#REF!</v>
      </c>
      <c r="D245" s="177" t="e">
        <f t="shared" si="32"/>
        <v>#REF!</v>
      </c>
      <c r="E245" s="177" t="e">
        <f t="shared" si="35"/>
        <v>#REF!</v>
      </c>
      <c r="F245" s="178" t="e">
        <f t="shared" si="28"/>
        <v>#REF!</v>
      </c>
      <c r="G245" s="177" t="e">
        <f t="shared" si="29"/>
        <v>#REF!</v>
      </c>
      <c r="H245" s="177" t="e">
        <f t="shared" si="33"/>
        <v>#REF!</v>
      </c>
      <c r="I245" s="177" t="e">
        <f t="shared" si="34"/>
        <v>#REF!</v>
      </c>
      <c r="J245" s="177" t="e">
        <f t="shared" si="30"/>
        <v>#REF!</v>
      </c>
      <c r="K245" s="177" t="e">
        <f>SUM($I$17:$I245)</f>
        <v>#REF!</v>
      </c>
      <c r="L245" s="179"/>
      <c r="M245" s="179"/>
    </row>
    <row r="246" spans="1:13" s="180" customFormat="1" ht="12.75">
      <c r="A246" s="192" t="e">
        <f t="shared" si="31"/>
        <v>#REF!</v>
      </c>
      <c r="B246" s="175"/>
      <c r="C246" s="176" t="e">
        <f t="shared" si="27"/>
        <v>#REF!</v>
      </c>
      <c r="D246" s="177" t="e">
        <f t="shared" si="32"/>
        <v>#REF!</v>
      </c>
      <c r="E246" s="177" t="e">
        <f t="shared" si="35"/>
        <v>#REF!</v>
      </c>
      <c r="F246" s="178" t="e">
        <f t="shared" si="28"/>
        <v>#REF!</v>
      </c>
      <c r="G246" s="177" t="e">
        <f t="shared" si="29"/>
        <v>#REF!</v>
      </c>
      <c r="H246" s="177" t="e">
        <f t="shared" si="33"/>
        <v>#REF!</v>
      </c>
      <c r="I246" s="177" t="e">
        <f t="shared" si="34"/>
        <v>#REF!</v>
      </c>
      <c r="J246" s="177" t="e">
        <f t="shared" si="30"/>
        <v>#REF!</v>
      </c>
      <c r="K246" s="177" t="e">
        <f>SUM($I$17:$I246)</f>
        <v>#REF!</v>
      </c>
      <c r="L246" s="179"/>
      <c r="M246" s="179"/>
    </row>
    <row r="247" spans="1:13" s="180" customFormat="1" ht="12.75">
      <c r="A247" s="192" t="e">
        <f t="shared" si="31"/>
        <v>#REF!</v>
      </c>
      <c r="B247" s="175"/>
      <c r="C247" s="176" t="e">
        <f t="shared" si="27"/>
        <v>#REF!</v>
      </c>
      <c r="D247" s="177" t="e">
        <f t="shared" si="32"/>
        <v>#REF!</v>
      </c>
      <c r="E247" s="177" t="e">
        <f t="shared" si="35"/>
        <v>#REF!</v>
      </c>
      <c r="F247" s="178" t="e">
        <f t="shared" si="28"/>
        <v>#REF!</v>
      </c>
      <c r="G247" s="177" t="e">
        <f t="shared" si="29"/>
        <v>#REF!</v>
      </c>
      <c r="H247" s="177" t="e">
        <f t="shared" si="33"/>
        <v>#REF!</v>
      </c>
      <c r="I247" s="177" t="e">
        <f t="shared" si="34"/>
        <v>#REF!</v>
      </c>
      <c r="J247" s="177" t="e">
        <f t="shared" si="30"/>
        <v>#REF!</v>
      </c>
      <c r="K247" s="177" t="e">
        <f>SUM($I$17:$I247)</f>
        <v>#REF!</v>
      </c>
      <c r="L247" s="179"/>
      <c r="M247" s="179"/>
    </row>
    <row r="248" spans="1:13" s="180" customFormat="1" ht="12.75">
      <c r="A248" s="192" t="e">
        <f t="shared" si="31"/>
        <v>#REF!</v>
      </c>
      <c r="B248" s="175"/>
      <c r="C248" s="176" t="e">
        <f t="shared" si="27"/>
        <v>#REF!</v>
      </c>
      <c r="D248" s="177" t="e">
        <f t="shared" si="32"/>
        <v>#REF!</v>
      </c>
      <c r="E248" s="177" t="e">
        <f t="shared" si="35"/>
        <v>#REF!</v>
      </c>
      <c r="F248" s="178" t="e">
        <f t="shared" si="28"/>
        <v>#REF!</v>
      </c>
      <c r="G248" s="177" t="e">
        <f t="shared" si="29"/>
        <v>#REF!</v>
      </c>
      <c r="H248" s="177" t="e">
        <f t="shared" si="33"/>
        <v>#REF!</v>
      </c>
      <c r="I248" s="177" t="e">
        <f t="shared" si="34"/>
        <v>#REF!</v>
      </c>
      <c r="J248" s="177" t="e">
        <f t="shared" si="30"/>
        <v>#REF!</v>
      </c>
      <c r="K248" s="177" t="e">
        <f>SUM($I$17:$I248)</f>
        <v>#REF!</v>
      </c>
      <c r="L248" s="179"/>
      <c r="M248" s="179"/>
    </row>
    <row r="249" spans="1:13" s="180" customFormat="1" ht="12.75">
      <c r="A249" s="192" t="e">
        <f t="shared" si="31"/>
        <v>#REF!</v>
      </c>
      <c r="B249" s="175"/>
      <c r="C249" s="176" t="e">
        <f t="shared" si="27"/>
        <v>#REF!</v>
      </c>
      <c r="D249" s="177" t="e">
        <f t="shared" si="32"/>
        <v>#REF!</v>
      </c>
      <c r="E249" s="177" t="e">
        <f t="shared" si="35"/>
        <v>#REF!</v>
      </c>
      <c r="F249" s="178" t="e">
        <f t="shared" si="28"/>
        <v>#REF!</v>
      </c>
      <c r="G249" s="177" t="e">
        <f t="shared" si="29"/>
        <v>#REF!</v>
      </c>
      <c r="H249" s="177" t="e">
        <f t="shared" si="33"/>
        <v>#REF!</v>
      </c>
      <c r="I249" s="177" t="e">
        <f t="shared" si="34"/>
        <v>#REF!</v>
      </c>
      <c r="J249" s="177" t="e">
        <f t="shared" si="30"/>
        <v>#REF!</v>
      </c>
      <c r="K249" s="177" t="e">
        <f>SUM($I$17:$I249)</f>
        <v>#REF!</v>
      </c>
      <c r="L249" s="179"/>
      <c r="M249" s="179"/>
    </row>
    <row r="250" spans="1:13" s="180" customFormat="1" ht="12.75">
      <c r="A250" s="192" t="e">
        <f t="shared" si="31"/>
        <v>#REF!</v>
      </c>
      <c r="B250" s="175"/>
      <c r="C250" s="176" t="e">
        <f t="shared" si="27"/>
        <v>#REF!</v>
      </c>
      <c r="D250" s="177" t="e">
        <f t="shared" si="32"/>
        <v>#REF!</v>
      </c>
      <c r="E250" s="177" t="e">
        <f t="shared" si="35"/>
        <v>#REF!</v>
      </c>
      <c r="F250" s="178" t="e">
        <f t="shared" si="28"/>
        <v>#REF!</v>
      </c>
      <c r="G250" s="177" t="e">
        <f t="shared" si="29"/>
        <v>#REF!</v>
      </c>
      <c r="H250" s="177" t="e">
        <f t="shared" si="33"/>
        <v>#REF!</v>
      </c>
      <c r="I250" s="177" t="e">
        <f t="shared" si="34"/>
        <v>#REF!</v>
      </c>
      <c r="J250" s="177" t="e">
        <f t="shared" si="30"/>
        <v>#REF!</v>
      </c>
      <c r="K250" s="177" t="e">
        <f>SUM($I$17:$I250)</f>
        <v>#REF!</v>
      </c>
      <c r="L250" s="179"/>
      <c r="M250" s="179"/>
    </row>
    <row r="251" spans="1:13" s="180" customFormat="1" ht="12.75">
      <c r="A251" s="192" t="e">
        <f t="shared" si="31"/>
        <v>#REF!</v>
      </c>
      <c r="B251" s="175"/>
      <c r="C251" s="176" t="e">
        <f t="shared" si="27"/>
        <v>#REF!</v>
      </c>
      <c r="D251" s="177" t="e">
        <f t="shared" si="32"/>
        <v>#REF!</v>
      </c>
      <c r="E251" s="177" t="e">
        <f t="shared" si="35"/>
        <v>#REF!</v>
      </c>
      <c r="F251" s="178" t="e">
        <f t="shared" si="28"/>
        <v>#REF!</v>
      </c>
      <c r="G251" s="177" t="e">
        <f t="shared" si="29"/>
        <v>#REF!</v>
      </c>
      <c r="H251" s="177" t="e">
        <f t="shared" si="33"/>
        <v>#REF!</v>
      </c>
      <c r="I251" s="177" t="e">
        <f t="shared" si="34"/>
        <v>#REF!</v>
      </c>
      <c r="J251" s="177" t="e">
        <f t="shared" si="30"/>
        <v>#REF!</v>
      </c>
      <c r="K251" s="177" t="e">
        <f>SUM($I$17:$I251)</f>
        <v>#REF!</v>
      </c>
      <c r="L251" s="179"/>
      <c r="M251" s="179"/>
    </row>
    <row r="252" spans="1:13" s="180" customFormat="1" ht="12.75">
      <c r="A252" s="192" t="e">
        <f t="shared" si="31"/>
        <v>#REF!</v>
      </c>
      <c r="B252" s="175"/>
      <c r="C252" s="176" t="e">
        <f t="shared" si="27"/>
        <v>#REF!</v>
      </c>
      <c r="D252" s="177" t="e">
        <f t="shared" si="32"/>
        <v>#REF!</v>
      </c>
      <c r="E252" s="177" t="e">
        <f t="shared" si="35"/>
        <v>#REF!</v>
      </c>
      <c r="F252" s="178" t="e">
        <f t="shared" si="28"/>
        <v>#REF!</v>
      </c>
      <c r="G252" s="177" t="e">
        <f t="shared" si="29"/>
        <v>#REF!</v>
      </c>
      <c r="H252" s="177" t="e">
        <f t="shared" si="33"/>
        <v>#REF!</v>
      </c>
      <c r="I252" s="177" t="e">
        <f t="shared" si="34"/>
        <v>#REF!</v>
      </c>
      <c r="J252" s="177" t="e">
        <f t="shared" si="30"/>
        <v>#REF!</v>
      </c>
      <c r="K252" s="177" t="e">
        <f>SUM($I$17:$I252)</f>
        <v>#REF!</v>
      </c>
      <c r="L252" s="179"/>
      <c r="M252" s="179"/>
    </row>
    <row r="253" spans="1:13" s="180" customFormat="1" ht="12.75">
      <c r="A253" s="192" t="e">
        <f t="shared" si="31"/>
        <v>#REF!</v>
      </c>
      <c r="B253" s="175"/>
      <c r="C253" s="176" t="e">
        <f t="shared" si="27"/>
        <v>#REF!</v>
      </c>
      <c r="D253" s="177" t="e">
        <f t="shared" si="32"/>
        <v>#REF!</v>
      </c>
      <c r="E253" s="177" t="e">
        <f t="shared" si="35"/>
        <v>#REF!</v>
      </c>
      <c r="F253" s="178" t="e">
        <f t="shared" si="28"/>
        <v>#REF!</v>
      </c>
      <c r="G253" s="177" t="e">
        <f t="shared" si="29"/>
        <v>#REF!</v>
      </c>
      <c r="H253" s="177" t="e">
        <f t="shared" si="33"/>
        <v>#REF!</v>
      </c>
      <c r="I253" s="177" t="e">
        <f t="shared" si="34"/>
        <v>#REF!</v>
      </c>
      <c r="J253" s="177" t="e">
        <f t="shared" si="30"/>
        <v>#REF!</v>
      </c>
      <c r="K253" s="177" t="e">
        <f>SUM($I$17:$I253)</f>
        <v>#REF!</v>
      </c>
      <c r="L253" s="179"/>
      <c r="M253" s="179"/>
    </row>
    <row r="254" spans="1:13" s="180" customFormat="1" ht="12.75">
      <c r="A254" s="192" t="e">
        <f t="shared" si="31"/>
        <v>#REF!</v>
      </c>
      <c r="B254" s="175"/>
      <c r="C254" s="176" t="e">
        <f t="shared" si="27"/>
        <v>#REF!</v>
      </c>
      <c r="D254" s="177" t="e">
        <f t="shared" si="32"/>
        <v>#REF!</v>
      </c>
      <c r="E254" s="177" t="e">
        <f t="shared" si="35"/>
        <v>#REF!</v>
      </c>
      <c r="F254" s="178" t="e">
        <f t="shared" si="28"/>
        <v>#REF!</v>
      </c>
      <c r="G254" s="177" t="e">
        <f t="shared" si="29"/>
        <v>#REF!</v>
      </c>
      <c r="H254" s="177" t="e">
        <f t="shared" si="33"/>
        <v>#REF!</v>
      </c>
      <c r="I254" s="177" t="e">
        <f t="shared" si="34"/>
        <v>#REF!</v>
      </c>
      <c r="J254" s="177" t="e">
        <f t="shared" si="30"/>
        <v>#REF!</v>
      </c>
      <c r="K254" s="177" t="e">
        <f>SUM($I$17:$I254)</f>
        <v>#REF!</v>
      </c>
      <c r="L254" s="179"/>
      <c r="M254" s="179"/>
    </row>
    <row r="255" spans="1:13" s="180" customFormat="1" ht="12.75">
      <c r="A255" s="192" t="e">
        <f t="shared" si="31"/>
        <v>#REF!</v>
      </c>
      <c r="B255" s="175"/>
      <c r="C255" s="176" t="e">
        <f t="shared" si="27"/>
        <v>#REF!</v>
      </c>
      <c r="D255" s="177" t="e">
        <f t="shared" si="32"/>
        <v>#REF!</v>
      </c>
      <c r="E255" s="177" t="e">
        <f t="shared" si="35"/>
        <v>#REF!</v>
      </c>
      <c r="F255" s="178" t="e">
        <f t="shared" si="28"/>
        <v>#REF!</v>
      </c>
      <c r="G255" s="177" t="e">
        <f t="shared" si="29"/>
        <v>#REF!</v>
      </c>
      <c r="H255" s="177" t="e">
        <f t="shared" si="33"/>
        <v>#REF!</v>
      </c>
      <c r="I255" s="177" t="e">
        <f t="shared" si="34"/>
        <v>#REF!</v>
      </c>
      <c r="J255" s="177" t="e">
        <f t="shared" si="30"/>
        <v>#REF!</v>
      </c>
      <c r="K255" s="177" t="e">
        <f>SUM($I$17:$I255)</f>
        <v>#REF!</v>
      </c>
      <c r="L255" s="179"/>
      <c r="M255" s="179"/>
    </row>
    <row r="256" spans="1:13" s="180" customFormat="1" ht="12.75">
      <c r="A256" s="192" t="e">
        <f t="shared" si="31"/>
        <v>#REF!</v>
      </c>
      <c r="B256" s="175"/>
      <c r="C256" s="176" t="e">
        <f t="shared" si="27"/>
        <v>#REF!</v>
      </c>
      <c r="D256" s="177" t="e">
        <f t="shared" si="32"/>
        <v>#REF!</v>
      </c>
      <c r="E256" s="177" t="e">
        <f t="shared" si="35"/>
        <v>#REF!</v>
      </c>
      <c r="F256" s="178" t="e">
        <f t="shared" si="28"/>
        <v>#REF!</v>
      </c>
      <c r="G256" s="177" t="e">
        <f t="shared" si="29"/>
        <v>#REF!</v>
      </c>
      <c r="H256" s="177" t="e">
        <f t="shared" si="33"/>
        <v>#REF!</v>
      </c>
      <c r="I256" s="177" t="e">
        <f t="shared" si="34"/>
        <v>#REF!</v>
      </c>
      <c r="J256" s="177" t="e">
        <f t="shared" si="30"/>
        <v>#REF!</v>
      </c>
      <c r="K256" s="177" t="e">
        <f>SUM($I$17:$I256)</f>
        <v>#REF!</v>
      </c>
      <c r="L256" s="179"/>
      <c r="M256" s="179"/>
    </row>
    <row r="257" spans="1:13" s="180" customFormat="1" ht="12.75">
      <c r="A257" s="192" t="e">
        <f t="shared" si="31"/>
        <v>#REF!</v>
      </c>
      <c r="B257" s="175"/>
      <c r="C257" s="176" t="e">
        <f t="shared" si="27"/>
        <v>#REF!</v>
      </c>
      <c r="D257" s="177" t="e">
        <f t="shared" si="32"/>
        <v>#REF!</v>
      </c>
      <c r="E257" s="177" t="e">
        <f t="shared" si="35"/>
        <v>#REF!</v>
      </c>
      <c r="F257" s="178" t="e">
        <f t="shared" si="28"/>
        <v>#REF!</v>
      </c>
      <c r="G257" s="177" t="e">
        <f t="shared" si="29"/>
        <v>#REF!</v>
      </c>
      <c r="H257" s="177" t="e">
        <f t="shared" si="33"/>
        <v>#REF!</v>
      </c>
      <c r="I257" s="177" t="e">
        <f t="shared" si="34"/>
        <v>#REF!</v>
      </c>
      <c r="J257" s="177" t="e">
        <f t="shared" si="30"/>
        <v>#REF!</v>
      </c>
      <c r="K257" s="177" t="e">
        <f>SUM($I$17:$I257)</f>
        <v>#REF!</v>
      </c>
      <c r="L257" s="179"/>
      <c r="M257" s="179"/>
    </row>
    <row r="258" spans="1:13" s="180" customFormat="1" ht="12.75">
      <c r="A258" s="192" t="e">
        <f t="shared" si="31"/>
        <v>#REF!</v>
      </c>
      <c r="B258" s="175"/>
      <c r="C258" s="176" t="e">
        <f t="shared" si="27"/>
        <v>#REF!</v>
      </c>
      <c r="D258" s="177" t="e">
        <f t="shared" si="32"/>
        <v>#REF!</v>
      </c>
      <c r="E258" s="177" t="e">
        <f t="shared" si="35"/>
        <v>#REF!</v>
      </c>
      <c r="F258" s="178" t="e">
        <f t="shared" si="28"/>
        <v>#REF!</v>
      </c>
      <c r="G258" s="177" t="e">
        <f t="shared" si="29"/>
        <v>#REF!</v>
      </c>
      <c r="H258" s="177" t="e">
        <f t="shared" si="33"/>
        <v>#REF!</v>
      </c>
      <c r="I258" s="177" t="e">
        <f t="shared" si="34"/>
        <v>#REF!</v>
      </c>
      <c r="J258" s="177" t="e">
        <f t="shared" si="30"/>
        <v>#REF!</v>
      </c>
      <c r="K258" s="177" t="e">
        <f>SUM($I$17:$I258)</f>
        <v>#REF!</v>
      </c>
      <c r="L258" s="179"/>
      <c r="M258" s="179"/>
    </row>
    <row r="259" spans="1:13" s="180" customFormat="1" ht="12.75">
      <c r="A259" s="192" t="e">
        <f t="shared" si="31"/>
        <v>#REF!</v>
      </c>
      <c r="B259" s="175"/>
      <c r="C259" s="176" t="e">
        <f t="shared" si="27"/>
        <v>#REF!</v>
      </c>
      <c r="D259" s="177" t="e">
        <f t="shared" si="32"/>
        <v>#REF!</v>
      </c>
      <c r="E259" s="177" t="e">
        <f t="shared" si="35"/>
        <v>#REF!</v>
      </c>
      <c r="F259" s="178" t="e">
        <f t="shared" si="28"/>
        <v>#REF!</v>
      </c>
      <c r="G259" s="177" t="e">
        <f t="shared" si="29"/>
        <v>#REF!</v>
      </c>
      <c r="H259" s="177" t="e">
        <f t="shared" si="33"/>
        <v>#REF!</v>
      </c>
      <c r="I259" s="177" t="e">
        <f t="shared" si="34"/>
        <v>#REF!</v>
      </c>
      <c r="J259" s="177" t="e">
        <f t="shared" si="30"/>
        <v>#REF!</v>
      </c>
      <c r="K259" s="177" t="e">
        <f>SUM($I$17:$I259)</f>
        <v>#REF!</v>
      </c>
      <c r="L259" s="179"/>
      <c r="M259" s="179"/>
    </row>
    <row r="260" spans="1:13" s="180" customFormat="1" ht="12.75">
      <c r="A260" s="192" t="e">
        <f t="shared" si="31"/>
        <v>#REF!</v>
      </c>
      <c r="B260" s="175"/>
      <c r="C260" s="176" t="e">
        <f t="shared" si="27"/>
        <v>#REF!</v>
      </c>
      <c r="D260" s="177" t="e">
        <f t="shared" si="32"/>
        <v>#REF!</v>
      </c>
      <c r="E260" s="177" t="e">
        <f t="shared" si="35"/>
        <v>#REF!</v>
      </c>
      <c r="F260" s="178" t="e">
        <f t="shared" si="28"/>
        <v>#REF!</v>
      </c>
      <c r="G260" s="177" t="e">
        <f t="shared" si="29"/>
        <v>#REF!</v>
      </c>
      <c r="H260" s="177" t="e">
        <f t="shared" si="33"/>
        <v>#REF!</v>
      </c>
      <c r="I260" s="177" t="e">
        <f t="shared" si="34"/>
        <v>#REF!</v>
      </c>
      <c r="J260" s="177" t="e">
        <f t="shared" si="30"/>
        <v>#REF!</v>
      </c>
      <c r="K260" s="177" t="e">
        <f>SUM($I$17:$I260)</f>
        <v>#REF!</v>
      </c>
      <c r="L260" s="179"/>
      <c r="M260" s="179"/>
    </row>
    <row r="261" spans="1:13" s="180" customFormat="1" ht="12.75">
      <c r="A261" s="192" t="e">
        <f t="shared" si="31"/>
        <v>#REF!</v>
      </c>
      <c r="B261" s="175"/>
      <c r="C261" s="176" t="e">
        <f t="shared" si="27"/>
        <v>#REF!</v>
      </c>
      <c r="D261" s="177" t="e">
        <f t="shared" si="32"/>
        <v>#REF!</v>
      </c>
      <c r="E261" s="177" t="e">
        <f t="shared" si="35"/>
        <v>#REF!</v>
      </c>
      <c r="F261" s="178" t="e">
        <f t="shared" si="28"/>
        <v>#REF!</v>
      </c>
      <c r="G261" s="177" t="e">
        <f t="shared" si="29"/>
        <v>#REF!</v>
      </c>
      <c r="H261" s="177" t="e">
        <f t="shared" si="33"/>
        <v>#REF!</v>
      </c>
      <c r="I261" s="177" t="e">
        <f t="shared" si="34"/>
        <v>#REF!</v>
      </c>
      <c r="J261" s="177" t="e">
        <f t="shared" si="30"/>
        <v>#REF!</v>
      </c>
      <c r="K261" s="177" t="e">
        <f>SUM($I$17:$I261)</f>
        <v>#REF!</v>
      </c>
      <c r="L261" s="179"/>
      <c r="M261" s="179"/>
    </row>
    <row r="262" spans="1:13" s="180" customFormat="1" ht="12.75">
      <c r="A262" s="192" t="e">
        <f t="shared" si="31"/>
        <v>#REF!</v>
      </c>
      <c r="B262" s="175"/>
      <c r="C262" s="176" t="e">
        <f t="shared" si="27"/>
        <v>#REF!</v>
      </c>
      <c r="D262" s="177" t="e">
        <f t="shared" si="32"/>
        <v>#REF!</v>
      </c>
      <c r="E262" s="177" t="e">
        <f t="shared" si="35"/>
        <v>#REF!</v>
      </c>
      <c r="F262" s="178" t="e">
        <f t="shared" si="28"/>
        <v>#REF!</v>
      </c>
      <c r="G262" s="177" t="e">
        <f t="shared" si="29"/>
        <v>#REF!</v>
      </c>
      <c r="H262" s="177" t="e">
        <f t="shared" si="33"/>
        <v>#REF!</v>
      </c>
      <c r="I262" s="177" t="e">
        <f t="shared" si="34"/>
        <v>#REF!</v>
      </c>
      <c r="J262" s="177" t="e">
        <f t="shared" si="30"/>
        <v>#REF!</v>
      </c>
      <c r="K262" s="177" t="e">
        <f>SUM($I$17:$I262)</f>
        <v>#REF!</v>
      </c>
      <c r="L262" s="179"/>
      <c r="M262" s="179"/>
    </row>
    <row r="263" spans="1:13" s="180" customFormat="1" ht="12.75">
      <c r="A263" s="192" t="e">
        <f t="shared" si="31"/>
        <v>#REF!</v>
      </c>
      <c r="B263" s="175"/>
      <c r="C263" s="176" t="e">
        <f t="shared" si="27"/>
        <v>#REF!</v>
      </c>
      <c r="D263" s="177" t="e">
        <f t="shared" si="32"/>
        <v>#REF!</v>
      </c>
      <c r="E263" s="177" t="e">
        <f t="shared" si="35"/>
        <v>#REF!</v>
      </c>
      <c r="F263" s="178" t="e">
        <f t="shared" si="28"/>
        <v>#REF!</v>
      </c>
      <c r="G263" s="177" t="e">
        <f t="shared" si="29"/>
        <v>#REF!</v>
      </c>
      <c r="H263" s="177" t="e">
        <f t="shared" si="33"/>
        <v>#REF!</v>
      </c>
      <c r="I263" s="177" t="e">
        <f t="shared" si="34"/>
        <v>#REF!</v>
      </c>
      <c r="J263" s="177" t="e">
        <f t="shared" si="30"/>
        <v>#REF!</v>
      </c>
      <c r="K263" s="177" t="e">
        <f>SUM($I$17:$I263)</f>
        <v>#REF!</v>
      </c>
      <c r="L263" s="179"/>
      <c r="M263" s="179"/>
    </row>
    <row r="264" spans="1:13" s="180" customFormat="1" ht="12.75">
      <c r="A264" s="192" t="e">
        <f t="shared" si="31"/>
        <v>#REF!</v>
      </c>
      <c r="B264" s="175"/>
      <c r="C264" s="176" t="e">
        <f t="shared" si="27"/>
        <v>#REF!</v>
      </c>
      <c r="D264" s="177" t="e">
        <f t="shared" si="32"/>
        <v>#REF!</v>
      </c>
      <c r="E264" s="177" t="e">
        <f t="shared" si="35"/>
        <v>#REF!</v>
      </c>
      <c r="F264" s="178" t="e">
        <f t="shared" si="28"/>
        <v>#REF!</v>
      </c>
      <c r="G264" s="177" t="e">
        <f t="shared" si="29"/>
        <v>#REF!</v>
      </c>
      <c r="H264" s="177" t="e">
        <f t="shared" si="33"/>
        <v>#REF!</v>
      </c>
      <c r="I264" s="177" t="e">
        <f t="shared" si="34"/>
        <v>#REF!</v>
      </c>
      <c r="J264" s="177" t="e">
        <f t="shared" si="30"/>
        <v>#REF!</v>
      </c>
      <c r="K264" s="177" t="e">
        <f>SUM($I$17:$I264)</f>
        <v>#REF!</v>
      </c>
      <c r="L264" s="179"/>
      <c r="M264" s="179"/>
    </row>
    <row r="265" spans="1:13" s="180" customFormat="1" ht="12.75">
      <c r="A265" s="192" t="e">
        <f t="shared" si="31"/>
        <v>#REF!</v>
      </c>
      <c r="B265" s="175"/>
      <c r="C265" s="176" t="e">
        <f t="shared" si="27"/>
        <v>#REF!</v>
      </c>
      <c r="D265" s="177" t="e">
        <f t="shared" si="32"/>
        <v>#REF!</v>
      </c>
      <c r="E265" s="177" t="e">
        <f t="shared" si="35"/>
        <v>#REF!</v>
      </c>
      <c r="F265" s="178" t="e">
        <f t="shared" si="28"/>
        <v>#REF!</v>
      </c>
      <c r="G265" s="177" t="e">
        <f t="shared" si="29"/>
        <v>#REF!</v>
      </c>
      <c r="H265" s="177" t="e">
        <f t="shared" si="33"/>
        <v>#REF!</v>
      </c>
      <c r="I265" s="177" t="e">
        <f t="shared" si="34"/>
        <v>#REF!</v>
      </c>
      <c r="J265" s="177" t="e">
        <f t="shared" si="30"/>
        <v>#REF!</v>
      </c>
      <c r="K265" s="177" t="e">
        <f>SUM($I$17:$I265)</f>
        <v>#REF!</v>
      </c>
      <c r="L265" s="179"/>
      <c r="M265" s="179"/>
    </row>
    <row r="266" spans="1:13" s="180" customFormat="1" ht="12.75">
      <c r="A266" s="192" t="e">
        <f t="shared" si="31"/>
        <v>#REF!</v>
      </c>
      <c r="B266" s="175"/>
      <c r="C266" s="176" t="e">
        <f t="shared" si="27"/>
        <v>#REF!</v>
      </c>
      <c r="D266" s="177" t="e">
        <f t="shared" si="32"/>
        <v>#REF!</v>
      </c>
      <c r="E266" s="177" t="e">
        <f t="shared" si="35"/>
        <v>#REF!</v>
      </c>
      <c r="F266" s="178" t="e">
        <f t="shared" si="28"/>
        <v>#REF!</v>
      </c>
      <c r="G266" s="177" t="e">
        <f t="shared" si="29"/>
        <v>#REF!</v>
      </c>
      <c r="H266" s="177" t="e">
        <f t="shared" si="33"/>
        <v>#REF!</v>
      </c>
      <c r="I266" s="177" t="e">
        <f t="shared" si="34"/>
        <v>#REF!</v>
      </c>
      <c r="J266" s="177" t="e">
        <f t="shared" si="30"/>
        <v>#REF!</v>
      </c>
      <c r="K266" s="177" t="e">
        <f>SUM($I$17:$I266)</f>
        <v>#REF!</v>
      </c>
      <c r="L266" s="179"/>
      <c r="M266" s="179"/>
    </row>
    <row r="267" spans="1:13" s="180" customFormat="1" ht="12.75">
      <c r="A267" s="192" t="e">
        <f t="shared" si="31"/>
        <v>#REF!</v>
      </c>
      <c r="B267" s="175"/>
      <c r="C267" s="176" t="e">
        <f t="shared" si="27"/>
        <v>#REF!</v>
      </c>
      <c r="D267" s="177" t="e">
        <f t="shared" si="32"/>
        <v>#REF!</v>
      </c>
      <c r="E267" s="177" t="e">
        <f t="shared" si="35"/>
        <v>#REF!</v>
      </c>
      <c r="F267" s="178" t="e">
        <f t="shared" si="28"/>
        <v>#REF!</v>
      </c>
      <c r="G267" s="177" t="e">
        <f t="shared" si="29"/>
        <v>#REF!</v>
      </c>
      <c r="H267" s="177" t="e">
        <f t="shared" si="33"/>
        <v>#REF!</v>
      </c>
      <c r="I267" s="177" t="e">
        <f t="shared" si="34"/>
        <v>#REF!</v>
      </c>
      <c r="J267" s="177" t="e">
        <f t="shared" si="30"/>
        <v>#REF!</v>
      </c>
      <c r="K267" s="177" t="e">
        <f>SUM($I$17:$I267)</f>
        <v>#REF!</v>
      </c>
      <c r="L267" s="179"/>
      <c r="M267" s="179"/>
    </row>
    <row r="268" spans="1:13" s="180" customFormat="1" ht="12.75">
      <c r="A268" s="192" t="e">
        <f t="shared" si="31"/>
        <v>#REF!</v>
      </c>
      <c r="B268" s="175"/>
      <c r="C268" s="176" t="e">
        <f t="shared" si="27"/>
        <v>#REF!</v>
      </c>
      <c r="D268" s="177" t="e">
        <f t="shared" si="32"/>
        <v>#REF!</v>
      </c>
      <c r="E268" s="177" t="e">
        <f t="shared" si="35"/>
        <v>#REF!</v>
      </c>
      <c r="F268" s="178" t="e">
        <f t="shared" si="28"/>
        <v>#REF!</v>
      </c>
      <c r="G268" s="177" t="e">
        <f t="shared" si="29"/>
        <v>#REF!</v>
      </c>
      <c r="H268" s="177" t="e">
        <f t="shared" si="33"/>
        <v>#REF!</v>
      </c>
      <c r="I268" s="177" t="e">
        <f t="shared" si="34"/>
        <v>#REF!</v>
      </c>
      <c r="J268" s="177" t="e">
        <f t="shared" si="30"/>
        <v>#REF!</v>
      </c>
      <c r="K268" s="177" t="e">
        <f>SUM($I$17:$I268)</f>
        <v>#REF!</v>
      </c>
      <c r="L268" s="179"/>
      <c r="M268" s="179"/>
    </row>
    <row r="269" spans="1:13" s="180" customFormat="1" ht="12.75">
      <c r="A269" s="192" t="e">
        <f t="shared" si="31"/>
        <v>#REF!</v>
      </c>
      <c r="B269" s="175"/>
      <c r="C269" s="176" t="e">
        <f t="shared" si="27"/>
        <v>#REF!</v>
      </c>
      <c r="D269" s="177" t="e">
        <f t="shared" si="32"/>
        <v>#REF!</v>
      </c>
      <c r="E269" s="177" t="e">
        <f t="shared" si="35"/>
        <v>#REF!</v>
      </c>
      <c r="F269" s="178" t="e">
        <f t="shared" si="28"/>
        <v>#REF!</v>
      </c>
      <c r="G269" s="177" t="e">
        <f t="shared" si="29"/>
        <v>#REF!</v>
      </c>
      <c r="H269" s="177" t="e">
        <f t="shared" si="33"/>
        <v>#REF!</v>
      </c>
      <c r="I269" s="177" t="e">
        <f t="shared" si="34"/>
        <v>#REF!</v>
      </c>
      <c r="J269" s="177" t="e">
        <f t="shared" si="30"/>
        <v>#REF!</v>
      </c>
      <c r="K269" s="177" t="e">
        <f>SUM($I$17:$I269)</f>
        <v>#REF!</v>
      </c>
      <c r="L269" s="179"/>
      <c r="M269" s="179"/>
    </row>
    <row r="270" spans="1:13" s="180" customFormat="1" ht="12.75">
      <c r="A270" s="192" t="e">
        <f t="shared" si="31"/>
        <v>#REF!</v>
      </c>
      <c r="B270" s="175"/>
      <c r="C270" s="176" t="e">
        <f t="shared" si="27"/>
        <v>#REF!</v>
      </c>
      <c r="D270" s="177" t="e">
        <f t="shared" si="32"/>
        <v>#REF!</v>
      </c>
      <c r="E270" s="177" t="e">
        <f t="shared" si="35"/>
        <v>#REF!</v>
      </c>
      <c r="F270" s="178" t="e">
        <f t="shared" si="28"/>
        <v>#REF!</v>
      </c>
      <c r="G270" s="177" t="e">
        <f t="shared" si="29"/>
        <v>#REF!</v>
      </c>
      <c r="H270" s="177" t="e">
        <f t="shared" si="33"/>
        <v>#REF!</v>
      </c>
      <c r="I270" s="177" t="e">
        <f t="shared" si="34"/>
        <v>#REF!</v>
      </c>
      <c r="J270" s="177" t="e">
        <f t="shared" si="30"/>
        <v>#REF!</v>
      </c>
      <c r="K270" s="177" t="e">
        <f>SUM($I$17:$I270)</f>
        <v>#REF!</v>
      </c>
      <c r="L270" s="179"/>
      <c r="M270" s="179"/>
    </row>
    <row r="271" spans="1:13" s="180" customFormat="1" ht="12.75">
      <c r="A271" s="192" t="e">
        <f t="shared" si="31"/>
        <v>#REF!</v>
      </c>
      <c r="B271" s="175"/>
      <c r="C271" s="176" t="e">
        <f t="shared" si="27"/>
        <v>#REF!</v>
      </c>
      <c r="D271" s="177" t="e">
        <f t="shared" si="32"/>
        <v>#REF!</v>
      </c>
      <c r="E271" s="177" t="e">
        <f t="shared" si="35"/>
        <v>#REF!</v>
      </c>
      <c r="F271" s="178" t="e">
        <f t="shared" si="28"/>
        <v>#REF!</v>
      </c>
      <c r="G271" s="177" t="e">
        <f t="shared" si="29"/>
        <v>#REF!</v>
      </c>
      <c r="H271" s="177" t="e">
        <f t="shared" si="33"/>
        <v>#REF!</v>
      </c>
      <c r="I271" s="177" t="e">
        <f t="shared" si="34"/>
        <v>#REF!</v>
      </c>
      <c r="J271" s="177" t="e">
        <f t="shared" si="30"/>
        <v>#REF!</v>
      </c>
      <c r="K271" s="177" t="e">
        <f>SUM($I$17:$I271)</f>
        <v>#REF!</v>
      </c>
      <c r="L271" s="179"/>
      <c r="M271" s="179"/>
    </row>
    <row r="272" spans="1:13" s="180" customFormat="1" ht="12.75">
      <c r="A272" s="192" t="e">
        <f t="shared" si="31"/>
        <v>#REF!</v>
      </c>
      <c r="B272" s="175"/>
      <c r="C272" s="176" t="e">
        <f t="shared" si="27"/>
        <v>#REF!</v>
      </c>
      <c r="D272" s="177" t="e">
        <f t="shared" si="32"/>
        <v>#REF!</v>
      </c>
      <c r="E272" s="177" t="e">
        <f t="shared" si="35"/>
        <v>#REF!</v>
      </c>
      <c r="F272" s="178" t="e">
        <f t="shared" si="28"/>
        <v>#REF!</v>
      </c>
      <c r="G272" s="177" t="e">
        <f t="shared" si="29"/>
        <v>#REF!</v>
      </c>
      <c r="H272" s="177" t="e">
        <f t="shared" si="33"/>
        <v>#REF!</v>
      </c>
      <c r="I272" s="177" t="e">
        <f t="shared" si="34"/>
        <v>#REF!</v>
      </c>
      <c r="J272" s="177" t="e">
        <f t="shared" si="30"/>
        <v>#REF!</v>
      </c>
      <c r="K272" s="177" t="e">
        <f>SUM($I$17:$I272)</f>
        <v>#REF!</v>
      </c>
      <c r="L272" s="179"/>
      <c r="M272" s="179"/>
    </row>
    <row r="273" spans="1:14" s="180" customFormat="1" ht="12.75">
      <c r="A273" s="192" t="e">
        <f t="shared" si="31"/>
        <v>#REF!</v>
      </c>
      <c r="B273" s="175"/>
      <c r="C273" s="176" t="e">
        <f t="shared" ref="C273:C336" si="36">IF(Pay_Num&lt;&gt;"",DATE(YEAR(Loan_Start),MONTH(Loan_Start)+(Pay_Num)*12/Num_Pmt_Per_Year,DAY(Loan_Start)),"")</f>
        <v>#REF!</v>
      </c>
      <c r="D273" s="177" t="e">
        <f t="shared" si="32"/>
        <v>#REF!</v>
      </c>
      <c r="E273" s="177" t="e">
        <f t="shared" si="35"/>
        <v>#REF!</v>
      </c>
      <c r="F273" s="178" t="e">
        <f t="shared" ref="F273:F336" si="37">IF(AND(Pay_Num&lt;&gt;"",Sched_Pay+Scheduled_Extra_Payments&lt;Beg_Bal),Scheduled_Extra_Payments,IF(AND(Pay_Num&lt;&gt;"",Beg_Bal-Sched_Pay&gt;0),Beg_Bal-Sched_Pay,IF(Pay_Num&lt;&gt;"",0,"")))</f>
        <v>#REF!</v>
      </c>
      <c r="G273" s="177" t="e">
        <f t="shared" ref="G273:G336" si="38">IF(AND(Pay_Num&lt;&gt;"",Sched_Pay+Extra_Pay&lt;Beg_Bal),Sched_Pay+Extra_Pay,IF(Pay_Num&lt;&gt;"",Beg_Bal,""))</f>
        <v>#REF!</v>
      </c>
      <c r="H273" s="177" t="e">
        <f t="shared" si="33"/>
        <v>#REF!</v>
      </c>
      <c r="I273" s="177" t="e">
        <f t="shared" si="34"/>
        <v>#REF!</v>
      </c>
      <c r="J273" s="177" t="e">
        <f t="shared" ref="J273:J336" si="39">IF(AND(Pay_Num&lt;&gt;"",Sched_Pay+Extra_Pay&lt;Beg_Bal),Beg_Bal-Princ,IF(Pay_Num&lt;&gt;"",0,""))</f>
        <v>#REF!</v>
      </c>
      <c r="K273" s="177" t="e">
        <f>SUM($I$17:$I273)</f>
        <v>#REF!</v>
      </c>
      <c r="L273" s="179"/>
      <c r="M273" s="179"/>
    </row>
    <row r="274" spans="1:14" s="180" customFormat="1" ht="12.75">
      <c r="A274" s="192" t="e">
        <f t="shared" ref="A274:A337" si="40">IF(Values_Entered,A273+1,"")</f>
        <v>#REF!</v>
      </c>
      <c r="B274" s="175"/>
      <c r="C274" s="176" t="e">
        <f t="shared" si="36"/>
        <v>#REF!</v>
      </c>
      <c r="D274" s="177" t="e">
        <f t="shared" ref="D274:D337" si="41">IF(Pay_Num&lt;&gt;"",J273,"")</f>
        <v>#REF!</v>
      </c>
      <c r="E274" s="177" t="e">
        <f t="shared" si="35"/>
        <v>#REF!</v>
      </c>
      <c r="F274" s="178" t="e">
        <f t="shared" si="37"/>
        <v>#REF!</v>
      </c>
      <c r="G274" s="177" t="e">
        <f t="shared" si="38"/>
        <v>#REF!</v>
      </c>
      <c r="H274" s="177" t="e">
        <f t="shared" ref="H274:H337" si="42">IF(Pay_Num&lt;&gt;"",Total_Pay-Int,"")</f>
        <v>#REF!</v>
      </c>
      <c r="I274" s="177" t="e">
        <f t="shared" ref="I274:I337" si="43">IF(Pay_Num&lt;&gt;"",Beg_Bal*Interest_Rate/Num_Pmt_Per_Year,"")</f>
        <v>#REF!</v>
      </c>
      <c r="J274" s="177" t="e">
        <f t="shared" si="39"/>
        <v>#REF!</v>
      </c>
      <c r="K274" s="177" t="e">
        <f>SUM($I$17:$I274)</f>
        <v>#REF!</v>
      </c>
      <c r="L274" s="179"/>
      <c r="M274" s="179"/>
    </row>
    <row r="275" spans="1:14" s="180" customFormat="1" ht="12.75">
      <c r="A275" s="192" t="e">
        <f t="shared" si="40"/>
        <v>#REF!</v>
      </c>
      <c r="B275" s="175"/>
      <c r="C275" s="176" t="e">
        <f t="shared" si="36"/>
        <v>#REF!</v>
      </c>
      <c r="D275" s="177" t="e">
        <f t="shared" si="41"/>
        <v>#REF!</v>
      </c>
      <c r="E275" s="177" t="e">
        <f t="shared" ref="E275:E338" si="44">IF(Pay_Num&lt;&gt;"",Scheduled_Monthly_Payment,"")</f>
        <v>#REF!</v>
      </c>
      <c r="F275" s="178" t="e">
        <f t="shared" si="37"/>
        <v>#REF!</v>
      </c>
      <c r="G275" s="177" t="e">
        <f t="shared" si="38"/>
        <v>#REF!</v>
      </c>
      <c r="H275" s="177" t="e">
        <f t="shared" si="42"/>
        <v>#REF!</v>
      </c>
      <c r="I275" s="177" t="e">
        <f t="shared" si="43"/>
        <v>#REF!</v>
      </c>
      <c r="J275" s="177" t="e">
        <f t="shared" si="39"/>
        <v>#REF!</v>
      </c>
      <c r="K275" s="177" t="e">
        <f>SUM($I$17:$I275)</f>
        <v>#REF!</v>
      </c>
      <c r="L275" s="179"/>
      <c r="M275" s="179"/>
    </row>
    <row r="276" spans="1:14" s="180" customFormat="1" ht="12.75">
      <c r="A276" s="192" t="e">
        <f t="shared" si="40"/>
        <v>#REF!</v>
      </c>
      <c r="B276" s="175"/>
      <c r="C276" s="176" t="e">
        <f t="shared" si="36"/>
        <v>#REF!</v>
      </c>
      <c r="D276" s="177" t="e">
        <f t="shared" si="41"/>
        <v>#REF!</v>
      </c>
      <c r="E276" s="177" t="e">
        <f t="shared" si="44"/>
        <v>#REF!</v>
      </c>
      <c r="F276" s="178" t="e">
        <f t="shared" si="37"/>
        <v>#REF!</v>
      </c>
      <c r="G276" s="177" t="e">
        <f t="shared" si="38"/>
        <v>#REF!</v>
      </c>
      <c r="H276" s="177" t="e">
        <f t="shared" si="42"/>
        <v>#REF!</v>
      </c>
      <c r="I276" s="177" t="e">
        <f t="shared" si="43"/>
        <v>#REF!</v>
      </c>
      <c r="J276" s="177" t="e">
        <f t="shared" si="39"/>
        <v>#REF!</v>
      </c>
      <c r="K276" s="177" t="e">
        <f>SUM($I$17:$I276)</f>
        <v>#REF!</v>
      </c>
      <c r="L276" s="179"/>
      <c r="M276" s="179"/>
    </row>
    <row r="277" spans="1:14" s="180" customFormat="1" ht="12.75">
      <c r="A277" s="192" t="e">
        <f t="shared" si="40"/>
        <v>#REF!</v>
      </c>
      <c r="B277" s="175"/>
      <c r="C277" s="176" t="e">
        <f t="shared" si="36"/>
        <v>#REF!</v>
      </c>
      <c r="D277" s="177" t="e">
        <f t="shared" si="41"/>
        <v>#REF!</v>
      </c>
      <c r="E277" s="177" t="e">
        <f t="shared" si="44"/>
        <v>#REF!</v>
      </c>
      <c r="F277" s="178" t="e">
        <f t="shared" si="37"/>
        <v>#REF!</v>
      </c>
      <c r="G277" s="177" t="e">
        <f t="shared" si="38"/>
        <v>#REF!</v>
      </c>
      <c r="H277" s="177" t="e">
        <f t="shared" si="42"/>
        <v>#REF!</v>
      </c>
      <c r="I277" s="177" t="e">
        <f t="shared" si="43"/>
        <v>#REF!</v>
      </c>
      <c r="J277" s="177" t="e">
        <f t="shared" si="39"/>
        <v>#REF!</v>
      </c>
      <c r="K277" s="177" t="e">
        <f>SUM($I$17:$I277)</f>
        <v>#REF!</v>
      </c>
      <c r="L277" s="179"/>
      <c r="M277" s="179"/>
    </row>
    <row r="278" spans="1:14" s="180" customFormat="1" ht="12.75">
      <c r="A278" s="192" t="e">
        <f t="shared" si="40"/>
        <v>#REF!</v>
      </c>
      <c r="B278" s="175"/>
      <c r="C278" s="176" t="e">
        <f t="shared" si="36"/>
        <v>#REF!</v>
      </c>
      <c r="D278" s="177" t="e">
        <f t="shared" si="41"/>
        <v>#REF!</v>
      </c>
      <c r="E278" s="177" t="e">
        <f t="shared" si="44"/>
        <v>#REF!</v>
      </c>
      <c r="F278" s="178" t="e">
        <f t="shared" si="37"/>
        <v>#REF!</v>
      </c>
      <c r="G278" s="177" t="e">
        <f t="shared" si="38"/>
        <v>#REF!</v>
      </c>
      <c r="H278" s="177" t="e">
        <f t="shared" si="42"/>
        <v>#REF!</v>
      </c>
      <c r="I278" s="177" t="e">
        <f t="shared" si="43"/>
        <v>#REF!</v>
      </c>
      <c r="J278" s="177" t="e">
        <f t="shared" si="39"/>
        <v>#REF!</v>
      </c>
      <c r="K278" s="177" t="e">
        <f>SUM($I$17:$I278)</f>
        <v>#REF!</v>
      </c>
      <c r="L278" s="179"/>
      <c r="M278" s="179"/>
    </row>
    <row r="279" spans="1:14" s="180" customFormat="1" ht="12.75">
      <c r="A279" s="192" t="e">
        <f t="shared" si="40"/>
        <v>#REF!</v>
      </c>
      <c r="B279" s="175"/>
      <c r="C279" s="176" t="e">
        <f t="shared" si="36"/>
        <v>#REF!</v>
      </c>
      <c r="D279" s="177" t="e">
        <f t="shared" si="41"/>
        <v>#REF!</v>
      </c>
      <c r="E279" s="177" t="e">
        <f t="shared" si="44"/>
        <v>#REF!</v>
      </c>
      <c r="F279" s="178" t="e">
        <f t="shared" si="37"/>
        <v>#REF!</v>
      </c>
      <c r="G279" s="177" t="e">
        <f t="shared" si="38"/>
        <v>#REF!</v>
      </c>
      <c r="H279" s="177" t="e">
        <f t="shared" si="42"/>
        <v>#REF!</v>
      </c>
      <c r="I279" s="177" t="e">
        <f t="shared" si="43"/>
        <v>#REF!</v>
      </c>
      <c r="J279" s="177" t="e">
        <f t="shared" si="39"/>
        <v>#REF!</v>
      </c>
      <c r="K279" s="177" t="e">
        <f>SUM($I$17:$I279)</f>
        <v>#REF!</v>
      </c>
      <c r="L279" s="179"/>
      <c r="M279" s="179"/>
    </row>
    <row r="280" spans="1:14" ht="12.75">
      <c r="A280" s="191" t="e">
        <f t="shared" si="40"/>
        <v>#REF!</v>
      </c>
      <c r="B280" s="171"/>
      <c r="C280" s="172" t="e">
        <f t="shared" si="36"/>
        <v>#REF!</v>
      </c>
      <c r="D280" s="173" t="e">
        <f t="shared" si="41"/>
        <v>#REF!</v>
      </c>
      <c r="E280" s="173" t="e">
        <f t="shared" si="44"/>
        <v>#REF!</v>
      </c>
      <c r="F280" s="174" t="e">
        <f t="shared" si="37"/>
        <v>#REF!</v>
      </c>
      <c r="G280" s="173" t="e">
        <f t="shared" si="38"/>
        <v>#REF!</v>
      </c>
      <c r="H280" s="173" t="e">
        <f t="shared" si="42"/>
        <v>#REF!</v>
      </c>
      <c r="I280" s="173" t="e">
        <f t="shared" si="43"/>
        <v>#REF!</v>
      </c>
      <c r="J280" s="173" t="e">
        <f t="shared" si="39"/>
        <v>#REF!</v>
      </c>
      <c r="K280" s="173" t="e">
        <f>SUM($I$17:$I280)</f>
        <v>#REF!</v>
      </c>
      <c r="L280" s="168"/>
      <c r="M280" s="168"/>
      <c r="N280" s="150"/>
    </row>
    <row r="281" spans="1:14" ht="12.75">
      <c r="A281" s="191" t="e">
        <f t="shared" si="40"/>
        <v>#REF!</v>
      </c>
      <c r="B281" s="171"/>
      <c r="C281" s="172" t="e">
        <f t="shared" si="36"/>
        <v>#REF!</v>
      </c>
      <c r="D281" s="173" t="e">
        <f t="shared" si="41"/>
        <v>#REF!</v>
      </c>
      <c r="E281" s="173" t="e">
        <f t="shared" si="44"/>
        <v>#REF!</v>
      </c>
      <c r="F281" s="174" t="e">
        <f t="shared" si="37"/>
        <v>#REF!</v>
      </c>
      <c r="G281" s="173" t="e">
        <f t="shared" si="38"/>
        <v>#REF!</v>
      </c>
      <c r="H281" s="173" t="e">
        <f t="shared" si="42"/>
        <v>#REF!</v>
      </c>
      <c r="I281" s="173" t="e">
        <f t="shared" si="43"/>
        <v>#REF!</v>
      </c>
      <c r="J281" s="173" t="e">
        <f t="shared" si="39"/>
        <v>#REF!</v>
      </c>
      <c r="K281" s="173" t="e">
        <f>SUM($I$17:$I281)</f>
        <v>#REF!</v>
      </c>
      <c r="L281" s="168"/>
      <c r="M281" s="168"/>
      <c r="N281" s="150"/>
    </row>
    <row r="282" spans="1:14" ht="12.75">
      <c r="A282" s="191" t="e">
        <f t="shared" si="40"/>
        <v>#REF!</v>
      </c>
      <c r="B282" s="171"/>
      <c r="C282" s="172" t="e">
        <f t="shared" si="36"/>
        <v>#REF!</v>
      </c>
      <c r="D282" s="173" t="e">
        <f t="shared" si="41"/>
        <v>#REF!</v>
      </c>
      <c r="E282" s="173" t="e">
        <f t="shared" si="44"/>
        <v>#REF!</v>
      </c>
      <c r="F282" s="174" t="e">
        <f t="shared" si="37"/>
        <v>#REF!</v>
      </c>
      <c r="G282" s="173" t="e">
        <f t="shared" si="38"/>
        <v>#REF!</v>
      </c>
      <c r="H282" s="173" t="e">
        <f t="shared" si="42"/>
        <v>#REF!</v>
      </c>
      <c r="I282" s="173" t="e">
        <f t="shared" si="43"/>
        <v>#REF!</v>
      </c>
      <c r="J282" s="173" t="e">
        <f t="shared" si="39"/>
        <v>#REF!</v>
      </c>
      <c r="K282" s="173" t="e">
        <f>SUM($I$17:$I282)</f>
        <v>#REF!</v>
      </c>
      <c r="L282" s="168"/>
      <c r="M282" s="168"/>
      <c r="N282" s="150"/>
    </row>
    <row r="283" spans="1:14" ht="12.75">
      <c r="A283" s="191" t="e">
        <f t="shared" si="40"/>
        <v>#REF!</v>
      </c>
      <c r="B283" s="171"/>
      <c r="C283" s="172" t="e">
        <f t="shared" si="36"/>
        <v>#REF!</v>
      </c>
      <c r="D283" s="173" t="e">
        <f t="shared" si="41"/>
        <v>#REF!</v>
      </c>
      <c r="E283" s="173" t="e">
        <f t="shared" si="44"/>
        <v>#REF!</v>
      </c>
      <c r="F283" s="174" t="e">
        <f t="shared" si="37"/>
        <v>#REF!</v>
      </c>
      <c r="G283" s="173" t="e">
        <f t="shared" si="38"/>
        <v>#REF!</v>
      </c>
      <c r="H283" s="173" t="e">
        <f t="shared" si="42"/>
        <v>#REF!</v>
      </c>
      <c r="I283" s="173" t="e">
        <f t="shared" si="43"/>
        <v>#REF!</v>
      </c>
      <c r="J283" s="173" t="e">
        <f t="shared" si="39"/>
        <v>#REF!</v>
      </c>
      <c r="K283" s="173" t="e">
        <f>SUM($I$17:$I283)</f>
        <v>#REF!</v>
      </c>
      <c r="L283" s="168"/>
      <c r="M283" s="168"/>
      <c r="N283" s="150"/>
    </row>
    <row r="284" spans="1:14" ht="12.75">
      <c r="A284" s="191" t="e">
        <f t="shared" si="40"/>
        <v>#REF!</v>
      </c>
      <c r="B284" s="171"/>
      <c r="C284" s="172" t="e">
        <f t="shared" si="36"/>
        <v>#REF!</v>
      </c>
      <c r="D284" s="173" t="e">
        <f t="shared" si="41"/>
        <v>#REF!</v>
      </c>
      <c r="E284" s="173" t="e">
        <f t="shared" si="44"/>
        <v>#REF!</v>
      </c>
      <c r="F284" s="174" t="e">
        <f t="shared" si="37"/>
        <v>#REF!</v>
      </c>
      <c r="G284" s="173" t="e">
        <f t="shared" si="38"/>
        <v>#REF!</v>
      </c>
      <c r="H284" s="173" t="e">
        <f t="shared" si="42"/>
        <v>#REF!</v>
      </c>
      <c r="I284" s="173" t="e">
        <f t="shared" si="43"/>
        <v>#REF!</v>
      </c>
      <c r="J284" s="173" t="e">
        <f t="shared" si="39"/>
        <v>#REF!</v>
      </c>
      <c r="K284" s="173" t="e">
        <f>SUM($I$17:$I284)</f>
        <v>#REF!</v>
      </c>
      <c r="L284" s="168"/>
      <c r="M284" s="168"/>
      <c r="N284" s="150"/>
    </row>
    <row r="285" spans="1:14" ht="12.75">
      <c r="A285" s="191" t="e">
        <f t="shared" si="40"/>
        <v>#REF!</v>
      </c>
      <c r="B285" s="171"/>
      <c r="C285" s="172" t="e">
        <f t="shared" si="36"/>
        <v>#REF!</v>
      </c>
      <c r="D285" s="173" t="e">
        <f t="shared" si="41"/>
        <v>#REF!</v>
      </c>
      <c r="E285" s="173" t="e">
        <f t="shared" si="44"/>
        <v>#REF!</v>
      </c>
      <c r="F285" s="174" t="e">
        <f t="shared" si="37"/>
        <v>#REF!</v>
      </c>
      <c r="G285" s="173" t="e">
        <f t="shared" si="38"/>
        <v>#REF!</v>
      </c>
      <c r="H285" s="173" t="e">
        <f t="shared" si="42"/>
        <v>#REF!</v>
      </c>
      <c r="I285" s="173" t="e">
        <f t="shared" si="43"/>
        <v>#REF!</v>
      </c>
      <c r="J285" s="173" t="e">
        <f t="shared" si="39"/>
        <v>#REF!</v>
      </c>
      <c r="K285" s="173" t="e">
        <f>SUM($I$17:$I285)</f>
        <v>#REF!</v>
      </c>
      <c r="L285" s="168"/>
      <c r="M285" s="168"/>
      <c r="N285" s="150"/>
    </row>
    <row r="286" spans="1:14" ht="12.75">
      <c r="A286" s="191" t="e">
        <f t="shared" si="40"/>
        <v>#REF!</v>
      </c>
      <c r="B286" s="171"/>
      <c r="C286" s="172" t="e">
        <f t="shared" si="36"/>
        <v>#REF!</v>
      </c>
      <c r="D286" s="173" t="e">
        <f t="shared" si="41"/>
        <v>#REF!</v>
      </c>
      <c r="E286" s="173" t="e">
        <f t="shared" si="44"/>
        <v>#REF!</v>
      </c>
      <c r="F286" s="174" t="e">
        <f t="shared" si="37"/>
        <v>#REF!</v>
      </c>
      <c r="G286" s="173" t="e">
        <f t="shared" si="38"/>
        <v>#REF!</v>
      </c>
      <c r="H286" s="173" t="e">
        <f t="shared" si="42"/>
        <v>#REF!</v>
      </c>
      <c r="I286" s="173" t="e">
        <f t="shared" si="43"/>
        <v>#REF!</v>
      </c>
      <c r="J286" s="173" t="e">
        <f t="shared" si="39"/>
        <v>#REF!</v>
      </c>
      <c r="K286" s="173" t="e">
        <f>SUM($I$17:$I286)</f>
        <v>#REF!</v>
      </c>
      <c r="L286" s="168"/>
      <c r="M286" s="168"/>
      <c r="N286" s="150"/>
    </row>
    <row r="287" spans="1:14" ht="12.75">
      <c r="A287" s="191" t="e">
        <f t="shared" si="40"/>
        <v>#REF!</v>
      </c>
      <c r="B287" s="171"/>
      <c r="C287" s="172" t="e">
        <f t="shared" si="36"/>
        <v>#REF!</v>
      </c>
      <c r="D287" s="173" t="e">
        <f t="shared" si="41"/>
        <v>#REF!</v>
      </c>
      <c r="E287" s="173" t="e">
        <f t="shared" si="44"/>
        <v>#REF!</v>
      </c>
      <c r="F287" s="174" t="e">
        <f t="shared" si="37"/>
        <v>#REF!</v>
      </c>
      <c r="G287" s="173" t="e">
        <f t="shared" si="38"/>
        <v>#REF!</v>
      </c>
      <c r="H287" s="173" t="e">
        <f t="shared" si="42"/>
        <v>#REF!</v>
      </c>
      <c r="I287" s="173" t="e">
        <f t="shared" si="43"/>
        <v>#REF!</v>
      </c>
      <c r="J287" s="173" t="e">
        <f t="shared" si="39"/>
        <v>#REF!</v>
      </c>
      <c r="K287" s="173" t="e">
        <f>SUM($I$17:$I287)</f>
        <v>#REF!</v>
      </c>
      <c r="L287" s="168"/>
      <c r="M287" s="168"/>
      <c r="N287" s="150"/>
    </row>
    <row r="288" spans="1:14" ht="12.75">
      <c r="A288" s="191" t="e">
        <f t="shared" si="40"/>
        <v>#REF!</v>
      </c>
      <c r="B288" s="171"/>
      <c r="C288" s="172" t="e">
        <f t="shared" si="36"/>
        <v>#REF!</v>
      </c>
      <c r="D288" s="173" t="e">
        <f t="shared" si="41"/>
        <v>#REF!</v>
      </c>
      <c r="E288" s="173" t="e">
        <f t="shared" si="44"/>
        <v>#REF!</v>
      </c>
      <c r="F288" s="174" t="e">
        <f t="shared" si="37"/>
        <v>#REF!</v>
      </c>
      <c r="G288" s="173" t="e">
        <f t="shared" si="38"/>
        <v>#REF!</v>
      </c>
      <c r="H288" s="173" t="e">
        <f t="shared" si="42"/>
        <v>#REF!</v>
      </c>
      <c r="I288" s="173" t="e">
        <f t="shared" si="43"/>
        <v>#REF!</v>
      </c>
      <c r="J288" s="173" t="e">
        <f t="shared" si="39"/>
        <v>#REF!</v>
      </c>
      <c r="K288" s="173" t="e">
        <f>SUM($I$17:$I288)</f>
        <v>#REF!</v>
      </c>
      <c r="L288" s="168"/>
      <c r="M288" s="168"/>
      <c r="N288" s="150"/>
    </row>
    <row r="289" spans="1:14" ht="12.75">
      <c r="A289" s="191" t="e">
        <f t="shared" si="40"/>
        <v>#REF!</v>
      </c>
      <c r="B289" s="171"/>
      <c r="C289" s="172" t="e">
        <f t="shared" si="36"/>
        <v>#REF!</v>
      </c>
      <c r="D289" s="173" t="e">
        <f t="shared" si="41"/>
        <v>#REF!</v>
      </c>
      <c r="E289" s="173" t="e">
        <f t="shared" si="44"/>
        <v>#REF!</v>
      </c>
      <c r="F289" s="174" t="e">
        <f t="shared" si="37"/>
        <v>#REF!</v>
      </c>
      <c r="G289" s="173" t="e">
        <f t="shared" si="38"/>
        <v>#REF!</v>
      </c>
      <c r="H289" s="173" t="e">
        <f t="shared" si="42"/>
        <v>#REF!</v>
      </c>
      <c r="I289" s="173" t="e">
        <f t="shared" si="43"/>
        <v>#REF!</v>
      </c>
      <c r="J289" s="173" t="e">
        <f t="shared" si="39"/>
        <v>#REF!</v>
      </c>
      <c r="K289" s="173" t="e">
        <f>SUM($I$17:$I289)</f>
        <v>#REF!</v>
      </c>
      <c r="L289" s="168"/>
      <c r="M289" s="168"/>
      <c r="N289" s="150"/>
    </row>
    <row r="290" spans="1:14" ht="12.75">
      <c r="A290" s="191" t="e">
        <f t="shared" si="40"/>
        <v>#REF!</v>
      </c>
      <c r="B290" s="171"/>
      <c r="C290" s="172" t="e">
        <f t="shared" si="36"/>
        <v>#REF!</v>
      </c>
      <c r="D290" s="173" t="e">
        <f t="shared" si="41"/>
        <v>#REF!</v>
      </c>
      <c r="E290" s="173" t="e">
        <f t="shared" si="44"/>
        <v>#REF!</v>
      </c>
      <c r="F290" s="174" t="e">
        <f t="shared" si="37"/>
        <v>#REF!</v>
      </c>
      <c r="G290" s="173" t="e">
        <f t="shared" si="38"/>
        <v>#REF!</v>
      </c>
      <c r="H290" s="173" t="e">
        <f t="shared" si="42"/>
        <v>#REF!</v>
      </c>
      <c r="I290" s="173" t="e">
        <f t="shared" si="43"/>
        <v>#REF!</v>
      </c>
      <c r="J290" s="173" t="e">
        <f t="shared" si="39"/>
        <v>#REF!</v>
      </c>
      <c r="K290" s="173" t="e">
        <f>SUM($I$17:$I290)</f>
        <v>#REF!</v>
      </c>
      <c r="L290" s="168"/>
      <c r="M290" s="168"/>
      <c r="N290" s="150"/>
    </row>
    <row r="291" spans="1:14" ht="12.75">
      <c r="A291" s="191" t="e">
        <f t="shared" si="40"/>
        <v>#REF!</v>
      </c>
      <c r="B291" s="171"/>
      <c r="C291" s="172" t="e">
        <f t="shared" si="36"/>
        <v>#REF!</v>
      </c>
      <c r="D291" s="173" t="e">
        <f t="shared" si="41"/>
        <v>#REF!</v>
      </c>
      <c r="E291" s="173" t="e">
        <f t="shared" si="44"/>
        <v>#REF!</v>
      </c>
      <c r="F291" s="174" t="e">
        <f t="shared" si="37"/>
        <v>#REF!</v>
      </c>
      <c r="G291" s="173" t="e">
        <f t="shared" si="38"/>
        <v>#REF!</v>
      </c>
      <c r="H291" s="173" t="e">
        <f t="shared" si="42"/>
        <v>#REF!</v>
      </c>
      <c r="I291" s="173" t="e">
        <f t="shared" si="43"/>
        <v>#REF!</v>
      </c>
      <c r="J291" s="173" t="e">
        <f t="shared" si="39"/>
        <v>#REF!</v>
      </c>
      <c r="K291" s="173" t="e">
        <f>SUM($I$17:$I291)</f>
        <v>#REF!</v>
      </c>
      <c r="L291" s="168"/>
      <c r="M291" s="168"/>
      <c r="N291" s="150"/>
    </row>
    <row r="292" spans="1:14" ht="12.75">
      <c r="A292" s="191" t="e">
        <f t="shared" si="40"/>
        <v>#REF!</v>
      </c>
      <c r="B292" s="171"/>
      <c r="C292" s="172" t="e">
        <f t="shared" si="36"/>
        <v>#REF!</v>
      </c>
      <c r="D292" s="173" t="e">
        <f t="shared" si="41"/>
        <v>#REF!</v>
      </c>
      <c r="E292" s="173" t="e">
        <f t="shared" si="44"/>
        <v>#REF!</v>
      </c>
      <c r="F292" s="174" t="e">
        <f t="shared" si="37"/>
        <v>#REF!</v>
      </c>
      <c r="G292" s="173" t="e">
        <f t="shared" si="38"/>
        <v>#REF!</v>
      </c>
      <c r="H292" s="173" t="e">
        <f t="shared" si="42"/>
        <v>#REF!</v>
      </c>
      <c r="I292" s="173" t="e">
        <f t="shared" si="43"/>
        <v>#REF!</v>
      </c>
      <c r="J292" s="173" t="e">
        <f t="shared" si="39"/>
        <v>#REF!</v>
      </c>
      <c r="K292" s="173" t="e">
        <f>SUM($I$17:$I292)</f>
        <v>#REF!</v>
      </c>
      <c r="L292" s="168"/>
      <c r="M292" s="168"/>
      <c r="N292" s="150"/>
    </row>
    <row r="293" spans="1:14" ht="12.75">
      <c r="A293" s="191" t="e">
        <f t="shared" si="40"/>
        <v>#REF!</v>
      </c>
      <c r="B293" s="171"/>
      <c r="C293" s="172" t="e">
        <f t="shared" si="36"/>
        <v>#REF!</v>
      </c>
      <c r="D293" s="173" t="e">
        <f t="shared" si="41"/>
        <v>#REF!</v>
      </c>
      <c r="E293" s="173" t="e">
        <f t="shared" si="44"/>
        <v>#REF!</v>
      </c>
      <c r="F293" s="174" t="e">
        <f t="shared" si="37"/>
        <v>#REF!</v>
      </c>
      <c r="G293" s="173" t="e">
        <f t="shared" si="38"/>
        <v>#REF!</v>
      </c>
      <c r="H293" s="173" t="e">
        <f t="shared" si="42"/>
        <v>#REF!</v>
      </c>
      <c r="I293" s="173" t="e">
        <f t="shared" si="43"/>
        <v>#REF!</v>
      </c>
      <c r="J293" s="173" t="e">
        <f t="shared" si="39"/>
        <v>#REF!</v>
      </c>
      <c r="K293" s="173" t="e">
        <f>SUM($I$17:$I293)</f>
        <v>#REF!</v>
      </c>
      <c r="L293" s="168"/>
      <c r="M293" s="168"/>
      <c r="N293" s="150"/>
    </row>
    <row r="294" spans="1:14" ht="12.75">
      <c r="A294" s="191" t="e">
        <f t="shared" si="40"/>
        <v>#REF!</v>
      </c>
      <c r="B294" s="171"/>
      <c r="C294" s="172" t="e">
        <f t="shared" si="36"/>
        <v>#REF!</v>
      </c>
      <c r="D294" s="173" t="e">
        <f t="shared" si="41"/>
        <v>#REF!</v>
      </c>
      <c r="E294" s="173" t="e">
        <f t="shared" si="44"/>
        <v>#REF!</v>
      </c>
      <c r="F294" s="174" t="e">
        <f t="shared" si="37"/>
        <v>#REF!</v>
      </c>
      <c r="G294" s="173" t="e">
        <f t="shared" si="38"/>
        <v>#REF!</v>
      </c>
      <c r="H294" s="173" t="e">
        <f t="shared" si="42"/>
        <v>#REF!</v>
      </c>
      <c r="I294" s="173" t="e">
        <f t="shared" si="43"/>
        <v>#REF!</v>
      </c>
      <c r="J294" s="173" t="e">
        <f t="shared" si="39"/>
        <v>#REF!</v>
      </c>
      <c r="K294" s="173" t="e">
        <f>SUM($I$17:$I294)</f>
        <v>#REF!</v>
      </c>
      <c r="L294" s="168"/>
      <c r="M294" s="168"/>
      <c r="N294" s="150"/>
    </row>
    <row r="295" spans="1:14" ht="12.75">
      <c r="A295" s="191" t="e">
        <f t="shared" si="40"/>
        <v>#REF!</v>
      </c>
      <c r="B295" s="171"/>
      <c r="C295" s="172" t="e">
        <f t="shared" si="36"/>
        <v>#REF!</v>
      </c>
      <c r="D295" s="173" t="e">
        <f t="shared" si="41"/>
        <v>#REF!</v>
      </c>
      <c r="E295" s="173" t="e">
        <f t="shared" si="44"/>
        <v>#REF!</v>
      </c>
      <c r="F295" s="174" t="e">
        <f t="shared" si="37"/>
        <v>#REF!</v>
      </c>
      <c r="G295" s="173" t="e">
        <f t="shared" si="38"/>
        <v>#REF!</v>
      </c>
      <c r="H295" s="173" t="e">
        <f t="shared" si="42"/>
        <v>#REF!</v>
      </c>
      <c r="I295" s="173" t="e">
        <f t="shared" si="43"/>
        <v>#REF!</v>
      </c>
      <c r="J295" s="173" t="e">
        <f t="shared" si="39"/>
        <v>#REF!</v>
      </c>
      <c r="K295" s="173" t="e">
        <f>SUM($I$17:$I295)</f>
        <v>#REF!</v>
      </c>
      <c r="L295" s="168"/>
      <c r="M295" s="168"/>
      <c r="N295" s="150"/>
    </row>
    <row r="296" spans="1:14" ht="12.75">
      <c r="A296" s="191" t="e">
        <f t="shared" si="40"/>
        <v>#REF!</v>
      </c>
      <c r="B296" s="171"/>
      <c r="C296" s="172" t="e">
        <f t="shared" si="36"/>
        <v>#REF!</v>
      </c>
      <c r="D296" s="173" t="e">
        <f t="shared" si="41"/>
        <v>#REF!</v>
      </c>
      <c r="E296" s="173" t="e">
        <f t="shared" si="44"/>
        <v>#REF!</v>
      </c>
      <c r="F296" s="174" t="e">
        <f t="shared" si="37"/>
        <v>#REF!</v>
      </c>
      <c r="G296" s="173" t="e">
        <f t="shared" si="38"/>
        <v>#REF!</v>
      </c>
      <c r="H296" s="173" t="e">
        <f t="shared" si="42"/>
        <v>#REF!</v>
      </c>
      <c r="I296" s="173" t="e">
        <f t="shared" si="43"/>
        <v>#REF!</v>
      </c>
      <c r="J296" s="173" t="e">
        <f t="shared" si="39"/>
        <v>#REF!</v>
      </c>
      <c r="K296" s="173" t="e">
        <f>SUM($I$17:$I296)</f>
        <v>#REF!</v>
      </c>
      <c r="L296" s="168"/>
      <c r="M296" s="168"/>
      <c r="N296" s="150"/>
    </row>
    <row r="297" spans="1:14" ht="12.75">
      <c r="A297" s="191" t="e">
        <f t="shared" si="40"/>
        <v>#REF!</v>
      </c>
      <c r="B297" s="171"/>
      <c r="C297" s="172" t="e">
        <f t="shared" si="36"/>
        <v>#REF!</v>
      </c>
      <c r="D297" s="173" t="e">
        <f t="shared" si="41"/>
        <v>#REF!</v>
      </c>
      <c r="E297" s="173" t="e">
        <f t="shared" si="44"/>
        <v>#REF!</v>
      </c>
      <c r="F297" s="174" t="e">
        <f t="shared" si="37"/>
        <v>#REF!</v>
      </c>
      <c r="G297" s="173" t="e">
        <f t="shared" si="38"/>
        <v>#REF!</v>
      </c>
      <c r="H297" s="173" t="e">
        <f t="shared" si="42"/>
        <v>#REF!</v>
      </c>
      <c r="I297" s="173" t="e">
        <f t="shared" si="43"/>
        <v>#REF!</v>
      </c>
      <c r="J297" s="173" t="e">
        <f t="shared" si="39"/>
        <v>#REF!</v>
      </c>
      <c r="K297" s="173" t="e">
        <f>SUM($I$17:$I297)</f>
        <v>#REF!</v>
      </c>
      <c r="L297" s="168"/>
      <c r="M297" s="168"/>
      <c r="N297" s="150"/>
    </row>
    <row r="298" spans="1:14" ht="12.75">
      <c r="A298" s="191" t="e">
        <f t="shared" si="40"/>
        <v>#REF!</v>
      </c>
      <c r="B298" s="171"/>
      <c r="C298" s="172" t="e">
        <f t="shared" si="36"/>
        <v>#REF!</v>
      </c>
      <c r="D298" s="173" t="e">
        <f t="shared" si="41"/>
        <v>#REF!</v>
      </c>
      <c r="E298" s="173" t="e">
        <f t="shared" si="44"/>
        <v>#REF!</v>
      </c>
      <c r="F298" s="174" t="e">
        <f t="shared" si="37"/>
        <v>#REF!</v>
      </c>
      <c r="G298" s="173" t="e">
        <f t="shared" si="38"/>
        <v>#REF!</v>
      </c>
      <c r="H298" s="173" t="e">
        <f t="shared" si="42"/>
        <v>#REF!</v>
      </c>
      <c r="I298" s="173" t="e">
        <f t="shared" si="43"/>
        <v>#REF!</v>
      </c>
      <c r="J298" s="173" t="e">
        <f t="shared" si="39"/>
        <v>#REF!</v>
      </c>
      <c r="K298" s="173" t="e">
        <f>SUM($I$17:$I298)</f>
        <v>#REF!</v>
      </c>
      <c r="L298" s="168"/>
      <c r="M298" s="168"/>
      <c r="N298" s="150"/>
    </row>
    <row r="299" spans="1:14" ht="12.75">
      <c r="A299" s="191" t="e">
        <f t="shared" si="40"/>
        <v>#REF!</v>
      </c>
      <c r="B299" s="171"/>
      <c r="C299" s="172" t="e">
        <f t="shared" si="36"/>
        <v>#REF!</v>
      </c>
      <c r="D299" s="173" t="e">
        <f t="shared" si="41"/>
        <v>#REF!</v>
      </c>
      <c r="E299" s="173" t="e">
        <f t="shared" si="44"/>
        <v>#REF!</v>
      </c>
      <c r="F299" s="174" t="e">
        <f t="shared" si="37"/>
        <v>#REF!</v>
      </c>
      <c r="G299" s="173" t="e">
        <f t="shared" si="38"/>
        <v>#REF!</v>
      </c>
      <c r="H299" s="173" t="e">
        <f t="shared" si="42"/>
        <v>#REF!</v>
      </c>
      <c r="I299" s="173" t="e">
        <f t="shared" si="43"/>
        <v>#REF!</v>
      </c>
      <c r="J299" s="173" t="e">
        <f t="shared" si="39"/>
        <v>#REF!</v>
      </c>
      <c r="K299" s="173" t="e">
        <f>SUM($I$17:$I299)</f>
        <v>#REF!</v>
      </c>
      <c r="L299" s="168"/>
      <c r="M299" s="168"/>
      <c r="N299" s="150"/>
    </row>
    <row r="300" spans="1:14" ht="12.75">
      <c r="A300" s="191" t="e">
        <f t="shared" si="40"/>
        <v>#REF!</v>
      </c>
      <c r="B300" s="171"/>
      <c r="C300" s="172" t="e">
        <f t="shared" si="36"/>
        <v>#REF!</v>
      </c>
      <c r="D300" s="173" t="e">
        <f t="shared" si="41"/>
        <v>#REF!</v>
      </c>
      <c r="E300" s="173" t="e">
        <f t="shared" si="44"/>
        <v>#REF!</v>
      </c>
      <c r="F300" s="174" t="e">
        <f t="shared" si="37"/>
        <v>#REF!</v>
      </c>
      <c r="G300" s="173" t="e">
        <f t="shared" si="38"/>
        <v>#REF!</v>
      </c>
      <c r="H300" s="173" t="e">
        <f t="shared" si="42"/>
        <v>#REF!</v>
      </c>
      <c r="I300" s="173" t="e">
        <f t="shared" si="43"/>
        <v>#REF!</v>
      </c>
      <c r="J300" s="173" t="e">
        <f t="shared" si="39"/>
        <v>#REF!</v>
      </c>
      <c r="K300" s="173" t="e">
        <f>SUM($I$17:$I300)</f>
        <v>#REF!</v>
      </c>
      <c r="L300" s="168"/>
      <c r="M300" s="168"/>
      <c r="N300" s="150"/>
    </row>
    <row r="301" spans="1:14" ht="12.75">
      <c r="A301" s="191" t="e">
        <f t="shared" si="40"/>
        <v>#REF!</v>
      </c>
      <c r="B301" s="171"/>
      <c r="C301" s="172" t="e">
        <f t="shared" si="36"/>
        <v>#REF!</v>
      </c>
      <c r="D301" s="173" t="e">
        <f t="shared" si="41"/>
        <v>#REF!</v>
      </c>
      <c r="E301" s="173" t="e">
        <f t="shared" si="44"/>
        <v>#REF!</v>
      </c>
      <c r="F301" s="174" t="e">
        <f t="shared" si="37"/>
        <v>#REF!</v>
      </c>
      <c r="G301" s="173" t="e">
        <f t="shared" si="38"/>
        <v>#REF!</v>
      </c>
      <c r="H301" s="173" t="e">
        <f t="shared" si="42"/>
        <v>#REF!</v>
      </c>
      <c r="I301" s="173" t="e">
        <f t="shared" si="43"/>
        <v>#REF!</v>
      </c>
      <c r="J301" s="173" t="e">
        <f t="shared" si="39"/>
        <v>#REF!</v>
      </c>
      <c r="K301" s="173" t="e">
        <f>SUM($I$17:$I301)</f>
        <v>#REF!</v>
      </c>
      <c r="L301" s="168"/>
      <c r="M301" s="168"/>
      <c r="N301" s="150"/>
    </row>
    <row r="302" spans="1:14" ht="12.75">
      <c r="A302" s="191" t="e">
        <f t="shared" si="40"/>
        <v>#REF!</v>
      </c>
      <c r="B302" s="171"/>
      <c r="C302" s="172" t="e">
        <f t="shared" si="36"/>
        <v>#REF!</v>
      </c>
      <c r="D302" s="173" t="e">
        <f t="shared" si="41"/>
        <v>#REF!</v>
      </c>
      <c r="E302" s="173" t="e">
        <f t="shared" si="44"/>
        <v>#REF!</v>
      </c>
      <c r="F302" s="174" t="e">
        <f t="shared" si="37"/>
        <v>#REF!</v>
      </c>
      <c r="G302" s="173" t="e">
        <f t="shared" si="38"/>
        <v>#REF!</v>
      </c>
      <c r="H302" s="173" t="e">
        <f t="shared" si="42"/>
        <v>#REF!</v>
      </c>
      <c r="I302" s="173" t="e">
        <f t="shared" si="43"/>
        <v>#REF!</v>
      </c>
      <c r="J302" s="173" t="e">
        <f t="shared" si="39"/>
        <v>#REF!</v>
      </c>
      <c r="K302" s="173" t="e">
        <f>SUM($I$17:$I302)</f>
        <v>#REF!</v>
      </c>
      <c r="L302" s="168"/>
      <c r="M302" s="168"/>
      <c r="N302" s="150"/>
    </row>
    <row r="303" spans="1:14" ht="12.75">
      <c r="A303" s="191" t="e">
        <f t="shared" si="40"/>
        <v>#REF!</v>
      </c>
      <c r="B303" s="171"/>
      <c r="C303" s="172" t="e">
        <f t="shared" si="36"/>
        <v>#REF!</v>
      </c>
      <c r="D303" s="173" t="e">
        <f t="shared" si="41"/>
        <v>#REF!</v>
      </c>
      <c r="E303" s="173" t="e">
        <f t="shared" si="44"/>
        <v>#REF!</v>
      </c>
      <c r="F303" s="174" t="e">
        <f t="shared" si="37"/>
        <v>#REF!</v>
      </c>
      <c r="G303" s="173" t="e">
        <f t="shared" si="38"/>
        <v>#REF!</v>
      </c>
      <c r="H303" s="173" t="e">
        <f t="shared" si="42"/>
        <v>#REF!</v>
      </c>
      <c r="I303" s="173" t="e">
        <f t="shared" si="43"/>
        <v>#REF!</v>
      </c>
      <c r="J303" s="173" t="e">
        <f t="shared" si="39"/>
        <v>#REF!</v>
      </c>
      <c r="K303" s="173" t="e">
        <f>SUM($I$17:$I303)</f>
        <v>#REF!</v>
      </c>
      <c r="L303" s="168"/>
      <c r="M303" s="168"/>
      <c r="N303" s="150"/>
    </row>
    <row r="304" spans="1:14" ht="12.75">
      <c r="A304" s="191" t="e">
        <f t="shared" si="40"/>
        <v>#REF!</v>
      </c>
      <c r="B304" s="171"/>
      <c r="C304" s="172" t="e">
        <f t="shared" si="36"/>
        <v>#REF!</v>
      </c>
      <c r="D304" s="173" t="e">
        <f t="shared" si="41"/>
        <v>#REF!</v>
      </c>
      <c r="E304" s="173" t="e">
        <f t="shared" si="44"/>
        <v>#REF!</v>
      </c>
      <c r="F304" s="174" t="e">
        <f t="shared" si="37"/>
        <v>#REF!</v>
      </c>
      <c r="G304" s="173" t="e">
        <f t="shared" si="38"/>
        <v>#REF!</v>
      </c>
      <c r="H304" s="173" t="e">
        <f t="shared" si="42"/>
        <v>#REF!</v>
      </c>
      <c r="I304" s="173" t="e">
        <f t="shared" si="43"/>
        <v>#REF!</v>
      </c>
      <c r="J304" s="173" t="e">
        <f t="shared" si="39"/>
        <v>#REF!</v>
      </c>
      <c r="K304" s="173" t="e">
        <f>SUM($I$17:$I304)</f>
        <v>#REF!</v>
      </c>
      <c r="L304" s="168"/>
      <c r="M304" s="168"/>
      <c r="N304" s="150"/>
    </row>
    <row r="305" spans="1:14" ht="12.75">
      <c r="A305" s="191" t="e">
        <f t="shared" si="40"/>
        <v>#REF!</v>
      </c>
      <c r="B305" s="171"/>
      <c r="C305" s="172" t="e">
        <f t="shared" si="36"/>
        <v>#REF!</v>
      </c>
      <c r="D305" s="173" t="e">
        <f t="shared" si="41"/>
        <v>#REF!</v>
      </c>
      <c r="E305" s="173" t="e">
        <f t="shared" si="44"/>
        <v>#REF!</v>
      </c>
      <c r="F305" s="174" t="e">
        <f t="shared" si="37"/>
        <v>#REF!</v>
      </c>
      <c r="G305" s="173" t="e">
        <f t="shared" si="38"/>
        <v>#REF!</v>
      </c>
      <c r="H305" s="173" t="e">
        <f t="shared" si="42"/>
        <v>#REF!</v>
      </c>
      <c r="I305" s="173" t="e">
        <f t="shared" si="43"/>
        <v>#REF!</v>
      </c>
      <c r="J305" s="173" t="e">
        <f t="shared" si="39"/>
        <v>#REF!</v>
      </c>
      <c r="K305" s="173" t="e">
        <f>SUM($I$17:$I305)</f>
        <v>#REF!</v>
      </c>
      <c r="L305" s="168"/>
      <c r="M305" s="168"/>
      <c r="N305" s="150"/>
    </row>
    <row r="306" spans="1:14" ht="12.75">
      <c r="A306" s="191" t="e">
        <f t="shared" si="40"/>
        <v>#REF!</v>
      </c>
      <c r="B306" s="171"/>
      <c r="C306" s="172" t="e">
        <f t="shared" si="36"/>
        <v>#REF!</v>
      </c>
      <c r="D306" s="173" t="e">
        <f t="shared" si="41"/>
        <v>#REF!</v>
      </c>
      <c r="E306" s="173" t="e">
        <f t="shared" si="44"/>
        <v>#REF!</v>
      </c>
      <c r="F306" s="174" t="e">
        <f t="shared" si="37"/>
        <v>#REF!</v>
      </c>
      <c r="G306" s="173" t="e">
        <f t="shared" si="38"/>
        <v>#REF!</v>
      </c>
      <c r="H306" s="173" t="e">
        <f t="shared" si="42"/>
        <v>#REF!</v>
      </c>
      <c r="I306" s="173" t="e">
        <f t="shared" si="43"/>
        <v>#REF!</v>
      </c>
      <c r="J306" s="173" t="e">
        <f t="shared" si="39"/>
        <v>#REF!</v>
      </c>
      <c r="K306" s="173" t="e">
        <f>SUM($I$17:$I306)</f>
        <v>#REF!</v>
      </c>
      <c r="L306" s="168"/>
      <c r="M306" s="168"/>
      <c r="N306" s="150"/>
    </row>
    <row r="307" spans="1:14" ht="12.75">
      <c r="A307" s="191" t="e">
        <f t="shared" si="40"/>
        <v>#REF!</v>
      </c>
      <c r="B307" s="171"/>
      <c r="C307" s="172" t="e">
        <f t="shared" si="36"/>
        <v>#REF!</v>
      </c>
      <c r="D307" s="173" t="e">
        <f t="shared" si="41"/>
        <v>#REF!</v>
      </c>
      <c r="E307" s="173" t="e">
        <f t="shared" si="44"/>
        <v>#REF!</v>
      </c>
      <c r="F307" s="174" t="e">
        <f t="shared" si="37"/>
        <v>#REF!</v>
      </c>
      <c r="G307" s="173" t="e">
        <f t="shared" si="38"/>
        <v>#REF!</v>
      </c>
      <c r="H307" s="173" t="e">
        <f t="shared" si="42"/>
        <v>#REF!</v>
      </c>
      <c r="I307" s="173" t="e">
        <f t="shared" si="43"/>
        <v>#REF!</v>
      </c>
      <c r="J307" s="173" t="e">
        <f t="shared" si="39"/>
        <v>#REF!</v>
      </c>
      <c r="K307" s="173" t="e">
        <f>SUM($I$17:$I307)</f>
        <v>#REF!</v>
      </c>
      <c r="L307" s="168"/>
      <c r="M307" s="168"/>
      <c r="N307" s="150"/>
    </row>
    <row r="308" spans="1:14" ht="12.75">
      <c r="A308" s="191" t="e">
        <f t="shared" si="40"/>
        <v>#REF!</v>
      </c>
      <c r="B308" s="171"/>
      <c r="C308" s="172" t="e">
        <f t="shared" si="36"/>
        <v>#REF!</v>
      </c>
      <c r="D308" s="173" t="e">
        <f t="shared" si="41"/>
        <v>#REF!</v>
      </c>
      <c r="E308" s="173" t="e">
        <f t="shared" si="44"/>
        <v>#REF!</v>
      </c>
      <c r="F308" s="174" t="e">
        <f t="shared" si="37"/>
        <v>#REF!</v>
      </c>
      <c r="G308" s="173" t="e">
        <f t="shared" si="38"/>
        <v>#REF!</v>
      </c>
      <c r="H308" s="173" t="e">
        <f t="shared" si="42"/>
        <v>#REF!</v>
      </c>
      <c r="I308" s="173" t="e">
        <f t="shared" si="43"/>
        <v>#REF!</v>
      </c>
      <c r="J308" s="173" t="e">
        <f t="shared" si="39"/>
        <v>#REF!</v>
      </c>
      <c r="K308" s="173" t="e">
        <f>SUM($I$17:$I308)</f>
        <v>#REF!</v>
      </c>
      <c r="L308" s="168"/>
      <c r="M308" s="168"/>
      <c r="N308" s="150"/>
    </row>
    <row r="309" spans="1:14" ht="12.75">
      <c r="A309" s="191" t="e">
        <f t="shared" si="40"/>
        <v>#REF!</v>
      </c>
      <c r="B309" s="171"/>
      <c r="C309" s="172" t="e">
        <f t="shared" si="36"/>
        <v>#REF!</v>
      </c>
      <c r="D309" s="173" t="e">
        <f t="shared" si="41"/>
        <v>#REF!</v>
      </c>
      <c r="E309" s="173" t="e">
        <f t="shared" si="44"/>
        <v>#REF!</v>
      </c>
      <c r="F309" s="174" t="e">
        <f t="shared" si="37"/>
        <v>#REF!</v>
      </c>
      <c r="G309" s="173" t="e">
        <f t="shared" si="38"/>
        <v>#REF!</v>
      </c>
      <c r="H309" s="173" t="e">
        <f t="shared" si="42"/>
        <v>#REF!</v>
      </c>
      <c r="I309" s="173" t="e">
        <f t="shared" si="43"/>
        <v>#REF!</v>
      </c>
      <c r="J309" s="173" t="e">
        <f t="shared" si="39"/>
        <v>#REF!</v>
      </c>
      <c r="K309" s="173" t="e">
        <f>SUM($I$17:$I309)</f>
        <v>#REF!</v>
      </c>
      <c r="L309" s="168"/>
      <c r="M309" s="168"/>
      <c r="N309" s="150"/>
    </row>
    <row r="310" spans="1:14" ht="12.75">
      <c r="A310" s="191" t="e">
        <f t="shared" si="40"/>
        <v>#REF!</v>
      </c>
      <c r="B310" s="171"/>
      <c r="C310" s="172" t="e">
        <f t="shared" si="36"/>
        <v>#REF!</v>
      </c>
      <c r="D310" s="173" t="e">
        <f t="shared" si="41"/>
        <v>#REF!</v>
      </c>
      <c r="E310" s="173" t="e">
        <f t="shared" si="44"/>
        <v>#REF!</v>
      </c>
      <c r="F310" s="174" t="e">
        <f t="shared" si="37"/>
        <v>#REF!</v>
      </c>
      <c r="G310" s="173" t="e">
        <f t="shared" si="38"/>
        <v>#REF!</v>
      </c>
      <c r="H310" s="173" t="e">
        <f t="shared" si="42"/>
        <v>#REF!</v>
      </c>
      <c r="I310" s="173" t="e">
        <f t="shared" si="43"/>
        <v>#REF!</v>
      </c>
      <c r="J310" s="173" t="e">
        <f t="shared" si="39"/>
        <v>#REF!</v>
      </c>
      <c r="K310" s="173" t="e">
        <f>SUM($I$17:$I310)</f>
        <v>#REF!</v>
      </c>
      <c r="L310" s="168"/>
      <c r="M310" s="168"/>
      <c r="N310" s="150"/>
    </row>
    <row r="311" spans="1:14" ht="12.75">
      <c r="A311" s="191" t="e">
        <f t="shared" si="40"/>
        <v>#REF!</v>
      </c>
      <c r="B311" s="171"/>
      <c r="C311" s="172" t="e">
        <f t="shared" si="36"/>
        <v>#REF!</v>
      </c>
      <c r="D311" s="173" t="e">
        <f t="shared" si="41"/>
        <v>#REF!</v>
      </c>
      <c r="E311" s="173" t="e">
        <f t="shared" si="44"/>
        <v>#REF!</v>
      </c>
      <c r="F311" s="174" t="e">
        <f t="shared" si="37"/>
        <v>#REF!</v>
      </c>
      <c r="G311" s="173" t="e">
        <f t="shared" si="38"/>
        <v>#REF!</v>
      </c>
      <c r="H311" s="173" t="e">
        <f t="shared" si="42"/>
        <v>#REF!</v>
      </c>
      <c r="I311" s="173" t="e">
        <f t="shared" si="43"/>
        <v>#REF!</v>
      </c>
      <c r="J311" s="173" t="e">
        <f t="shared" si="39"/>
        <v>#REF!</v>
      </c>
      <c r="K311" s="173" t="e">
        <f>SUM($I$17:$I311)</f>
        <v>#REF!</v>
      </c>
      <c r="L311" s="168"/>
      <c r="M311" s="168"/>
      <c r="N311" s="150"/>
    </row>
    <row r="312" spans="1:14" ht="12.75">
      <c r="A312" s="191" t="e">
        <f t="shared" si="40"/>
        <v>#REF!</v>
      </c>
      <c r="B312" s="171"/>
      <c r="C312" s="172" t="e">
        <f t="shared" si="36"/>
        <v>#REF!</v>
      </c>
      <c r="D312" s="173" t="e">
        <f t="shared" si="41"/>
        <v>#REF!</v>
      </c>
      <c r="E312" s="173" t="e">
        <f t="shared" si="44"/>
        <v>#REF!</v>
      </c>
      <c r="F312" s="174" t="e">
        <f t="shared" si="37"/>
        <v>#REF!</v>
      </c>
      <c r="G312" s="173" t="e">
        <f t="shared" si="38"/>
        <v>#REF!</v>
      </c>
      <c r="H312" s="173" t="e">
        <f t="shared" si="42"/>
        <v>#REF!</v>
      </c>
      <c r="I312" s="173" t="e">
        <f t="shared" si="43"/>
        <v>#REF!</v>
      </c>
      <c r="J312" s="173" t="e">
        <f t="shared" si="39"/>
        <v>#REF!</v>
      </c>
      <c r="K312" s="173" t="e">
        <f>SUM($I$17:$I312)</f>
        <v>#REF!</v>
      </c>
      <c r="L312" s="168"/>
      <c r="M312" s="168"/>
      <c r="N312" s="150"/>
    </row>
    <row r="313" spans="1:14" ht="12.75">
      <c r="A313" s="191" t="e">
        <f t="shared" si="40"/>
        <v>#REF!</v>
      </c>
      <c r="B313" s="171"/>
      <c r="C313" s="172" t="e">
        <f t="shared" si="36"/>
        <v>#REF!</v>
      </c>
      <c r="D313" s="173" t="e">
        <f t="shared" si="41"/>
        <v>#REF!</v>
      </c>
      <c r="E313" s="173" t="e">
        <f t="shared" si="44"/>
        <v>#REF!</v>
      </c>
      <c r="F313" s="174" t="e">
        <f t="shared" si="37"/>
        <v>#REF!</v>
      </c>
      <c r="G313" s="173" t="e">
        <f t="shared" si="38"/>
        <v>#REF!</v>
      </c>
      <c r="H313" s="173" t="e">
        <f t="shared" si="42"/>
        <v>#REF!</v>
      </c>
      <c r="I313" s="173" t="e">
        <f t="shared" si="43"/>
        <v>#REF!</v>
      </c>
      <c r="J313" s="173" t="e">
        <f t="shared" si="39"/>
        <v>#REF!</v>
      </c>
      <c r="K313" s="173" t="e">
        <f>SUM($I$17:$I313)</f>
        <v>#REF!</v>
      </c>
      <c r="L313" s="168"/>
      <c r="M313" s="168"/>
      <c r="N313" s="150"/>
    </row>
    <row r="314" spans="1:14" ht="12.75">
      <c r="A314" s="191" t="e">
        <f t="shared" si="40"/>
        <v>#REF!</v>
      </c>
      <c r="B314" s="171"/>
      <c r="C314" s="172" t="e">
        <f t="shared" si="36"/>
        <v>#REF!</v>
      </c>
      <c r="D314" s="173" t="e">
        <f t="shared" si="41"/>
        <v>#REF!</v>
      </c>
      <c r="E314" s="173" t="e">
        <f t="shared" si="44"/>
        <v>#REF!</v>
      </c>
      <c r="F314" s="174" t="e">
        <f t="shared" si="37"/>
        <v>#REF!</v>
      </c>
      <c r="G314" s="173" t="e">
        <f t="shared" si="38"/>
        <v>#REF!</v>
      </c>
      <c r="H314" s="173" t="e">
        <f t="shared" si="42"/>
        <v>#REF!</v>
      </c>
      <c r="I314" s="173" t="e">
        <f t="shared" si="43"/>
        <v>#REF!</v>
      </c>
      <c r="J314" s="173" t="e">
        <f t="shared" si="39"/>
        <v>#REF!</v>
      </c>
      <c r="K314" s="173" t="e">
        <f>SUM($I$17:$I314)</f>
        <v>#REF!</v>
      </c>
      <c r="L314" s="168"/>
      <c r="M314" s="168"/>
      <c r="N314" s="150"/>
    </row>
    <row r="315" spans="1:14" ht="12.75">
      <c r="A315" s="191" t="e">
        <f t="shared" si="40"/>
        <v>#REF!</v>
      </c>
      <c r="B315" s="171"/>
      <c r="C315" s="172" t="e">
        <f t="shared" si="36"/>
        <v>#REF!</v>
      </c>
      <c r="D315" s="173" t="e">
        <f t="shared" si="41"/>
        <v>#REF!</v>
      </c>
      <c r="E315" s="173" t="e">
        <f t="shared" si="44"/>
        <v>#REF!</v>
      </c>
      <c r="F315" s="174" t="e">
        <f t="shared" si="37"/>
        <v>#REF!</v>
      </c>
      <c r="G315" s="173" t="e">
        <f t="shared" si="38"/>
        <v>#REF!</v>
      </c>
      <c r="H315" s="173" t="e">
        <f t="shared" si="42"/>
        <v>#REF!</v>
      </c>
      <c r="I315" s="173" t="e">
        <f t="shared" si="43"/>
        <v>#REF!</v>
      </c>
      <c r="J315" s="173" t="e">
        <f t="shared" si="39"/>
        <v>#REF!</v>
      </c>
      <c r="K315" s="173" t="e">
        <f>SUM($I$17:$I315)</f>
        <v>#REF!</v>
      </c>
      <c r="L315" s="168"/>
      <c r="M315" s="168"/>
      <c r="N315" s="150"/>
    </row>
    <row r="316" spans="1:14" ht="12.75">
      <c r="A316" s="191" t="e">
        <f t="shared" si="40"/>
        <v>#REF!</v>
      </c>
      <c r="B316" s="171"/>
      <c r="C316" s="172" t="e">
        <f t="shared" si="36"/>
        <v>#REF!</v>
      </c>
      <c r="D316" s="173" t="e">
        <f t="shared" si="41"/>
        <v>#REF!</v>
      </c>
      <c r="E316" s="173" t="e">
        <f t="shared" si="44"/>
        <v>#REF!</v>
      </c>
      <c r="F316" s="174" t="e">
        <f t="shared" si="37"/>
        <v>#REF!</v>
      </c>
      <c r="G316" s="173" t="e">
        <f t="shared" si="38"/>
        <v>#REF!</v>
      </c>
      <c r="H316" s="173" t="e">
        <f t="shared" si="42"/>
        <v>#REF!</v>
      </c>
      <c r="I316" s="173" t="e">
        <f t="shared" si="43"/>
        <v>#REF!</v>
      </c>
      <c r="J316" s="173" t="e">
        <f t="shared" si="39"/>
        <v>#REF!</v>
      </c>
      <c r="K316" s="173" t="e">
        <f>SUM($I$17:$I316)</f>
        <v>#REF!</v>
      </c>
      <c r="L316" s="168"/>
      <c r="M316" s="168"/>
      <c r="N316" s="150"/>
    </row>
    <row r="317" spans="1:14" ht="12.75">
      <c r="A317" s="191" t="e">
        <f t="shared" si="40"/>
        <v>#REF!</v>
      </c>
      <c r="B317" s="171"/>
      <c r="C317" s="172" t="e">
        <f t="shared" si="36"/>
        <v>#REF!</v>
      </c>
      <c r="D317" s="173" t="e">
        <f t="shared" si="41"/>
        <v>#REF!</v>
      </c>
      <c r="E317" s="173" t="e">
        <f t="shared" si="44"/>
        <v>#REF!</v>
      </c>
      <c r="F317" s="174" t="e">
        <f t="shared" si="37"/>
        <v>#REF!</v>
      </c>
      <c r="G317" s="173" t="e">
        <f t="shared" si="38"/>
        <v>#REF!</v>
      </c>
      <c r="H317" s="173" t="e">
        <f t="shared" si="42"/>
        <v>#REF!</v>
      </c>
      <c r="I317" s="173" t="e">
        <f t="shared" si="43"/>
        <v>#REF!</v>
      </c>
      <c r="J317" s="173" t="e">
        <f t="shared" si="39"/>
        <v>#REF!</v>
      </c>
      <c r="K317" s="173" t="e">
        <f>SUM($I$17:$I317)</f>
        <v>#REF!</v>
      </c>
      <c r="L317" s="168"/>
      <c r="M317" s="168"/>
      <c r="N317" s="150"/>
    </row>
    <row r="318" spans="1:14" ht="12.75">
      <c r="A318" s="191" t="e">
        <f t="shared" si="40"/>
        <v>#REF!</v>
      </c>
      <c r="B318" s="171"/>
      <c r="C318" s="172" t="e">
        <f t="shared" si="36"/>
        <v>#REF!</v>
      </c>
      <c r="D318" s="173" t="e">
        <f t="shared" si="41"/>
        <v>#REF!</v>
      </c>
      <c r="E318" s="173" t="e">
        <f t="shared" si="44"/>
        <v>#REF!</v>
      </c>
      <c r="F318" s="174" t="e">
        <f t="shared" si="37"/>
        <v>#REF!</v>
      </c>
      <c r="G318" s="173" t="e">
        <f t="shared" si="38"/>
        <v>#REF!</v>
      </c>
      <c r="H318" s="173" t="e">
        <f t="shared" si="42"/>
        <v>#REF!</v>
      </c>
      <c r="I318" s="173" t="e">
        <f t="shared" si="43"/>
        <v>#REF!</v>
      </c>
      <c r="J318" s="173" t="e">
        <f t="shared" si="39"/>
        <v>#REF!</v>
      </c>
      <c r="K318" s="173" t="e">
        <f>SUM($I$17:$I318)</f>
        <v>#REF!</v>
      </c>
      <c r="L318" s="168"/>
      <c r="M318" s="168"/>
      <c r="N318" s="150"/>
    </row>
    <row r="319" spans="1:14" ht="12.75">
      <c r="A319" s="191" t="e">
        <f t="shared" si="40"/>
        <v>#REF!</v>
      </c>
      <c r="B319" s="171"/>
      <c r="C319" s="172" t="e">
        <f t="shared" si="36"/>
        <v>#REF!</v>
      </c>
      <c r="D319" s="173" t="e">
        <f t="shared" si="41"/>
        <v>#REF!</v>
      </c>
      <c r="E319" s="173" t="e">
        <f t="shared" si="44"/>
        <v>#REF!</v>
      </c>
      <c r="F319" s="174" t="e">
        <f t="shared" si="37"/>
        <v>#REF!</v>
      </c>
      <c r="G319" s="173" t="e">
        <f t="shared" si="38"/>
        <v>#REF!</v>
      </c>
      <c r="H319" s="173" t="e">
        <f t="shared" si="42"/>
        <v>#REF!</v>
      </c>
      <c r="I319" s="173" t="e">
        <f t="shared" si="43"/>
        <v>#REF!</v>
      </c>
      <c r="J319" s="173" t="e">
        <f t="shared" si="39"/>
        <v>#REF!</v>
      </c>
      <c r="K319" s="173" t="e">
        <f>SUM($I$17:$I319)</f>
        <v>#REF!</v>
      </c>
      <c r="L319" s="168"/>
      <c r="M319" s="168"/>
      <c r="N319" s="150"/>
    </row>
    <row r="320" spans="1:14" ht="12.75">
      <c r="A320" s="191" t="e">
        <f t="shared" si="40"/>
        <v>#REF!</v>
      </c>
      <c r="B320" s="171"/>
      <c r="C320" s="172" t="e">
        <f t="shared" si="36"/>
        <v>#REF!</v>
      </c>
      <c r="D320" s="173" t="e">
        <f t="shared" si="41"/>
        <v>#REF!</v>
      </c>
      <c r="E320" s="173" t="e">
        <f t="shared" si="44"/>
        <v>#REF!</v>
      </c>
      <c r="F320" s="174" t="e">
        <f t="shared" si="37"/>
        <v>#REF!</v>
      </c>
      <c r="G320" s="173" t="e">
        <f t="shared" si="38"/>
        <v>#REF!</v>
      </c>
      <c r="H320" s="173" t="e">
        <f t="shared" si="42"/>
        <v>#REF!</v>
      </c>
      <c r="I320" s="173" t="e">
        <f t="shared" si="43"/>
        <v>#REF!</v>
      </c>
      <c r="J320" s="173" t="e">
        <f t="shared" si="39"/>
        <v>#REF!</v>
      </c>
      <c r="K320" s="173" t="e">
        <f>SUM($I$17:$I320)</f>
        <v>#REF!</v>
      </c>
      <c r="L320" s="168"/>
      <c r="M320" s="168"/>
      <c r="N320" s="150"/>
    </row>
    <row r="321" spans="1:14" ht="12.75">
      <c r="A321" s="191" t="e">
        <f t="shared" si="40"/>
        <v>#REF!</v>
      </c>
      <c r="B321" s="171"/>
      <c r="C321" s="172" t="e">
        <f t="shared" si="36"/>
        <v>#REF!</v>
      </c>
      <c r="D321" s="173" t="e">
        <f t="shared" si="41"/>
        <v>#REF!</v>
      </c>
      <c r="E321" s="173" t="e">
        <f t="shared" si="44"/>
        <v>#REF!</v>
      </c>
      <c r="F321" s="174" t="e">
        <f t="shared" si="37"/>
        <v>#REF!</v>
      </c>
      <c r="G321" s="173" t="e">
        <f t="shared" si="38"/>
        <v>#REF!</v>
      </c>
      <c r="H321" s="173" t="e">
        <f t="shared" si="42"/>
        <v>#REF!</v>
      </c>
      <c r="I321" s="173" t="e">
        <f t="shared" si="43"/>
        <v>#REF!</v>
      </c>
      <c r="J321" s="173" t="e">
        <f t="shared" si="39"/>
        <v>#REF!</v>
      </c>
      <c r="K321" s="173" t="e">
        <f>SUM($I$17:$I321)</f>
        <v>#REF!</v>
      </c>
      <c r="L321" s="168"/>
      <c r="M321" s="168"/>
      <c r="N321" s="150"/>
    </row>
    <row r="322" spans="1:14" ht="12.75">
      <c r="A322" s="191" t="e">
        <f t="shared" si="40"/>
        <v>#REF!</v>
      </c>
      <c r="B322" s="171"/>
      <c r="C322" s="172" t="e">
        <f t="shared" si="36"/>
        <v>#REF!</v>
      </c>
      <c r="D322" s="173" t="e">
        <f t="shared" si="41"/>
        <v>#REF!</v>
      </c>
      <c r="E322" s="173" t="e">
        <f t="shared" si="44"/>
        <v>#REF!</v>
      </c>
      <c r="F322" s="174" t="e">
        <f t="shared" si="37"/>
        <v>#REF!</v>
      </c>
      <c r="G322" s="173" t="e">
        <f t="shared" si="38"/>
        <v>#REF!</v>
      </c>
      <c r="H322" s="173" t="e">
        <f t="shared" si="42"/>
        <v>#REF!</v>
      </c>
      <c r="I322" s="173" t="e">
        <f t="shared" si="43"/>
        <v>#REF!</v>
      </c>
      <c r="J322" s="173" t="e">
        <f t="shared" si="39"/>
        <v>#REF!</v>
      </c>
      <c r="K322" s="173" t="e">
        <f>SUM($I$17:$I322)</f>
        <v>#REF!</v>
      </c>
      <c r="L322" s="168"/>
      <c r="M322" s="168"/>
      <c r="N322" s="150"/>
    </row>
    <row r="323" spans="1:14" ht="12.75">
      <c r="A323" s="191" t="e">
        <f t="shared" si="40"/>
        <v>#REF!</v>
      </c>
      <c r="B323" s="171"/>
      <c r="C323" s="172" t="e">
        <f t="shared" si="36"/>
        <v>#REF!</v>
      </c>
      <c r="D323" s="173" t="e">
        <f t="shared" si="41"/>
        <v>#REF!</v>
      </c>
      <c r="E323" s="173" t="e">
        <f t="shared" si="44"/>
        <v>#REF!</v>
      </c>
      <c r="F323" s="174" t="e">
        <f t="shared" si="37"/>
        <v>#REF!</v>
      </c>
      <c r="G323" s="173" t="e">
        <f t="shared" si="38"/>
        <v>#REF!</v>
      </c>
      <c r="H323" s="173" t="e">
        <f t="shared" si="42"/>
        <v>#REF!</v>
      </c>
      <c r="I323" s="173" t="e">
        <f t="shared" si="43"/>
        <v>#REF!</v>
      </c>
      <c r="J323" s="173" t="e">
        <f t="shared" si="39"/>
        <v>#REF!</v>
      </c>
      <c r="K323" s="173" t="e">
        <f>SUM($I$17:$I323)</f>
        <v>#REF!</v>
      </c>
      <c r="L323" s="168"/>
      <c r="M323" s="168"/>
      <c r="N323" s="150"/>
    </row>
    <row r="324" spans="1:14" ht="12.75">
      <c r="A324" s="191" t="e">
        <f t="shared" si="40"/>
        <v>#REF!</v>
      </c>
      <c r="B324" s="171"/>
      <c r="C324" s="172" t="e">
        <f t="shared" si="36"/>
        <v>#REF!</v>
      </c>
      <c r="D324" s="173" t="e">
        <f t="shared" si="41"/>
        <v>#REF!</v>
      </c>
      <c r="E324" s="173" t="e">
        <f t="shared" si="44"/>
        <v>#REF!</v>
      </c>
      <c r="F324" s="174" t="e">
        <f t="shared" si="37"/>
        <v>#REF!</v>
      </c>
      <c r="G324" s="173" t="e">
        <f t="shared" si="38"/>
        <v>#REF!</v>
      </c>
      <c r="H324" s="173" t="e">
        <f t="shared" si="42"/>
        <v>#REF!</v>
      </c>
      <c r="I324" s="173" t="e">
        <f t="shared" si="43"/>
        <v>#REF!</v>
      </c>
      <c r="J324" s="173" t="e">
        <f t="shared" si="39"/>
        <v>#REF!</v>
      </c>
      <c r="K324" s="173" t="e">
        <f>SUM($I$17:$I324)</f>
        <v>#REF!</v>
      </c>
      <c r="L324" s="168"/>
      <c r="M324" s="168"/>
      <c r="N324" s="150"/>
    </row>
    <row r="325" spans="1:14" ht="12.75">
      <c r="A325" s="191" t="e">
        <f t="shared" si="40"/>
        <v>#REF!</v>
      </c>
      <c r="B325" s="171"/>
      <c r="C325" s="172" t="e">
        <f t="shared" si="36"/>
        <v>#REF!</v>
      </c>
      <c r="D325" s="173" t="e">
        <f t="shared" si="41"/>
        <v>#REF!</v>
      </c>
      <c r="E325" s="173" t="e">
        <f t="shared" si="44"/>
        <v>#REF!</v>
      </c>
      <c r="F325" s="174" t="e">
        <f t="shared" si="37"/>
        <v>#REF!</v>
      </c>
      <c r="G325" s="173" t="e">
        <f t="shared" si="38"/>
        <v>#REF!</v>
      </c>
      <c r="H325" s="173" t="e">
        <f t="shared" si="42"/>
        <v>#REF!</v>
      </c>
      <c r="I325" s="173" t="e">
        <f t="shared" si="43"/>
        <v>#REF!</v>
      </c>
      <c r="J325" s="173" t="e">
        <f t="shared" si="39"/>
        <v>#REF!</v>
      </c>
      <c r="K325" s="173" t="e">
        <f>SUM($I$17:$I325)</f>
        <v>#REF!</v>
      </c>
      <c r="L325" s="168"/>
      <c r="M325" s="168"/>
      <c r="N325" s="150"/>
    </row>
    <row r="326" spans="1:14" ht="12.75">
      <c r="A326" s="191" t="e">
        <f t="shared" si="40"/>
        <v>#REF!</v>
      </c>
      <c r="B326" s="171"/>
      <c r="C326" s="172" t="e">
        <f t="shared" si="36"/>
        <v>#REF!</v>
      </c>
      <c r="D326" s="173" t="e">
        <f t="shared" si="41"/>
        <v>#REF!</v>
      </c>
      <c r="E326" s="173" t="e">
        <f t="shared" si="44"/>
        <v>#REF!</v>
      </c>
      <c r="F326" s="174" t="e">
        <f t="shared" si="37"/>
        <v>#REF!</v>
      </c>
      <c r="G326" s="173" t="e">
        <f t="shared" si="38"/>
        <v>#REF!</v>
      </c>
      <c r="H326" s="173" t="e">
        <f t="shared" si="42"/>
        <v>#REF!</v>
      </c>
      <c r="I326" s="173" t="e">
        <f t="shared" si="43"/>
        <v>#REF!</v>
      </c>
      <c r="J326" s="173" t="e">
        <f t="shared" si="39"/>
        <v>#REF!</v>
      </c>
      <c r="K326" s="173" t="e">
        <f>SUM($I$17:$I326)</f>
        <v>#REF!</v>
      </c>
      <c r="L326" s="168"/>
      <c r="M326" s="168"/>
      <c r="N326" s="150"/>
    </row>
    <row r="327" spans="1:14" ht="12.75">
      <c r="A327" s="191" t="e">
        <f t="shared" si="40"/>
        <v>#REF!</v>
      </c>
      <c r="B327" s="171"/>
      <c r="C327" s="172" t="e">
        <f t="shared" si="36"/>
        <v>#REF!</v>
      </c>
      <c r="D327" s="173" t="e">
        <f t="shared" si="41"/>
        <v>#REF!</v>
      </c>
      <c r="E327" s="173" t="e">
        <f t="shared" si="44"/>
        <v>#REF!</v>
      </c>
      <c r="F327" s="174" t="e">
        <f t="shared" si="37"/>
        <v>#REF!</v>
      </c>
      <c r="G327" s="173" t="e">
        <f t="shared" si="38"/>
        <v>#REF!</v>
      </c>
      <c r="H327" s="173" t="e">
        <f t="shared" si="42"/>
        <v>#REF!</v>
      </c>
      <c r="I327" s="173" t="e">
        <f t="shared" si="43"/>
        <v>#REF!</v>
      </c>
      <c r="J327" s="173" t="e">
        <f t="shared" si="39"/>
        <v>#REF!</v>
      </c>
      <c r="K327" s="173" t="e">
        <f>SUM($I$17:$I327)</f>
        <v>#REF!</v>
      </c>
      <c r="L327" s="168"/>
      <c r="M327" s="168"/>
      <c r="N327" s="150"/>
    </row>
    <row r="328" spans="1:14" ht="12.75">
      <c r="A328" s="191" t="e">
        <f t="shared" si="40"/>
        <v>#REF!</v>
      </c>
      <c r="B328" s="171"/>
      <c r="C328" s="172" t="e">
        <f t="shared" si="36"/>
        <v>#REF!</v>
      </c>
      <c r="D328" s="173" t="e">
        <f t="shared" si="41"/>
        <v>#REF!</v>
      </c>
      <c r="E328" s="173" t="e">
        <f t="shared" si="44"/>
        <v>#REF!</v>
      </c>
      <c r="F328" s="174" t="e">
        <f t="shared" si="37"/>
        <v>#REF!</v>
      </c>
      <c r="G328" s="173" t="e">
        <f t="shared" si="38"/>
        <v>#REF!</v>
      </c>
      <c r="H328" s="173" t="e">
        <f t="shared" si="42"/>
        <v>#REF!</v>
      </c>
      <c r="I328" s="173" t="e">
        <f t="shared" si="43"/>
        <v>#REF!</v>
      </c>
      <c r="J328" s="173" t="e">
        <f t="shared" si="39"/>
        <v>#REF!</v>
      </c>
      <c r="K328" s="173" t="e">
        <f>SUM($I$17:$I328)</f>
        <v>#REF!</v>
      </c>
      <c r="L328" s="168"/>
      <c r="M328" s="168"/>
      <c r="N328" s="150"/>
    </row>
    <row r="329" spans="1:14" ht="12.75">
      <c r="A329" s="191" t="e">
        <f t="shared" si="40"/>
        <v>#REF!</v>
      </c>
      <c r="B329" s="171"/>
      <c r="C329" s="172" t="e">
        <f t="shared" si="36"/>
        <v>#REF!</v>
      </c>
      <c r="D329" s="173" t="e">
        <f t="shared" si="41"/>
        <v>#REF!</v>
      </c>
      <c r="E329" s="173" t="e">
        <f t="shared" si="44"/>
        <v>#REF!</v>
      </c>
      <c r="F329" s="174" t="e">
        <f t="shared" si="37"/>
        <v>#REF!</v>
      </c>
      <c r="G329" s="173" t="e">
        <f t="shared" si="38"/>
        <v>#REF!</v>
      </c>
      <c r="H329" s="173" t="e">
        <f t="shared" si="42"/>
        <v>#REF!</v>
      </c>
      <c r="I329" s="173" t="e">
        <f t="shared" si="43"/>
        <v>#REF!</v>
      </c>
      <c r="J329" s="173" t="e">
        <f t="shared" si="39"/>
        <v>#REF!</v>
      </c>
      <c r="K329" s="173" t="e">
        <f>SUM($I$17:$I329)</f>
        <v>#REF!</v>
      </c>
      <c r="L329" s="168"/>
      <c r="M329" s="168"/>
      <c r="N329" s="150"/>
    </row>
    <row r="330" spans="1:14" ht="12.75">
      <c r="A330" s="191" t="e">
        <f t="shared" si="40"/>
        <v>#REF!</v>
      </c>
      <c r="B330" s="171"/>
      <c r="C330" s="172" t="e">
        <f t="shared" si="36"/>
        <v>#REF!</v>
      </c>
      <c r="D330" s="173" t="e">
        <f t="shared" si="41"/>
        <v>#REF!</v>
      </c>
      <c r="E330" s="173" t="e">
        <f t="shared" si="44"/>
        <v>#REF!</v>
      </c>
      <c r="F330" s="174" t="e">
        <f t="shared" si="37"/>
        <v>#REF!</v>
      </c>
      <c r="G330" s="173" t="e">
        <f t="shared" si="38"/>
        <v>#REF!</v>
      </c>
      <c r="H330" s="173" t="e">
        <f t="shared" si="42"/>
        <v>#REF!</v>
      </c>
      <c r="I330" s="173" t="e">
        <f t="shared" si="43"/>
        <v>#REF!</v>
      </c>
      <c r="J330" s="173" t="e">
        <f t="shared" si="39"/>
        <v>#REF!</v>
      </c>
      <c r="K330" s="173" t="e">
        <f>SUM($I$17:$I330)</f>
        <v>#REF!</v>
      </c>
      <c r="L330" s="168"/>
      <c r="M330" s="168"/>
      <c r="N330" s="150"/>
    </row>
    <row r="331" spans="1:14" ht="12.75">
      <c r="A331" s="191" t="e">
        <f t="shared" si="40"/>
        <v>#REF!</v>
      </c>
      <c r="B331" s="171"/>
      <c r="C331" s="172" t="e">
        <f t="shared" si="36"/>
        <v>#REF!</v>
      </c>
      <c r="D331" s="173" t="e">
        <f t="shared" si="41"/>
        <v>#REF!</v>
      </c>
      <c r="E331" s="173" t="e">
        <f t="shared" si="44"/>
        <v>#REF!</v>
      </c>
      <c r="F331" s="174" t="e">
        <f t="shared" si="37"/>
        <v>#REF!</v>
      </c>
      <c r="G331" s="173" t="e">
        <f t="shared" si="38"/>
        <v>#REF!</v>
      </c>
      <c r="H331" s="173" t="e">
        <f t="shared" si="42"/>
        <v>#REF!</v>
      </c>
      <c r="I331" s="173" t="e">
        <f t="shared" si="43"/>
        <v>#REF!</v>
      </c>
      <c r="J331" s="173" t="e">
        <f t="shared" si="39"/>
        <v>#REF!</v>
      </c>
      <c r="K331" s="173" t="e">
        <f>SUM($I$17:$I331)</f>
        <v>#REF!</v>
      </c>
      <c r="L331" s="168"/>
      <c r="M331" s="168"/>
      <c r="N331" s="150"/>
    </row>
    <row r="332" spans="1:14" ht="12.75">
      <c r="A332" s="191" t="e">
        <f t="shared" si="40"/>
        <v>#REF!</v>
      </c>
      <c r="B332" s="171"/>
      <c r="C332" s="172" t="e">
        <f t="shared" si="36"/>
        <v>#REF!</v>
      </c>
      <c r="D332" s="173" t="e">
        <f t="shared" si="41"/>
        <v>#REF!</v>
      </c>
      <c r="E332" s="173" t="e">
        <f t="shared" si="44"/>
        <v>#REF!</v>
      </c>
      <c r="F332" s="174" t="e">
        <f t="shared" si="37"/>
        <v>#REF!</v>
      </c>
      <c r="G332" s="173" t="e">
        <f t="shared" si="38"/>
        <v>#REF!</v>
      </c>
      <c r="H332" s="173" t="e">
        <f t="shared" si="42"/>
        <v>#REF!</v>
      </c>
      <c r="I332" s="173" t="e">
        <f t="shared" si="43"/>
        <v>#REF!</v>
      </c>
      <c r="J332" s="173" t="e">
        <f t="shared" si="39"/>
        <v>#REF!</v>
      </c>
      <c r="K332" s="173" t="e">
        <f>SUM($I$17:$I332)</f>
        <v>#REF!</v>
      </c>
      <c r="L332" s="168"/>
      <c r="M332" s="168"/>
      <c r="N332" s="150"/>
    </row>
    <row r="333" spans="1:14" ht="12.75">
      <c r="A333" s="191" t="e">
        <f t="shared" si="40"/>
        <v>#REF!</v>
      </c>
      <c r="B333" s="171"/>
      <c r="C333" s="172" t="e">
        <f t="shared" si="36"/>
        <v>#REF!</v>
      </c>
      <c r="D333" s="173" t="e">
        <f t="shared" si="41"/>
        <v>#REF!</v>
      </c>
      <c r="E333" s="173" t="e">
        <f t="shared" si="44"/>
        <v>#REF!</v>
      </c>
      <c r="F333" s="174" t="e">
        <f t="shared" si="37"/>
        <v>#REF!</v>
      </c>
      <c r="G333" s="173" t="e">
        <f t="shared" si="38"/>
        <v>#REF!</v>
      </c>
      <c r="H333" s="173" t="e">
        <f t="shared" si="42"/>
        <v>#REF!</v>
      </c>
      <c r="I333" s="173" t="e">
        <f t="shared" si="43"/>
        <v>#REF!</v>
      </c>
      <c r="J333" s="173" t="e">
        <f t="shared" si="39"/>
        <v>#REF!</v>
      </c>
      <c r="K333" s="173" t="e">
        <f>SUM($I$17:$I333)</f>
        <v>#REF!</v>
      </c>
      <c r="L333" s="168"/>
      <c r="M333" s="168"/>
      <c r="N333" s="150"/>
    </row>
    <row r="334" spans="1:14" ht="12.75">
      <c r="A334" s="191" t="e">
        <f t="shared" si="40"/>
        <v>#REF!</v>
      </c>
      <c r="B334" s="171"/>
      <c r="C334" s="172" t="e">
        <f t="shared" si="36"/>
        <v>#REF!</v>
      </c>
      <c r="D334" s="173" t="e">
        <f t="shared" si="41"/>
        <v>#REF!</v>
      </c>
      <c r="E334" s="173" t="e">
        <f t="shared" si="44"/>
        <v>#REF!</v>
      </c>
      <c r="F334" s="174" t="e">
        <f t="shared" si="37"/>
        <v>#REF!</v>
      </c>
      <c r="G334" s="173" t="e">
        <f t="shared" si="38"/>
        <v>#REF!</v>
      </c>
      <c r="H334" s="173" t="e">
        <f t="shared" si="42"/>
        <v>#REF!</v>
      </c>
      <c r="I334" s="173" t="e">
        <f t="shared" si="43"/>
        <v>#REF!</v>
      </c>
      <c r="J334" s="173" t="e">
        <f t="shared" si="39"/>
        <v>#REF!</v>
      </c>
      <c r="K334" s="173" t="e">
        <f>SUM($I$17:$I334)</f>
        <v>#REF!</v>
      </c>
      <c r="L334" s="168"/>
      <c r="M334" s="168"/>
      <c r="N334" s="150"/>
    </row>
    <row r="335" spans="1:14" ht="12.75">
      <c r="A335" s="191" t="e">
        <f t="shared" si="40"/>
        <v>#REF!</v>
      </c>
      <c r="B335" s="171"/>
      <c r="C335" s="172" t="e">
        <f t="shared" si="36"/>
        <v>#REF!</v>
      </c>
      <c r="D335" s="173" t="e">
        <f t="shared" si="41"/>
        <v>#REF!</v>
      </c>
      <c r="E335" s="173" t="e">
        <f t="shared" si="44"/>
        <v>#REF!</v>
      </c>
      <c r="F335" s="174" t="e">
        <f t="shared" si="37"/>
        <v>#REF!</v>
      </c>
      <c r="G335" s="173" t="e">
        <f t="shared" si="38"/>
        <v>#REF!</v>
      </c>
      <c r="H335" s="173" t="e">
        <f t="shared" si="42"/>
        <v>#REF!</v>
      </c>
      <c r="I335" s="173" t="e">
        <f t="shared" si="43"/>
        <v>#REF!</v>
      </c>
      <c r="J335" s="173" t="e">
        <f t="shared" si="39"/>
        <v>#REF!</v>
      </c>
      <c r="K335" s="173" t="e">
        <f>SUM($I$17:$I335)</f>
        <v>#REF!</v>
      </c>
      <c r="L335" s="168"/>
      <c r="M335" s="168"/>
      <c r="N335" s="150"/>
    </row>
    <row r="336" spans="1:14" ht="12.75">
      <c r="A336" s="191" t="e">
        <f t="shared" si="40"/>
        <v>#REF!</v>
      </c>
      <c r="B336" s="171"/>
      <c r="C336" s="172" t="e">
        <f t="shared" si="36"/>
        <v>#REF!</v>
      </c>
      <c r="D336" s="173" t="e">
        <f t="shared" si="41"/>
        <v>#REF!</v>
      </c>
      <c r="E336" s="173" t="e">
        <f t="shared" si="44"/>
        <v>#REF!</v>
      </c>
      <c r="F336" s="174" t="e">
        <f t="shared" si="37"/>
        <v>#REF!</v>
      </c>
      <c r="G336" s="173" t="e">
        <f t="shared" si="38"/>
        <v>#REF!</v>
      </c>
      <c r="H336" s="173" t="e">
        <f t="shared" si="42"/>
        <v>#REF!</v>
      </c>
      <c r="I336" s="173" t="e">
        <f t="shared" si="43"/>
        <v>#REF!</v>
      </c>
      <c r="J336" s="173" t="e">
        <f t="shared" si="39"/>
        <v>#REF!</v>
      </c>
      <c r="K336" s="173" t="e">
        <f>SUM($I$17:$I336)</f>
        <v>#REF!</v>
      </c>
      <c r="L336" s="168"/>
      <c r="M336" s="168"/>
      <c r="N336" s="150"/>
    </row>
    <row r="337" spans="1:14" ht="12.75">
      <c r="A337" s="191" t="e">
        <f t="shared" si="40"/>
        <v>#REF!</v>
      </c>
      <c r="B337" s="171"/>
      <c r="C337" s="172" t="e">
        <f t="shared" ref="C337:C376" si="45">IF(Pay_Num&lt;&gt;"",DATE(YEAR(Loan_Start),MONTH(Loan_Start)+(Pay_Num)*12/Num_Pmt_Per_Year,DAY(Loan_Start)),"")</f>
        <v>#REF!</v>
      </c>
      <c r="D337" s="173" t="e">
        <f t="shared" si="41"/>
        <v>#REF!</v>
      </c>
      <c r="E337" s="173" t="e">
        <f t="shared" si="44"/>
        <v>#REF!</v>
      </c>
      <c r="F337" s="174" t="e">
        <f t="shared" ref="F337:F376" si="46">IF(AND(Pay_Num&lt;&gt;"",Sched_Pay+Scheduled_Extra_Payments&lt;Beg_Bal),Scheduled_Extra_Payments,IF(AND(Pay_Num&lt;&gt;"",Beg_Bal-Sched_Pay&gt;0),Beg_Bal-Sched_Pay,IF(Pay_Num&lt;&gt;"",0,"")))</f>
        <v>#REF!</v>
      </c>
      <c r="G337" s="173" t="e">
        <f t="shared" ref="G337:G376" si="47">IF(AND(Pay_Num&lt;&gt;"",Sched_Pay+Extra_Pay&lt;Beg_Bal),Sched_Pay+Extra_Pay,IF(Pay_Num&lt;&gt;"",Beg_Bal,""))</f>
        <v>#REF!</v>
      </c>
      <c r="H337" s="173" t="e">
        <f t="shared" si="42"/>
        <v>#REF!</v>
      </c>
      <c r="I337" s="173" t="e">
        <f t="shared" si="43"/>
        <v>#REF!</v>
      </c>
      <c r="J337" s="173" t="e">
        <f t="shared" ref="J337:J376" si="48">IF(AND(Pay_Num&lt;&gt;"",Sched_Pay+Extra_Pay&lt;Beg_Bal),Beg_Bal-Princ,IF(Pay_Num&lt;&gt;"",0,""))</f>
        <v>#REF!</v>
      </c>
      <c r="K337" s="173" t="e">
        <f>SUM($I$17:$I337)</f>
        <v>#REF!</v>
      </c>
      <c r="L337" s="168"/>
      <c r="M337" s="168"/>
      <c r="N337" s="150"/>
    </row>
    <row r="338" spans="1:14" ht="12.75">
      <c r="A338" s="191" t="e">
        <f t="shared" ref="A338:A376" si="49">IF(Values_Entered,A337+1,"")</f>
        <v>#REF!</v>
      </c>
      <c r="B338" s="171"/>
      <c r="C338" s="172" t="e">
        <f t="shared" si="45"/>
        <v>#REF!</v>
      </c>
      <c r="D338" s="173" t="e">
        <f t="shared" ref="D338:D376" si="50">IF(Pay_Num&lt;&gt;"",J337,"")</f>
        <v>#REF!</v>
      </c>
      <c r="E338" s="173" t="e">
        <f t="shared" si="44"/>
        <v>#REF!</v>
      </c>
      <c r="F338" s="174" t="e">
        <f t="shared" si="46"/>
        <v>#REF!</v>
      </c>
      <c r="G338" s="173" t="e">
        <f t="shared" si="47"/>
        <v>#REF!</v>
      </c>
      <c r="H338" s="173" t="e">
        <f t="shared" ref="H338:H376" si="51">IF(Pay_Num&lt;&gt;"",Total_Pay-Int,"")</f>
        <v>#REF!</v>
      </c>
      <c r="I338" s="173" t="e">
        <f t="shared" ref="I338:I376" si="52">IF(Pay_Num&lt;&gt;"",Beg_Bal*Interest_Rate/Num_Pmt_Per_Year,"")</f>
        <v>#REF!</v>
      </c>
      <c r="J338" s="173" t="e">
        <f t="shared" si="48"/>
        <v>#REF!</v>
      </c>
      <c r="K338" s="173" t="e">
        <f>SUM($I$17:$I338)</f>
        <v>#REF!</v>
      </c>
      <c r="L338" s="168"/>
      <c r="M338" s="168"/>
      <c r="N338" s="150"/>
    </row>
    <row r="339" spans="1:14" ht="12.75">
      <c r="A339" s="191" t="e">
        <f t="shared" si="49"/>
        <v>#REF!</v>
      </c>
      <c r="B339" s="171"/>
      <c r="C339" s="172" t="e">
        <f t="shared" si="45"/>
        <v>#REF!</v>
      </c>
      <c r="D339" s="173" t="e">
        <f t="shared" si="50"/>
        <v>#REF!</v>
      </c>
      <c r="E339" s="173" t="e">
        <f t="shared" ref="E339:E376" si="53">IF(Pay_Num&lt;&gt;"",Scheduled_Monthly_Payment,"")</f>
        <v>#REF!</v>
      </c>
      <c r="F339" s="174" t="e">
        <f t="shared" si="46"/>
        <v>#REF!</v>
      </c>
      <c r="G339" s="173" t="e">
        <f t="shared" si="47"/>
        <v>#REF!</v>
      </c>
      <c r="H339" s="173" t="e">
        <f t="shared" si="51"/>
        <v>#REF!</v>
      </c>
      <c r="I339" s="173" t="e">
        <f t="shared" si="52"/>
        <v>#REF!</v>
      </c>
      <c r="J339" s="173" t="e">
        <f t="shared" si="48"/>
        <v>#REF!</v>
      </c>
      <c r="K339" s="173" t="e">
        <f>SUM($I$17:$I339)</f>
        <v>#REF!</v>
      </c>
      <c r="L339" s="168"/>
      <c r="M339" s="168"/>
      <c r="N339" s="150"/>
    </row>
    <row r="340" spans="1:14" ht="12.75">
      <c r="A340" s="191" t="e">
        <f t="shared" si="49"/>
        <v>#REF!</v>
      </c>
      <c r="B340" s="171"/>
      <c r="C340" s="172" t="e">
        <f t="shared" si="45"/>
        <v>#REF!</v>
      </c>
      <c r="D340" s="173" t="e">
        <f t="shared" si="50"/>
        <v>#REF!</v>
      </c>
      <c r="E340" s="173" t="e">
        <f t="shared" si="53"/>
        <v>#REF!</v>
      </c>
      <c r="F340" s="174" t="e">
        <f t="shared" si="46"/>
        <v>#REF!</v>
      </c>
      <c r="G340" s="173" t="e">
        <f t="shared" si="47"/>
        <v>#REF!</v>
      </c>
      <c r="H340" s="173" t="e">
        <f t="shared" si="51"/>
        <v>#REF!</v>
      </c>
      <c r="I340" s="173" t="e">
        <f t="shared" si="52"/>
        <v>#REF!</v>
      </c>
      <c r="J340" s="173" t="e">
        <f t="shared" si="48"/>
        <v>#REF!</v>
      </c>
      <c r="K340" s="173" t="e">
        <f>SUM($I$17:$I340)</f>
        <v>#REF!</v>
      </c>
      <c r="L340" s="168"/>
      <c r="M340" s="168"/>
      <c r="N340" s="150"/>
    </row>
    <row r="341" spans="1:14" ht="12.75">
      <c r="A341" s="191" t="e">
        <f t="shared" si="49"/>
        <v>#REF!</v>
      </c>
      <c r="B341" s="171"/>
      <c r="C341" s="172" t="e">
        <f t="shared" si="45"/>
        <v>#REF!</v>
      </c>
      <c r="D341" s="173" t="e">
        <f t="shared" si="50"/>
        <v>#REF!</v>
      </c>
      <c r="E341" s="173" t="e">
        <f t="shared" si="53"/>
        <v>#REF!</v>
      </c>
      <c r="F341" s="174" t="e">
        <f t="shared" si="46"/>
        <v>#REF!</v>
      </c>
      <c r="G341" s="173" t="e">
        <f t="shared" si="47"/>
        <v>#REF!</v>
      </c>
      <c r="H341" s="173" t="e">
        <f t="shared" si="51"/>
        <v>#REF!</v>
      </c>
      <c r="I341" s="173" t="e">
        <f t="shared" si="52"/>
        <v>#REF!</v>
      </c>
      <c r="J341" s="173" t="e">
        <f t="shared" si="48"/>
        <v>#REF!</v>
      </c>
      <c r="K341" s="173" t="e">
        <f>SUM($I$17:$I341)</f>
        <v>#REF!</v>
      </c>
      <c r="L341" s="168"/>
      <c r="M341" s="168"/>
      <c r="N341" s="150"/>
    </row>
    <row r="342" spans="1:14" ht="12.75">
      <c r="A342" s="191" t="e">
        <f t="shared" si="49"/>
        <v>#REF!</v>
      </c>
      <c r="B342" s="171"/>
      <c r="C342" s="172" t="e">
        <f t="shared" si="45"/>
        <v>#REF!</v>
      </c>
      <c r="D342" s="173" t="e">
        <f t="shared" si="50"/>
        <v>#REF!</v>
      </c>
      <c r="E342" s="173" t="e">
        <f t="shared" si="53"/>
        <v>#REF!</v>
      </c>
      <c r="F342" s="174" t="e">
        <f t="shared" si="46"/>
        <v>#REF!</v>
      </c>
      <c r="G342" s="173" t="e">
        <f t="shared" si="47"/>
        <v>#REF!</v>
      </c>
      <c r="H342" s="173" t="e">
        <f t="shared" si="51"/>
        <v>#REF!</v>
      </c>
      <c r="I342" s="173" t="e">
        <f t="shared" si="52"/>
        <v>#REF!</v>
      </c>
      <c r="J342" s="173" t="e">
        <f t="shared" si="48"/>
        <v>#REF!</v>
      </c>
      <c r="K342" s="173" t="e">
        <f>SUM($I$17:$I342)</f>
        <v>#REF!</v>
      </c>
      <c r="L342" s="168"/>
      <c r="M342" s="168"/>
      <c r="N342" s="150"/>
    </row>
    <row r="343" spans="1:14" ht="12.75">
      <c r="A343" s="191" t="e">
        <f t="shared" si="49"/>
        <v>#REF!</v>
      </c>
      <c r="B343" s="171"/>
      <c r="C343" s="172" t="e">
        <f t="shared" si="45"/>
        <v>#REF!</v>
      </c>
      <c r="D343" s="173" t="e">
        <f t="shared" si="50"/>
        <v>#REF!</v>
      </c>
      <c r="E343" s="173" t="e">
        <f t="shared" si="53"/>
        <v>#REF!</v>
      </c>
      <c r="F343" s="174" t="e">
        <f t="shared" si="46"/>
        <v>#REF!</v>
      </c>
      <c r="G343" s="173" t="e">
        <f t="shared" si="47"/>
        <v>#REF!</v>
      </c>
      <c r="H343" s="173" t="e">
        <f t="shared" si="51"/>
        <v>#REF!</v>
      </c>
      <c r="I343" s="173" t="e">
        <f t="shared" si="52"/>
        <v>#REF!</v>
      </c>
      <c r="J343" s="173" t="e">
        <f t="shared" si="48"/>
        <v>#REF!</v>
      </c>
      <c r="K343" s="173" t="e">
        <f>SUM($I$17:$I343)</f>
        <v>#REF!</v>
      </c>
      <c r="L343" s="168"/>
      <c r="M343" s="168"/>
      <c r="N343" s="150"/>
    </row>
    <row r="344" spans="1:14" ht="12.75">
      <c r="A344" s="191" t="e">
        <f t="shared" si="49"/>
        <v>#REF!</v>
      </c>
      <c r="B344" s="171"/>
      <c r="C344" s="172" t="e">
        <f t="shared" si="45"/>
        <v>#REF!</v>
      </c>
      <c r="D344" s="173" t="e">
        <f t="shared" si="50"/>
        <v>#REF!</v>
      </c>
      <c r="E344" s="173" t="e">
        <f t="shared" si="53"/>
        <v>#REF!</v>
      </c>
      <c r="F344" s="174" t="e">
        <f t="shared" si="46"/>
        <v>#REF!</v>
      </c>
      <c r="G344" s="173" t="e">
        <f t="shared" si="47"/>
        <v>#REF!</v>
      </c>
      <c r="H344" s="173" t="e">
        <f t="shared" si="51"/>
        <v>#REF!</v>
      </c>
      <c r="I344" s="173" t="e">
        <f t="shared" si="52"/>
        <v>#REF!</v>
      </c>
      <c r="J344" s="173" t="e">
        <f t="shared" si="48"/>
        <v>#REF!</v>
      </c>
      <c r="K344" s="173" t="e">
        <f>SUM($I$17:$I344)</f>
        <v>#REF!</v>
      </c>
      <c r="L344" s="168"/>
      <c r="M344" s="168"/>
      <c r="N344" s="150"/>
    </row>
    <row r="345" spans="1:14" ht="12.75">
      <c r="A345" s="191" t="e">
        <f t="shared" si="49"/>
        <v>#REF!</v>
      </c>
      <c r="B345" s="171"/>
      <c r="C345" s="172" t="e">
        <f t="shared" si="45"/>
        <v>#REF!</v>
      </c>
      <c r="D345" s="173" t="e">
        <f t="shared" si="50"/>
        <v>#REF!</v>
      </c>
      <c r="E345" s="173" t="e">
        <f t="shared" si="53"/>
        <v>#REF!</v>
      </c>
      <c r="F345" s="174" t="e">
        <f t="shared" si="46"/>
        <v>#REF!</v>
      </c>
      <c r="G345" s="173" t="e">
        <f t="shared" si="47"/>
        <v>#REF!</v>
      </c>
      <c r="H345" s="173" t="e">
        <f t="shared" si="51"/>
        <v>#REF!</v>
      </c>
      <c r="I345" s="173" t="e">
        <f t="shared" si="52"/>
        <v>#REF!</v>
      </c>
      <c r="J345" s="173" t="e">
        <f t="shared" si="48"/>
        <v>#REF!</v>
      </c>
      <c r="K345" s="173" t="e">
        <f>SUM($I$17:$I345)</f>
        <v>#REF!</v>
      </c>
      <c r="L345" s="168"/>
      <c r="M345" s="168"/>
      <c r="N345" s="150"/>
    </row>
    <row r="346" spans="1:14" ht="12.75">
      <c r="A346" s="191" t="e">
        <f t="shared" si="49"/>
        <v>#REF!</v>
      </c>
      <c r="B346" s="171"/>
      <c r="C346" s="172" t="e">
        <f t="shared" si="45"/>
        <v>#REF!</v>
      </c>
      <c r="D346" s="173" t="e">
        <f t="shared" si="50"/>
        <v>#REF!</v>
      </c>
      <c r="E346" s="173" t="e">
        <f t="shared" si="53"/>
        <v>#REF!</v>
      </c>
      <c r="F346" s="174" t="e">
        <f t="shared" si="46"/>
        <v>#REF!</v>
      </c>
      <c r="G346" s="173" t="e">
        <f t="shared" si="47"/>
        <v>#REF!</v>
      </c>
      <c r="H346" s="173" t="e">
        <f t="shared" si="51"/>
        <v>#REF!</v>
      </c>
      <c r="I346" s="173" t="e">
        <f t="shared" si="52"/>
        <v>#REF!</v>
      </c>
      <c r="J346" s="173" t="e">
        <f t="shared" si="48"/>
        <v>#REF!</v>
      </c>
      <c r="K346" s="173" t="e">
        <f>SUM($I$17:$I346)</f>
        <v>#REF!</v>
      </c>
      <c r="L346" s="168"/>
      <c r="M346" s="168"/>
      <c r="N346" s="150"/>
    </row>
    <row r="347" spans="1:14" ht="12.75">
      <c r="A347" s="191" t="e">
        <f t="shared" si="49"/>
        <v>#REF!</v>
      </c>
      <c r="B347" s="171"/>
      <c r="C347" s="172" t="e">
        <f t="shared" si="45"/>
        <v>#REF!</v>
      </c>
      <c r="D347" s="173" t="e">
        <f t="shared" si="50"/>
        <v>#REF!</v>
      </c>
      <c r="E347" s="173" t="e">
        <f t="shared" si="53"/>
        <v>#REF!</v>
      </c>
      <c r="F347" s="174" t="e">
        <f t="shared" si="46"/>
        <v>#REF!</v>
      </c>
      <c r="G347" s="173" t="e">
        <f t="shared" si="47"/>
        <v>#REF!</v>
      </c>
      <c r="H347" s="173" t="e">
        <f t="shared" si="51"/>
        <v>#REF!</v>
      </c>
      <c r="I347" s="173" t="e">
        <f t="shared" si="52"/>
        <v>#REF!</v>
      </c>
      <c r="J347" s="173" t="e">
        <f t="shared" si="48"/>
        <v>#REF!</v>
      </c>
      <c r="K347" s="173" t="e">
        <f>SUM($I$17:$I347)</f>
        <v>#REF!</v>
      </c>
      <c r="L347" s="168"/>
      <c r="M347" s="168"/>
      <c r="N347" s="150"/>
    </row>
    <row r="348" spans="1:14" ht="12.75">
      <c r="A348" s="191" t="e">
        <f t="shared" si="49"/>
        <v>#REF!</v>
      </c>
      <c r="B348" s="171"/>
      <c r="C348" s="172" t="e">
        <f t="shared" si="45"/>
        <v>#REF!</v>
      </c>
      <c r="D348" s="173" t="e">
        <f t="shared" si="50"/>
        <v>#REF!</v>
      </c>
      <c r="E348" s="173" t="e">
        <f t="shared" si="53"/>
        <v>#REF!</v>
      </c>
      <c r="F348" s="174" t="e">
        <f t="shared" si="46"/>
        <v>#REF!</v>
      </c>
      <c r="G348" s="173" t="e">
        <f t="shared" si="47"/>
        <v>#REF!</v>
      </c>
      <c r="H348" s="173" t="e">
        <f t="shared" si="51"/>
        <v>#REF!</v>
      </c>
      <c r="I348" s="173" t="e">
        <f t="shared" si="52"/>
        <v>#REF!</v>
      </c>
      <c r="J348" s="173" t="e">
        <f t="shared" si="48"/>
        <v>#REF!</v>
      </c>
      <c r="K348" s="173" t="e">
        <f>SUM($I$17:$I348)</f>
        <v>#REF!</v>
      </c>
      <c r="L348" s="168"/>
      <c r="M348" s="168"/>
      <c r="N348" s="150"/>
    </row>
    <row r="349" spans="1:14" ht="12.75">
      <c r="A349" s="191" t="e">
        <f t="shared" si="49"/>
        <v>#REF!</v>
      </c>
      <c r="B349" s="171"/>
      <c r="C349" s="172" t="e">
        <f t="shared" si="45"/>
        <v>#REF!</v>
      </c>
      <c r="D349" s="173" t="e">
        <f t="shared" si="50"/>
        <v>#REF!</v>
      </c>
      <c r="E349" s="173" t="e">
        <f t="shared" si="53"/>
        <v>#REF!</v>
      </c>
      <c r="F349" s="174" t="e">
        <f t="shared" si="46"/>
        <v>#REF!</v>
      </c>
      <c r="G349" s="173" t="e">
        <f t="shared" si="47"/>
        <v>#REF!</v>
      </c>
      <c r="H349" s="173" t="e">
        <f t="shared" si="51"/>
        <v>#REF!</v>
      </c>
      <c r="I349" s="173" t="e">
        <f t="shared" si="52"/>
        <v>#REF!</v>
      </c>
      <c r="J349" s="173" t="e">
        <f t="shared" si="48"/>
        <v>#REF!</v>
      </c>
      <c r="K349" s="173" t="e">
        <f>SUM($I$17:$I349)</f>
        <v>#REF!</v>
      </c>
      <c r="L349" s="168"/>
      <c r="M349" s="168"/>
      <c r="N349" s="150"/>
    </row>
    <row r="350" spans="1:14" ht="12.75">
      <c r="A350" s="191" t="e">
        <f t="shared" si="49"/>
        <v>#REF!</v>
      </c>
      <c r="B350" s="171"/>
      <c r="C350" s="172" t="e">
        <f t="shared" si="45"/>
        <v>#REF!</v>
      </c>
      <c r="D350" s="173" t="e">
        <f t="shared" si="50"/>
        <v>#REF!</v>
      </c>
      <c r="E350" s="173" t="e">
        <f t="shared" si="53"/>
        <v>#REF!</v>
      </c>
      <c r="F350" s="174" t="e">
        <f t="shared" si="46"/>
        <v>#REF!</v>
      </c>
      <c r="G350" s="173" t="e">
        <f t="shared" si="47"/>
        <v>#REF!</v>
      </c>
      <c r="H350" s="173" t="e">
        <f t="shared" si="51"/>
        <v>#REF!</v>
      </c>
      <c r="I350" s="173" t="e">
        <f t="shared" si="52"/>
        <v>#REF!</v>
      </c>
      <c r="J350" s="173" t="e">
        <f t="shared" si="48"/>
        <v>#REF!</v>
      </c>
      <c r="K350" s="173" t="e">
        <f>SUM($I$17:$I350)</f>
        <v>#REF!</v>
      </c>
      <c r="L350" s="168"/>
      <c r="M350" s="168"/>
      <c r="N350" s="150"/>
    </row>
    <row r="351" spans="1:14" ht="12.75">
      <c r="A351" s="191" t="e">
        <f t="shared" si="49"/>
        <v>#REF!</v>
      </c>
      <c r="B351" s="171"/>
      <c r="C351" s="172" t="e">
        <f t="shared" si="45"/>
        <v>#REF!</v>
      </c>
      <c r="D351" s="173" t="e">
        <f t="shared" si="50"/>
        <v>#REF!</v>
      </c>
      <c r="E351" s="173" t="e">
        <f t="shared" si="53"/>
        <v>#REF!</v>
      </c>
      <c r="F351" s="174" t="e">
        <f t="shared" si="46"/>
        <v>#REF!</v>
      </c>
      <c r="G351" s="173" t="e">
        <f t="shared" si="47"/>
        <v>#REF!</v>
      </c>
      <c r="H351" s="173" t="e">
        <f t="shared" si="51"/>
        <v>#REF!</v>
      </c>
      <c r="I351" s="173" t="e">
        <f t="shared" si="52"/>
        <v>#REF!</v>
      </c>
      <c r="J351" s="173" t="e">
        <f t="shared" si="48"/>
        <v>#REF!</v>
      </c>
      <c r="K351" s="173" t="e">
        <f>SUM($I$17:$I351)</f>
        <v>#REF!</v>
      </c>
      <c r="L351" s="168"/>
      <c r="M351" s="168"/>
      <c r="N351" s="150"/>
    </row>
    <row r="352" spans="1:14" ht="12.75">
      <c r="A352" s="191" t="e">
        <f t="shared" si="49"/>
        <v>#REF!</v>
      </c>
      <c r="B352" s="171"/>
      <c r="C352" s="172" t="e">
        <f t="shared" si="45"/>
        <v>#REF!</v>
      </c>
      <c r="D352" s="173" t="e">
        <f t="shared" si="50"/>
        <v>#REF!</v>
      </c>
      <c r="E352" s="173" t="e">
        <f t="shared" si="53"/>
        <v>#REF!</v>
      </c>
      <c r="F352" s="174" t="e">
        <f t="shared" si="46"/>
        <v>#REF!</v>
      </c>
      <c r="G352" s="173" t="e">
        <f t="shared" si="47"/>
        <v>#REF!</v>
      </c>
      <c r="H352" s="173" t="e">
        <f t="shared" si="51"/>
        <v>#REF!</v>
      </c>
      <c r="I352" s="173" t="e">
        <f t="shared" si="52"/>
        <v>#REF!</v>
      </c>
      <c r="J352" s="173" t="e">
        <f t="shared" si="48"/>
        <v>#REF!</v>
      </c>
      <c r="K352" s="173" t="e">
        <f>SUM($I$17:$I352)</f>
        <v>#REF!</v>
      </c>
      <c r="L352" s="168"/>
      <c r="M352" s="168"/>
      <c r="N352" s="150"/>
    </row>
    <row r="353" spans="1:14" ht="12.75">
      <c r="A353" s="191" t="e">
        <f t="shared" si="49"/>
        <v>#REF!</v>
      </c>
      <c r="B353" s="171"/>
      <c r="C353" s="172" t="e">
        <f t="shared" si="45"/>
        <v>#REF!</v>
      </c>
      <c r="D353" s="173" t="e">
        <f t="shared" si="50"/>
        <v>#REF!</v>
      </c>
      <c r="E353" s="173" t="e">
        <f t="shared" si="53"/>
        <v>#REF!</v>
      </c>
      <c r="F353" s="174" t="e">
        <f t="shared" si="46"/>
        <v>#REF!</v>
      </c>
      <c r="G353" s="173" t="e">
        <f t="shared" si="47"/>
        <v>#REF!</v>
      </c>
      <c r="H353" s="173" t="e">
        <f t="shared" si="51"/>
        <v>#REF!</v>
      </c>
      <c r="I353" s="173" t="e">
        <f t="shared" si="52"/>
        <v>#REF!</v>
      </c>
      <c r="J353" s="173" t="e">
        <f t="shared" si="48"/>
        <v>#REF!</v>
      </c>
      <c r="K353" s="173" t="e">
        <f>SUM($I$17:$I353)</f>
        <v>#REF!</v>
      </c>
      <c r="L353" s="168"/>
      <c r="M353" s="168"/>
      <c r="N353" s="150"/>
    </row>
    <row r="354" spans="1:14" ht="12.75">
      <c r="A354" s="191" t="e">
        <f t="shared" si="49"/>
        <v>#REF!</v>
      </c>
      <c r="B354" s="171"/>
      <c r="C354" s="172" t="e">
        <f t="shared" si="45"/>
        <v>#REF!</v>
      </c>
      <c r="D354" s="173" t="e">
        <f t="shared" si="50"/>
        <v>#REF!</v>
      </c>
      <c r="E354" s="173" t="e">
        <f t="shared" si="53"/>
        <v>#REF!</v>
      </c>
      <c r="F354" s="174" t="e">
        <f t="shared" si="46"/>
        <v>#REF!</v>
      </c>
      <c r="G354" s="173" t="e">
        <f t="shared" si="47"/>
        <v>#REF!</v>
      </c>
      <c r="H354" s="173" t="e">
        <f t="shared" si="51"/>
        <v>#REF!</v>
      </c>
      <c r="I354" s="173" t="e">
        <f t="shared" si="52"/>
        <v>#REF!</v>
      </c>
      <c r="J354" s="173" t="e">
        <f t="shared" si="48"/>
        <v>#REF!</v>
      </c>
      <c r="K354" s="173" t="e">
        <f>SUM($I$17:$I354)</f>
        <v>#REF!</v>
      </c>
      <c r="L354" s="168"/>
      <c r="M354" s="168"/>
      <c r="N354" s="150"/>
    </row>
    <row r="355" spans="1:14" ht="12.75">
      <c r="A355" s="191" t="e">
        <f t="shared" si="49"/>
        <v>#REF!</v>
      </c>
      <c r="B355" s="171"/>
      <c r="C355" s="172" t="e">
        <f t="shared" si="45"/>
        <v>#REF!</v>
      </c>
      <c r="D355" s="173" t="e">
        <f t="shared" si="50"/>
        <v>#REF!</v>
      </c>
      <c r="E355" s="173" t="e">
        <f t="shared" si="53"/>
        <v>#REF!</v>
      </c>
      <c r="F355" s="174" t="e">
        <f t="shared" si="46"/>
        <v>#REF!</v>
      </c>
      <c r="G355" s="173" t="e">
        <f t="shared" si="47"/>
        <v>#REF!</v>
      </c>
      <c r="H355" s="173" t="e">
        <f t="shared" si="51"/>
        <v>#REF!</v>
      </c>
      <c r="I355" s="173" t="e">
        <f t="shared" si="52"/>
        <v>#REF!</v>
      </c>
      <c r="J355" s="173" t="e">
        <f t="shared" si="48"/>
        <v>#REF!</v>
      </c>
      <c r="K355" s="173" t="e">
        <f>SUM($I$17:$I355)</f>
        <v>#REF!</v>
      </c>
      <c r="L355" s="168"/>
      <c r="M355" s="168"/>
      <c r="N355" s="150"/>
    </row>
    <row r="356" spans="1:14" ht="12.75">
      <c r="A356" s="191" t="e">
        <f t="shared" si="49"/>
        <v>#REF!</v>
      </c>
      <c r="B356" s="171"/>
      <c r="C356" s="172" t="e">
        <f t="shared" si="45"/>
        <v>#REF!</v>
      </c>
      <c r="D356" s="173" t="e">
        <f t="shared" si="50"/>
        <v>#REF!</v>
      </c>
      <c r="E356" s="173" t="e">
        <f t="shared" si="53"/>
        <v>#REF!</v>
      </c>
      <c r="F356" s="174" t="e">
        <f t="shared" si="46"/>
        <v>#REF!</v>
      </c>
      <c r="G356" s="173" t="e">
        <f t="shared" si="47"/>
        <v>#REF!</v>
      </c>
      <c r="H356" s="173" t="e">
        <f t="shared" si="51"/>
        <v>#REF!</v>
      </c>
      <c r="I356" s="173" t="e">
        <f t="shared" si="52"/>
        <v>#REF!</v>
      </c>
      <c r="J356" s="173" t="e">
        <f t="shared" si="48"/>
        <v>#REF!</v>
      </c>
      <c r="K356" s="173" t="e">
        <f>SUM($I$17:$I356)</f>
        <v>#REF!</v>
      </c>
      <c r="L356" s="168"/>
      <c r="M356" s="168"/>
      <c r="N356" s="150"/>
    </row>
    <row r="357" spans="1:14" ht="12.75">
      <c r="A357" s="191" t="e">
        <f t="shared" si="49"/>
        <v>#REF!</v>
      </c>
      <c r="B357" s="171"/>
      <c r="C357" s="172" t="e">
        <f t="shared" si="45"/>
        <v>#REF!</v>
      </c>
      <c r="D357" s="173" t="e">
        <f t="shared" si="50"/>
        <v>#REF!</v>
      </c>
      <c r="E357" s="173" t="e">
        <f t="shared" si="53"/>
        <v>#REF!</v>
      </c>
      <c r="F357" s="174" t="e">
        <f t="shared" si="46"/>
        <v>#REF!</v>
      </c>
      <c r="G357" s="173" t="e">
        <f t="shared" si="47"/>
        <v>#REF!</v>
      </c>
      <c r="H357" s="173" t="e">
        <f t="shared" si="51"/>
        <v>#REF!</v>
      </c>
      <c r="I357" s="173" t="e">
        <f t="shared" si="52"/>
        <v>#REF!</v>
      </c>
      <c r="J357" s="173" t="e">
        <f t="shared" si="48"/>
        <v>#REF!</v>
      </c>
      <c r="K357" s="173" t="e">
        <f>SUM($I$17:$I357)</f>
        <v>#REF!</v>
      </c>
      <c r="L357" s="168"/>
      <c r="M357" s="168"/>
      <c r="N357" s="150"/>
    </row>
    <row r="358" spans="1:14" ht="12.75">
      <c r="A358" s="191" t="e">
        <f t="shared" si="49"/>
        <v>#REF!</v>
      </c>
      <c r="B358" s="171"/>
      <c r="C358" s="172" t="e">
        <f t="shared" si="45"/>
        <v>#REF!</v>
      </c>
      <c r="D358" s="173" t="e">
        <f t="shared" si="50"/>
        <v>#REF!</v>
      </c>
      <c r="E358" s="173" t="e">
        <f t="shared" si="53"/>
        <v>#REF!</v>
      </c>
      <c r="F358" s="174" t="e">
        <f t="shared" si="46"/>
        <v>#REF!</v>
      </c>
      <c r="G358" s="173" t="e">
        <f t="shared" si="47"/>
        <v>#REF!</v>
      </c>
      <c r="H358" s="173" t="e">
        <f t="shared" si="51"/>
        <v>#REF!</v>
      </c>
      <c r="I358" s="173" t="e">
        <f t="shared" si="52"/>
        <v>#REF!</v>
      </c>
      <c r="J358" s="173" t="e">
        <f t="shared" si="48"/>
        <v>#REF!</v>
      </c>
      <c r="K358" s="173" t="e">
        <f>SUM($I$17:$I358)</f>
        <v>#REF!</v>
      </c>
      <c r="L358" s="168"/>
      <c r="M358" s="168"/>
      <c r="N358" s="150"/>
    </row>
    <row r="359" spans="1:14" ht="12.75">
      <c r="A359" s="191" t="e">
        <f t="shared" si="49"/>
        <v>#REF!</v>
      </c>
      <c r="B359" s="171"/>
      <c r="C359" s="172" t="e">
        <f t="shared" si="45"/>
        <v>#REF!</v>
      </c>
      <c r="D359" s="173" t="e">
        <f t="shared" si="50"/>
        <v>#REF!</v>
      </c>
      <c r="E359" s="173" t="e">
        <f t="shared" si="53"/>
        <v>#REF!</v>
      </c>
      <c r="F359" s="174" t="e">
        <f t="shared" si="46"/>
        <v>#REF!</v>
      </c>
      <c r="G359" s="173" t="e">
        <f t="shared" si="47"/>
        <v>#REF!</v>
      </c>
      <c r="H359" s="173" t="e">
        <f t="shared" si="51"/>
        <v>#REF!</v>
      </c>
      <c r="I359" s="173" t="e">
        <f t="shared" si="52"/>
        <v>#REF!</v>
      </c>
      <c r="J359" s="173" t="e">
        <f t="shared" si="48"/>
        <v>#REF!</v>
      </c>
      <c r="K359" s="173" t="e">
        <f>SUM($I$17:$I359)</f>
        <v>#REF!</v>
      </c>
      <c r="L359" s="168"/>
      <c r="M359" s="168"/>
      <c r="N359" s="150"/>
    </row>
    <row r="360" spans="1:14" ht="12.75">
      <c r="A360" s="191" t="e">
        <f t="shared" si="49"/>
        <v>#REF!</v>
      </c>
      <c r="B360" s="171"/>
      <c r="C360" s="172" t="e">
        <f t="shared" si="45"/>
        <v>#REF!</v>
      </c>
      <c r="D360" s="173" t="e">
        <f t="shared" si="50"/>
        <v>#REF!</v>
      </c>
      <c r="E360" s="173" t="e">
        <f t="shared" si="53"/>
        <v>#REF!</v>
      </c>
      <c r="F360" s="174" t="e">
        <f t="shared" si="46"/>
        <v>#REF!</v>
      </c>
      <c r="G360" s="173" t="e">
        <f t="shared" si="47"/>
        <v>#REF!</v>
      </c>
      <c r="H360" s="173" t="e">
        <f t="shared" si="51"/>
        <v>#REF!</v>
      </c>
      <c r="I360" s="173" t="e">
        <f t="shared" si="52"/>
        <v>#REF!</v>
      </c>
      <c r="J360" s="173" t="e">
        <f t="shared" si="48"/>
        <v>#REF!</v>
      </c>
      <c r="K360" s="173" t="e">
        <f>SUM($I$17:$I360)</f>
        <v>#REF!</v>
      </c>
      <c r="L360" s="168"/>
      <c r="M360" s="168"/>
      <c r="N360" s="150"/>
    </row>
    <row r="361" spans="1:14" ht="12.75">
      <c r="A361" s="191" t="e">
        <f t="shared" si="49"/>
        <v>#REF!</v>
      </c>
      <c r="B361" s="171"/>
      <c r="C361" s="172" t="e">
        <f t="shared" si="45"/>
        <v>#REF!</v>
      </c>
      <c r="D361" s="173" t="e">
        <f t="shared" si="50"/>
        <v>#REF!</v>
      </c>
      <c r="E361" s="173" t="e">
        <f t="shared" si="53"/>
        <v>#REF!</v>
      </c>
      <c r="F361" s="174" t="e">
        <f t="shared" si="46"/>
        <v>#REF!</v>
      </c>
      <c r="G361" s="173" t="e">
        <f t="shared" si="47"/>
        <v>#REF!</v>
      </c>
      <c r="H361" s="173" t="e">
        <f t="shared" si="51"/>
        <v>#REF!</v>
      </c>
      <c r="I361" s="173" t="e">
        <f t="shared" si="52"/>
        <v>#REF!</v>
      </c>
      <c r="J361" s="173" t="e">
        <f t="shared" si="48"/>
        <v>#REF!</v>
      </c>
      <c r="K361" s="173" t="e">
        <f>SUM($I$17:$I361)</f>
        <v>#REF!</v>
      </c>
      <c r="L361" s="168"/>
      <c r="M361" s="168"/>
      <c r="N361" s="150"/>
    </row>
    <row r="362" spans="1:14" ht="12.75">
      <c r="A362" s="191" t="e">
        <f t="shared" si="49"/>
        <v>#REF!</v>
      </c>
      <c r="B362" s="171"/>
      <c r="C362" s="172" t="e">
        <f t="shared" si="45"/>
        <v>#REF!</v>
      </c>
      <c r="D362" s="173" t="e">
        <f t="shared" si="50"/>
        <v>#REF!</v>
      </c>
      <c r="E362" s="173" t="e">
        <f t="shared" si="53"/>
        <v>#REF!</v>
      </c>
      <c r="F362" s="174" t="e">
        <f t="shared" si="46"/>
        <v>#REF!</v>
      </c>
      <c r="G362" s="173" t="e">
        <f t="shared" si="47"/>
        <v>#REF!</v>
      </c>
      <c r="H362" s="173" t="e">
        <f t="shared" si="51"/>
        <v>#REF!</v>
      </c>
      <c r="I362" s="173" t="e">
        <f t="shared" si="52"/>
        <v>#REF!</v>
      </c>
      <c r="J362" s="173" t="e">
        <f t="shared" si="48"/>
        <v>#REF!</v>
      </c>
      <c r="K362" s="173" t="e">
        <f>SUM($I$17:$I362)</f>
        <v>#REF!</v>
      </c>
      <c r="L362" s="168"/>
      <c r="M362" s="168"/>
      <c r="N362" s="150"/>
    </row>
    <row r="363" spans="1:14" ht="12.75">
      <c r="A363" s="191" t="e">
        <f t="shared" si="49"/>
        <v>#REF!</v>
      </c>
      <c r="B363" s="171"/>
      <c r="C363" s="172" t="e">
        <f t="shared" si="45"/>
        <v>#REF!</v>
      </c>
      <c r="D363" s="173" t="e">
        <f t="shared" si="50"/>
        <v>#REF!</v>
      </c>
      <c r="E363" s="173" t="e">
        <f t="shared" si="53"/>
        <v>#REF!</v>
      </c>
      <c r="F363" s="174" t="e">
        <f t="shared" si="46"/>
        <v>#REF!</v>
      </c>
      <c r="G363" s="173" t="e">
        <f t="shared" si="47"/>
        <v>#REF!</v>
      </c>
      <c r="H363" s="173" t="e">
        <f t="shared" si="51"/>
        <v>#REF!</v>
      </c>
      <c r="I363" s="173" t="e">
        <f t="shared" si="52"/>
        <v>#REF!</v>
      </c>
      <c r="J363" s="173" t="e">
        <f t="shared" si="48"/>
        <v>#REF!</v>
      </c>
      <c r="K363" s="173" t="e">
        <f>SUM($I$17:$I363)</f>
        <v>#REF!</v>
      </c>
      <c r="L363" s="168"/>
      <c r="M363" s="168"/>
      <c r="N363" s="150"/>
    </row>
    <row r="364" spans="1:14" ht="12.75">
      <c r="A364" s="191" t="e">
        <f t="shared" si="49"/>
        <v>#REF!</v>
      </c>
      <c r="B364" s="171"/>
      <c r="C364" s="172" t="e">
        <f t="shared" si="45"/>
        <v>#REF!</v>
      </c>
      <c r="D364" s="173" t="e">
        <f t="shared" si="50"/>
        <v>#REF!</v>
      </c>
      <c r="E364" s="173" t="e">
        <f t="shared" si="53"/>
        <v>#REF!</v>
      </c>
      <c r="F364" s="174" t="e">
        <f t="shared" si="46"/>
        <v>#REF!</v>
      </c>
      <c r="G364" s="173" t="e">
        <f t="shared" si="47"/>
        <v>#REF!</v>
      </c>
      <c r="H364" s="173" t="e">
        <f t="shared" si="51"/>
        <v>#REF!</v>
      </c>
      <c r="I364" s="173" t="e">
        <f t="shared" si="52"/>
        <v>#REF!</v>
      </c>
      <c r="J364" s="173" t="e">
        <f t="shared" si="48"/>
        <v>#REF!</v>
      </c>
      <c r="K364" s="173" t="e">
        <f>SUM($I$17:$I364)</f>
        <v>#REF!</v>
      </c>
      <c r="L364" s="168"/>
      <c r="M364" s="168"/>
      <c r="N364" s="150"/>
    </row>
    <row r="365" spans="1:14" ht="12.75">
      <c r="A365" s="191" t="e">
        <f t="shared" si="49"/>
        <v>#REF!</v>
      </c>
      <c r="B365" s="171"/>
      <c r="C365" s="172" t="e">
        <f t="shared" si="45"/>
        <v>#REF!</v>
      </c>
      <c r="D365" s="173" t="e">
        <f t="shared" si="50"/>
        <v>#REF!</v>
      </c>
      <c r="E365" s="173" t="e">
        <f t="shared" si="53"/>
        <v>#REF!</v>
      </c>
      <c r="F365" s="174" t="e">
        <f t="shared" si="46"/>
        <v>#REF!</v>
      </c>
      <c r="G365" s="173" t="e">
        <f t="shared" si="47"/>
        <v>#REF!</v>
      </c>
      <c r="H365" s="173" t="e">
        <f t="shared" si="51"/>
        <v>#REF!</v>
      </c>
      <c r="I365" s="173" t="e">
        <f t="shared" si="52"/>
        <v>#REF!</v>
      </c>
      <c r="J365" s="173" t="e">
        <f t="shared" si="48"/>
        <v>#REF!</v>
      </c>
      <c r="K365" s="173" t="e">
        <f>SUM($I$17:$I365)</f>
        <v>#REF!</v>
      </c>
      <c r="L365" s="168"/>
      <c r="M365" s="168"/>
      <c r="N365" s="150"/>
    </row>
    <row r="366" spans="1:14" ht="12.75">
      <c r="A366" s="191" t="e">
        <f t="shared" si="49"/>
        <v>#REF!</v>
      </c>
      <c r="B366" s="171"/>
      <c r="C366" s="172" t="e">
        <f t="shared" si="45"/>
        <v>#REF!</v>
      </c>
      <c r="D366" s="173" t="e">
        <f t="shared" si="50"/>
        <v>#REF!</v>
      </c>
      <c r="E366" s="173" t="e">
        <f t="shared" si="53"/>
        <v>#REF!</v>
      </c>
      <c r="F366" s="174" t="e">
        <f t="shared" si="46"/>
        <v>#REF!</v>
      </c>
      <c r="G366" s="173" t="e">
        <f t="shared" si="47"/>
        <v>#REF!</v>
      </c>
      <c r="H366" s="173" t="e">
        <f t="shared" si="51"/>
        <v>#REF!</v>
      </c>
      <c r="I366" s="173" t="e">
        <f t="shared" si="52"/>
        <v>#REF!</v>
      </c>
      <c r="J366" s="173" t="e">
        <f t="shared" si="48"/>
        <v>#REF!</v>
      </c>
      <c r="K366" s="173" t="e">
        <f>SUM($I$17:$I366)</f>
        <v>#REF!</v>
      </c>
      <c r="L366" s="168"/>
      <c r="M366" s="168"/>
      <c r="N366" s="150"/>
    </row>
    <row r="367" spans="1:14" ht="12.75">
      <c r="A367" s="191" t="e">
        <f t="shared" si="49"/>
        <v>#REF!</v>
      </c>
      <c r="B367" s="171"/>
      <c r="C367" s="172" t="e">
        <f t="shared" si="45"/>
        <v>#REF!</v>
      </c>
      <c r="D367" s="173" t="e">
        <f t="shared" si="50"/>
        <v>#REF!</v>
      </c>
      <c r="E367" s="173" t="e">
        <f t="shared" si="53"/>
        <v>#REF!</v>
      </c>
      <c r="F367" s="174" t="e">
        <f t="shared" si="46"/>
        <v>#REF!</v>
      </c>
      <c r="G367" s="173" t="e">
        <f t="shared" si="47"/>
        <v>#REF!</v>
      </c>
      <c r="H367" s="173" t="e">
        <f t="shared" si="51"/>
        <v>#REF!</v>
      </c>
      <c r="I367" s="173" t="e">
        <f t="shared" si="52"/>
        <v>#REF!</v>
      </c>
      <c r="J367" s="173" t="e">
        <f t="shared" si="48"/>
        <v>#REF!</v>
      </c>
      <c r="K367" s="173" t="e">
        <f>SUM($I$17:$I367)</f>
        <v>#REF!</v>
      </c>
      <c r="L367" s="168"/>
      <c r="M367" s="168"/>
      <c r="N367" s="150"/>
    </row>
    <row r="368" spans="1:14" ht="12.75">
      <c r="A368" s="191" t="e">
        <f t="shared" si="49"/>
        <v>#REF!</v>
      </c>
      <c r="B368" s="171"/>
      <c r="C368" s="172" t="e">
        <f t="shared" si="45"/>
        <v>#REF!</v>
      </c>
      <c r="D368" s="173" t="e">
        <f t="shared" si="50"/>
        <v>#REF!</v>
      </c>
      <c r="E368" s="173" t="e">
        <f t="shared" si="53"/>
        <v>#REF!</v>
      </c>
      <c r="F368" s="174" t="e">
        <f t="shared" si="46"/>
        <v>#REF!</v>
      </c>
      <c r="G368" s="173" t="e">
        <f t="shared" si="47"/>
        <v>#REF!</v>
      </c>
      <c r="H368" s="173" t="e">
        <f t="shared" si="51"/>
        <v>#REF!</v>
      </c>
      <c r="I368" s="173" t="e">
        <f t="shared" si="52"/>
        <v>#REF!</v>
      </c>
      <c r="J368" s="173" t="e">
        <f t="shared" si="48"/>
        <v>#REF!</v>
      </c>
      <c r="K368" s="173" t="e">
        <f>SUM($I$17:$I368)</f>
        <v>#REF!</v>
      </c>
      <c r="L368" s="168"/>
      <c r="M368" s="168"/>
      <c r="N368" s="150"/>
    </row>
    <row r="369" spans="1:14" ht="12.75">
      <c r="A369" s="191" t="e">
        <f t="shared" si="49"/>
        <v>#REF!</v>
      </c>
      <c r="B369" s="171"/>
      <c r="C369" s="172" t="e">
        <f t="shared" si="45"/>
        <v>#REF!</v>
      </c>
      <c r="D369" s="173" t="e">
        <f t="shared" si="50"/>
        <v>#REF!</v>
      </c>
      <c r="E369" s="173" t="e">
        <f t="shared" si="53"/>
        <v>#REF!</v>
      </c>
      <c r="F369" s="174" t="e">
        <f t="shared" si="46"/>
        <v>#REF!</v>
      </c>
      <c r="G369" s="173" t="e">
        <f t="shared" si="47"/>
        <v>#REF!</v>
      </c>
      <c r="H369" s="173" t="e">
        <f t="shared" si="51"/>
        <v>#REF!</v>
      </c>
      <c r="I369" s="173" t="e">
        <f t="shared" si="52"/>
        <v>#REF!</v>
      </c>
      <c r="J369" s="173" t="e">
        <f t="shared" si="48"/>
        <v>#REF!</v>
      </c>
      <c r="K369" s="173" t="e">
        <f>SUM($I$17:$I369)</f>
        <v>#REF!</v>
      </c>
      <c r="L369" s="168"/>
      <c r="M369" s="168"/>
      <c r="N369" s="150"/>
    </row>
    <row r="370" spans="1:14" ht="12.75">
      <c r="A370" s="191" t="e">
        <f t="shared" si="49"/>
        <v>#REF!</v>
      </c>
      <c r="B370" s="171"/>
      <c r="C370" s="172" t="e">
        <f t="shared" si="45"/>
        <v>#REF!</v>
      </c>
      <c r="D370" s="173" t="e">
        <f t="shared" si="50"/>
        <v>#REF!</v>
      </c>
      <c r="E370" s="173" t="e">
        <f t="shared" si="53"/>
        <v>#REF!</v>
      </c>
      <c r="F370" s="174" t="e">
        <f t="shared" si="46"/>
        <v>#REF!</v>
      </c>
      <c r="G370" s="173" t="e">
        <f t="shared" si="47"/>
        <v>#REF!</v>
      </c>
      <c r="H370" s="173" t="e">
        <f t="shared" si="51"/>
        <v>#REF!</v>
      </c>
      <c r="I370" s="173" t="e">
        <f t="shared" si="52"/>
        <v>#REF!</v>
      </c>
      <c r="J370" s="173" t="e">
        <f t="shared" si="48"/>
        <v>#REF!</v>
      </c>
      <c r="K370" s="173" t="e">
        <f>SUM($I$17:$I370)</f>
        <v>#REF!</v>
      </c>
      <c r="L370" s="168"/>
      <c r="M370" s="168"/>
      <c r="N370" s="150"/>
    </row>
    <row r="371" spans="1:14" ht="12.75">
      <c r="A371" s="191" t="e">
        <f t="shared" si="49"/>
        <v>#REF!</v>
      </c>
      <c r="B371" s="171"/>
      <c r="C371" s="172" t="e">
        <f t="shared" si="45"/>
        <v>#REF!</v>
      </c>
      <c r="D371" s="173" t="e">
        <f t="shared" si="50"/>
        <v>#REF!</v>
      </c>
      <c r="E371" s="173" t="e">
        <f t="shared" si="53"/>
        <v>#REF!</v>
      </c>
      <c r="F371" s="174" t="e">
        <f t="shared" si="46"/>
        <v>#REF!</v>
      </c>
      <c r="G371" s="173" t="e">
        <f t="shared" si="47"/>
        <v>#REF!</v>
      </c>
      <c r="H371" s="173" t="e">
        <f t="shared" si="51"/>
        <v>#REF!</v>
      </c>
      <c r="I371" s="173" t="e">
        <f t="shared" si="52"/>
        <v>#REF!</v>
      </c>
      <c r="J371" s="173" t="e">
        <f t="shared" si="48"/>
        <v>#REF!</v>
      </c>
      <c r="K371" s="173" t="e">
        <f>SUM($I$17:$I371)</f>
        <v>#REF!</v>
      </c>
      <c r="L371" s="168"/>
      <c r="M371" s="168"/>
      <c r="N371" s="150"/>
    </row>
    <row r="372" spans="1:14" ht="12.75">
      <c r="A372" s="191" t="e">
        <f t="shared" si="49"/>
        <v>#REF!</v>
      </c>
      <c r="B372" s="171"/>
      <c r="C372" s="172" t="e">
        <f t="shared" si="45"/>
        <v>#REF!</v>
      </c>
      <c r="D372" s="173" t="e">
        <f t="shared" si="50"/>
        <v>#REF!</v>
      </c>
      <c r="E372" s="173" t="e">
        <f t="shared" si="53"/>
        <v>#REF!</v>
      </c>
      <c r="F372" s="174" t="e">
        <f t="shared" si="46"/>
        <v>#REF!</v>
      </c>
      <c r="G372" s="173" t="e">
        <f t="shared" si="47"/>
        <v>#REF!</v>
      </c>
      <c r="H372" s="173" t="e">
        <f t="shared" si="51"/>
        <v>#REF!</v>
      </c>
      <c r="I372" s="173" t="e">
        <f t="shared" si="52"/>
        <v>#REF!</v>
      </c>
      <c r="J372" s="173" t="e">
        <f t="shared" si="48"/>
        <v>#REF!</v>
      </c>
      <c r="K372" s="173" t="e">
        <f>SUM($I$17:$I372)</f>
        <v>#REF!</v>
      </c>
      <c r="L372" s="168"/>
      <c r="M372" s="168"/>
      <c r="N372" s="150"/>
    </row>
    <row r="373" spans="1:14" ht="12.75">
      <c r="A373" s="191" t="e">
        <f t="shared" si="49"/>
        <v>#REF!</v>
      </c>
      <c r="B373" s="171"/>
      <c r="C373" s="172" t="e">
        <f t="shared" si="45"/>
        <v>#REF!</v>
      </c>
      <c r="D373" s="173" t="e">
        <f t="shared" si="50"/>
        <v>#REF!</v>
      </c>
      <c r="E373" s="173" t="e">
        <f t="shared" si="53"/>
        <v>#REF!</v>
      </c>
      <c r="F373" s="174" t="e">
        <f t="shared" si="46"/>
        <v>#REF!</v>
      </c>
      <c r="G373" s="173" t="e">
        <f t="shared" si="47"/>
        <v>#REF!</v>
      </c>
      <c r="H373" s="173" t="e">
        <f t="shared" si="51"/>
        <v>#REF!</v>
      </c>
      <c r="I373" s="173" t="e">
        <f t="shared" si="52"/>
        <v>#REF!</v>
      </c>
      <c r="J373" s="173" t="e">
        <f t="shared" si="48"/>
        <v>#REF!</v>
      </c>
      <c r="K373" s="173" t="e">
        <f>SUM($I$17:$I373)</f>
        <v>#REF!</v>
      </c>
      <c r="L373" s="168"/>
      <c r="M373" s="168"/>
      <c r="N373" s="150"/>
    </row>
    <row r="374" spans="1:14" ht="12.75">
      <c r="A374" s="191" t="e">
        <f t="shared" si="49"/>
        <v>#REF!</v>
      </c>
      <c r="B374" s="171"/>
      <c r="C374" s="172" t="e">
        <f t="shared" si="45"/>
        <v>#REF!</v>
      </c>
      <c r="D374" s="173" t="e">
        <f t="shared" si="50"/>
        <v>#REF!</v>
      </c>
      <c r="E374" s="173" t="e">
        <f t="shared" si="53"/>
        <v>#REF!</v>
      </c>
      <c r="F374" s="174" t="e">
        <f t="shared" si="46"/>
        <v>#REF!</v>
      </c>
      <c r="G374" s="173" t="e">
        <f t="shared" si="47"/>
        <v>#REF!</v>
      </c>
      <c r="H374" s="173" t="e">
        <f t="shared" si="51"/>
        <v>#REF!</v>
      </c>
      <c r="I374" s="173" t="e">
        <f t="shared" si="52"/>
        <v>#REF!</v>
      </c>
      <c r="J374" s="173" t="e">
        <f t="shared" si="48"/>
        <v>#REF!</v>
      </c>
      <c r="K374" s="173" t="e">
        <f>SUM($I$17:$I374)</f>
        <v>#REF!</v>
      </c>
      <c r="L374" s="168"/>
      <c r="M374" s="168"/>
      <c r="N374" s="150"/>
    </row>
    <row r="375" spans="1:14" ht="12.75">
      <c r="A375" s="191" t="e">
        <f t="shared" si="49"/>
        <v>#REF!</v>
      </c>
      <c r="B375" s="171"/>
      <c r="C375" s="172" t="e">
        <f t="shared" si="45"/>
        <v>#REF!</v>
      </c>
      <c r="D375" s="173" t="e">
        <f t="shared" si="50"/>
        <v>#REF!</v>
      </c>
      <c r="E375" s="173" t="e">
        <f t="shared" si="53"/>
        <v>#REF!</v>
      </c>
      <c r="F375" s="174" t="e">
        <f t="shared" si="46"/>
        <v>#REF!</v>
      </c>
      <c r="G375" s="173" t="e">
        <f t="shared" si="47"/>
        <v>#REF!</v>
      </c>
      <c r="H375" s="173" t="e">
        <f t="shared" si="51"/>
        <v>#REF!</v>
      </c>
      <c r="I375" s="173" t="e">
        <f t="shared" si="52"/>
        <v>#REF!</v>
      </c>
      <c r="J375" s="173" t="e">
        <f t="shared" si="48"/>
        <v>#REF!</v>
      </c>
      <c r="K375" s="173" t="e">
        <f>SUM($I$17:$I375)</f>
        <v>#REF!</v>
      </c>
      <c r="L375" s="168"/>
      <c r="M375" s="168"/>
      <c r="N375" s="150"/>
    </row>
    <row r="376" spans="1:14" ht="12.75">
      <c r="A376" s="191" t="e">
        <f t="shared" si="49"/>
        <v>#REF!</v>
      </c>
      <c r="B376" s="171"/>
      <c r="C376" s="172" t="e">
        <f t="shared" si="45"/>
        <v>#REF!</v>
      </c>
      <c r="D376" s="173" t="e">
        <f t="shared" si="50"/>
        <v>#REF!</v>
      </c>
      <c r="E376" s="173" t="e">
        <f t="shared" si="53"/>
        <v>#REF!</v>
      </c>
      <c r="F376" s="174" t="e">
        <f t="shared" si="46"/>
        <v>#REF!</v>
      </c>
      <c r="G376" s="173" t="e">
        <f t="shared" si="47"/>
        <v>#REF!</v>
      </c>
      <c r="H376" s="173" t="e">
        <f t="shared" si="51"/>
        <v>#REF!</v>
      </c>
      <c r="I376" s="173" t="e">
        <f t="shared" si="52"/>
        <v>#REF!</v>
      </c>
      <c r="J376" s="173" t="e">
        <f t="shared" si="48"/>
        <v>#REF!</v>
      </c>
      <c r="K376" s="173" t="e">
        <f>SUM($I$17:$I376)</f>
        <v>#REF!</v>
      </c>
      <c r="L376" s="168"/>
      <c r="M376" s="168"/>
      <c r="N376" s="150"/>
    </row>
    <row r="377" spans="1:14">
      <c r="E377" s="181"/>
      <c r="F377" s="150"/>
      <c r="G377" s="150"/>
      <c r="H377" s="150"/>
      <c r="I377" s="150"/>
      <c r="J377" s="150"/>
      <c r="K377" s="150"/>
      <c r="L377" s="150"/>
      <c r="M377" s="150"/>
    </row>
  </sheetData>
  <sheetProtection selectLockedCells="1"/>
  <mergeCells count="4">
    <mergeCell ref="C5:E5"/>
    <mergeCell ref="G5:I5"/>
    <mergeCell ref="D13:E13"/>
    <mergeCell ref="H13:I13"/>
  </mergeCells>
  <conditionalFormatting sqref="A17:F376">
    <cfRule type="expression" dxfId="21" priority="4" stopIfTrue="1">
      <formula>IF(ROW(A17)&gt;Last_Row,TRUE, FALSE)</formula>
    </cfRule>
    <cfRule type="expression" dxfId="20" priority="5" stopIfTrue="1">
      <formula>IF(ROW(A17)=Last_Row,TRUE, FALSE)</formula>
    </cfRule>
    <cfRule type="expression" dxfId="19" priority="6" stopIfTrue="1">
      <formula>IF(ROW(A17)&lt;Last_Row,TRUE, FALSE)</formula>
    </cfRule>
  </conditionalFormatting>
  <conditionalFormatting sqref="G17:K74 G77:K376">
    <cfRule type="expression" dxfId="18" priority="7" stopIfTrue="1">
      <formula>IF(ROW(G17)&gt;Last_Row,TRUE, FALSE)</formula>
    </cfRule>
    <cfRule type="expression" dxfId="17" priority="8" stopIfTrue="1">
      <formula>IF(ROW(G17)=Last_Row,TRUE, FALSE)</formula>
    </cfRule>
    <cfRule type="expression" dxfId="16" priority="9" stopIfTrue="1">
      <formula>IF(ROW(G17)&lt;=Last_Row,TRUE, FALSE)</formula>
    </cfRule>
  </conditionalFormatting>
  <conditionalFormatting sqref="G75:K76">
    <cfRule type="expression" dxfId="15" priority="1" stopIfTrue="1">
      <formula>IF(ROW(G75)&gt;Last_Row,TRUE, FALSE)</formula>
    </cfRule>
    <cfRule type="expression" dxfId="14" priority="2" stopIfTrue="1">
      <formula>IF(ROW(G75)=Last_Row,TRUE, FALSE)</formula>
    </cfRule>
    <cfRule type="expression" dxfId="13" priority="3" stopIfTrue="1">
      <formula>IF(ROW(G75)&lt;=Last_Row,TRUE, FALSE)</formula>
    </cfRule>
  </conditionalFormatting>
  <dataValidations count="1">
    <dataValidation allowBlank="1" showInputMessage="1" showErrorMessage="1" promptTitle="Extra Payments" prompt="Enter an amount here if you want to make additional principal payments every pay period._x000a__x000a_For occasional extra payments, enter the extra principal amounts directly in the 'Extra Payment' column below." sqref="E11" xr:uid="{2E81379A-76D1-4D6B-8616-2D53F6AE7A65}"/>
  </dataValidations>
  <printOptions horizontalCentered="1"/>
  <pageMargins left="0.9055118110236221" right="0.70866141732283472" top="0.74803149606299213" bottom="0.74803149606299213" header="0.31496062992125984" footer="0.31496062992125984"/>
  <pageSetup paperSize="9" scale="51" fitToHeight="0" orientation="portrait" errors="blank" r:id="rId1"/>
  <headerFooter>
    <oddFooter>&amp;L&amp;"-,Bold Italic"&amp;8&amp;K01+027Developed By: MAIUMAS Consulting
Hani Omar Skaik&amp;C&amp;A&amp;R&amp;D / &amp;T</oddFooter>
  </headerFooter>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7C62A-204F-4C96-948E-D2D40F0A832E}">
  <sheetPr codeName="Sheet8">
    <tabColor theme="9" tint="-0.249977111117893"/>
  </sheetPr>
  <dimension ref="A1:HB2000"/>
  <sheetViews>
    <sheetView rightToLeft="1" workbookViewId="0"/>
  </sheetViews>
  <sheetFormatPr defaultRowHeight="15"/>
  <cols>
    <col min="1" max="1" width="4" style="1" customWidth="1"/>
    <col min="3" max="3" width="8.88671875" customWidth="1"/>
    <col min="4" max="4" width="36.6640625" customWidth="1"/>
    <col min="5" max="5" width="31.109375" customWidth="1"/>
    <col min="6" max="6" width="37.88671875" customWidth="1"/>
  </cols>
  <sheetData>
    <row r="1" spans="1:210">
      <c r="B1" s="2"/>
      <c r="C1" s="2"/>
      <c r="D1" s="3"/>
      <c r="E1" s="2"/>
      <c r="F1" s="2"/>
      <c r="G1" s="2"/>
      <c r="H1" s="2"/>
      <c r="I1" s="2"/>
      <c r="J1" s="2"/>
      <c r="K1" s="2"/>
      <c r="L1" s="2"/>
      <c r="M1" s="2"/>
      <c r="N1" s="2">
        <v>1</v>
      </c>
      <c r="O1" s="2"/>
      <c r="P1" s="2"/>
      <c r="Q1" s="2"/>
      <c r="R1" s="2">
        <v>2</v>
      </c>
      <c r="S1" s="2"/>
      <c r="T1" s="2"/>
      <c r="U1" s="2"/>
      <c r="V1" s="2">
        <f>R1+1</f>
        <v>3</v>
      </c>
      <c r="W1" s="2"/>
      <c r="X1" s="2"/>
      <c r="Y1" s="2"/>
      <c r="Z1" s="2">
        <f>V1+1</f>
        <v>4</v>
      </c>
      <c r="AA1" s="2"/>
      <c r="AB1" s="2"/>
      <c r="AC1" s="2"/>
      <c r="AD1" s="2">
        <f>Z1+1</f>
        <v>5</v>
      </c>
      <c r="AE1" s="2"/>
      <c r="AF1" s="2"/>
      <c r="AG1" s="2"/>
      <c r="AH1" s="2">
        <f>AD1+1</f>
        <v>6</v>
      </c>
      <c r="AI1" s="2"/>
      <c r="AJ1" s="2"/>
      <c r="AK1" s="2"/>
      <c r="AL1" s="2">
        <f>AH1+1</f>
        <v>7</v>
      </c>
      <c r="AM1" s="2"/>
      <c r="AN1" s="2"/>
      <c r="AO1" s="2"/>
      <c r="AP1" s="2">
        <f>AL1+1</f>
        <v>8</v>
      </c>
      <c r="AQ1" s="2"/>
      <c r="AR1" s="2"/>
      <c r="AS1" s="2"/>
      <c r="AT1" s="2">
        <f>AP1+1</f>
        <v>9</v>
      </c>
      <c r="AU1" s="2"/>
      <c r="AV1" s="2"/>
      <c r="AW1" s="2"/>
      <c r="AX1" s="2">
        <f>AT1+1</f>
        <v>10</v>
      </c>
      <c r="AY1" s="2"/>
      <c r="AZ1" s="2"/>
      <c r="BA1" s="2"/>
      <c r="BB1" s="2">
        <f>AX1+1</f>
        <v>11</v>
      </c>
      <c r="BC1" s="2"/>
      <c r="BD1" s="2"/>
      <c r="BE1" s="2"/>
      <c r="BF1" s="2">
        <f>BB1+1</f>
        <v>12</v>
      </c>
      <c r="BG1" s="2"/>
      <c r="BH1" s="2"/>
      <c r="BI1" s="2"/>
      <c r="BJ1" s="2">
        <f>BF1+1</f>
        <v>13</v>
      </c>
      <c r="BK1" s="2"/>
      <c r="BL1" s="2"/>
      <c r="BM1" s="2"/>
      <c r="BN1" s="2">
        <f>BJ1+1</f>
        <v>14</v>
      </c>
      <c r="BO1" s="2"/>
      <c r="BP1" s="2"/>
      <c r="BQ1" s="2"/>
      <c r="BR1" s="2">
        <f>BN1+1</f>
        <v>15</v>
      </c>
      <c r="BS1" s="2"/>
      <c r="BT1" s="2"/>
      <c r="BU1" s="2"/>
      <c r="BV1" s="2">
        <f>BR1+1</f>
        <v>16</v>
      </c>
      <c r="BW1" s="2"/>
      <c r="BX1" s="2"/>
      <c r="BY1" s="2"/>
      <c r="BZ1" s="2">
        <f>BV1+1</f>
        <v>17</v>
      </c>
      <c r="CA1" s="2"/>
      <c r="CB1" s="2"/>
      <c r="CC1" s="2"/>
      <c r="CD1" s="2">
        <f>BZ1+1</f>
        <v>18</v>
      </c>
      <c r="CE1" s="2"/>
      <c r="CF1" s="2"/>
      <c r="CG1" s="2"/>
      <c r="CH1" s="2">
        <f>CD1+1</f>
        <v>19</v>
      </c>
      <c r="CI1" s="2"/>
      <c r="CJ1" s="2"/>
      <c r="CK1" s="2"/>
      <c r="CL1" s="2">
        <f>CH1+1</f>
        <v>20</v>
      </c>
      <c r="CM1" s="2"/>
      <c r="CN1" s="2"/>
      <c r="CO1" s="2"/>
      <c r="CP1" s="2">
        <f>CL1+1</f>
        <v>21</v>
      </c>
      <c r="CQ1" s="2"/>
      <c r="CR1" s="2"/>
      <c r="CS1" s="2"/>
      <c r="CT1" s="2">
        <f>CP1+1</f>
        <v>22</v>
      </c>
      <c r="CU1" s="2"/>
      <c r="CV1" s="2"/>
      <c r="CW1" s="2"/>
      <c r="CX1" s="2">
        <f>CT1+1</f>
        <v>23</v>
      </c>
      <c r="CY1" s="2"/>
      <c r="CZ1" s="2"/>
      <c r="DA1" s="2"/>
      <c r="DB1" s="2">
        <f>CX1+1</f>
        <v>24</v>
      </c>
      <c r="DC1" s="2"/>
      <c r="DD1" s="2"/>
      <c r="DE1" s="2"/>
      <c r="DF1" s="2">
        <f>DB1+1</f>
        <v>25</v>
      </c>
      <c r="DG1" s="2"/>
      <c r="DH1" s="2"/>
      <c r="DI1" s="2"/>
      <c r="DJ1" s="2">
        <f>DF1+1</f>
        <v>26</v>
      </c>
      <c r="DK1" s="2"/>
      <c r="DL1" s="2"/>
      <c r="DM1" s="2"/>
      <c r="DN1" s="2">
        <f>DJ1+1</f>
        <v>27</v>
      </c>
      <c r="DO1" s="2"/>
      <c r="DP1" s="2"/>
      <c r="DQ1" s="2"/>
      <c r="DR1" s="2">
        <f>DN1+1</f>
        <v>28</v>
      </c>
      <c r="DS1" s="2"/>
      <c r="DT1" s="2"/>
      <c r="DU1" s="2"/>
      <c r="DV1" s="2">
        <f>DR1+1</f>
        <v>29</v>
      </c>
      <c r="DW1" s="2"/>
      <c r="DX1" s="2"/>
      <c r="DY1" s="2"/>
      <c r="DZ1" s="2">
        <f>DV1+1</f>
        <v>30</v>
      </c>
      <c r="EA1" s="2"/>
      <c r="EB1" s="2"/>
      <c r="EC1" s="2"/>
      <c r="ED1" s="2">
        <f>DZ1+1</f>
        <v>31</v>
      </c>
      <c r="EE1" s="2"/>
      <c r="EF1" s="2"/>
      <c r="EG1" s="2"/>
      <c r="EH1" s="2">
        <f>ED1+1</f>
        <v>32</v>
      </c>
      <c r="EI1" s="2"/>
      <c r="EJ1" s="2"/>
      <c r="EK1" s="2"/>
      <c r="EL1" s="2">
        <f>EH1+1</f>
        <v>33</v>
      </c>
      <c r="EM1" s="2"/>
      <c r="EN1" s="2"/>
      <c r="EO1" s="2"/>
      <c r="EP1" s="2">
        <f>EL1+1</f>
        <v>34</v>
      </c>
      <c r="EQ1" s="2"/>
      <c r="ER1" s="2"/>
      <c r="ES1" s="2"/>
      <c r="ET1" s="2">
        <f>EP1+1</f>
        <v>35</v>
      </c>
      <c r="EU1" s="2"/>
      <c r="EV1" s="2"/>
      <c r="EW1" s="2"/>
      <c r="EX1" s="2">
        <f>ET1+1</f>
        <v>36</v>
      </c>
      <c r="EY1" s="2"/>
      <c r="EZ1" s="2"/>
      <c r="FA1" s="2"/>
      <c r="FB1" s="2">
        <f>EX1+1</f>
        <v>37</v>
      </c>
      <c r="FC1" s="2"/>
      <c r="FD1" s="2"/>
      <c r="FE1" s="2"/>
      <c r="FF1" s="2">
        <f>FB1+1</f>
        <v>38</v>
      </c>
      <c r="FJ1" s="2">
        <f>FF1+1</f>
        <v>39</v>
      </c>
      <c r="FN1" s="2">
        <f>FJ1+1</f>
        <v>40</v>
      </c>
      <c r="FR1" s="2">
        <f>FN1+1</f>
        <v>41</v>
      </c>
      <c r="FV1" s="2">
        <f>FR1+1</f>
        <v>42</v>
      </c>
      <c r="FZ1" s="2">
        <f>FV1+1</f>
        <v>43</v>
      </c>
      <c r="GD1" s="2">
        <f>FZ1+1</f>
        <v>44</v>
      </c>
      <c r="GH1" s="2">
        <f>GD1+1</f>
        <v>45</v>
      </c>
      <c r="GL1" s="2">
        <f>GH1+1</f>
        <v>46</v>
      </c>
      <c r="GP1" s="2">
        <f>GL1+1</f>
        <v>47</v>
      </c>
      <c r="GT1" s="2">
        <f>GP1+1</f>
        <v>48</v>
      </c>
      <c r="GX1" s="2">
        <f>GT1+1</f>
        <v>49</v>
      </c>
      <c r="HB1" s="2">
        <f>GX1+1</f>
        <v>50</v>
      </c>
    </row>
    <row r="2" spans="1:210">
      <c r="D2">
        <v>1</v>
      </c>
      <c r="E2">
        <v>2</v>
      </c>
      <c r="F2">
        <v>3</v>
      </c>
      <c r="G2">
        <v>4</v>
      </c>
      <c r="H2">
        <v>5</v>
      </c>
      <c r="I2">
        <v>6</v>
      </c>
      <c r="J2">
        <v>7</v>
      </c>
      <c r="K2">
        <v>8</v>
      </c>
      <c r="L2">
        <v>9</v>
      </c>
      <c r="M2">
        <v>10</v>
      </c>
      <c r="N2">
        <v>11</v>
      </c>
      <c r="O2">
        <v>12</v>
      </c>
      <c r="P2">
        <v>13</v>
      </c>
      <c r="Q2">
        <v>14</v>
      </c>
      <c r="R2">
        <v>15</v>
      </c>
      <c r="S2">
        <v>16</v>
      </c>
      <c r="T2">
        <v>17</v>
      </c>
      <c r="U2">
        <v>18</v>
      </c>
      <c r="V2">
        <v>19</v>
      </c>
      <c r="W2">
        <v>20</v>
      </c>
      <c r="X2">
        <v>21</v>
      </c>
      <c r="Y2">
        <v>22</v>
      </c>
      <c r="Z2">
        <v>23</v>
      </c>
      <c r="AA2">
        <v>24</v>
      </c>
      <c r="AB2">
        <v>25</v>
      </c>
      <c r="AC2">
        <v>26</v>
      </c>
      <c r="AD2">
        <v>27</v>
      </c>
      <c r="AE2">
        <v>28</v>
      </c>
      <c r="AF2">
        <v>29</v>
      </c>
      <c r="AG2">
        <v>30</v>
      </c>
      <c r="AH2">
        <v>31</v>
      </c>
      <c r="AI2">
        <v>32</v>
      </c>
      <c r="AJ2">
        <v>33</v>
      </c>
      <c r="AK2">
        <v>34</v>
      </c>
      <c r="AL2">
        <v>35</v>
      </c>
      <c r="AM2">
        <v>36</v>
      </c>
      <c r="AN2">
        <v>37</v>
      </c>
      <c r="AO2">
        <v>38</v>
      </c>
      <c r="AP2">
        <v>39</v>
      </c>
      <c r="AQ2">
        <v>40</v>
      </c>
      <c r="AR2">
        <v>41</v>
      </c>
      <c r="AS2">
        <v>42</v>
      </c>
      <c r="AT2">
        <v>43</v>
      </c>
      <c r="AU2">
        <v>44</v>
      </c>
      <c r="AV2">
        <v>45</v>
      </c>
      <c r="AW2">
        <v>46</v>
      </c>
      <c r="AX2">
        <v>47</v>
      </c>
      <c r="AY2">
        <v>48</v>
      </c>
      <c r="AZ2">
        <v>49</v>
      </c>
      <c r="BA2">
        <v>50</v>
      </c>
      <c r="BB2">
        <v>51</v>
      </c>
      <c r="BC2">
        <v>52</v>
      </c>
      <c r="BD2">
        <v>53</v>
      </c>
      <c r="BE2">
        <v>54</v>
      </c>
      <c r="BF2">
        <v>55</v>
      </c>
      <c r="BG2">
        <v>56</v>
      </c>
      <c r="BH2">
        <v>57</v>
      </c>
      <c r="BI2">
        <v>58</v>
      </c>
      <c r="BJ2">
        <v>59</v>
      </c>
      <c r="BK2">
        <v>60</v>
      </c>
      <c r="BL2">
        <v>61</v>
      </c>
      <c r="BM2">
        <v>62</v>
      </c>
      <c r="BN2">
        <v>63</v>
      </c>
      <c r="BO2">
        <v>64</v>
      </c>
      <c r="BP2">
        <v>65</v>
      </c>
      <c r="BQ2">
        <v>66</v>
      </c>
      <c r="BR2">
        <v>67</v>
      </c>
      <c r="BS2">
        <v>68</v>
      </c>
      <c r="BT2">
        <v>69</v>
      </c>
      <c r="BU2">
        <v>70</v>
      </c>
      <c r="BV2">
        <v>71</v>
      </c>
      <c r="BW2">
        <v>72</v>
      </c>
      <c r="BX2">
        <v>73</v>
      </c>
      <c r="BY2">
        <v>74</v>
      </c>
      <c r="BZ2">
        <v>75</v>
      </c>
      <c r="CA2">
        <v>76</v>
      </c>
      <c r="CB2">
        <v>77</v>
      </c>
      <c r="CC2">
        <v>78</v>
      </c>
      <c r="CD2">
        <v>79</v>
      </c>
      <c r="CE2">
        <v>80</v>
      </c>
      <c r="CF2">
        <v>81</v>
      </c>
      <c r="CG2">
        <v>82</v>
      </c>
      <c r="CH2">
        <v>83</v>
      </c>
      <c r="CI2">
        <v>84</v>
      </c>
      <c r="CJ2">
        <v>85</v>
      </c>
      <c r="CK2">
        <v>86</v>
      </c>
      <c r="CL2">
        <v>87</v>
      </c>
      <c r="CM2">
        <v>88</v>
      </c>
      <c r="CN2">
        <v>89</v>
      </c>
      <c r="CO2">
        <v>90</v>
      </c>
      <c r="CP2">
        <v>91</v>
      </c>
      <c r="CQ2">
        <v>92</v>
      </c>
      <c r="CR2">
        <v>93</v>
      </c>
      <c r="CS2">
        <v>94</v>
      </c>
      <c r="CT2">
        <v>95</v>
      </c>
      <c r="CU2">
        <v>96</v>
      </c>
      <c r="CV2">
        <v>97</v>
      </c>
      <c r="CW2">
        <v>98</v>
      </c>
      <c r="CX2">
        <v>99</v>
      </c>
      <c r="CY2">
        <v>100</v>
      </c>
      <c r="CZ2">
        <v>101</v>
      </c>
      <c r="DA2">
        <v>102</v>
      </c>
      <c r="DB2">
        <v>103</v>
      </c>
      <c r="DC2">
        <v>104</v>
      </c>
      <c r="DD2">
        <v>105</v>
      </c>
      <c r="DE2">
        <v>106</v>
      </c>
      <c r="DF2">
        <v>107</v>
      </c>
      <c r="DG2">
        <v>108</v>
      </c>
      <c r="DH2">
        <v>109</v>
      </c>
      <c r="DI2">
        <v>110</v>
      </c>
      <c r="DJ2">
        <v>111</v>
      </c>
      <c r="DK2">
        <v>112</v>
      </c>
      <c r="DL2">
        <v>113</v>
      </c>
      <c r="DM2">
        <v>114</v>
      </c>
      <c r="DN2">
        <v>115</v>
      </c>
      <c r="DO2">
        <v>116</v>
      </c>
      <c r="DP2">
        <v>117</v>
      </c>
      <c r="DQ2">
        <v>118</v>
      </c>
      <c r="DR2">
        <v>119</v>
      </c>
      <c r="DS2">
        <v>120</v>
      </c>
      <c r="DT2">
        <v>121</v>
      </c>
      <c r="DU2">
        <v>122</v>
      </c>
      <c r="DV2">
        <v>123</v>
      </c>
      <c r="DW2">
        <v>124</v>
      </c>
      <c r="DX2">
        <v>125</v>
      </c>
      <c r="DY2">
        <v>126</v>
      </c>
      <c r="DZ2">
        <v>127</v>
      </c>
      <c r="EA2">
        <v>128</v>
      </c>
      <c r="EB2">
        <v>129</v>
      </c>
      <c r="EC2">
        <v>130</v>
      </c>
      <c r="ED2">
        <v>131</v>
      </c>
      <c r="EE2">
        <v>132</v>
      </c>
      <c r="EF2">
        <v>133</v>
      </c>
      <c r="EG2">
        <v>134</v>
      </c>
      <c r="EH2">
        <v>135</v>
      </c>
      <c r="EI2">
        <v>136</v>
      </c>
      <c r="EJ2">
        <v>137</v>
      </c>
      <c r="EK2">
        <v>138</v>
      </c>
      <c r="EL2">
        <v>139</v>
      </c>
      <c r="EM2">
        <v>140</v>
      </c>
      <c r="EN2">
        <v>141</v>
      </c>
      <c r="EO2">
        <v>142</v>
      </c>
      <c r="EP2">
        <v>143</v>
      </c>
      <c r="EQ2">
        <v>144</v>
      </c>
      <c r="ER2">
        <v>145</v>
      </c>
      <c r="ES2">
        <v>146</v>
      </c>
      <c r="ET2">
        <v>147</v>
      </c>
      <c r="EU2">
        <v>148</v>
      </c>
      <c r="EV2">
        <v>149</v>
      </c>
      <c r="EW2">
        <v>150</v>
      </c>
      <c r="EX2">
        <v>151</v>
      </c>
      <c r="EY2">
        <v>152</v>
      </c>
      <c r="EZ2">
        <v>153</v>
      </c>
      <c r="FA2">
        <v>154</v>
      </c>
      <c r="FB2">
        <v>155</v>
      </c>
      <c r="FC2">
        <v>156</v>
      </c>
      <c r="FD2">
        <v>157</v>
      </c>
      <c r="FE2">
        <v>158</v>
      </c>
      <c r="FF2">
        <v>159</v>
      </c>
      <c r="FG2">
        <v>160</v>
      </c>
      <c r="FH2">
        <v>161</v>
      </c>
      <c r="FI2">
        <v>162</v>
      </c>
      <c r="FJ2">
        <v>163</v>
      </c>
      <c r="FK2">
        <v>164</v>
      </c>
      <c r="FL2">
        <v>165</v>
      </c>
      <c r="FM2">
        <v>166</v>
      </c>
      <c r="FN2">
        <v>167</v>
      </c>
      <c r="FO2">
        <v>168</v>
      </c>
      <c r="FP2">
        <v>169</v>
      </c>
      <c r="FQ2">
        <v>170</v>
      </c>
      <c r="FR2">
        <v>171</v>
      </c>
      <c r="FS2">
        <v>172</v>
      </c>
      <c r="FT2">
        <v>173</v>
      </c>
      <c r="FU2">
        <v>174</v>
      </c>
      <c r="FV2">
        <v>175</v>
      </c>
      <c r="FW2">
        <v>176</v>
      </c>
      <c r="FX2">
        <v>177</v>
      </c>
      <c r="FY2">
        <v>178</v>
      </c>
      <c r="FZ2">
        <v>179</v>
      </c>
      <c r="GA2">
        <v>180</v>
      </c>
      <c r="GB2">
        <v>181</v>
      </c>
      <c r="GC2">
        <v>182</v>
      </c>
      <c r="GD2">
        <v>183</v>
      </c>
      <c r="GE2">
        <v>184</v>
      </c>
      <c r="GF2">
        <v>185</v>
      </c>
      <c r="GG2">
        <v>186</v>
      </c>
      <c r="GH2">
        <v>187</v>
      </c>
      <c r="GI2">
        <v>188</v>
      </c>
      <c r="GJ2">
        <v>189</v>
      </c>
      <c r="GK2">
        <v>190</v>
      </c>
      <c r="GL2">
        <v>191</v>
      </c>
      <c r="GM2">
        <v>192</v>
      </c>
      <c r="GN2">
        <v>193</v>
      </c>
      <c r="GO2">
        <v>194</v>
      </c>
      <c r="GP2">
        <v>195</v>
      </c>
      <c r="GQ2">
        <v>196</v>
      </c>
      <c r="GR2">
        <v>197</v>
      </c>
      <c r="GS2">
        <v>198</v>
      </c>
      <c r="GT2">
        <v>199</v>
      </c>
      <c r="GU2">
        <v>200</v>
      </c>
      <c r="GV2">
        <v>201</v>
      </c>
      <c r="GW2">
        <v>202</v>
      </c>
      <c r="GX2">
        <v>203</v>
      </c>
      <c r="GY2">
        <v>204</v>
      </c>
      <c r="GZ2">
        <v>205</v>
      </c>
      <c r="HA2">
        <v>206</v>
      </c>
      <c r="HB2">
        <v>207</v>
      </c>
    </row>
    <row r="3" spans="1:210">
      <c r="A3" s="1">
        <v>1</v>
      </c>
      <c r="B3">
        <f>A3*3</f>
        <v>3</v>
      </c>
      <c r="C3" s="13" t="s">
        <v>1056</v>
      </c>
      <c r="D3" s="14" t="s">
        <v>1057</v>
      </c>
      <c r="E3" s="14" t="s">
        <v>1058</v>
      </c>
      <c r="F3" s="13" t="s">
        <v>1059</v>
      </c>
    </row>
    <row r="4" spans="1:210">
      <c r="A4" s="1">
        <v>2</v>
      </c>
      <c r="B4">
        <f t="shared" ref="B4:B67" si="0">A4*3</f>
        <v>6</v>
      </c>
      <c r="C4" s="11" t="e">
        <f>IF(1*('Production Matrix'!A:A="تكلفة انتاج الوحدة")*ROW('Production Matrix'!A1)=0,1/0,1*('Production Matrix'!A:A="تكلفة انتاج الوحدة")*ROW('Production Matrix'!A1))</f>
        <v>#DIV/0!</v>
      </c>
      <c r="D4" s="11" t="str">
        <f>IFERROR(_xlfn.AGGREGATE(15,6,$C$3:$C$53,ROW('Production Matrix'!A1)),"")</f>
        <v/>
      </c>
      <c r="E4" s="11" t="str">
        <f>IFERROR(D4+3,"")</f>
        <v/>
      </c>
      <c r="F4" s="12">
        <f>IFERROR(INDEX('Production Matrix'!$B:$B,E4,0),0)</f>
        <v>0</v>
      </c>
    </row>
    <row r="5" spans="1:210">
      <c r="A5" s="1">
        <v>3</v>
      </c>
      <c r="B5">
        <f t="shared" si="0"/>
        <v>9</v>
      </c>
      <c r="C5" s="11" t="e">
        <f>IF(1*('Production Matrix'!A:A="تكلفة انتاج الوحدة")*ROW('Production Matrix'!A2)=0,1/0,1*('Production Matrix'!A:A="تكلفة انتاج الوحدة")*ROW('Production Matrix'!A2))</f>
        <v>#DIV/0!</v>
      </c>
      <c r="D5" s="11" t="str">
        <f>IFERROR(_xlfn.AGGREGATE(15,6,$C$3:$C$53,ROW('Production Matrix'!A2)),"")</f>
        <v/>
      </c>
      <c r="E5" s="11" t="str">
        <f t="shared" ref="E5:E6" si="1">IFERROR(D5+3,"")</f>
        <v/>
      </c>
      <c r="F5" s="12">
        <f>IFERROR(INDEX('Production Matrix'!$B:$B,E5,0),0)</f>
        <v>0</v>
      </c>
    </row>
    <row r="6" spans="1:210">
      <c r="A6" s="1">
        <v>4</v>
      </c>
      <c r="B6">
        <f t="shared" si="0"/>
        <v>12</v>
      </c>
      <c r="C6" s="11" t="e">
        <f>IF(1*('Production Matrix'!A:A="تكلفة انتاج الوحدة")*ROW('Production Matrix'!A3)=0,1/0,1*('Production Matrix'!A:A="تكلفة انتاج الوحدة")*ROW('Production Matrix'!A3))</f>
        <v>#DIV/0!</v>
      </c>
      <c r="D6" s="11" t="str">
        <f>IFERROR(_xlfn.AGGREGATE(15,6,$C$3:$C$53,ROW('Production Matrix'!A3)),"")</f>
        <v/>
      </c>
      <c r="E6" s="11" t="str">
        <f t="shared" si="1"/>
        <v/>
      </c>
      <c r="F6" s="12">
        <f>IFERROR(INDEX('Production Matrix'!$B:$B,E6,0),0)</f>
        <v>0</v>
      </c>
    </row>
    <row r="7" spans="1:210">
      <c r="A7" s="1">
        <v>5</v>
      </c>
      <c r="B7">
        <f t="shared" si="0"/>
        <v>15</v>
      </c>
      <c r="C7" s="11" t="e">
        <f>IF(1*('Production Matrix'!A:A="تكلفة انتاج الوحدة")*ROW('Production Matrix'!A4)=0,1/0,1*('Production Matrix'!A:A="تكلفة انتاج الوحدة")*ROW('Production Matrix'!A4))</f>
        <v>#DIV/0!</v>
      </c>
      <c r="D7" s="11" t="str">
        <f>IFERROR(_xlfn.AGGREGATE(15,6,$C$3:$C$53,ROW('Production Matrix'!A4)),"")</f>
        <v/>
      </c>
      <c r="E7" s="11" t="str">
        <f t="shared" ref="E7:E70" si="2">IFERROR(D7+3,"")</f>
        <v/>
      </c>
      <c r="F7" s="12">
        <f>IFERROR(INDEX('Production Matrix'!$B:$B,E7,0),0)</f>
        <v>0</v>
      </c>
    </row>
    <row r="8" spans="1:210">
      <c r="A8" s="1">
        <v>6</v>
      </c>
      <c r="B8">
        <f t="shared" si="0"/>
        <v>18</v>
      </c>
      <c r="C8" s="11" t="e">
        <f>IF(1*('Production Matrix'!A:A="تكلفة انتاج الوحدة")*ROW('Production Matrix'!A5)=0,1/0,1*('Production Matrix'!A:A="تكلفة انتاج الوحدة")*ROW('Production Matrix'!A5))</f>
        <v>#DIV/0!</v>
      </c>
      <c r="D8" s="11" t="str">
        <f>IFERROR(_xlfn.AGGREGATE(15,6,$C$3:$C$53,ROW('Production Matrix'!F4)),"")</f>
        <v/>
      </c>
      <c r="E8" s="11" t="str">
        <f t="shared" si="2"/>
        <v/>
      </c>
      <c r="F8" s="12">
        <f>IFERROR(INDEX('Production Matrix'!$B:$B,E8,0),0)</f>
        <v>0</v>
      </c>
    </row>
    <row r="9" spans="1:210">
      <c r="A9" s="1">
        <v>7</v>
      </c>
      <c r="B9">
        <f t="shared" si="0"/>
        <v>21</v>
      </c>
      <c r="C9" s="11" t="e">
        <f>IF(1*('Production Matrix'!A:A="تكلفة انتاج الوحدة")*ROW('Production Matrix'!A6)=0,1/0,1*('Production Matrix'!A:A="تكلفة انتاج الوحدة")*ROW('Production Matrix'!A6))</f>
        <v>#DIV/0!</v>
      </c>
      <c r="D9" s="11" t="str">
        <f>IFERROR(_xlfn.AGGREGATE(15,6,$C$3:$C$53,ROW('Production Matrix'!H4)),"")</f>
        <v/>
      </c>
      <c r="E9" s="11" t="str">
        <f t="shared" si="2"/>
        <v/>
      </c>
      <c r="F9" s="12">
        <f>IFERROR(INDEX('Production Matrix'!$B:$B,E9,0),0)</f>
        <v>0</v>
      </c>
    </row>
    <row r="10" spans="1:210">
      <c r="A10" s="1">
        <v>8</v>
      </c>
      <c r="B10">
        <f t="shared" si="0"/>
        <v>24</v>
      </c>
      <c r="C10" s="11" t="e">
        <f>IF(1*('Production Matrix'!A:A="تكلفة انتاج الوحدة")*ROW('Production Matrix'!A7)=0,1/0,1*('Production Matrix'!A:A="تكلفة انتاج الوحدة")*ROW('Production Matrix'!A7))</f>
        <v>#DIV/0!</v>
      </c>
      <c r="D10" s="11" t="str">
        <f>IFERROR(_xlfn.AGGREGATE(15,6,$C$3:$C$53,ROW('Production Matrix'!I4)),"")</f>
        <v/>
      </c>
      <c r="E10" s="11" t="str">
        <f t="shared" si="2"/>
        <v/>
      </c>
      <c r="F10" s="12">
        <f>IFERROR(INDEX('Production Matrix'!$B:$B,E10,0),0)</f>
        <v>0</v>
      </c>
    </row>
    <row r="11" spans="1:210">
      <c r="A11" s="1">
        <v>9</v>
      </c>
      <c r="B11">
        <f t="shared" si="0"/>
        <v>27</v>
      </c>
      <c r="C11" s="11" t="e">
        <f>IF(1*('Production Matrix'!A:A="تكلفة انتاج الوحدة")*ROW('Production Matrix'!A8)=0,1/0,1*('Production Matrix'!A:A="تكلفة انتاج الوحدة")*ROW('Production Matrix'!A8))</f>
        <v>#DIV/0!</v>
      </c>
      <c r="D11" s="11" t="str">
        <f>IFERROR(_xlfn.AGGREGATE(15,6,$C$3:$C$53,ROW('Production Matrix'!J4)),"")</f>
        <v/>
      </c>
      <c r="E11" s="11" t="str">
        <f t="shared" si="2"/>
        <v/>
      </c>
      <c r="F11" s="12">
        <f>IFERROR(INDEX('Production Matrix'!$B:$B,E11,0),0)</f>
        <v>0</v>
      </c>
    </row>
    <row r="12" spans="1:210">
      <c r="A12" s="1">
        <v>10</v>
      </c>
      <c r="B12">
        <f t="shared" si="0"/>
        <v>30</v>
      </c>
      <c r="C12" s="11" t="e">
        <f>IF(1*('Production Matrix'!A:A="تكلفة انتاج الوحدة")*ROW('Production Matrix'!A9)=0,1/0,1*('Production Matrix'!A:A="تكلفة انتاج الوحدة")*ROW('Production Matrix'!A9))</f>
        <v>#DIV/0!</v>
      </c>
      <c r="D12" s="11" t="str">
        <f>IFERROR(_xlfn.AGGREGATE(15,6,$C$3:$C$53,ROW('Production Matrix'!K4)),"")</f>
        <v/>
      </c>
      <c r="E12" s="11" t="str">
        <f t="shared" si="2"/>
        <v/>
      </c>
      <c r="F12" s="12">
        <f>IFERROR(INDEX('Production Matrix'!$B:$B,E12,0),0)</f>
        <v>0</v>
      </c>
    </row>
    <row r="13" spans="1:210">
      <c r="A13" s="1">
        <v>11</v>
      </c>
      <c r="B13">
        <f t="shared" si="0"/>
        <v>33</v>
      </c>
      <c r="C13" s="11" t="e">
        <f>IF(1*('Production Matrix'!A:A="تكلفة انتاج الوحدة")*ROW('Production Matrix'!A10)=0,1/0,1*('Production Matrix'!A:A="تكلفة انتاج الوحدة")*ROW('Production Matrix'!A10))</f>
        <v>#DIV/0!</v>
      </c>
      <c r="D13" s="11" t="str">
        <f>IFERROR(_xlfn.AGGREGATE(15,6,$C$3:$C$53,ROW('Production Matrix'!#REF!)),"")</f>
        <v/>
      </c>
      <c r="E13" s="11" t="str">
        <f t="shared" si="2"/>
        <v/>
      </c>
      <c r="F13" s="12">
        <f>IFERROR(INDEX('Production Matrix'!$B:$B,E13,0),0)</f>
        <v>0</v>
      </c>
    </row>
    <row r="14" spans="1:210">
      <c r="A14" s="1">
        <v>12</v>
      </c>
      <c r="B14">
        <f t="shared" si="0"/>
        <v>36</v>
      </c>
      <c r="C14" s="11" t="e">
        <f>IF(1*('Production Matrix'!A:A="تكلفة انتاج الوحدة")*ROW('Production Matrix'!A11)=0,1/0,1*('Production Matrix'!A:A="تكلفة انتاج الوحدة")*ROW('Production Matrix'!A11))</f>
        <v>#DIV/0!</v>
      </c>
      <c r="D14" s="11" t="str">
        <f>IFERROR(_xlfn.AGGREGATE(15,6,$C$3:$C$53,ROW('Production Matrix'!A13)),"")</f>
        <v/>
      </c>
      <c r="E14" s="11" t="str">
        <f t="shared" si="2"/>
        <v/>
      </c>
      <c r="F14" s="12">
        <f>IFERROR(INDEX('Production Matrix'!$B:$B,E14,0),0)</f>
        <v>0</v>
      </c>
    </row>
    <row r="15" spans="1:210">
      <c r="A15" s="1">
        <v>13</v>
      </c>
      <c r="B15">
        <f t="shared" si="0"/>
        <v>39</v>
      </c>
      <c r="C15" s="11" t="e">
        <f>IF(1*('Production Matrix'!A:A="تكلفة انتاج الوحدة")*ROW('Production Matrix'!A12)=0,1/0,1*('Production Matrix'!A:A="تكلفة انتاج الوحدة")*ROW('Production Matrix'!A12))</f>
        <v>#DIV/0!</v>
      </c>
      <c r="D15" s="11" t="str">
        <f>IFERROR(_xlfn.AGGREGATE(15,6,$C$3:$C$53,ROW('Production Matrix'!A14)),"")</f>
        <v/>
      </c>
      <c r="E15" s="11" t="str">
        <f t="shared" si="2"/>
        <v/>
      </c>
      <c r="F15" s="12">
        <f>IFERROR(INDEX('Production Matrix'!$B:$B,E15,0),0)</f>
        <v>0</v>
      </c>
    </row>
    <row r="16" spans="1:210">
      <c r="A16" s="1">
        <v>14</v>
      </c>
      <c r="B16">
        <f t="shared" si="0"/>
        <v>42</v>
      </c>
      <c r="C16" s="11" t="e">
        <f>IF(1*('Production Matrix'!A:A="تكلفة انتاج الوحدة")*ROW('Production Matrix'!A13)=0,1/0,1*('Production Matrix'!A:A="تكلفة انتاج الوحدة")*ROW('Production Matrix'!A13))</f>
        <v>#DIV/0!</v>
      </c>
      <c r="D16" s="11" t="str">
        <f>IFERROR(_xlfn.AGGREGATE(15,6,$C$3:$C$53,ROW('Production Matrix'!A15)),"")</f>
        <v/>
      </c>
      <c r="E16" s="11" t="str">
        <f t="shared" si="2"/>
        <v/>
      </c>
      <c r="F16" s="12">
        <f>IFERROR(INDEX('Production Matrix'!$B:$B,E16,0),0)</f>
        <v>0</v>
      </c>
    </row>
    <row r="17" spans="1:6">
      <c r="A17" s="1">
        <v>15</v>
      </c>
      <c r="B17">
        <f t="shared" si="0"/>
        <v>45</v>
      </c>
      <c r="C17" s="11" t="e">
        <f>IF(1*('Production Matrix'!A:A="تكلفة انتاج الوحدة")*ROW('Production Matrix'!A14)=0,1/0,1*('Production Matrix'!A:A="تكلفة انتاج الوحدة")*ROW('Production Matrix'!A14))</f>
        <v>#DIV/0!</v>
      </c>
      <c r="D17" s="11" t="str">
        <f>IFERROR(_xlfn.AGGREGATE(15,6,$C$3:$C$53,ROW('Production Matrix'!A16)),"")</f>
        <v/>
      </c>
      <c r="E17" s="11" t="str">
        <f t="shared" si="2"/>
        <v/>
      </c>
      <c r="F17" s="12">
        <f>IFERROR(INDEX('Production Matrix'!$B:$B,E17,0),0)</f>
        <v>0</v>
      </c>
    </row>
    <row r="18" spans="1:6">
      <c r="A18" s="1">
        <v>16</v>
      </c>
      <c r="B18">
        <f t="shared" si="0"/>
        <v>48</v>
      </c>
      <c r="C18" s="11" t="e">
        <f>IF(1*('Production Matrix'!A:A="تكلفة انتاج الوحدة")*ROW('Production Matrix'!A15)=0,1/0,1*('Production Matrix'!A:A="تكلفة انتاج الوحدة")*ROW('Production Matrix'!A15))</f>
        <v>#DIV/0!</v>
      </c>
      <c r="D18" s="11" t="str">
        <f>IFERROR(_xlfn.AGGREGATE(15,6,$C$3:$C$53,ROW('Production Matrix'!A19)),"")</f>
        <v/>
      </c>
      <c r="E18" s="11" t="str">
        <f t="shared" si="2"/>
        <v/>
      </c>
      <c r="F18" s="12">
        <f>IFERROR(INDEX('Production Matrix'!$B:$B,E18,0),0)</f>
        <v>0</v>
      </c>
    </row>
    <row r="19" spans="1:6">
      <c r="A19" s="1">
        <v>17</v>
      </c>
      <c r="B19">
        <f t="shared" si="0"/>
        <v>51</v>
      </c>
      <c r="C19" s="11" t="e">
        <f>IF(1*('Production Matrix'!A:A="تكلفة انتاج الوحدة")*ROW('Production Matrix'!A16)=0,1/0,1*('Production Matrix'!A:A="تكلفة انتاج الوحدة")*ROW('Production Matrix'!A16))</f>
        <v>#DIV/0!</v>
      </c>
      <c r="D19" s="11" t="str">
        <f>IFERROR(_xlfn.AGGREGATE(15,6,$C$3:$C$53,ROW('Production Matrix'!A20)),"")</f>
        <v/>
      </c>
      <c r="E19" s="11" t="str">
        <f t="shared" si="2"/>
        <v/>
      </c>
      <c r="F19" s="12">
        <f>IFERROR(INDEX('Production Matrix'!$B:$B,E19,0),0)</f>
        <v>0</v>
      </c>
    </row>
    <row r="20" spans="1:6">
      <c r="A20" s="1">
        <v>18</v>
      </c>
      <c r="B20">
        <f t="shared" si="0"/>
        <v>54</v>
      </c>
      <c r="C20" s="11" t="e">
        <f>IF(1*('Production Matrix'!A:A="تكلفة انتاج الوحدة")*ROW('Production Matrix'!A19)=0,1/0,1*('Production Matrix'!A:A="تكلفة انتاج الوحدة")*ROW('Production Matrix'!A19))</f>
        <v>#DIV/0!</v>
      </c>
      <c r="D20" s="11" t="str">
        <f>IFERROR(_xlfn.AGGREGATE(15,6,$C$3:$C$53,ROW('Production Matrix'!A21)),"")</f>
        <v/>
      </c>
      <c r="E20" s="11" t="str">
        <f t="shared" si="2"/>
        <v/>
      </c>
      <c r="F20" s="12">
        <f>IFERROR(INDEX('Production Matrix'!$B:$B,E20,0),0)</f>
        <v>0</v>
      </c>
    </row>
    <row r="21" spans="1:6">
      <c r="A21" s="1">
        <v>19</v>
      </c>
      <c r="B21">
        <f t="shared" si="0"/>
        <v>57</v>
      </c>
      <c r="C21" s="11" t="e">
        <f>IF(1*('Production Matrix'!A:A="تكلفة انتاج الوحدة")*ROW('Production Matrix'!A20)=0,1/0,1*('Production Matrix'!A:A="تكلفة انتاج الوحدة")*ROW('Production Matrix'!A20))</f>
        <v>#DIV/0!</v>
      </c>
      <c r="D21" s="11" t="str">
        <f>IFERROR(_xlfn.AGGREGATE(15,6,$C$3:$C$53,ROW('Production Matrix'!A22)),"")</f>
        <v/>
      </c>
      <c r="E21" s="11" t="str">
        <f t="shared" si="2"/>
        <v/>
      </c>
      <c r="F21" s="12">
        <f>IFERROR(INDEX('Production Matrix'!$B:$B,E21,0),0)</f>
        <v>0</v>
      </c>
    </row>
    <row r="22" spans="1:6">
      <c r="A22" s="1">
        <v>20</v>
      </c>
      <c r="B22">
        <f t="shared" si="0"/>
        <v>60</v>
      </c>
      <c r="C22" s="11" t="e">
        <f>IF(1*('Production Matrix'!A:A="تكلفة انتاج الوحدة")*ROW('Production Matrix'!A21)=0,1/0,1*('Production Matrix'!A:A="تكلفة انتاج الوحدة")*ROW('Production Matrix'!A21))</f>
        <v>#DIV/0!</v>
      </c>
      <c r="D22" s="11" t="str">
        <f>IFERROR(_xlfn.AGGREGATE(15,6,$C$3:$C$53,ROW('Production Matrix'!#REF!)),"")</f>
        <v/>
      </c>
      <c r="E22" s="11" t="str">
        <f t="shared" si="2"/>
        <v/>
      </c>
      <c r="F22" s="12">
        <f>IFERROR(INDEX('Production Matrix'!$B:$B,E22,0),0)</f>
        <v>0</v>
      </c>
    </row>
    <row r="23" spans="1:6">
      <c r="A23" s="1">
        <v>21</v>
      </c>
      <c r="B23">
        <f t="shared" si="0"/>
        <v>63</v>
      </c>
      <c r="C23" s="11" t="e">
        <f>IF(1*('Production Matrix'!A:A="تكلفة انتاج الوحدة")*ROW('Production Matrix'!A22)=0,1/0,1*('Production Matrix'!A:A="تكلفة انتاج الوحدة")*ROW('Production Matrix'!A22))</f>
        <v>#DIV/0!</v>
      </c>
      <c r="D23" s="11" t="str">
        <f>IFERROR(_xlfn.AGGREGATE(15,6,$C$3:$C$53,ROW('Production Matrix'!#REF!)),"")</f>
        <v/>
      </c>
      <c r="E23" s="11" t="str">
        <f t="shared" si="2"/>
        <v/>
      </c>
      <c r="F23" s="12">
        <f>IFERROR(INDEX('Production Matrix'!$B:$B,E23,0),0)</f>
        <v>0</v>
      </c>
    </row>
    <row r="24" spans="1:6">
      <c r="A24" s="1">
        <v>22</v>
      </c>
      <c r="B24">
        <f t="shared" si="0"/>
        <v>66</v>
      </c>
      <c r="C24" s="11" t="e">
        <f>IF(1*('Production Matrix'!A:A="تكلفة انتاج الوحدة")*ROW('Production Matrix'!A23)=0,1/0,1*('Production Matrix'!A:A="تكلفة انتاج الوحدة")*ROW('Production Matrix'!A23))</f>
        <v>#DIV/0!</v>
      </c>
      <c r="D24" s="11" t="str">
        <f>IFERROR(_xlfn.AGGREGATE(15,6,$C$3:$C$53,ROW('Production Matrix'!#REF!)),"")</f>
        <v/>
      </c>
      <c r="E24" s="11" t="str">
        <f t="shared" si="2"/>
        <v/>
      </c>
      <c r="F24" s="12">
        <f>IFERROR(INDEX('Production Matrix'!$B:$B,E24,0),0)</f>
        <v>0</v>
      </c>
    </row>
    <row r="25" spans="1:6">
      <c r="A25" s="1">
        <v>23</v>
      </c>
      <c r="B25">
        <f t="shared" si="0"/>
        <v>69</v>
      </c>
      <c r="C25" s="11" t="e">
        <f>IF(1*('Production Matrix'!A:A="تكلفة انتاج الوحدة")*ROW('Production Matrix'!A24)=0,1/0,1*('Production Matrix'!A:A="تكلفة انتاج الوحدة")*ROW('Production Matrix'!A24))</f>
        <v>#DIV/0!</v>
      </c>
      <c r="D25" s="11" t="str">
        <f>IFERROR(_xlfn.AGGREGATE(15,6,$C$3:$C$53,ROW('Production Matrix'!#REF!)),"")</f>
        <v/>
      </c>
      <c r="E25" s="11" t="str">
        <f t="shared" si="2"/>
        <v/>
      </c>
      <c r="F25" s="12">
        <f>IFERROR(INDEX('Production Matrix'!$B:$B,E25,0),0)</f>
        <v>0</v>
      </c>
    </row>
    <row r="26" spans="1:6">
      <c r="A26" s="1">
        <v>24</v>
      </c>
      <c r="B26">
        <f t="shared" si="0"/>
        <v>72</v>
      </c>
      <c r="C26" s="11" t="e">
        <f>IF(1*('Production Matrix'!A:A="تكلفة انتاج الوحدة")*ROW('Production Matrix'!A25)=0,1/0,1*('Production Matrix'!A:A="تكلفة انتاج الوحدة")*ROW('Production Matrix'!A25))</f>
        <v>#DIV/0!</v>
      </c>
      <c r="D26" s="11" t="str">
        <f>IFERROR(_xlfn.AGGREGATE(15,6,$C$3:$C$53,ROW('Production Matrix'!#REF!)),"")</f>
        <v/>
      </c>
      <c r="E26" s="11" t="str">
        <f t="shared" si="2"/>
        <v/>
      </c>
      <c r="F26" s="12">
        <f>IFERROR(INDEX('Production Matrix'!$B:$B,E26,0),0)</f>
        <v>0</v>
      </c>
    </row>
    <row r="27" spans="1:6">
      <c r="A27" s="1">
        <v>25</v>
      </c>
      <c r="B27">
        <f t="shared" si="0"/>
        <v>75</v>
      </c>
      <c r="C27" s="11" t="e">
        <f>IF(1*('Production Matrix'!A:A="تكلفة انتاج الوحدة")*ROW('Production Matrix'!A26)=0,1/0,1*('Production Matrix'!A:A="تكلفة انتاج الوحدة")*ROW('Production Matrix'!A26))</f>
        <v>#DIV/0!</v>
      </c>
      <c r="D27" s="11" t="str">
        <f>IFERROR(_xlfn.AGGREGATE(15,6,$C$3:$C$53,ROW('Production Matrix'!#REF!)),"")</f>
        <v/>
      </c>
      <c r="E27" s="11" t="str">
        <f t="shared" si="2"/>
        <v/>
      </c>
      <c r="F27" s="12">
        <f>IFERROR(INDEX('Production Matrix'!$B:$B,E27,0),0)</f>
        <v>0</v>
      </c>
    </row>
    <row r="28" spans="1:6">
      <c r="A28" s="1">
        <v>26</v>
      </c>
      <c r="B28">
        <f t="shared" si="0"/>
        <v>78</v>
      </c>
      <c r="C28" s="11" t="e">
        <f>IF(1*('Production Matrix'!A:A="تكلفة انتاج الوحدة")*ROW('Production Matrix'!A34)=0,1/0,1*('Production Matrix'!A:A="تكلفة انتاج الوحدة")*ROW('Production Matrix'!A34))</f>
        <v>#DIV/0!</v>
      </c>
      <c r="D28" s="11" t="str">
        <f>IFERROR(_xlfn.AGGREGATE(15,6,$C$3:$C$53,ROW('Production Matrix'!#REF!)),"")</f>
        <v/>
      </c>
      <c r="E28" s="11" t="str">
        <f t="shared" si="2"/>
        <v/>
      </c>
      <c r="F28" s="12">
        <f>IFERROR(INDEX('Production Matrix'!$B:$B,E28,0),0)</f>
        <v>0</v>
      </c>
    </row>
    <row r="29" spans="1:6">
      <c r="A29" s="1">
        <v>27</v>
      </c>
      <c r="B29">
        <f t="shared" si="0"/>
        <v>81</v>
      </c>
      <c r="C29" s="11" t="e">
        <f>IF(1*('Production Matrix'!A:A="تكلفة انتاج الوحدة")*ROW('Production Matrix'!A45)=0,1/0,1*('Production Matrix'!A:A="تكلفة انتاج الوحدة")*ROW('Production Matrix'!A45))</f>
        <v>#DIV/0!</v>
      </c>
      <c r="D29" s="11" t="str">
        <f>IFERROR(_xlfn.AGGREGATE(15,6,$C$3:$C$53,ROW('Production Matrix'!#REF!)),"")</f>
        <v/>
      </c>
      <c r="E29" s="11" t="str">
        <f t="shared" si="2"/>
        <v/>
      </c>
      <c r="F29" s="12">
        <f>IFERROR(INDEX('Production Matrix'!$B:$B,E29,0),0)</f>
        <v>0</v>
      </c>
    </row>
    <row r="30" spans="1:6">
      <c r="A30" s="1">
        <v>28</v>
      </c>
      <c r="B30">
        <f t="shared" si="0"/>
        <v>84</v>
      </c>
      <c r="C30" s="11" t="e">
        <f>IF(1*('Production Matrix'!A:A="تكلفة انتاج الوحدة")*ROW('Production Matrix'!#REF!)=0,1/0,1*('Production Matrix'!A:A="تكلفة انتاج الوحدة")*ROW('Production Matrix'!#REF!))</f>
        <v>#REF!</v>
      </c>
      <c r="D30" s="11" t="str">
        <f>IFERROR(_xlfn.AGGREGATE(15,6,$C$3:$C$53,ROW('Production Matrix'!#REF!)),"")</f>
        <v/>
      </c>
      <c r="E30" s="11" t="str">
        <f t="shared" si="2"/>
        <v/>
      </c>
      <c r="F30" s="12">
        <f>IFERROR(INDEX('Production Matrix'!$B:$B,E30,0),0)</f>
        <v>0</v>
      </c>
    </row>
    <row r="31" spans="1:6">
      <c r="A31" s="1">
        <v>29</v>
      </c>
      <c r="B31">
        <f t="shared" si="0"/>
        <v>87</v>
      </c>
      <c r="C31" s="11" t="e">
        <f>IF(1*('Production Matrix'!A:A="تكلفة انتاج الوحدة")*ROW('Production Matrix'!#REF!)=0,1/0,1*('Production Matrix'!A:A="تكلفة انتاج الوحدة")*ROW('Production Matrix'!#REF!))</f>
        <v>#REF!</v>
      </c>
      <c r="D31" s="11" t="str">
        <f>IFERROR(_xlfn.AGGREGATE(15,6,$C$3:$C$53,ROW('Production Matrix'!#REF!)),"")</f>
        <v/>
      </c>
      <c r="E31" s="11" t="str">
        <f t="shared" si="2"/>
        <v/>
      </c>
      <c r="F31" s="12">
        <f>IFERROR(INDEX('Production Matrix'!$B:$B,E31,0),0)</f>
        <v>0</v>
      </c>
    </row>
    <row r="32" spans="1:6">
      <c r="A32" s="1">
        <v>30</v>
      </c>
      <c r="B32">
        <f t="shared" si="0"/>
        <v>90</v>
      </c>
      <c r="C32" s="11" t="e">
        <f>IF(1*('Production Matrix'!A:A="تكلفة انتاج الوحدة")*ROW('Production Matrix'!#REF!)=0,1/0,1*('Production Matrix'!A:A="تكلفة انتاج الوحدة")*ROW('Production Matrix'!#REF!))</f>
        <v>#REF!</v>
      </c>
      <c r="D32" s="11" t="str">
        <f>IFERROR(_xlfn.AGGREGATE(15,6,$C$3:$C$53,ROW('Production Matrix'!#REF!)),"")</f>
        <v/>
      </c>
      <c r="E32" s="11" t="str">
        <f t="shared" si="2"/>
        <v/>
      </c>
      <c r="F32" s="12">
        <f>IFERROR(INDEX('Production Matrix'!$B:$B,E32,0),0)</f>
        <v>0</v>
      </c>
    </row>
    <row r="33" spans="1:6">
      <c r="A33" s="1">
        <v>31</v>
      </c>
      <c r="B33">
        <f t="shared" si="0"/>
        <v>93</v>
      </c>
      <c r="C33" s="11" t="e">
        <f>IF(1*('Production Matrix'!A:A="تكلفة انتاج الوحدة")*ROW('Production Matrix'!#REF!)=0,1/0,1*('Production Matrix'!A:A="تكلفة انتاج الوحدة")*ROW('Production Matrix'!#REF!))</f>
        <v>#REF!</v>
      </c>
      <c r="D33" s="11" t="str">
        <f>IFERROR(_xlfn.AGGREGATE(15,6,$C$3:$C$53,ROW('Production Matrix'!#REF!)),"")</f>
        <v/>
      </c>
      <c r="E33" s="11" t="str">
        <f t="shared" si="2"/>
        <v/>
      </c>
      <c r="F33" s="12">
        <f>IFERROR(INDEX('Production Matrix'!$B:$B,E33,0),0)</f>
        <v>0</v>
      </c>
    </row>
    <row r="34" spans="1:6">
      <c r="A34" s="1">
        <v>32</v>
      </c>
      <c r="B34">
        <f t="shared" si="0"/>
        <v>96</v>
      </c>
      <c r="C34" s="11" t="e">
        <f>IF(1*('Production Matrix'!A:A="تكلفة انتاج الوحدة")*ROW('Production Matrix'!#REF!)=0,1/0,1*('Production Matrix'!A:A="تكلفة انتاج الوحدة")*ROW('Production Matrix'!#REF!))</f>
        <v>#REF!</v>
      </c>
      <c r="D34" s="11" t="str">
        <f>IFERROR(_xlfn.AGGREGATE(15,6,$C$3:$C$53,ROW('Production Matrix'!#REF!)),"")</f>
        <v/>
      </c>
      <c r="E34" s="11" t="str">
        <f t="shared" si="2"/>
        <v/>
      </c>
      <c r="F34" s="12">
        <f>IFERROR(INDEX('Production Matrix'!$B:$B,E34,0),0)</f>
        <v>0</v>
      </c>
    </row>
    <row r="35" spans="1:6">
      <c r="A35" s="1">
        <v>33</v>
      </c>
      <c r="B35">
        <f t="shared" si="0"/>
        <v>99</v>
      </c>
      <c r="C35" s="11" t="e">
        <f>IF(1*('Production Matrix'!A:A="تكلفة انتاج الوحدة")*ROW('Production Matrix'!#REF!)=0,1/0,1*('Production Matrix'!A:A="تكلفة انتاج الوحدة")*ROW('Production Matrix'!#REF!))</f>
        <v>#REF!</v>
      </c>
      <c r="D35" s="11" t="str">
        <f>IFERROR(_xlfn.AGGREGATE(15,6,$C$3:$C$53,ROW('Production Matrix'!#REF!)),"")</f>
        <v/>
      </c>
      <c r="E35" s="11" t="str">
        <f t="shared" si="2"/>
        <v/>
      </c>
      <c r="F35" s="12">
        <f>IFERROR(INDEX('Production Matrix'!$B:$B,E35,0),0)</f>
        <v>0</v>
      </c>
    </row>
    <row r="36" spans="1:6">
      <c r="A36" s="1">
        <v>34</v>
      </c>
      <c r="B36">
        <f t="shared" si="0"/>
        <v>102</v>
      </c>
      <c r="C36" s="11" t="e">
        <f>IF(1*('Production Matrix'!A:A="تكلفة انتاج الوحدة")*ROW('Production Matrix'!#REF!)=0,1/0,1*('Production Matrix'!A:A="تكلفة انتاج الوحدة")*ROW('Production Matrix'!#REF!))</f>
        <v>#REF!</v>
      </c>
      <c r="D36" s="11" t="str">
        <f>IFERROR(_xlfn.AGGREGATE(15,6,$C$3:$C$53,ROW('Production Matrix'!#REF!)),"")</f>
        <v/>
      </c>
      <c r="E36" s="11" t="str">
        <f t="shared" si="2"/>
        <v/>
      </c>
      <c r="F36" s="12">
        <f>IFERROR(INDEX('Production Matrix'!$B:$B,E36,0),0)</f>
        <v>0</v>
      </c>
    </row>
    <row r="37" spans="1:6">
      <c r="A37" s="1">
        <v>35</v>
      </c>
      <c r="B37">
        <f t="shared" si="0"/>
        <v>105</v>
      </c>
      <c r="C37" s="11" t="e">
        <f>IF(1*('Production Matrix'!A:A="تكلفة انتاج الوحدة")*ROW('Production Matrix'!#REF!)=0,1/0,1*('Production Matrix'!A:A="تكلفة انتاج الوحدة")*ROW('Production Matrix'!#REF!))</f>
        <v>#REF!</v>
      </c>
      <c r="D37" s="11" t="str">
        <f>IFERROR(_xlfn.AGGREGATE(15,6,$C$3:$C$53,ROW('Production Matrix'!#REF!)),"")</f>
        <v/>
      </c>
      <c r="E37" s="11" t="str">
        <f t="shared" si="2"/>
        <v/>
      </c>
      <c r="F37" s="12">
        <f>IFERROR(INDEX('Production Matrix'!$B:$B,E37,0),0)</f>
        <v>0</v>
      </c>
    </row>
    <row r="38" spans="1:6">
      <c r="A38" s="1">
        <v>36</v>
      </c>
      <c r="B38">
        <f t="shared" si="0"/>
        <v>108</v>
      </c>
      <c r="C38" s="11" t="e">
        <f>IF(1*('Production Matrix'!A:A="تكلفة انتاج الوحدة")*ROW('Production Matrix'!#REF!)=0,1/0,1*('Production Matrix'!A:A="تكلفة انتاج الوحدة")*ROW('Production Matrix'!#REF!))</f>
        <v>#REF!</v>
      </c>
      <c r="D38" s="11" t="str">
        <f>IFERROR(_xlfn.AGGREGATE(15,6,$C$3:$C$53,ROW('Production Matrix'!#REF!)),"")</f>
        <v/>
      </c>
      <c r="E38" s="11" t="str">
        <f t="shared" si="2"/>
        <v/>
      </c>
      <c r="F38" s="12">
        <f>IFERROR(INDEX('Production Matrix'!$B:$B,E38,0),0)</f>
        <v>0</v>
      </c>
    </row>
    <row r="39" spans="1:6">
      <c r="A39" s="1">
        <v>37</v>
      </c>
      <c r="B39">
        <f t="shared" si="0"/>
        <v>111</v>
      </c>
      <c r="C39" s="11" t="e">
        <f>IF(1*('Production Matrix'!A:A="تكلفة انتاج الوحدة")*ROW('Production Matrix'!#REF!)=0,1/0,1*('Production Matrix'!A:A="تكلفة انتاج الوحدة")*ROW('Production Matrix'!#REF!))</f>
        <v>#REF!</v>
      </c>
      <c r="D39" s="11" t="str">
        <f>IFERROR(_xlfn.AGGREGATE(15,6,$C$3:$C$53,ROW('Production Matrix'!#REF!)),"")</f>
        <v/>
      </c>
      <c r="E39" s="11" t="str">
        <f t="shared" si="2"/>
        <v/>
      </c>
      <c r="F39" s="12">
        <f>IFERROR(INDEX('Production Matrix'!$B:$B,E39,0),0)</f>
        <v>0</v>
      </c>
    </row>
    <row r="40" spans="1:6">
      <c r="A40" s="1">
        <v>38</v>
      </c>
      <c r="B40">
        <f t="shared" si="0"/>
        <v>114</v>
      </c>
      <c r="C40" s="11" t="e">
        <f>IF(1*('Production Matrix'!A:A="تكلفة انتاج الوحدة")*ROW('Production Matrix'!#REF!)=0,1/0,1*('Production Matrix'!A:A="تكلفة انتاج الوحدة")*ROW('Production Matrix'!#REF!))</f>
        <v>#REF!</v>
      </c>
      <c r="D40" s="11" t="str">
        <f>IFERROR(_xlfn.AGGREGATE(15,6,$C$3:$C$53,ROW('Production Matrix'!#REF!)),"")</f>
        <v/>
      </c>
      <c r="E40" s="11" t="str">
        <f t="shared" si="2"/>
        <v/>
      </c>
      <c r="F40" s="12">
        <f>IFERROR(INDEX('Production Matrix'!$B:$B,E40,0),0)</f>
        <v>0</v>
      </c>
    </row>
    <row r="41" spans="1:6">
      <c r="A41" s="1">
        <v>39</v>
      </c>
      <c r="B41">
        <f t="shared" si="0"/>
        <v>117</v>
      </c>
      <c r="C41" s="11" t="e">
        <f>IF(1*('Production Matrix'!A:A="تكلفة انتاج الوحدة")*ROW('Production Matrix'!#REF!)=0,1/0,1*('Production Matrix'!A:A="تكلفة انتاج الوحدة")*ROW('Production Matrix'!#REF!))</f>
        <v>#REF!</v>
      </c>
      <c r="D41" s="11" t="str">
        <f>IFERROR(_xlfn.AGGREGATE(15,6,$C$3:$C$53,ROW('Production Matrix'!#REF!)),"")</f>
        <v/>
      </c>
      <c r="E41" s="11" t="str">
        <f t="shared" si="2"/>
        <v/>
      </c>
      <c r="F41" s="12">
        <f>IFERROR(INDEX('Production Matrix'!$B:$B,E41,0),0)</f>
        <v>0</v>
      </c>
    </row>
    <row r="42" spans="1:6">
      <c r="A42" s="1">
        <v>40</v>
      </c>
      <c r="B42">
        <f t="shared" si="0"/>
        <v>120</v>
      </c>
      <c r="C42" s="11" t="e">
        <f>IF(1*('Production Matrix'!A:A="تكلفة انتاج الوحدة")*ROW('Production Matrix'!#REF!)=0,1/0,1*('Production Matrix'!A:A="تكلفة انتاج الوحدة")*ROW('Production Matrix'!#REF!))</f>
        <v>#REF!</v>
      </c>
      <c r="D42" s="11" t="str">
        <f>IFERROR(_xlfn.AGGREGATE(15,6,$C$3:$C$53,ROW('Production Matrix'!#REF!)),"")</f>
        <v/>
      </c>
      <c r="E42" s="11" t="str">
        <f t="shared" si="2"/>
        <v/>
      </c>
      <c r="F42" s="12">
        <f>IFERROR(INDEX('Production Matrix'!$B:$B,E42,0),0)</f>
        <v>0</v>
      </c>
    </row>
    <row r="43" spans="1:6">
      <c r="A43" s="1">
        <v>41</v>
      </c>
      <c r="B43">
        <f t="shared" si="0"/>
        <v>123</v>
      </c>
      <c r="C43" s="11" t="e">
        <f>IF(1*('Production Matrix'!A:A="تكلفة انتاج الوحدة")*ROW('Production Matrix'!#REF!)=0,1/0,1*('Production Matrix'!A:A="تكلفة انتاج الوحدة")*ROW('Production Matrix'!#REF!))</f>
        <v>#REF!</v>
      </c>
      <c r="D43" s="11" t="str">
        <f>IFERROR(_xlfn.AGGREGATE(15,6,$C$3:$C$53,ROW('Production Matrix'!#REF!)),"")</f>
        <v/>
      </c>
      <c r="E43" s="11" t="str">
        <f t="shared" si="2"/>
        <v/>
      </c>
      <c r="F43" s="12">
        <f>IFERROR(INDEX('Production Matrix'!$B:$B,E43,0),0)</f>
        <v>0</v>
      </c>
    </row>
    <row r="44" spans="1:6">
      <c r="A44" s="1">
        <v>42</v>
      </c>
      <c r="B44">
        <f t="shared" si="0"/>
        <v>126</v>
      </c>
      <c r="C44" s="11" t="e">
        <f>IF(1*('Production Matrix'!A:A="تكلفة انتاج الوحدة")*ROW('Production Matrix'!#REF!)=0,1/0,1*('Production Matrix'!A:A="تكلفة انتاج الوحدة")*ROW('Production Matrix'!#REF!))</f>
        <v>#REF!</v>
      </c>
      <c r="D44" s="11" t="str">
        <f>IFERROR(_xlfn.AGGREGATE(15,6,$C$3:$C$53,ROW('Production Matrix'!#REF!)),"")</f>
        <v/>
      </c>
      <c r="E44" s="11" t="str">
        <f t="shared" si="2"/>
        <v/>
      </c>
      <c r="F44" s="12">
        <f>IFERROR(INDEX('Production Matrix'!$B:$B,E44,0),0)</f>
        <v>0</v>
      </c>
    </row>
    <row r="45" spans="1:6">
      <c r="A45" s="1">
        <v>43</v>
      </c>
      <c r="B45">
        <f t="shared" si="0"/>
        <v>129</v>
      </c>
      <c r="C45" s="11" t="e">
        <f>IF(1*('Production Matrix'!A:A="تكلفة انتاج الوحدة")*ROW('Production Matrix'!#REF!)=0,1/0,1*('Production Matrix'!A:A="تكلفة انتاج الوحدة")*ROW('Production Matrix'!#REF!))</f>
        <v>#REF!</v>
      </c>
      <c r="D45" s="11" t="str">
        <f>IFERROR(_xlfn.AGGREGATE(15,6,$C$3:$C$53,ROW('Production Matrix'!#REF!)),"")</f>
        <v/>
      </c>
      <c r="E45" s="11" t="str">
        <f t="shared" si="2"/>
        <v/>
      </c>
      <c r="F45" s="12">
        <f>IFERROR(INDEX('Production Matrix'!$B:$B,E45,0),0)</f>
        <v>0</v>
      </c>
    </row>
    <row r="46" spans="1:6">
      <c r="A46" s="1">
        <v>44</v>
      </c>
      <c r="B46">
        <f t="shared" si="0"/>
        <v>132</v>
      </c>
      <c r="C46" s="11" t="e">
        <f>IF(1*('Production Matrix'!A:A="تكلفة انتاج الوحدة")*ROW('Production Matrix'!#REF!)=0,1/0,1*('Production Matrix'!A:A="تكلفة انتاج الوحدة")*ROW('Production Matrix'!#REF!))</f>
        <v>#REF!</v>
      </c>
      <c r="D46" s="11" t="str">
        <f>IFERROR(_xlfn.AGGREGATE(15,6,$C$3:$C$53,ROW('Production Matrix'!#REF!)),"")</f>
        <v/>
      </c>
      <c r="E46" s="11" t="str">
        <f t="shared" si="2"/>
        <v/>
      </c>
      <c r="F46" s="12">
        <f>IFERROR(INDEX('Production Matrix'!$B:$B,E46,0),0)</f>
        <v>0</v>
      </c>
    </row>
    <row r="47" spans="1:6">
      <c r="A47" s="1">
        <v>45</v>
      </c>
      <c r="B47">
        <f t="shared" si="0"/>
        <v>135</v>
      </c>
      <c r="C47" s="11" t="e">
        <f>IF(1*('Production Matrix'!A:A="تكلفة انتاج الوحدة")*ROW('Production Matrix'!#REF!)=0,1/0,1*('Production Matrix'!A:A="تكلفة انتاج الوحدة")*ROW('Production Matrix'!#REF!))</f>
        <v>#REF!</v>
      </c>
      <c r="D47" s="11" t="str">
        <f>IFERROR(_xlfn.AGGREGATE(15,6,$C$3:$C$53,ROW('Production Matrix'!#REF!)),"")</f>
        <v/>
      </c>
      <c r="E47" s="11" t="str">
        <f t="shared" si="2"/>
        <v/>
      </c>
      <c r="F47" s="12">
        <f>IFERROR(INDEX('Production Matrix'!$B:$B,E47,0),0)</f>
        <v>0</v>
      </c>
    </row>
    <row r="48" spans="1:6">
      <c r="A48" s="1">
        <v>46</v>
      </c>
      <c r="B48">
        <f t="shared" si="0"/>
        <v>138</v>
      </c>
      <c r="C48" s="11" t="e">
        <f>IF(1*('Production Matrix'!A:A="تكلفة انتاج الوحدة")*ROW('Production Matrix'!#REF!)=0,1/0,1*('Production Matrix'!A:A="تكلفة انتاج الوحدة")*ROW('Production Matrix'!#REF!))</f>
        <v>#REF!</v>
      </c>
      <c r="D48" s="11" t="str">
        <f>IFERROR(_xlfn.AGGREGATE(15,6,$C$3:$C$53,ROW('Production Matrix'!#REF!)),"")</f>
        <v/>
      </c>
      <c r="E48" s="11" t="str">
        <f t="shared" si="2"/>
        <v/>
      </c>
      <c r="F48" s="12">
        <f>IFERROR(INDEX('Production Matrix'!$B:$B,E48,0),0)</f>
        <v>0</v>
      </c>
    </row>
    <row r="49" spans="1:6">
      <c r="A49" s="1">
        <v>47</v>
      </c>
      <c r="B49">
        <f t="shared" si="0"/>
        <v>141</v>
      </c>
      <c r="C49" s="11" t="e">
        <f>IF(1*('Production Matrix'!A:A="تكلفة انتاج الوحدة")*ROW('Production Matrix'!#REF!)=0,1/0,1*('Production Matrix'!A:A="تكلفة انتاج الوحدة")*ROW('Production Matrix'!#REF!))</f>
        <v>#REF!</v>
      </c>
      <c r="D49" s="11" t="str">
        <f>IFERROR(_xlfn.AGGREGATE(15,6,$C$3:$C$53,ROW('Production Matrix'!#REF!)),"")</f>
        <v/>
      </c>
      <c r="E49" s="11" t="str">
        <f t="shared" si="2"/>
        <v/>
      </c>
      <c r="F49" s="12">
        <f>IFERROR(INDEX('Production Matrix'!$B:$B,E49,0),0)</f>
        <v>0</v>
      </c>
    </row>
    <row r="50" spans="1:6">
      <c r="A50" s="1">
        <v>48</v>
      </c>
      <c r="B50">
        <f t="shared" si="0"/>
        <v>144</v>
      </c>
      <c r="C50" s="11" t="e">
        <f>IF(1*('Production Matrix'!A:A="تكلفة انتاج الوحدة")*ROW('Production Matrix'!#REF!)=0,1/0,1*('Production Matrix'!A:A="تكلفة انتاج الوحدة")*ROW('Production Matrix'!#REF!))</f>
        <v>#REF!</v>
      </c>
      <c r="D50" s="11" t="str">
        <f>IFERROR(_xlfn.AGGREGATE(15,6,$C$3:$C$53,ROW('Production Matrix'!#REF!)),"")</f>
        <v/>
      </c>
      <c r="E50" s="11" t="str">
        <f t="shared" si="2"/>
        <v/>
      </c>
      <c r="F50" s="12">
        <f>IFERROR(INDEX('Production Matrix'!$B:$B,E50,0),0)</f>
        <v>0</v>
      </c>
    </row>
    <row r="51" spans="1:6">
      <c r="A51" s="1">
        <v>49</v>
      </c>
      <c r="B51">
        <f t="shared" si="0"/>
        <v>147</v>
      </c>
      <c r="C51" s="11" t="e">
        <f>IF(1*('Production Matrix'!A:A="تكلفة انتاج الوحدة")*ROW('Production Matrix'!#REF!)=0,1/0,1*('Production Matrix'!A:A="تكلفة انتاج الوحدة")*ROW('Production Matrix'!#REF!))</f>
        <v>#REF!</v>
      </c>
      <c r="D51" s="11" t="str">
        <f>IFERROR(_xlfn.AGGREGATE(15,6,$C$3:$C$53,ROW('Production Matrix'!#REF!)),"")</f>
        <v/>
      </c>
      <c r="E51" s="11" t="str">
        <f t="shared" si="2"/>
        <v/>
      </c>
      <c r="F51" s="12">
        <f>IFERROR(INDEX('Production Matrix'!$B:$B,E51,0),0)</f>
        <v>0</v>
      </c>
    </row>
    <row r="52" spans="1:6">
      <c r="A52" s="1">
        <v>50</v>
      </c>
      <c r="B52">
        <f t="shared" si="0"/>
        <v>150</v>
      </c>
      <c r="C52" s="11" t="e">
        <f>IF(1*('Production Matrix'!A:A="تكلفة انتاج الوحدة")*ROW('Production Matrix'!#REF!)=0,1/0,1*('Production Matrix'!A:A="تكلفة انتاج الوحدة")*ROW('Production Matrix'!#REF!))</f>
        <v>#REF!</v>
      </c>
      <c r="D52" s="11" t="str">
        <f>IFERROR(_xlfn.AGGREGATE(15,6,$C$3:$C$53,ROW('Production Matrix'!#REF!)),"")</f>
        <v/>
      </c>
      <c r="E52" s="11" t="str">
        <f t="shared" si="2"/>
        <v/>
      </c>
      <c r="F52" s="12">
        <f>IFERROR(INDEX('Production Matrix'!$B:$B,E52,0),0)</f>
        <v>0</v>
      </c>
    </row>
    <row r="53" spans="1:6">
      <c r="A53" s="1">
        <v>51</v>
      </c>
      <c r="B53">
        <f t="shared" si="0"/>
        <v>153</v>
      </c>
      <c r="C53" s="11" t="e">
        <f>IF(1*('Production Matrix'!A:A="تكلفة انتاج الوحدة")*ROW('Production Matrix'!#REF!)=0,1/0,1*('Production Matrix'!A:A="تكلفة انتاج الوحدة")*ROW('Production Matrix'!#REF!))</f>
        <v>#REF!</v>
      </c>
      <c r="D53" s="11" t="str">
        <f>IFERROR(_xlfn.AGGREGATE(15,6,$C$3:$C$53,ROW('Production Matrix'!#REF!)),"")</f>
        <v/>
      </c>
      <c r="E53" s="11" t="str">
        <f t="shared" si="2"/>
        <v/>
      </c>
      <c r="F53" s="12">
        <f>IFERROR(INDEX('Production Matrix'!$B:$B,E53,0),0)</f>
        <v>0</v>
      </c>
    </row>
    <row r="54" spans="1:6">
      <c r="A54" s="1">
        <v>52</v>
      </c>
      <c r="B54">
        <f t="shared" si="0"/>
        <v>156</v>
      </c>
      <c r="C54" s="11" t="e">
        <f>IF(1*('Production Matrix'!A:A="تكلفة انتاج الوحدة")*ROW('Production Matrix'!#REF!)=0,1/0,1*('Production Matrix'!A:A="تكلفة انتاج الوحدة")*ROW('Production Matrix'!#REF!))</f>
        <v>#REF!</v>
      </c>
      <c r="D54" s="11" t="str">
        <f>IFERROR(_xlfn.AGGREGATE(15,6,$C$3:$C$53,ROW('Production Matrix'!#REF!)),"")</f>
        <v/>
      </c>
      <c r="E54" s="11" t="str">
        <f t="shared" si="2"/>
        <v/>
      </c>
      <c r="F54" s="12">
        <f>IFERROR(INDEX('Production Matrix'!$B:$B,E54,0),0)</f>
        <v>0</v>
      </c>
    </row>
    <row r="55" spans="1:6">
      <c r="A55" s="1">
        <v>53</v>
      </c>
      <c r="B55">
        <f t="shared" si="0"/>
        <v>159</v>
      </c>
      <c r="C55" s="11" t="e">
        <f>IF(1*('Production Matrix'!A:A="تكلفة انتاج الوحدة")*ROW('Production Matrix'!#REF!)=0,1/0,1*('Production Matrix'!A:A="تكلفة انتاج الوحدة")*ROW('Production Matrix'!#REF!))</f>
        <v>#REF!</v>
      </c>
      <c r="D55" s="11" t="str">
        <f>IFERROR(_xlfn.AGGREGATE(15,6,$C$3:$C$53,ROW('Production Matrix'!#REF!)),"")</f>
        <v/>
      </c>
      <c r="E55" s="11" t="str">
        <f t="shared" si="2"/>
        <v/>
      </c>
      <c r="F55" s="12">
        <f>IFERROR(INDEX('Production Matrix'!$B:$B,E55,0),0)</f>
        <v>0</v>
      </c>
    </row>
    <row r="56" spans="1:6">
      <c r="A56" s="1">
        <v>54</v>
      </c>
      <c r="B56">
        <f t="shared" si="0"/>
        <v>162</v>
      </c>
      <c r="C56" s="11" t="e">
        <f>IF(1*('Production Matrix'!A:A="تكلفة انتاج الوحدة")*ROW('Production Matrix'!#REF!)=0,1/0,1*('Production Matrix'!A:A="تكلفة انتاج الوحدة")*ROW('Production Matrix'!#REF!))</f>
        <v>#REF!</v>
      </c>
      <c r="D56" s="11" t="str">
        <f>IFERROR(_xlfn.AGGREGATE(15,6,$C$3:$C$53,ROW('Production Matrix'!#REF!)),"")</f>
        <v/>
      </c>
      <c r="E56" s="11" t="str">
        <f t="shared" si="2"/>
        <v/>
      </c>
      <c r="F56" s="12">
        <f>IFERROR(INDEX('Production Matrix'!$B:$B,E56,0),0)</f>
        <v>0</v>
      </c>
    </row>
    <row r="57" spans="1:6">
      <c r="A57" s="1">
        <v>55</v>
      </c>
      <c r="B57">
        <f t="shared" si="0"/>
        <v>165</v>
      </c>
      <c r="C57" s="11" t="e">
        <f>IF(1*('Production Matrix'!A:A="تكلفة انتاج الوحدة")*ROW('Production Matrix'!#REF!)=0,1/0,1*('Production Matrix'!A:A="تكلفة انتاج الوحدة")*ROW('Production Matrix'!#REF!))</f>
        <v>#REF!</v>
      </c>
      <c r="D57" s="11" t="str">
        <f>IFERROR(_xlfn.AGGREGATE(15,6,$C$3:$C$53,ROW('Production Matrix'!#REF!)),"")</f>
        <v/>
      </c>
      <c r="E57" s="11" t="str">
        <f t="shared" si="2"/>
        <v/>
      </c>
      <c r="F57" s="12">
        <f>IFERROR(INDEX('Production Matrix'!$B:$B,E57,0),0)</f>
        <v>0</v>
      </c>
    </row>
    <row r="58" spans="1:6">
      <c r="A58" s="1">
        <v>56</v>
      </c>
      <c r="B58">
        <f t="shared" si="0"/>
        <v>168</v>
      </c>
      <c r="C58" s="11" t="e">
        <f>IF(1*('Production Matrix'!A:A="تكلفة انتاج الوحدة")*ROW('Production Matrix'!#REF!)=0,1/0,1*('Production Matrix'!A:A="تكلفة انتاج الوحدة")*ROW('Production Matrix'!#REF!))</f>
        <v>#REF!</v>
      </c>
      <c r="D58" s="11" t="str">
        <f>IFERROR(_xlfn.AGGREGATE(15,6,$C$3:$C$53,ROW('Production Matrix'!#REF!)),"")</f>
        <v/>
      </c>
      <c r="E58" s="11" t="str">
        <f t="shared" si="2"/>
        <v/>
      </c>
      <c r="F58" s="12">
        <f>IFERROR(INDEX('Production Matrix'!$B:$B,E58,0),0)</f>
        <v>0</v>
      </c>
    </row>
    <row r="59" spans="1:6">
      <c r="A59" s="1">
        <v>57</v>
      </c>
      <c r="B59">
        <f t="shared" si="0"/>
        <v>171</v>
      </c>
      <c r="C59" s="11" t="e">
        <f>IF(1*('Production Matrix'!A:A="تكلفة انتاج الوحدة")*ROW('Production Matrix'!#REF!)=0,1/0,1*('Production Matrix'!A:A="تكلفة انتاج الوحدة")*ROW('Production Matrix'!#REF!))</f>
        <v>#REF!</v>
      </c>
      <c r="D59" s="11" t="str">
        <f>IFERROR(_xlfn.AGGREGATE(15,6,$C$3:$C$53,ROW('Production Matrix'!#REF!)),"")</f>
        <v/>
      </c>
      <c r="E59" s="11" t="str">
        <f t="shared" si="2"/>
        <v/>
      </c>
      <c r="F59" s="12">
        <f>IFERROR(INDEX('Production Matrix'!$B:$B,E59,0),0)</f>
        <v>0</v>
      </c>
    </row>
    <row r="60" spans="1:6">
      <c r="A60" s="1">
        <v>58</v>
      </c>
      <c r="B60">
        <f t="shared" si="0"/>
        <v>174</v>
      </c>
      <c r="C60" s="11" t="e">
        <f>IF(1*('Production Matrix'!A:A="تكلفة انتاج الوحدة")*ROW('Production Matrix'!#REF!)=0,1/0,1*('Production Matrix'!A:A="تكلفة انتاج الوحدة")*ROW('Production Matrix'!#REF!))</f>
        <v>#REF!</v>
      </c>
      <c r="D60" s="11" t="str">
        <f>IFERROR(_xlfn.AGGREGATE(15,6,$C$3:$C$53,ROW('Production Matrix'!#REF!)),"")</f>
        <v/>
      </c>
      <c r="E60" s="11" t="str">
        <f t="shared" si="2"/>
        <v/>
      </c>
      <c r="F60" s="12">
        <f>IFERROR(INDEX('Production Matrix'!$B:$B,E60,0),0)</f>
        <v>0</v>
      </c>
    </row>
    <row r="61" spans="1:6">
      <c r="A61" s="1">
        <v>59</v>
      </c>
      <c r="B61">
        <f t="shared" si="0"/>
        <v>177</v>
      </c>
      <c r="C61" s="11" t="e">
        <f>IF(1*('Production Matrix'!A:A="تكلفة انتاج الوحدة")*ROW('Production Matrix'!#REF!)=0,1/0,1*('Production Matrix'!A:A="تكلفة انتاج الوحدة")*ROW('Production Matrix'!#REF!))</f>
        <v>#REF!</v>
      </c>
      <c r="D61" s="11" t="str">
        <f>IFERROR(_xlfn.AGGREGATE(15,6,$C$3:$C$53,ROW('Production Matrix'!#REF!)),"")</f>
        <v/>
      </c>
      <c r="E61" s="11" t="str">
        <f t="shared" si="2"/>
        <v/>
      </c>
      <c r="F61" s="12">
        <f>IFERROR(INDEX('Production Matrix'!$B:$B,E61,0),0)</f>
        <v>0</v>
      </c>
    </row>
    <row r="62" spans="1:6">
      <c r="A62" s="1">
        <v>60</v>
      </c>
      <c r="B62">
        <f t="shared" si="0"/>
        <v>180</v>
      </c>
      <c r="C62" s="11" t="e">
        <f>IF(1*('Production Matrix'!A:A="تكلفة انتاج الوحدة")*ROW('Production Matrix'!#REF!)=0,1/0,1*('Production Matrix'!A:A="تكلفة انتاج الوحدة")*ROW('Production Matrix'!#REF!))</f>
        <v>#REF!</v>
      </c>
      <c r="D62" s="11" t="str">
        <f>IFERROR(_xlfn.AGGREGATE(15,6,$C$3:$C$53,ROW('Production Matrix'!#REF!)),"")</f>
        <v/>
      </c>
      <c r="E62" s="11" t="str">
        <f t="shared" si="2"/>
        <v/>
      </c>
      <c r="F62" s="12">
        <f>IFERROR(INDEX('Production Matrix'!$B:$B,E62,0),0)</f>
        <v>0</v>
      </c>
    </row>
    <row r="63" spans="1:6">
      <c r="A63" s="1">
        <v>61</v>
      </c>
      <c r="B63">
        <f t="shared" si="0"/>
        <v>183</v>
      </c>
      <c r="C63" s="11" t="e">
        <f>IF(1*('Production Matrix'!A:A="تكلفة انتاج الوحدة")*ROW('Production Matrix'!#REF!)=0,1/0,1*('Production Matrix'!A:A="تكلفة انتاج الوحدة")*ROW('Production Matrix'!#REF!))</f>
        <v>#REF!</v>
      </c>
      <c r="D63" s="11" t="str">
        <f>IFERROR(_xlfn.AGGREGATE(15,6,$C$3:$C$53,ROW('Production Matrix'!#REF!)),"")</f>
        <v/>
      </c>
      <c r="E63" s="11" t="str">
        <f t="shared" si="2"/>
        <v/>
      </c>
      <c r="F63" s="12">
        <f>IFERROR(INDEX('Production Matrix'!$B:$B,E63,0),0)</f>
        <v>0</v>
      </c>
    </row>
    <row r="64" spans="1:6">
      <c r="A64" s="1">
        <v>62</v>
      </c>
      <c r="B64">
        <f t="shared" si="0"/>
        <v>186</v>
      </c>
      <c r="C64" s="11" t="e">
        <f>IF(1*('Production Matrix'!A:A="تكلفة انتاج الوحدة")*ROW('Production Matrix'!#REF!)=0,1/0,1*('Production Matrix'!A:A="تكلفة انتاج الوحدة")*ROW('Production Matrix'!#REF!))</f>
        <v>#REF!</v>
      </c>
      <c r="D64" s="11" t="str">
        <f>IFERROR(_xlfn.AGGREGATE(15,6,$C$3:$C$53,ROW('Production Matrix'!#REF!)),"")</f>
        <v/>
      </c>
      <c r="E64" s="11" t="str">
        <f t="shared" si="2"/>
        <v/>
      </c>
      <c r="F64" s="12">
        <f>IFERROR(INDEX('Production Matrix'!$B:$B,E64,0),0)</f>
        <v>0</v>
      </c>
    </row>
    <row r="65" spans="1:6">
      <c r="A65" s="1">
        <v>63</v>
      </c>
      <c r="B65">
        <f t="shared" si="0"/>
        <v>189</v>
      </c>
      <c r="C65" s="11" t="e">
        <f>IF(1*('Production Matrix'!A:A="تكلفة انتاج الوحدة")*ROW('Production Matrix'!#REF!)=0,1/0,1*('Production Matrix'!A:A="تكلفة انتاج الوحدة")*ROW('Production Matrix'!#REF!))</f>
        <v>#REF!</v>
      </c>
      <c r="D65" s="11" t="str">
        <f>IFERROR(_xlfn.AGGREGATE(15,6,$C$3:$C$53,ROW('Production Matrix'!#REF!)),"")</f>
        <v/>
      </c>
      <c r="E65" s="11" t="str">
        <f t="shared" si="2"/>
        <v/>
      </c>
      <c r="F65" s="12">
        <f>IFERROR(INDEX('Production Matrix'!$B:$B,E65,0),0)</f>
        <v>0</v>
      </c>
    </row>
    <row r="66" spans="1:6">
      <c r="A66" s="1">
        <v>64</v>
      </c>
      <c r="B66">
        <f t="shared" si="0"/>
        <v>192</v>
      </c>
      <c r="C66" s="11" t="e">
        <f>IF(1*('Production Matrix'!A:A="تكلفة انتاج الوحدة")*ROW('Production Matrix'!#REF!)=0,1/0,1*('Production Matrix'!A:A="تكلفة انتاج الوحدة")*ROW('Production Matrix'!#REF!))</f>
        <v>#REF!</v>
      </c>
      <c r="D66" s="11" t="str">
        <f>IFERROR(_xlfn.AGGREGATE(15,6,$C$3:$C$53,ROW('Production Matrix'!#REF!)),"")</f>
        <v/>
      </c>
      <c r="E66" s="11" t="str">
        <f t="shared" si="2"/>
        <v/>
      </c>
      <c r="F66" s="12">
        <f>IFERROR(INDEX('Production Matrix'!$B:$B,E66,0),0)</f>
        <v>0</v>
      </c>
    </row>
    <row r="67" spans="1:6">
      <c r="A67" s="1">
        <v>65</v>
      </c>
      <c r="B67">
        <f t="shared" si="0"/>
        <v>195</v>
      </c>
      <c r="C67" s="11" t="e">
        <f>IF(1*('Production Matrix'!A:A="تكلفة انتاج الوحدة")*ROW('Production Matrix'!#REF!)=0,1/0,1*('Production Matrix'!A:A="تكلفة انتاج الوحدة")*ROW('Production Matrix'!#REF!))</f>
        <v>#REF!</v>
      </c>
      <c r="D67" s="11" t="str">
        <f>IFERROR(_xlfn.AGGREGATE(15,6,$C$3:$C$53,ROW('Production Matrix'!#REF!)),"")</f>
        <v/>
      </c>
      <c r="E67" s="11" t="str">
        <f t="shared" si="2"/>
        <v/>
      </c>
      <c r="F67" s="12">
        <f>IFERROR(INDEX('Production Matrix'!$B:$B,E67,0),0)</f>
        <v>0</v>
      </c>
    </row>
    <row r="68" spans="1:6">
      <c r="A68" s="1">
        <v>66</v>
      </c>
      <c r="B68">
        <f t="shared" ref="B68:B131" si="3">A68*3</f>
        <v>198</v>
      </c>
      <c r="C68" s="11" t="e">
        <f>IF(1*('Production Matrix'!A:A="تكلفة انتاج الوحدة")*ROW('Production Matrix'!#REF!)=0,1/0,1*('Production Matrix'!A:A="تكلفة انتاج الوحدة")*ROW('Production Matrix'!#REF!))</f>
        <v>#REF!</v>
      </c>
      <c r="D68" s="11" t="str">
        <f>IFERROR(_xlfn.AGGREGATE(15,6,$C$3:$C$53,ROW('Production Matrix'!#REF!)),"")</f>
        <v/>
      </c>
      <c r="E68" s="11" t="str">
        <f t="shared" si="2"/>
        <v/>
      </c>
      <c r="F68" s="12">
        <f>IFERROR(INDEX('Production Matrix'!$B:$B,E68,0),0)</f>
        <v>0</v>
      </c>
    </row>
    <row r="69" spans="1:6">
      <c r="A69" s="1">
        <v>67</v>
      </c>
      <c r="B69">
        <f t="shared" si="3"/>
        <v>201</v>
      </c>
      <c r="C69" s="11" t="e">
        <f>IF(1*('Production Matrix'!A:A="تكلفة انتاج الوحدة")*ROW('Production Matrix'!#REF!)=0,1/0,1*('Production Matrix'!A:A="تكلفة انتاج الوحدة")*ROW('Production Matrix'!#REF!))</f>
        <v>#REF!</v>
      </c>
      <c r="D69" s="11" t="str">
        <f>IFERROR(_xlfn.AGGREGATE(15,6,$C$3:$C$53,ROW('Production Matrix'!#REF!)),"")</f>
        <v/>
      </c>
      <c r="E69" s="11" t="str">
        <f t="shared" si="2"/>
        <v/>
      </c>
      <c r="F69" s="12">
        <f>IFERROR(INDEX('Production Matrix'!$B:$B,E69,0),0)</f>
        <v>0</v>
      </c>
    </row>
    <row r="70" spans="1:6">
      <c r="A70" s="1">
        <v>68</v>
      </c>
      <c r="B70">
        <f t="shared" si="3"/>
        <v>204</v>
      </c>
      <c r="C70" s="11" t="e">
        <f>IF(1*('Production Matrix'!A:A="تكلفة انتاج الوحدة")*ROW('Production Matrix'!#REF!)=0,1/0,1*('Production Matrix'!A:A="تكلفة انتاج الوحدة")*ROW('Production Matrix'!#REF!))</f>
        <v>#REF!</v>
      </c>
      <c r="D70" s="11" t="str">
        <f>IFERROR(_xlfn.AGGREGATE(15,6,$C$3:$C$53,ROW('Production Matrix'!#REF!)),"")</f>
        <v/>
      </c>
      <c r="E70" s="11" t="str">
        <f t="shared" si="2"/>
        <v/>
      </c>
      <c r="F70" s="12">
        <f>IFERROR(INDEX('Production Matrix'!$B:$B,E70,0),0)</f>
        <v>0</v>
      </c>
    </row>
    <row r="71" spans="1:6">
      <c r="A71" s="1">
        <v>69</v>
      </c>
      <c r="B71">
        <f t="shared" si="3"/>
        <v>207</v>
      </c>
      <c r="C71" s="11" t="e">
        <f>IF(1*('Production Matrix'!A:A="تكلفة انتاج الوحدة")*ROW('Production Matrix'!#REF!)=0,1/0,1*('Production Matrix'!A:A="تكلفة انتاج الوحدة")*ROW('Production Matrix'!#REF!))</f>
        <v>#REF!</v>
      </c>
      <c r="D71" s="11" t="str">
        <f>IFERROR(_xlfn.AGGREGATE(15,6,$C$3:$C$53,ROW('Production Matrix'!#REF!)),"")</f>
        <v/>
      </c>
      <c r="E71" s="11" t="str">
        <f t="shared" ref="E71:E134" si="4">IFERROR(D71+3,"")</f>
        <v/>
      </c>
      <c r="F71" s="12">
        <f>IFERROR(INDEX('Production Matrix'!$B:$B,E71,0),0)</f>
        <v>0</v>
      </c>
    </row>
    <row r="72" spans="1:6">
      <c r="A72" s="1">
        <v>70</v>
      </c>
      <c r="B72">
        <f t="shared" si="3"/>
        <v>210</v>
      </c>
      <c r="C72" s="11" t="e">
        <f>IF(1*('Production Matrix'!A:A="تكلفة انتاج الوحدة")*ROW('Production Matrix'!#REF!)=0,1/0,1*('Production Matrix'!A:A="تكلفة انتاج الوحدة")*ROW('Production Matrix'!#REF!))</f>
        <v>#REF!</v>
      </c>
      <c r="D72" s="11" t="str">
        <f>IFERROR(_xlfn.AGGREGATE(15,6,$C$3:$C$53,ROW('Production Matrix'!#REF!)),"")</f>
        <v/>
      </c>
      <c r="E72" s="11" t="str">
        <f t="shared" si="4"/>
        <v/>
      </c>
      <c r="F72" s="12">
        <f>IFERROR(INDEX('Production Matrix'!$B:$B,E72,0),0)</f>
        <v>0</v>
      </c>
    </row>
    <row r="73" spans="1:6">
      <c r="A73" s="1">
        <v>71</v>
      </c>
      <c r="B73">
        <f t="shared" si="3"/>
        <v>213</v>
      </c>
      <c r="C73" s="11" t="e">
        <f>IF(1*('Production Matrix'!A:A="تكلفة انتاج الوحدة")*ROW('Production Matrix'!#REF!)=0,1/0,1*('Production Matrix'!A:A="تكلفة انتاج الوحدة")*ROW('Production Matrix'!#REF!))</f>
        <v>#REF!</v>
      </c>
      <c r="D73" s="11" t="str">
        <f>IFERROR(_xlfn.AGGREGATE(15,6,$C$3:$C$53,ROW('Production Matrix'!#REF!)),"")</f>
        <v/>
      </c>
      <c r="E73" s="11" t="str">
        <f t="shared" si="4"/>
        <v/>
      </c>
      <c r="F73" s="12">
        <f>IFERROR(INDEX('Production Matrix'!$B:$B,E73,0),0)</f>
        <v>0</v>
      </c>
    </row>
    <row r="74" spans="1:6">
      <c r="A74" s="1">
        <v>72</v>
      </c>
      <c r="B74">
        <f t="shared" si="3"/>
        <v>216</v>
      </c>
      <c r="C74" s="11" t="e">
        <f>IF(1*('Production Matrix'!A:A="تكلفة انتاج الوحدة")*ROW('Production Matrix'!#REF!)=0,1/0,1*('Production Matrix'!A:A="تكلفة انتاج الوحدة")*ROW('Production Matrix'!#REF!))</f>
        <v>#REF!</v>
      </c>
      <c r="D74" s="11" t="str">
        <f>IFERROR(_xlfn.AGGREGATE(15,6,$C$3:$C$53,ROW('Production Matrix'!#REF!)),"")</f>
        <v/>
      </c>
      <c r="E74" s="11" t="str">
        <f t="shared" si="4"/>
        <v/>
      </c>
      <c r="F74" s="12">
        <f>IFERROR(INDEX('Production Matrix'!$B:$B,E74,0),0)</f>
        <v>0</v>
      </c>
    </row>
    <row r="75" spans="1:6">
      <c r="A75" s="1">
        <v>73</v>
      </c>
      <c r="B75">
        <f t="shared" si="3"/>
        <v>219</v>
      </c>
      <c r="C75" s="11" t="e">
        <f>IF(1*('Production Matrix'!A:A="تكلفة انتاج الوحدة")*ROW('Production Matrix'!#REF!)=0,1/0,1*('Production Matrix'!A:A="تكلفة انتاج الوحدة")*ROW('Production Matrix'!#REF!))</f>
        <v>#REF!</v>
      </c>
      <c r="D75" s="11" t="str">
        <f>IFERROR(_xlfn.AGGREGATE(15,6,$C$3:$C$53,ROW('Production Matrix'!#REF!)),"")</f>
        <v/>
      </c>
      <c r="E75" s="11" t="str">
        <f t="shared" si="4"/>
        <v/>
      </c>
      <c r="F75" s="12">
        <f>IFERROR(INDEX('Production Matrix'!$B:$B,E75,0),0)</f>
        <v>0</v>
      </c>
    </row>
    <row r="76" spans="1:6">
      <c r="A76" s="1">
        <v>74</v>
      </c>
      <c r="B76">
        <f t="shared" si="3"/>
        <v>222</v>
      </c>
      <c r="C76" s="11" t="e">
        <f>IF(1*('Production Matrix'!A:A="تكلفة انتاج الوحدة")*ROW('Production Matrix'!#REF!)=0,1/0,1*('Production Matrix'!A:A="تكلفة انتاج الوحدة")*ROW('Production Matrix'!#REF!))</f>
        <v>#REF!</v>
      </c>
      <c r="D76" s="11" t="str">
        <f>IFERROR(_xlfn.AGGREGATE(15,6,$C$3:$C$53,ROW('Production Matrix'!#REF!)),"")</f>
        <v/>
      </c>
      <c r="E76" s="11" t="str">
        <f t="shared" si="4"/>
        <v/>
      </c>
      <c r="F76" s="12">
        <f>IFERROR(INDEX('Production Matrix'!$B:$B,E76,0),0)</f>
        <v>0</v>
      </c>
    </row>
    <row r="77" spans="1:6">
      <c r="A77" s="1">
        <v>75</v>
      </c>
      <c r="B77">
        <f t="shared" si="3"/>
        <v>225</v>
      </c>
      <c r="C77" s="11" t="e">
        <f>IF(1*('Production Matrix'!A:A="تكلفة انتاج الوحدة")*ROW('Production Matrix'!#REF!)=0,1/0,1*('Production Matrix'!A:A="تكلفة انتاج الوحدة")*ROW('Production Matrix'!#REF!))</f>
        <v>#REF!</v>
      </c>
      <c r="D77" s="11" t="str">
        <f>IFERROR(_xlfn.AGGREGATE(15,6,$C$3:$C$53,ROW('Production Matrix'!#REF!)),"")</f>
        <v/>
      </c>
      <c r="E77" s="11" t="str">
        <f t="shared" si="4"/>
        <v/>
      </c>
      <c r="F77" s="12">
        <f>IFERROR(INDEX('Production Matrix'!$B:$B,E77,0),0)</f>
        <v>0</v>
      </c>
    </row>
    <row r="78" spans="1:6">
      <c r="A78" s="1">
        <v>76</v>
      </c>
      <c r="B78">
        <f t="shared" si="3"/>
        <v>228</v>
      </c>
      <c r="C78" s="11" t="e">
        <f>IF(1*('Production Matrix'!A:A="تكلفة انتاج الوحدة")*ROW('Production Matrix'!#REF!)=0,1/0,1*('Production Matrix'!A:A="تكلفة انتاج الوحدة")*ROW('Production Matrix'!#REF!))</f>
        <v>#REF!</v>
      </c>
      <c r="D78" s="11" t="str">
        <f>IFERROR(_xlfn.AGGREGATE(15,6,$C$3:$C$53,ROW('Production Matrix'!#REF!)),"")</f>
        <v/>
      </c>
      <c r="E78" s="11" t="str">
        <f t="shared" si="4"/>
        <v/>
      </c>
      <c r="F78" s="12">
        <f>IFERROR(INDEX('Production Matrix'!$B:$B,E78,0),0)</f>
        <v>0</v>
      </c>
    </row>
    <row r="79" spans="1:6">
      <c r="A79" s="1">
        <v>77</v>
      </c>
      <c r="B79">
        <f t="shared" si="3"/>
        <v>231</v>
      </c>
      <c r="C79" s="11" t="e">
        <f>IF(1*('Production Matrix'!A:A="تكلفة انتاج الوحدة")*ROW('Production Matrix'!#REF!)=0,1/0,1*('Production Matrix'!A:A="تكلفة انتاج الوحدة")*ROW('Production Matrix'!#REF!))</f>
        <v>#REF!</v>
      </c>
      <c r="D79" s="11" t="str">
        <f>IFERROR(_xlfn.AGGREGATE(15,6,$C$3:$C$53,ROW('Production Matrix'!#REF!)),"")</f>
        <v/>
      </c>
      <c r="E79" s="11" t="str">
        <f t="shared" si="4"/>
        <v/>
      </c>
      <c r="F79" s="12">
        <f>IFERROR(INDEX('Production Matrix'!$B:$B,E79,0),0)</f>
        <v>0</v>
      </c>
    </row>
    <row r="80" spans="1:6">
      <c r="A80" s="1">
        <v>78</v>
      </c>
      <c r="B80">
        <f t="shared" si="3"/>
        <v>234</v>
      </c>
      <c r="C80" s="11" t="e">
        <f>IF(1*('Production Matrix'!A:A="تكلفة انتاج الوحدة")*ROW('Production Matrix'!#REF!)=0,1/0,1*('Production Matrix'!A:A="تكلفة انتاج الوحدة")*ROW('Production Matrix'!#REF!))</f>
        <v>#REF!</v>
      </c>
      <c r="D80" s="11" t="str">
        <f>IFERROR(_xlfn.AGGREGATE(15,6,$C$3:$C$53,ROW('Production Matrix'!#REF!)),"")</f>
        <v/>
      </c>
      <c r="E80" s="11" t="str">
        <f t="shared" si="4"/>
        <v/>
      </c>
      <c r="F80" s="12">
        <f>IFERROR(INDEX('Production Matrix'!$B:$B,E80,0),0)</f>
        <v>0</v>
      </c>
    </row>
    <row r="81" spans="1:6">
      <c r="A81" s="1">
        <v>79</v>
      </c>
      <c r="B81">
        <f t="shared" si="3"/>
        <v>237</v>
      </c>
      <c r="C81" s="11" t="e">
        <f>IF(1*('Production Matrix'!A:A="تكلفة انتاج الوحدة")*ROW('Production Matrix'!#REF!)=0,1/0,1*('Production Matrix'!A:A="تكلفة انتاج الوحدة")*ROW('Production Matrix'!#REF!))</f>
        <v>#REF!</v>
      </c>
      <c r="D81" s="11" t="str">
        <f>IFERROR(_xlfn.AGGREGATE(15,6,$C$3:$C$53,ROW('Production Matrix'!#REF!)),"")</f>
        <v/>
      </c>
      <c r="E81" s="11" t="str">
        <f t="shared" si="4"/>
        <v/>
      </c>
      <c r="F81" s="12">
        <f>IFERROR(INDEX('Production Matrix'!$B:$B,E81,0),0)</f>
        <v>0</v>
      </c>
    </row>
    <row r="82" spans="1:6">
      <c r="A82" s="1">
        <v>80</v>
      </c>
      <c r="B82">
        <f t="shared" si="3"/>
        <v>240</v>
      </c>
      <c r="C82" s="11" t="e">
        <f>IF(1*('Production Matrix'!A:A="تكلفة انتاج الوحدة")*ROW('Production Matrix'!#REF!)=0,1/0,1*('Production Matrix'!A:A="تكلفة انتاج الوحدة")*ROW('Production Matrix'!#REF!))</f>
        <v>#REF!</v>
      </c>
      <c r="D82" s="11" t="str">
        <f>IFERROR(_xlfn.AGGREGATE(15,6,$C$3:$C$53,ROW('Production Matrix'!#REF!)),"")</f>
        <v/>
      </c>
      <c r="E82" s="11" t="str">
        <f t="shared" si="4"/>
        <v/>
      </c>
      <c r="F82" s="12">
        <f>IFERROR(INDEX('Production Matrix'!$B:$B,E82,0),0)</f>
        <v>0</v>
      </c>
    </row>
    <row r="83" spans="1:6">
      <c r="A83" s="1">
        <v>81</v>
      </c>
      <c r="B83">
        <f t="shared" si="3"/>
        <v>243</v>
      </c>
      <c r="C83" s="11" t="e">
        <f>IF(1*('Production Matrix'!A:A="تكلفة انتاج الوحدة")*ROW('Production Matrix'!#REF!)=0,1/0,1*('Production Matrix'!A:A="تكلفة انتاج الوحدة")*ROW('Production Matrix'!#REF!))</f>
        <v>#REF!</v>
      </c>
      <c r="D83" s="11" t="str">
        <f>IFERROR(_xlfn.AGGREGATE(15,6,$C$3:$C$53,ROW('Production Matrix'!#REF!)),"")</f>
        <v/>
      </c>
      <c r="E83" s="11" t="str">
        <f t="shared" si="4"/>
        <v/>
      </c>
      <c r="F83" s="12">
        <f>IFERROR(INDEX('Production Matrix'!$B:$B,E83,0),0)</f>
        <v>0</v>
      </c>
    </row>
    <row r="84" spans="1:6">
      <c r="A84" s="1">
        <v>82</v>
      </c>
      <c r="B84">
        <f t="shared" si="3"/>
        <v>246</v>
      </c>
      <c r="C84" s="11" t="e">
        <f>IF(1*('Production Matrix'!A:A="تكلفة انتاج الوحدة")*ROW('Production Matrix'!#REF!)=0,1/0,1*('Production Matrix'!A:A="تكلفة انتاج الوحدة")*ROW('Production Matrix'!#REF!))</f>
        <v>#REF!</v>
      </c>
      <c r="D84" s="11" t="str">
        <f>IFERROR(_xlfn.AGGREGATE(15,6,$C$3:$C$53,ROW('Production Matrix'!#REF!)),"")</f>
        <v/>
      </c>
      <c r="E84" s="11" t="str">
        <f t="shared" si="4"/>
        <v/>
      </c>
      <c r="F84" s="12">
        <f>IFERROR(INDEX('Production Matrix'!$B:$B,E84,0),0)</f>
        <v>0</v>
      </c>
    </row>
    <row r="85" spans="1:6">
      <c r="A85" s="1">
        <v>83</v>
      </c>
      <c r="B85">
        <f t="shared" si="3"/>
        <v>249</v>
      </c>
      <c r="C85" s="11" t="e">
        <f>IF(1*('Production Matrix'!A:A="تكلفة انتاج الوحدة")*ROW('Production Matrix'!#REF!)=0,1/0,1*('Production Matrix'!A:A="تكلفة انتاج الوحدة")*ROW('Production Matrix'!#REF!))</f>
        <v>#REF!</v>
      </c>
      <c r="D85" s="11" t="str">
        <f>IFERROR(_xlfn.AGGREGATE(15,6,$C$3:$C$53,ROW('Production Matrix'!#REF!)),"")</f>
        <v/>
      </c>
      <c r="E85" s="11" t="str">
        <f t="shared" si="4"/>
        <v/>
      </c>
      <c r="F85" s="12">
        <f>IFERROR(INDEX('Production Matrix'!$B:$B,E85,0),0)</f>
        <v>0</v>
      </c>
    </row>
    <row r="86" spans="1:6">
      <c r="A86" s="1">
        <v>84</v>
      </c>
      <c r="B86">
        <f t="shared" si="3"/>
        <v>252</v>
      </c>
      <c r="C86" s="11" t="e">
        <f>IF(1*('Production Matrix'!A:A="تكلفة انتاج الوحدة")*ROW('Production Matrix'!#REF!)=0,1/0,1*('Production Matrix'!A:A="تكلفة انتاج الوحدة")*ROW('Production Matrix'!#REF!))</f>
        <v>#REF!</v>
      </c>
      <c r="D86" s="11" t="str">
        <f>IFERROR(_xlfn.AGGREGATE(15,6,$C$3:$C$53,ROW('Production Matrix'!#REF!)),"")</f>
        <v/>
      </c>
      <c r="E86" s="11" t="str">
        <f t="shared" si="4"/>
        <v/>
      </c>
      <c r="F86" s="12">
        <f>IFERROR(INDEX('Production Matrix'!$B:$B,E86,0),0)</f>
        <v>0</v>
      </c>
    </row>
    <row r="87" spans="1:6">
      <c r="A87" s="1">
        <v>85</v>
      </c>
      <c r="B87">
        <f t="shared" si="3"/>
        <v>255</v>
      </c>
      <c r="C87" s="11" t="e">
        <f>IF(1*('Production Matrix'!A:A="تكلفة انتاج الوحدة")*ROW('Production Matrix'!#REF!)=0,1/0,1*('Production Matrix'!A:A="تكلفة انتاج الوحدة")*ROW('Production Matrix'!#REF!))</f>
        <v>#REF!</v>
      </c>
      <c r="D87" s="11" t="str">
        <f>IFERROR(_xlfn.AGGREGATE(15,6,$C$3:$C$53,ROW('Production Matrix'!#REF!)),"")</f>
        <v/>
      </c>
      <c r="E87" s="11" t="str">
        <f t="shared" si="4"/>
        <v/>
      </c>
      <c r="F87" s="12">
        <f>IFERROR(INDEX('Production Matrix'!$B:$B,E87,0),0)</f>
        <v>0</v>
      </c>
    </row>
    <row r="88" spans="1:6">
      <c r="A88" s="1">
        <v>86</v>
      </c>
      <c r="B88">
        <f t="shared" si="3"/>
        <v>258</v>
      </c>
      <c r="C88" s="11" t="e">
        <f>IF(1*('Production Matrix'!A:A="تكلفة انتاج الوحدة")*ROW('Production Matrix'!#REF!)=0,1/0,1*('Production Matrix'!A:A="تكلفة انتاج الوحدة")*ROW('Production Matrix'!#REF!))</f>
        <v>#REF!</v>
      </c>
      <c r="D88" s="11" t="str">
        <f>IFERROR(_xlfn.AGGREGATE(15,6,$C$3:$C$53,ROW('Production Matrix'!#REF!)),"")</f>
        <v/>
      </c>
      <c r="E88" s="11" t="str">
        <f t="shared" si="4"/>
        <v/>
      </c>
      <c r="F88" s="12">
        <f>IFERROR(INDEX('Production Matrix'!$B:$B,E88,0),0)</f>
        <v>0</v>
      </c>
    </row>
    <row r="89" spans="1:6">
      <c r="A89" s="1">
        <v>87</v>
      </c>
      <c r="B89">
        <f t="shared" si="3"/>
        <v>261</v>
      </c>
      <c r="C89" s="11" t="e">
        <f>IF(1*('Production Matrix'!A:A="تكلفة انتاج الوحدة")*ROW('Production Matrix'!#REF!)=0,1/0,1*('Production Matrix'!A:A="تكلفة انتاج الوحدة")*ROW('Production Matrix'!#REF!))</f>
        <v>#REF!</v>
      </c>
      <c r="D89" s="11" t="str">
        <f>IFERROR(_xlfn.AGGREGATE(15,6,$C$3:$C$53,ROW('Production Matrix'!#REF!)),"")</f>
        <v/>
      </c>
      <c r="E89" s="11" t="str">
        <f t="shared" si="4"/>
        <v/>
      </c>
      <c r="F89" s="12">
        <f>IFERROR(INDEX('Production Matrix'!$B:$B,E89,0),0)</f>
        <v>0</v>
      </c>
    </row>
    <row r="90" spans="1:6">
      <c r="A90" s="1">
        <v>88</v>
      </c>
      <c r="B90">
        <f t="shared" si="3"/>
        <v>264</v>
      </c>
      <c r="C90" s="11" t="e">
        <f>IF(1*('Production Matrix'!A:A="تكلفة انتاج الوحدة")*ROW('Production Matrix'!#REF!)=0,1/0,1*('Production Matrix'!A:A="تكلفة انتاج الوحدة")*ROW('Production Matrix'!#REF!))</f>
        <v>#REF!</v>
      </c>
      <c r="D90" s="11" t="str">
        <f>IFERROR(_xlfn.AGGREGATE(15,6,$C$3:$C$53,ROW('Production Matrix'!#REF!)),"")</f>
        <v/>
      </c>
      <c r="E90" s="11" t="str">
        <f t="shared" si="4"/>
        <v/>
      </c>
      <c r="F90" s="12">
        <f>IFERROR(INDEX('Production Matrix'!$B:$B,E90,0),0)</f>
        <v>0</v>
      </c>
    </row>
    <row r="91" spans="1:6">
      <c r="A91" s="1">
        <v>89</v>
      </c>
      <c r="B91">
        <f t="shared" si="3"/>
        <v>267</v>
      </c>
      <c r="C91" s="11" t="e">
        <f>IF(1*('Production Matrix'!A:A="تكلفة انتاج الوحدة")*ROW('Production Matrix'!#REF!)=0,1/0,1*('Production Matrix'!A:A="تكلفة انتاج الوحدة")*ROW('Production Matrix'!#REF!))</f>
        <v>#REF!</v>
      </c>
      <c r="D91" s="11" t="str">
        <f>IFERROR(_xlfn.AGGREGATE(15,6,$C$3:$C$53,ROW('Production Matrix'!#REF!)),"")</f>
        <v/>
      </c>
      <c r="E91" s="11" t="str">
        <f t="shared" si="4"/>
        <v/>
      </c>
      <c r="F91" s="12">
        <f>IFERROR(INDEX('Production Matrix'!$B:$B,E91,0),0)</f>
        <v>0</v>
      </c>
    </row>
    <row r="92" spans="1:6">
      <c r="A92" s="1">
        <v>90</v>
      </c>
      <c r="B92">
        <f t="shared" si="3"/>
        <v>270</v>
      </c>
      <c r="C92" s="11" t="e">
        <f>IF(1*('Production Matrix'!A:A="تكلفة انتاج الوحدة")*ROW('Production Matrix'!#REF!)=0,1/0,1*('Production Matrix'!A:A="تكلفة انتاج الوحدة")*ROW('Production Matrix'!#REF!))</f>
        <v>#REF!</v>
      </c>
      <c r="D92" s="11" t="str">
        <f>IFERROR(_xlfn.AGGREGATE(15,6,$C$3:$C$53,ROW('Production Matrix'!#REF!)),"")</f>
        <v/>
      </c>
      <c r="E92" s="11" t="str">
        <f t="shared" si="4"/>
        <v/>
      </c>
      <c r="F92" s="12">
        <f>IFERROR(INDEX('Production Matrix'!$B:$B,E92,0),0)</f>
        <v>0</v>
      </c>
    </row>
    <row r="93" spans="1:6">
      <c r="A93" s="1">
        <v>91</v>
      </c>
      <c r="B93">
        <f t="shared" si="3"/>
        <v>273</v>
      </c>
      <c r="C93" s="11" t="e">
        <f>IF(1*('Production Matrix'!A:A="تكلفة انتاج الوحدة")*ROW('Production Matrix'!#REF!)=0,1/0,1*('Production Matrix'!A:A="تكلفة انتاج الوحدة")*ROW('Production Matrix'!#REF!))</f>
        <v>#REF!</v>
      </c>
      <c r="D93" s="11" t="str">
        <f>IFERROR(_xlfn.AGGREGATE(15,6,$C$3:$C$53,ROW('Production Matrix'!#REF!)),"")</f>
        <v/>
      </c>
      <c r="E93" s="11" t="str">
        <f t="shared" si="4"/>
        <v/>
      </c>
      <c r="F93" s="12">
        <f>IFERROR(INDEX('Production Matrix'!$B:$B,E93,0),0)</f>
        <v>0</v>
      </c>
    </row>
    <row r="94" spans="1:6">
      <c r="A94" s="1">
        <v>92</v>
      </c>
      <c r="B94">
        <f t="shared" si="3"/>
        <v>276</v>
      </c>
      <c r="C94" s="11" t="e">
        <f>IF(1*('Production Matrix'!A:A="تكلفة انتاج الوحدة")*ROW('Production Matrix'!#REF!)=0,1/0,1*('Production Matrix'!A:A="تكلفة انتاج الوحدة")*ROW('Production Matrix'!#REF!))</f>
        <v>#REF!</v>
      </c>
      <c r="D94" s="11" t="str">
        <f>IFERROR(_xlfn.AGGREGATE(15,6,$C$3:$C$53,ROW('Production Matrix'!#REF!)),"")</f>
        <v/>
      </c>
      <c r="E94" s="11" t="str">
        <f t="shared" si="4"/>
        <v/>
      </c>
      <c r="F94" s="12">
        <f>IFERROR(INDEX('Production Matrix'!$B:$B,E94,0),0)</f>
        <v>0</v>
      </c>
    </row>
    <row r="95" spans="1:6">
      <c r="A95" s="1">
        <v>93</v>
      </c>
      <c r="B95">
        <f t="shared" si="3"/>
        <v>279</v>
      </c>
      <c r="C95" s="11" t="e">
        <f>IF(1*('Production Matrix'!A:A="تكلفة انتاج الوحدة")*ROW('Production Matrix'!#REF!)=0,1/0,1*('Production Matrix'!A:A="تكلفة انتاج الوحدة")*ROW('Production Matrix'!#REF!))</f>
        <v>#REF!</v>
      </c>
      <c r="D95" s="11" t="str">
        <f>IFERROR(_xlfn.AGGREGATE(15,6,$C$3:$C$53,ROW('Production Matrix'!#REF!)),"")</f>
        <v/>
      </c>
      <c r="E95" s="11" t="str">
        <f t="shared" si="4"/>
        <v/>
      </c>
      <c r="F95" s="12">
        <f>IFERROR(INDEX('Production Matrix'!$B:$B,E95,0),0)</f>
        <v>0</v>
      </c>
    </row>
    <row r="96" spans="1:6">
      <c r="A96" s="1">
        <v>94</v>
      </c>
      <c r="B96">
        <f t="shared" si="3"/>
        <v>282</v>
      </c>
      <c r="C96" s="11" t="e">
        <f>IF(1*('Production Matrix'!A:A="تكلفة انتاج الوحدة")*ROW('Production Matrix'!#REF!)=0,1/0,1*('Production Matrix'!A:A="تكلفة انتاج الوحدة")*ROW('Production Matrix'!#REF!))</f>
        <v>#REF!</v>
      </c>
      <c r="D96" s="11" t="str">
        <f>IFERROR(_xlfn.AGGREGATE(15,6,$C$3:$C$53,ROW('Production Matrix'!#REF!)),"")</f>
        <v/>
      </c>
      <c r="E96" s="11" t="str">
        <f t="shared" si="4"/>
        <v/>
      </c>
      <c r="F96" s="12">
        <f>IFERROR(INDEX('Production Matrix'!$B:$B,E96,0),0)</f>
        <v>0</v>
      </c>
    </row>
    <row r="97" spans="1:6">
      <c r="A97" s="1">
        <v>95</v>
      </c>
      <c r="B97">
        <f t="shared" si="3"/>
        <v>285</v>
      </c>
      <c r="C97" s="11" t="e">
        <f>IF(1*('Production Matrix'!A:A="تكلفة انتاج الوحدة")*ROW('Production Matrix'!#REF!)=0,1/0,1*('Production Matrix'!A:A="تكلفة انتاج الوحدة")*ROW('Production Matrix'!#REF!))</f>
        <v>#REF!</v>
      </c>
      <c r="D97" s="11" t="str">
        <f>IFERROR(_xlfn.AGGREGATE(15,6,$C$3:$C$53,ROW('Production Matrix'!#REF!)),"")</f>
        <v/>
      </c>
      <c r="E97" s="11" t="str">
        <f t="shared" si="4"/>
        <v/>
      </c>
      <c r="F97" s="12">
        <f>IFERROR(INDEX('Production Matrix'!$B:$B,E97,0),0)</f>
        <v>0</v>
      </c>
    </row>
    <row r="98" spans="1:6">
      <c r="A98" s="1">
        <v>96</v>
      </c>
      <c r="B98">
        <f t="shared" si="3"/>
        <v>288</v>
      </c>
      <c r="C98" s="11" t="e">
        <f>IF(1*('Production Matrix'!A:A="تكلفة انتاج الوحدة")*ROW('Production Matrix'!#REF!)=0,1/0,1*('Production Matrix'!A:A="تكلفة انتاج الوحدة")*ROW('Production Matrix'!#REF!))</f>
        <v>#REF!</v>
      </c>
      <c r="D98" s="11" t="str">
        <f>IFERROR(_xlfn.AGGREGATE(15,6,$C$3:$C$53,ROW('Production Matrix'!#REF!)),"")</f>
        <v/>
      </c>
      <c r="E98" s="11" t="str">
        <f t="shared" si="4"/>
        <v/>
      </c>
      <c r="F98" s="12">
        <f>IFERROR(INDEX('Production Matrix'!$B:$B,E98,0),0)</f>
        <v>0</v>
      </c>
    </row>
    <row r="99" spans="1:6">
      <c r="A99" s="1">
        <v>97</v>
      </c>
      <c r="B99">
        <f t="shared" si="3"/>
        <v>291</v>
      </c>
      <c r="C99" s="11" t="e">
        <f>IF(1*('Production Matrix'!A:A="تكلفة انتاج الوحدة")*ROW('Production Matrix'!#REF!)=0,1/0,1*('Production Matrix'!A:A="تكلفة انتاج الوحدة")*ROW('Production Matrix'!#REF!))</f>
        <v>#REF!</v>
      </c>
      <c r="D99" s="11" t="str">
        <f>IFERROR(_xlfn.AGGREGATE(15,6,$C$3:$C$53,ROW('Production Matrix'!#REF!)),"")</f>
        <v/>
      </c>
      <c r="E99" s="11" t="str">
        <f t="shared" si="4"/>
        <v/>
      </c>
      <c r="F99" s="12">
        <f>IFERROR(INDEX('Production Matrix'!$B:$B,E99,0),0)</f>
        <v>0</v>
      </c>
    </row>
    <row r="100" spans="1:6">
      <c r="A100" s="1">
        <v>98</v>
      </c>
      <c r="B100">
        <f t="shared" si="3"/>
        <v>294</v>
      </c>
      <c r="C100" s="11" t="e">
        <f>IF(1*('Production Matrix'!A:A="تكلفة انتاج الوحدة")*ROW('Production Matrix'!#REF!)=0,1/0,1*('Production Matrix'!A:A="تكلفة انتاج الوحدة")*ROW('Production Matrix'!#REF!))</f>
        <v>#REF!</v>
      </c>
      <c r="D100" s="11" t="str">
        <f>IFERROR(_xlfn.AGGREGATE(15,6,$C$3:$C$53,ROW('Production Matrix'!#REF!)),"")</f>
        <v/>
      </c>
      <c r="E100" s="11" t="str">
        <f t="shared" si="4"/>
        <v/>
      </c>
      <c r="F100" s="12">
        <f>IFERROR(INDEX('Production Matrix'!$B:$B,E100,0),0)</f>
        <v>0</v>
      </c>
    </row>
    <row r="101" spans="1:6">
      <c r="A101" s="1">
        <v>99</v>
      </c>
      <c r="B101">
        <f t="shared" si="3"/>
        <v>297</v>
      </c>
      <c r="C101" s="11" t="e">
        <f>IF(1*('Production Matrix'!A:A="تكلفة انتاج الوحدة")*ROW('Production Matrix'!#REF!)=0,1/0,1*('Production Matrix'!A:A="تكلفة انتاج الوحدة")*ROW('Production Matrix'!#REF!))</f>
        <v>#REF!</v>
      </c>
      <c r="D101" s="11" t="str">
        <f>IFERROR(_xlfn.AGGREGATE(15,6,$C$3:$C$53,ROW('Production Matrix'!#REF!)),"")</f>
        <v/>
      </c>
      <c r="E101" s="11" t="str">
        <f t="shared" si="4"/>
        <v/>
      </c>
      <c r="F101" s="12">
        <f>IFERROR(INDEX('Production Matrix'!$B:$B,E101,0),0)</f>
        <v>0</v>
      </c>
    </row>
    <row r="102" spans="1:6">
      <c r="A102" s="1">
        <v>100</v>
      </c>
      <c r="B102">
        <f t="shared" si="3"/>
        <v>300</v>
      </c>
      <c r="C102" s="11" t="e">
        <f>IF(1*('Production Matrix'!A:A="تكلفة انتاج الوحدة")*ROW('Production Matrix'!#REF!)=0,1/0,1*('Production Matrix'!A:A="تكلفة انتاج الوحدة")*ROW('Production Matrix'!#REF!))</f>
        <v>#REF!</v>
      </c>
      <c r="D102" s="11" t="str">
        <f>IFERROR(_xlfn.AGGREGATE(15,6,$C$3:$C$53,ROW('Production Matrix'!#REF!)),"")</f>
        <v/>
      </c>
      <c r="E102" s="11" t="str">
        <f t="shared" si="4"/>
        <v/>
      </c>
      <c r="F102" s="12">
        <f>IFERROR(INDEX('Production Matrix'!$B:$B,E102,0),0)</f>
        <v>0</v>
      </c>
    </row>
    <row r="103" spans="1:6">
      <c r="A103" s="1">
        <v>101</v>
      </c>
      <c r="B103">
        <f t="shared" si="3"/>
        <v>303</v>
      </c>
      <c r="C103" s="11" t="e">
        <f>IF(1*('Production Matrix'!A:A="تكلفة انتاج الوحدة")*ROW('Production Matrix'!#REF!)=0,1/0,1*('Production Matrix'!A:A="تكلفة انتاج الوحدة")*ROW('Production Matrix'!#REF!))</f>
        <v>#REF!</v>
      </c>
      <c r="D103" s="11" t="str">
        <f>IFERROR(_xlfn.AGGREGATE(15,6,$C$3:$C$53,ROW('Production Matrix'!#REF!)),"")</f>
        <v/>
      </c>
      <c r="E103" s="11" t="str">
        <f t="shared" si="4"/>
        <v/>
      </c>
      <c r="F103" s="12">
        <f>IFERROR(INDEX('Production Matrix'!$B:$B,E103,0),0)</f>
        <v>0</v>
      </c>
    </row>
    <row r="104" spans="1:6">
      <c r="A104" s="1">
        <v>102</v>
      </c>
      <c r="B104">
        <f t="shared" si="3"/>
        <v>306</v>
      </c>
      <c r="C104" s="11" t="e">
        <f>IF(1*('Production Matrix'!A:A="تكلفة انتاج الوحدة")*ROW('Production Matrix'!#REF!)=0,1/0,1*('Production Matrix'!A:A="تكلفة انتاج الوحدة")*ROW('Production Matrix'!#REF!))</f>
        <v>#REF!</v>
      </c>
      <c r="D104" s="11" t="str">
        <f>IFERROR(_xlfn.AGGREGATE(15,6,$C$3:$C$53,ROW('Production Matrix'!#REF!)),"")</f>
        <v/>
      </c>
      <c r="E104" s="11" t="str">
        <f t="shared" si="4"/>
        <v/>
      </c>
      <c r="F104" s="12">
        <f>IFERROR(INDEX('Production Matrix'!$B:$B,E104,0),0)</f>
        <v>0</v>
      </c>
    </row>
    <row r="105" spans="1:6">
      <c r="A105" s="1">
        <v>103</v>
      </c>
      <c r="B105">
        <f t="shared" si="3"/>
        <v>309</v>
      </c>
      <c r="C105" s="11" t="e">
        <f>IF(1*('Production Matrix'!A:A="تكلفة انتاج الوحدة")*ROW('Production Matrix'!#REF!)=0,1/0,1*('Production Matrix'!A:A="تكلفة انتاج الوحدة")*ROW('Production Matrix'!#REF!))</f>
        <v>#REF!</v>
      </c>
      <c r="D105" s="11" t="str">
        <f>IFERROR(_xlfn.AGGREGATE(15,6,$C$3:$C$53,ROW('Production Matrix'!#REF!)),"")</f>
        <v/>
      </c>
      <c r="E105" s="11" t="str">
        <f t="shared" si="4"/>
        <v/>
      </c>
      <c r="F105" s="12">
        <f>IFERROR(INDEX('Production Matrix'!$B:$B,E105,0),0)</f>
        <v>0</v>
      </c>
    </row>
    <row r="106" spans="1:6">
      <c r="A106" s="1">
        <v>104</v>
      </c>
      <c r="B106">
        <f t="shared" si="3"/>
        <v>312</v>
      </c>
      <c r="C106" s="11" t="e">
        <f>IF(1*('Production Matrix'!A:A="تكلفة انتاج الوحدة")*ROW('Production Matrix'!#REF!)=0,1/0,1*('Production Matrix'!A:A="تكلفة انتاج الوحدة")*ROW('Production Matrix'!#REF!))</f>
        <v>#REF!</v>
      </c>
      <c r="D106" s="11" t="str">
        <f>IFERROR(_xlfn.AGGREGATE(15,6,$C$3:$C$53,ROW('Production Matrix'!#REF!)),"")</f>
        <v/>
      </c>
      <c r="E106" s="11" t="str">
        <f t="shared" si="4"/>
        <v/>
      </c>
      <c r="F106" s="12">
        <f>IFERROR(INDEX('Production Matrix'!$B:$B,E106,0),0)</f>
        <v>0</v>
      </c>
    </row>
    <row r="107" spans="1:6">
      <c r="A107" s="1">
        <v>105</v>
      </c>
      <c r="B107">
        <f t="shared" si="3"/>
        <v>315</v>
      </c>
      <c r="C107" s="11" t="e">
        <f>IF(1*('Production Matrix'!A:A="تكلفة انتاج الوحدة")*ROW('Production Matrix'!#REF!)=0,1/0,1*('Production Matrix'!A:A="تكلفة انتاج الوحدة")*ROW('Production Matrix'!#REF!))</f>
        <v>#REF!</v>
      </c>
      <c r="D107" s="11" t="str">
        <f>IFERROR(_xlfn.AGGREGATE(15,6,$C$3:$C$53,ROW('Production Matrix'!#REF!)),"")</f>
        <v/>
      </c>
      <c r="E107" s="11" t="str">
        <f t="shared" si="4"/>
        <v/>
      </c>
      <c r="F107" s="12">
        <f>IFERROR(INDEX('Production Matrix'!$B:$B,E107,0),0)</f>
        <v>0</v>
      </c>
    </row>
    <row r="108" spans="1:6">
      <c r="A108" s="1">
        <v>106</v>
      </c>
      <c r="B108">
        <f t="shared" si="3"/>
        <v>318</v>
      </c>
      <c r="C108" s="11" t="e">
        <f>IF(1*('Production Matrix'!A:A="تكلفة انتاج الوحدة")*ROW('Production Matrix'!#REF!)=0,1/0,1*('Production Matrix'!A:A="تكلفة انتاج الوحدة")*ROW('Production Matrix'!#REF!))</f>
        <v>#REF!</v>
      </c>
      <c r="D108" s="11" t="str">
        <f>IFERROR(_xlfn.AGGREGATE(15,6,$C$3:$C$53,ROW('Production Matrix'!#REF!)),"")</f>
        <v/>
      </c>
      <c r="E108" s="11" t="str">
        <f t="shared" si="4"/>
        <v/>
      </c>
      <c r="F108" s="12">
        <f>IFERROR(INDEX('Production Matrix'!$B:$B,E108,0),0)</f>
        <v>0</v>
      </c>
    </row>
    <row r="109" spans="1:6">
      <c r="A109" s="1">
        <v>107</v>
      </c>
      <c r="B109">
        <f t="shared" si="3"/>
        <v>321</v>
      </c>
      <c r="C109" s="11" t="e">
        <f>IF(1*('Production Matrix'!A:A="تكلفة انتاج الوحدة")*ROW('Production Matrix'!#REF!)=0,1/0,1*('Production Matrix'!A:A="تكلفة انتاج الوحدة")*ROW('Production Matrix'!#REF!))</f>
        <v>#REF!</v>
      </c>
      <c r="D109" s="11" t="str">
        <f>IFERROR(_xlfn.AGGREGATE(15,6,$C$3:$C$53,ROW('Production Matrix'!#REF!)),"")</f>
        <v/>
      </c>
      <c r="E109" s="11" t="str">
        <f t="shared" si="4"/>
        <v/>
      </c>
      <c r="F109" s="12">
        <f>IFERROR(INDEX('Production Matrix'!$B:$B,E109,0),0)</f>
        <v>0</v>
      </c>
    </row>
    <row r="110" spans="1:6">
      <c r="A110" s="1">
        <v>108</v>
      </c>
      <c r="B110">
        <f t="shared" si="3"/>
        <v>324</v>
      </c>
      <c r="C110" s="11" t="e">
        <f>IF(1*('Production Matrix'!A:A="تكلفة انتاج الوحدة")*ROW('Production Matrix'!#REF!)=0,1/0,1*('Production Matrix'!A:A="تكلفة انتاج الوحدة")*ROW('Production Matrix'!#REF!))</f>
        <v>#REF!</v>
      </c>
      <c r="D110" s="11" t="str">
        <f>IFERROR(_xlfn.AGGREGATE(15,6,$C$3:$C$53,ROW('Production Matrix'!#REF!)),"")</f>
        <v/>
      </c>
      <c r="E110" s="11" t="str">
        <f t="shared" si="4"/>
        <v/>
      </c>
      <c r="F110" s="12">
        <f>IFERROR(INDEX('Production Matrix'!$B:$B,E110,0),0)</f>
        <v>0</v>
      </c>
    </row>
    <row r="111" spans="1:6">
      <c r="A111" s="1">
        <v>109</v>
      </c>
      <c r="B111">
        <f t="shared" si="3"/>
        <v>327</v>
      </c>
      <c r="C111" s="11" t="e">
        <f>IF(1*('Production Matrix'!A:A="تكلفة انتاج الوحدة")*ROW('Production Matrix'!#REF!)=0,1/0,1*('Production Matrix'!A:A="تكلفة انتاج الوحدة")*ROW('Production Matrix'!#REF!))</f>
        <v>#REF!</v>
      </c>
      <c r="D111" s="11" t="str">
        <f>IFERROR(_xlfn.AGGREGATE(15,6,$C$3:$C$53,ROW('Production Matrix'!#REF!)),"")</f>
        <v/>
      </c>
      <c r="E111" s="11" t="str">
        <f t="shared" si="4"/>
        <v/>
      </c>
      <c r="F111" s="12">
        <f>IFERROR(INDEX('Production Matrix'!$B:$B,E111,0),0)</f>
        <v>0</v>
      </c>
    </row>
    <row r="112" spans="1:6">
      <c r="A112" s="1">
        <v>110</v>
      </c>
      <c r="B112">
        <f t="shared" si="3"/>
        <v>330</v>
      </c>
      <c r="C112" s="11" t="e">
        <f>IF(1*('Production Matrix'!A:A="تكلفة انتاج الوحدة")*ROW('Production Matrix'!#REF!)=0,1/0,1*('Production Matrix'!A:A="تكلفة انتاج الوحدة")*ROW('Production Matrix'!#REF!))</f>
        <v>#REF!</v>
      </c>
      <c r="D112" s="11" t="str">
        <f>IFERROR(_xlfn.AGGREGATE(15,6,$C$3:$C$53,ROW('Production Matrix'!#REF!)),"")</f>
        <v/>
      </c>
      <c r="E112" s="11" t="str">
        <f t="shared" si="4"/>
        <v/>
      </c>
      <c r="F112" s="12">
        <f>IFERROR(INDEX('Production Matrix'!$B:$B,E112,0),0)</f>
        <v>0</v>
      </c>
    </row>
    <row r="113" spans="1:6">
      <c r="A113" s="1">
        <v>111</v>
      </c>
      <c r="B113">
        <f t="shared" si="3"/>
        <v>333</v>
      </c>
      <c r="C113" s="11" t="e">
        <f>IF(1*('Production Matrix'!A:A="تكلفة انتاج الوحدة")*ROW('Production Matrix'!#REF!)=0,1/0,1*('Production Matrix'!A:A="تكلفة انتاج الوحدة")*ROW('Production Matrix'!#REF!))</f>
        <v>#REF!</v>
      </c>
      <c r="D113" s="11" t="str">
        <f>IFERROR(_xlfn.AGGREGATE(15,6,$C$3:$C$53,ROW('Production Matrix'!#REF!)),"")</f>
        <v/>
      </c>
      <c r="E113" s="11" t="str">
        <f t="shared" si="4"/>
        <v/>
      </c>
      <c r="F113" s="12">
        <f>IFERROR(INDEX('Production Matrix'!$B:$B,E113,0),0)</f>
        <v>0</v>
      </c>
    </row>
    <row r="114" spans="1:6">
      <c r="A114" s="1">
        <v>112</v>
      </c>
      <c r="B114">
        <f t="shared" si="3"/>
        <v>336</v>
      </c>
      <c r="C114" s="11" t="e">
        <f>IF(1*('Production Matrix'!A:A="تكلفة انتاج الوحدة")*ROW('Production Matrix'!#REF!)=0,1/0,1*('Production Matrix'!A:A="تكلفة انتاج الوحدة")*ROW('Production Matrix'!#REF!))</f>
        <v>#REF!</v>
      </c>
      <c r="D114" s="11" t="str">
        <f>IFERROR(_xlfn.AGGREGATE(15,6,$C$3:$C$53,ROW('Production Matrix'!#REF!)),"")</f>
        <v/>
      </c>
      <c r="E114" s="11" t="str">
        <f t="shared" si="4"/>
        <v/>
      </c>
      <c r="F114" s="12">
        <f>IFERROR(INDEX('Production Matrix'!$B:$B,E114,0),0)</f>
        <v>0</v>
      </c>
    </row>
    <row r="115" spans="1:6">
      <c r="A115" s="1">
        <v>113</v>
      </c>
      <c r="B115">
        <f t="shared" si="3"/>
        <v>339</v>
      </c>
      <c r="C115" s="11" t="e">
        <f>IF(1*('Production Matrix'!A:A="تكلفة انتاج الوحدة")*ROW('Production Matrix'!#REF!)=0,1/0,1*('Production Matrix'!A:A="تكلفة انتاج الوحدة")*ROW('Production Matrix'!#REF!))</f>
        <v>#REF!</v>
      </c>
      <c r="D115" s="11" t="str">
        <f>IFERROR(_xlfn.AGGREGATE(15,6,$C$3:$C$53,ROW('Production Matrix'!#REF!)),"")</f>
        <v/>
      </c>
      <c r="E115" s="11" t="str">
        <f t="shared" si="4"/>
        <v/>
      </c>
      <c r="F115" s="12">
        <f>IFERROR(INDEX('Production Matrix'!$B:$B,E115,0),0)</f>
        <v>0</v>
      </c>
    </row>
    <row r="116" spans="1:6">
      <c r="A116" s="1">
        <v>114</v>
      </c>
      <c r="B116">
        <f t="shared" si="3"/>
        <v>342</v>
      </c>
      <c r="C116" s="11" t="e">
        <f>IF(1*('Production Matrix'!A:A="تكلفة انتاج الوحدة")*ROW('Production Matrix'!#REF!)=0,1/0,1*('Production Matrix'!A:A="تكلفة انتاج الوحدة")*ROW('Production Matrix'!#REF!))</f>
        <v>#REF!</v>
      </c>
      <c r="D116" s="11" t="str">
        <f>IFERROR(_xlfn.AGGREGATE(15,6,$C$3:$C$53,ROW('Production Matrix'!#REF!)),"")</f>
        <v/>
      </c>
      <c r="E116" s="11" t="str">
        <f t="shared" si="4"/>
        <v/>
      </c>
      <c r="F116" s="12">
        <f>IFERROR(INDEX('Production Matrix'!$B:$B,E116,0),0)</f>
        <v>0</v>
      </c>
    </row>
    <row r="117" spans="1:6">
      <c r="A117" s="1">
        <v>115</v>
      </c>
      <c r="B117">
        <f t="shared" si="3"/>
        <v>345</v>
      </c>
      <c r="C117" s="11" t="e">
        <f>IF(1*('Production Matrix'!A:A="تكلفة انتاج الوحدة")*ROW('Production Matrix'!#REF!)=0,1/0,1*('Production Matrix'!A:A="تكلفة انتاج الوحدة")*ROW('Production Matrix'!#REF!))</f>
        <v>#REF!</v>
      </c>
      <c r="D117" s="11" t="str">
        <f>IFERROR(_xlfn.AGGREGATE(15,6,$C$3:$C$53,ROW('Production Matrix'!#REF!)),"")</f>
        <v/>
      </c>
      <c r="E117" s="11" t="str">
        <f t="shared" si="4"/>
        <v/>
      </c>
      <c r="F117" s="12">
        <f>IFERROR(INDEX('Production Matrix'!$B:$B,E117,0),0)</f>
        <v>0</v>
      </c>
    </row>
    <row r="118" spans="1:6">
      <c r="A118" s="1">
        <v>116</v>
      </c>
      <c r="B118">
        <f t="shared" si="3"/>
        <v>348</v>
      </c>
      <c r="C118" s="11" t="e">
        <f>IF(1*('Production Matrix'!A:A="تكلفة انتاج الوحدة")*ROW('Production Matrix'!#REF!)=0,1/0,1*('Production Matrix'!A:A="تكلفة انتاج الوحدة")*ROW('Production Matrix'!#REF!))</f>
        <v>#REF!</v>
      </c>
      <c r="D118" s="11" t="str">
        <f>IFERROR(_xlfn.AGGREGATE(15,6,$C$3:$C$53,ROW('Production Matrix'!#REF!)),"")</f>
        <v/>
      </c>
      <c r="E118" s="11" t="str">
        <f t="shared" si="4"/>
        <v/>
      </c>
      <c r="F118" s="12">
        <f>IFERROR(INDEX('Production Matrix'!$B:$B,E118,0),0)</f>
        <v>0</v>
      </c>
    </row>
    <row r="119" spans="1:6">
      <c r="A119" s="1">
        <v>117</v>
      </c>
      <c r="B119">
        <f t="shared" si="3"/>
        <v>351</v>
      </c>
      <c r="C119" s="11" t="e">
        <f>IF(1*('Production Matrix'!A:A="تكلفة انتاج الوحدة")*ROW('Production Matrix'!#REF!)=0,1/0,1*('Production Matrix'!A:A="تكلفة انتاج الوحدة")*ROW('Production Matrix'!#REF!))</f>
        <v>#REF!</v>
      </c>
      <c r="D119" s="11" t="str">
        <f>IFERROR(_xlfn.AGGREGATE(15,6,$C$3:$C$53,ROW('Production Matrix'!#REF!)),"")</f>
        <v/>
      </c>
      <c r="E119" s="11" t="str">
        <f t="shared" si="4"/>
        <v/>
      </c>
      <c r="F119" s="12">
        <f>IFERROR(INDEX('Production Matrix'!$B:$B,E119,0),0)</f>
        <v>0</v>
      </c>
    </row>
    <row r="120" spans="1:6">
      <c r="A120" s="1">
        <v>118</v>
      </c>
      <c r="B120">
        <f t="shared" si="3"/>
        <v>354</v>
      </c>
      <c r="C120" s="11" t="e">
        <f>IF(1*('Production Matrix'!A:A="تكلفة انتاج الوحدة")*ROW('Production Matrix'!#REF!)=0,1/0,1*('Production Matrix'!A:A="تكلفة انتاج الوحدة")*ROW('Production Matrix'!#REF!))</f>
        <v>#REF!</v>
      </c>
      <c r="D120" s="11" t="str">
        <f>IFERROR(_xlfn.AGGREGATE(15,6,$C$3:$C$53,ROW('Production Matrix'!#REF!)),"")</f>
        <v/>
      </c>
      <c r="E120" s="11" t="str">
        <f t="shared" si="4"/>
        <v/>
      </c>
      <c r="F120" s="12">
        <f>IFERROR(INDEX('Production Matrix'!$B:$B,E120,0),0)</f>
        <v>0</v>
      </c>
    </row>
    <row r="121" spans="1:6">
      <c r="A121" s="1">
        <v>119</v>
      </c>
      <c r="B121">
        <f t="shared" si="3"/>
        <v>357</v>
      </c>
      <c r="C121" s="11" t="e">
        <f>IF(1*('Production Matrix'!A:A="تكلفة انتاج الوحدة")*ROW('Production Matrix'!#REF!)=0,1/0,1*('Production Matrix'!A:A="تكلفة انتاج الوحدة")*ROW('Production Matrix'!#REF!))</f>
        <v>#REF!</v>
      </c>
      <c r="D121" s="11" t="str">
        <f>IFERROR(_xlfn.AGGREGATE(15,6,$C$3:$C$53,ROW('Production Matrix'!#REF!)),"")</f>
        <v/>
      </c>
      <c r="E121" s="11" t="str">
        <f t="shared" si="4"/>
        <v/>
      </c>
      <c r="F121" s="12">
        <f>IFERROR(INDEX('Production Matrix'!$B:$B,E121,0),0)</f>
        <v>0</v>
      </c>
    </row>
    <row r="122" spans="1:6">
      <c r="A122" s="1">
        <v>120</v>
      </c>
      <c r="B122">
        <f t="shared" si="3"/>
        <v>360</v>
      </c>
      <c r="C122" s="11" t="e">
        <f>IF(1*('Production Matrix'!A:A="تكلفة انتاج الوحدة")*ROW('Production Matrix'!#REF!)=0,1/0,1*('Production Matrix'!A:A="تكلفة انتاج الوحدة")*ROW('Production Matrix'!#REF!))</f>
        <v>#REF!</v>
      </c>
      <c r="D122" s="11" t="str">
        <f>IFERROR(_xlfn.AGGREGATE(15,6,$C$3:$C$53,ROW('Production Matrix'!#REF!)),"")</f>
        <v/>
      </c>
      <c r="E122" s="11" t="str">
        <f t="shared" si="4"/>
        <v/>
      </c>
      <c r="F122" s="12">
        <f>IFERROR(INDEX('Production Matrix'!$B:$B,E122,0),0)</f>
        <v>0</v>
      </c>
    </row>
    <row r="123" spans="1:6">
      <c r="A123" s="1">
        <v>121</v>
      </c>
      <c r="B123">
        <f t="shared" si="3"/>
        <v>363</v>
      </c>
      <c r="C123" s="11" t="e">
        <f>IF(1*('Production Matrix'!A:A="تكلفة انتاج الوحدة")*ROW('Production Matrix'!#REF!)=0,1/0,1*('Production Matrix'!A:A="تكلفة انتاج الوحدة")*ROW('Production Matrix'!#REF!))</f>
        <v>#REF!</v>
      </c>
      <c r="D123" s="11" t="str">
        <f>IFERROR(_xlfn.AGGREGATE(15,6,$C$3:$C$53,ROW('Production Matrix'!#REF!)),"")</f>
        <v/>
      </c>
      <c r="E123" s="11" t="str">
        <f t="shared" si="4"/>
        <v/>
      </c>
      <c r="F123" s="12">
        <f>IFERROR(INDEX('Production Matrix'!$B:$B,E123,0),0)</f>
        <v>0</v>
      </c>
    </row>
    <row r="124" spans="1:6">
      <c r="A124" s="1">
        <v>122</v>
      </c>
      <c r="B124">
        <f t="shared" si="3"/>
        <v>366</v>
      </c>
      <c r="C124" s="11" t="e">
        <f>IF(1*('Production Matrix'!A:A="تكلفة انتاج الوحدة")*ROW('Production Matrix'!#REF!)=0,1/0,1*('Production Matrix'!A:A="تكلفة انتاج الوحدة")*ROW('Production Matrix'!#REF!))</f>
        <v>#REF!</v>
      </c>
      <c r="D124" s="11" t="str">
        <f>IFERROR(_xlfn.AGGREGATE(15,6,$C$3:$C$53,ROW('Production Matrix'!#REF!)),"")</f>
        <v/>
      </c>
      <c r="E124" s="11" t="str">
        <f t="shared" si="4"/>
        <v/>
      </c>
      <c r="F124" s="12">
        <f>IFERROR(INDEX('Production Matrix'!$B:$B,E124,0),0)</f>
        <v>0</v>
      </c>
    </row>
    <row r="125" spans="1:6">
      <c r="A125" s="1">
        <v>123</v>
      </c>
      <c r="B125">
        <f t="shared" si="3"/>
        <v>369</v>
      </c>
      <c r="C125" s="11" t="e">
        <f>IF(1*('Production Matrix'!A:A="تكلفة انتاج الوحدة")*ROW('Production Matrix'!#REF!)=0,1/0,1*('Production Matrix'!A:A="تكلفة انتاج الوحدة")*ROW('Production Matrix'!#REF!))</f>
        <v>#REF!</v>
      </c>
      <c r="D125" s="11" t="str">
        <f>IFERROR(_xlfn.AGGREGATE(15,6,$C$3:$C$53,ROW('Production Matrix'!#REF!)),"")</f>
        <v/>
      </c>
      <c r="E125" s="11" t="str">
        <f t="shared" si="4"/>
        <v/>
      </c>
      <c r="F125" s="12">
        <f>IFERROR(INDEX('Production Matrix'!$B:$B,E125,0),0)</f>
        <v>0</v>
      </c>
    </row>
    <row r="126" spans="1:6">
      <c r="A126" s="1">
        <v>124</v>
      </c>
      <c r="B126">
        <f t="shared" si="3"/>
        <v>372</v>
      </c>
      <c r="C126" s="11" t="e">
        <f>IF(1*('Production Matrix'!A:A="تكلفة انتاج الوحدة")*ROW('Production Matrix'!#REF!)=0,1/0,1*('Production Matrix'!A:A="تكلفة انتاج الوحدة")*ROW('Production Matrix'!#REF!))</f>
        <v>#REF!</v>
      </c>
      <c r="D126" s="11" t="str">
        <f>IFERROR(_xlfn.AGGREGATE(15,6,$C$3:$C$53,ROW('Production Matrix'!#REF!)),"")</f>
        <v/>
      </c>
      <c r="E126" s="11" t="str">
        <f t="shared" si="4"/>
        <v/>
      </c>
      <c r="F126" s="12">
        <f>IFERROR(INDEX('Production Matrix'!$B:$B,E126,0),0)</f>
        <v>0</v>
      </c>
    </row>
    <row r="127" spans="1:6">
      <c r="A127" s="1">
        <v>125</v>
      </c>
      <c r="B127">
        <f t="shared" si="3"/>
        <v>375</v>
      </c>
      <c r="C127" s="11" t="e">
        <f>IF(1*('Production Matrix'!A:A="تكلفة انتاج الوحدة")*ROW('Production Matrix'!#REF!)=0,1/0,1*('Production Matrix'!A:A="تكلفة انتاج الوحدة")*ROW('Production Matrix'!#REF!))</f>
        <v>#REF!</v>
      </c>
      <c r="D127" s="11" t="str">
        <f>IFERROR(_xlfn.AGGREGATE(15,6,$C$3:$C$53,ROW('Production Matrix'!#REF!)),"")</f>
        <v/>
      </c>
      <c r="E127" s="11" t="str">
        <f t="shared" si="4"/>
        <v/>
      </c>
      <c r="F127" s="12">
        <f>IFERROR(INDEX('Production Matrix'!$B:$B,E127,0),0)</f>
        <v>0</v>
      </c>
    </row>
    <row r="128" spans="1:6">
      <c r="A128" s="1">
        <v>126</v>
      </c>
      <c r="B128">
        <f t="shared" si="3"/>
        <v>378</v>
      </c>
      <c r="C128" s="11" t="e">
        <f>IF(1*('Production Matrix'!A:A="تكلفة انتاج الوحدة")*ROW('Production Matrix'!#REF!)=0,1/0,1*('Production Matrix'!A:A="تكلفة انتاج الوحدة")*ROW('Production Matrix'!#REF!))</f>
        <v>#REF!</v>
      </c>
      <c r="D128" s="11" t="str">
        <f>IFERROR(_xlfn.AGGREGATE(15,6,$C$3:$C$53,ROW('Production Matrix'!#REF!)),"")</f>
        <v/>
      </c>
      <c r="E128" s="11" t="str">
        <f t="shared" si="4"/>
        <v/>
      </c>
      <c r="F128" s="12">
        <f>IFERROR(INDEX('Production Matrix'!$B:$B,E128,0),0)</f>
        <v>0</v>
      </c>
    </row>
    <row r="129" spans="1:6">
      <c r="A129" s="1">
        <v>127</v>
      </c>
      <c r="B129">
        <f t="shared" si="3"/>
        <v>381</v>
      </c>
      <c r="C129" s="11" t="e">
        <f>IF(1*('Production Matrix'!A:A="تكلفة انتاج الوحدة")*ROW('Production Matrix'!#REF!)=0,1/0,1*('Production Matrix'!A:A="تكلفة انتاج الوحدة")*ROW('Production Matrix'!#REF!))</f>
        <v>#REF!</v>
      </c>
      <c r="D129" s="11" t="str">
        <f>IFERROR(_xlfn.AGGREGATE(15,6,$C$3:$C$53,ROW('Production Matrix'!#REF!)),"")</f>
        <v/>
      </c>
      <c r="E129" s="11" t="str">
        <f t="shared" si="4"/>
        <v/>
      </c>
      <c r="F129" s="12">
        <f>IFERROR(INDEX('Production Matrix'!$B:$B,E129,0),0)</f>
        <v>0</v>
      </c>
    </row>
    <row r="130" spans="1:6">
      <c r="A130" s="1">
        <v>128</v>
      </c>
      <c r="B130">
        <f t="shared" si="3"/>
        <v>384</v>
      </c>
      <c r="C130" s="11" t="e">
        <f>IF(1*('Production Matrix'!A:A="تكلفة انتاج الوحدة")*ROW('Production Matrix'!#REF!)=0,1/0,1*('Production Matrix'!A:A="تكلفة انتاج الوحدة")*ROW('Production Matrix'!#REF!))</f>
        <v>#REF!</v>
      </c>
      <c r="D130" s="11" t="str">
        <f>IFERROR(_xlfn.AGGREGATE(15,6,$C$3:$C$53,ROW('Production Matrix'!#REF!)),"")</f>
        <v/>
      </c>
      <c r="E130" s="11" t="str">
        <f t="shared" si="4"/>
        <v/>
      </c>
      <c r="F130" s="12">
        <f>IFERROR(INDEX('Production Matrix'!$B:$B,E130,0),0)</f>
        <v>0</v>
      </c>
    </row>
    <row r="131" spans="1:6">
      <c r="A131" s="1">
        <v>129</v>
      </c>
      <c r="B131">
        <f t="shared" si="3"/>
        <v>387</v>
      </c>
      <c r="C131" s="11" t="e">
        <f>IF(1*('Production Matrix'!A:A="تكلفة انتاج الوحدة")*ROW('Production Matrix'!#REF!)=0,1/0,1*('Production Matrix'!A:A="تكلفة انتاج الوحدة")*ROW('Production Matrix'!#REF!))</f>
        <v>#REF!</v>
      </c>
      <c r="D131" s="11" t="str">
        <f>IFERROR(_xlfn.AGGREGATE(15,6,$C$3:$C$53,ROW('Production Matrix'!#REF!)),"")</f>
        <v/>
      </c>
      <c r="E131" s="11" t="str">
        <f t="shared" si="4"/>
        <v/>
      </c>
      <c r="F131" s="12">
        <f>IFERROR(INDEX('Production Matrix'!$B:$B,E131,0),0)</f>
        <v>0</v>
      </c>
    </row>
    <row r="132" spans="1:6">
      <c r="A132" s="1">
        <v>130</v>
      </c>
      <c r="B132">
        <f t="shared" ref="B132:B195" si="5">A132*3</f>
        <v>390</v>
      </c>
      <c r="C132" s="11" t="e">
        <f>IF(1*('Production Matrix'!A:A="تكلفة انتاج الوحدة")*ROW('Production Matrix'!#REF!)=0,1/0,1*('Production Matrix'!A:A="تكلفة انتاج الوحدة")*ROW('Production Matrix'!#REF!))</f>
        <v>#REF!</v>
      </c>
      <c r="D132" s="11" t="str">
        <f>IFERROR(_xlfn.AGGREGATE(15,6,$C$3:$C$53,ROW('Production Matrix'!#REF!)),"")</f>
        <v/>
      </c>
      <c r="E132" s="11" t="str">
        <f t="shared" si="4"/>
        <v/>
      </c>
      <c r="F132" s="12">
        <f>IFERROR(INDEX('Production Matrix'!$B:$B,E132,0),0)</f>
        <v>0</v>
      </c>
    </row>
    <row r="133" spans="1:6">
      <c r="A133" s="1">
        <v>131</v>
      </c>
      <c r="B133">
        <f t="shared" si="5"/>
        <v>393</v>
      </c>
      <c r="C133" s="11" t="e">
        <f>IF(1*('Production Matrix'!A:A="تكلفة انتاج الوحدة")*ROW('Production Matrix'!#REF!)=0,1/0,1*('Production Matrix'!A:A="تكلفة انتاج الوحدة")*ROW('Production Matrix'!#REF!))</f>
        <v>#REF!</v>
      </c>
      <c r="D133" s="11" t="str">
        <f>IFERROR(_xlfn.AGGREGATE(15,6,$C$3:$C$53,ROW('Production Matrix'!#REF!)),"")</f>
        <v/>
      </c>
      <c r="E133" s="11" t="str">
        <f t="shared" si="4"/>
        <v/>
      </c>
      <c r="F133" s="12">
        <f>IFERROR(INDEX('Production Matrix'!$B:$B,E133,0),0)</f>
        <v>0</v>
      </c>
    </row>
    <row r="134" spans="1:6">
      <c r="A134" s="1">
        <v>132</v>
      </c>
      <c r="B134">
        <f t="shared" si="5"/>
        <v>396</v>
      </c>
      <c r="C134" s="11" t="e">
        <f>IF(1*('Production Matrix'!A:A="تكلفة انتاج الوحدة")*ROW('Production Matrix'!#REF!)=0,1/0,1*('Production Matrix'!A:A="تكلفة انتاج الوحدة")*ROW('Production Matrix'!#REF!))</f>
        <v>#REF!</v>
      </c>
      <c r="D134" s="11" t="str">
        <f>IFERROR(_xlfn.AGGREGATE(15,6,$C$3:$C$53,ROW('Production Matrix'!#REF!)),"")</f>
        <v/>
      </c>
      <c r="E134" s="11" t="str">
        <f t="shared" si="4"/>
        <v/>
      </c>
      <c r="F134" s="12">
        <f>IFERROR(INDEX('Production Matrix'!$B:$B,E134,0),0)</f>
        <v>0</v>
      </c>
    </row>
    <row r="135" spans="1:6">
      <c r="A135" s="1">
        <v>133</v>
      </c>
      <c r="B135">
        <f t="shared" si="5"/>
        <v>399</v>
      </c>
      <c r="C135" s="11" t="e">
        <f>IF(1*('Production Matrix'!A:A="تكلفة انتاج الوحدة")*ROW('Production Matrix'!#REF!)=0,1/0,1*('Production Matrix'!A:A="تكلفة انتاج الوحدة")*ROW('Production Matrix'!#REF!))</f>
        <v>#REF!</v>
      </c>
      <c r="D135" s="11" t="str">
        <f>IFERROR(_xlfn.AGGREGATE(15,6,$C$3:$C$53,ROW('Production Matrix'!#REF!)),"")</f>
        <v/>
      </c>
      <c r="E135" s="11" t="str">
        <f t="shared" ref="E135:E198" si="6">IFERROR(D135+3,"")</f>
        <v/>
      </c>
      <c r="F135" s="12">
        <f>IFERROR(INDEX('Production Matrix'!$B:$B,E135,0),0)</f>
        <v>0</v>
      </c>
    </row>
    <row r="136" spans="1:6">
      <c r="A136" s="1">
        <v>134</v>
      </c>
      <c r="B136">
        <f t="shared" si="5"/>
        <v>402</v>
      </c>
      <c r="C136" s="11" t="e">
        <f>IF(1*('Production Matrix'!A:A="تكلفة انتاج الوحدة")*ROW('Production Matrix'!#REF!)=0,1/0,1*('Production Matrix'!A:A="تكلفة انتاج الوحدة")*ROW('Production Matrix'!#REF!))</f>
        <v>#REF!</v>
      </c>
      <c r="D136" s="11" t="str">
        <f>IFERROR(_xlfn.AGGREGATE(15,6,$C$3:$C$53,ROW('Production Matrix'!#REF!)),"")</f>
        <v/>
      </c>
      <c r="E136" s="11" t="str">
        <f t="shared" si="6"/>
        <v/>
      </c>
      <c r="F136" s="12">
        <f>IFERROR(INDEX('Production Matrix'!$B:$B,E136,0),0)</f>
        <v>0</v>
      </c>
    </row>
    <row r="137" spans="1:6">
      <c r="A137" s="1">
        <v>135</v>
      </c>
      <c r="B137">
        <f t="shared" si="5"/>
        <v>405</v>
      </c>
      <c r="C137" s="11" t="e">
        <f>IF(1*('Production Matrix'!A:A="تكلفة انتاج الوحدة")*ROW('Production Matrix'!#REF!)=0,1/0,1*('Production Matrix'!A:A="تكلفة انتاج الوحدة")*ROW('Production Matrix'!#REF!))</f>
        <v>#REF!</v>
      </c>
      <c r="D137" s="11" t="str">
        <f>IFERROR(_xlfn.AGGREGATE(15,6,$C$3:$C$53,ROW('Production Matrix'!#REF!)),"")</f>
        <v/>
      </c>
      <c r="E137" s="11" t="str">
        <f t="shared" si="6"/>
        <v/>
      </c>
      <c r="F137" s="12">
        <f>IFERROR(INDEX('Production Matrix'!$B:$B,E137,0),0)</f>
        <v>0</v>
      </c>
    </row>
    <row r="138" spans="1:6">
      <c r="A138" s="1">
        <v>136</v>
      </c>
      <c r="B138">
        <f t="shared" si="5"/>
        <v>408</v>
      </c>
      <c r="C138" s="11" t="e">
        <f>IF(1*('Production Matrix'!A:A="تكلفة انتاج الوحدة")*ROW('Production Matrix'!#REF!)=0,1/0,1*('Production Matrix'!A:A="تكلفة انتاج الوحدة")*ROW('Production Matrix'!#REF!))</f>
        <v>#REF!</v>
      </c>
      <c r="D138" s="11" t="str">
        <f>IFERROR(_xlfn.AGGREGATE(15,6,$C$3:$C$53,ROW('Production Matrix'!#REF!)),"")</f>
        <v/>
      </c>
      <c r="E138" s="11" t="str">
        <f t="shared" si="6"/>
        <v/>
      </c>
      <c r="F138" s="12">
        <f>IFERROR(INDEX('Production Matrix'!$B:$B,E138,0),0)</f>
        <v>0</v>
      </c>
    </row>
    <row r="139" spans="1:6">
      <c r="A139" s="1">
        <v>137</v>
      </c>
      <c r="B139">
        <f t="shared" si="5"/>
        <v>411</v>
      </c>
      <c r="C139" s="11" t="e">
        <f>IF(1*('Production Matrix'!A:A="تكلفة انتاج الوحدة")*ROW('Production Matrix'!#REF!)=0,1/0,1*('Production Matrix'!A:A="تكلفة انتاج الوحدة")*ROW('Production Matrix'!#REF!))</f>
        <v>#REF!</v>
      </c>
      <c r="D139" s="11" t="str">
        <f>IFERROR(_xlfn.AGGREGATE(15,6,$C$3:$C$53,ROW('Production Matrix'!#REF!)),"")</f>
        <v/>
      </c>
      <c r="E139" s="11" t="str">
        <f t="shared" si="6"/>
        <v/>
      </c>
      <c r="F139" s="12">
        <f>IFERROR(INDEX('Production Matrix'!$B:$B,E139,0),0)</f>
        <v>0</v>
      </c>
    </row>
    <row r="140" spans="1:6">
      <c r="A140" s="1">
        <v>138</v>
      </c>
      <c r="B140">
        <f t="shared" si="5"/>
        <v>414</v>
      </c>
      <c r="C140" s="11" t="e">
        <f>IF(1*('Production Matrix'!A:A="تكلفة انتاج الوحدة")*ROW('Production Matrix'!#REF!)=0,1/0,1*('Production Matrix'!A:A="تكلفة انتاج الوحدة")*ROW('Production Matrix'!#REF!))</f>
        <v>#REF!</v>
      </c>
      <c r="D140" s="11" t="str">
        <f>IFERROR(_xlfn.AGGREGATE(15,6,$C$3:$C$53,ROW('Production Matrix'!#REF!)),"")</f>
        <v/>
      </c>
      <c r="E140" s="11" t="str">
        <f t="shared" si="6"/>
        <v/>
      </c>
      <c r="F140" s="12">
        <f>IFERROR(INDEX('Production Matrix'!$B:$B,E140,0),0)</f>
        <v>0</v>
      </c>
    </row>
    <row r="141" spans="1:6">
      <c r="A141" s="1">
        <v>139</v>
      </c>
      <c r="B141">
        <f t="shared" si="5"/>
        <v>417</v>
      </c>
      <c r="C141" s="11" t="e">
        <f>IF(1*('Production Matrix'!A:A="تكلفة انتاج الوحدة")*ROW('Production Matrix'!#REF!)=0,1/0,1*('Production Matrix'!A:A="تكلفة انتاج الوحدة")*ROW('Production Matrix'!#REF!))</f>
        <v>#REF!</v>
      </c>
      <c r="D141" s="11" t="str">
        <f>IFERROR(_xlfn.AGGREGATE(15,6,$C$3:$C$53,ROW('Production Matrix'!#REF!)),"")</f>
        <v/>
      </c>
      <c r="E141" s="11" t="str">
        <f t="shared" si="6"/>
        <v/>
      </c>
      <c r="F141" s="12">
        <f>IFERROR(INDEX('Production Matrix'!$B:$B,E141,0),0)</f>
        <v>0</v>
      </c>
    </row>
    <row r="142" spans="1:6">
      <c r="A142" s="1">
        <v>140</v>
      </c>
      <c r="B142">
        <f t="shared" si="5"/>
        <v>420</v>
      </c>
      <c r="C142" s="11" t="e">
        <f>IF(1*('Production Matrix'!A:A="تكلفة انتاج الوحدة")*ROW('Production Matrix'!#REF!)=0,1/0,1*('Production Matrix'!A:A="تكلفة انتاج الوحدة")*ROW('Production Matrix'!#REF!))</f>
        <v>#REF!</v>
      </c>
      <c r="D142" s="11" t="str">
        <f>IFERROR(_xlfn.AGGREGATE(15,6,$C$3:$C$53,ROW('Production Matrix'!#REF!)),"")</f>
        <v/>
      </c>
      <c r="E142" s="11" t="str">
        <f t="shared" si="6"/>
        <v/>
      </c>
      <c r="F142" s="12">
        <f>IFERROR(INDEX('Production Matrix'!$B:$B,E142,0),0)</f>
        <v>0</v>
      </c>
    </row>
    <row r="143" spans="1:6">
      <c r="A143" s="1">
        <v>141</v>
      </c>
      <c r="B143">
        <f t="shared" si="5"/>
        <v>423</v>
      </c>
      <c r="C143" s="11" t="e">
        <f>IF(1*('Production Matrix'!A:A="تكلفة انتاج الوحدة")*ROW('Production Matrix'!#REF!)=0,1/0,1*('Production Matrix'!A:A="تكلفة انتاج الوحدة")*ROW('Production Matrix'!#REF!))</f>
        <v>#REF!</v>
      </c>
      <c r="D143" s="11" t="str">
        <f>IFERROR(_xlfn.AGGREGATE(15,6,$C$3:$C$53,ROW('Production Matrix'!#REF!)),"")</f>
        <v/>
      </c>
      <c r="E143" s="11" t="str">
        <f t="shared" si="6"/>
        <v/>
      </c>
      <c r="F143" s="12">
        <f>IFERROR(INDEX('Production Matrix'!$B:$B,E143,0),0)</f>
        <v>0</v>
      </c>
    </row>
    <row r="144" spans="1:6">
      <c r="A144" s="1">
        <v>142</v>
      </c>
      <c r="B144">
        <f t="shared" si="5"/>
        <v>426</v>
      </c>
      <c r="C144" s="11" t="e">
        <f>IF(1*('Production Matrix'!A:A="تكلفة انتاج الوحدة")*ROW('Production Matrix'!#REF!)=0,1/0,1*('Production Matrix'!A:A="تكلفة انتاج الوحدة")*ROW('Production Matrix'!#REF!))</f>
        <v>#REF!</v>
      </c>
      <c r="D144" s="11" t="str">
        <f>IFERROR(_xlfn.AGGREGATE(15,6,$C$3:$C$53,ROW('Production Matrix'!#REF!)),"")</f>
        <v/>
      </c>
      <c r="E144" s="11" t="str">
        <f t="shared" si="6"/>
        <v/>
      </c>
      <c r="F144" s="12">
        <f>IFERROR(INDEX('Production Matrix'!$B:$B,E144,0),0)</f>
        <v>0</v>
      </c>
    </row>
    <row r="145" spans="1:6">
      <c r="A145" s="1">
        <v>143</v>
      </c>
      <c r="B145">
        <f t="shared" si="5"/>
        <v>429</v>
      </c>
      <c r="C145" s="11" t="e">
        <f>IF(1*('Production Matrix'!A:A="تكلفة انتاج الوحدة")*ROW('Production Matrix'!#REF!)=0,1/0,1*('Production Matrix'!A:A="تكلفة انتاج الوحدة")*ROW('Production Matrix'!#REF!))</f>
        <v>#REF!</v>
      </c>
      <c r="D145" s="11" t="str">
        <f>IFERROR(_xlfn.AGGREGATE(15,6,$C$3:$C$53,ROW('Production Matrix'!#REF!)),"")</f>
        <v/>
      </c>
      <c r="E145" s="11" t="str">
        <f t="shared" si="6"/>
        <v/>
      </c>
      <c r="F145" s="12">
        <f>IFERROR(INDEX('Production Matrix'!$B:$B,E145,0),0)</f>
        <v>0</v>
      </c>
    </row>
    <row r="146" spans="1:6">
      <c r="A146" s="1">
        <v>144</v>
      </c>
      <c r="B146">
        <f t="shared" si="5"/>
        <v>432</v>
      </c>
      <c r="C146" s="11" t="e">
        <f>IF(1*('Production Matrix'!A:A="تكلفة انتاج الوحدة")*ROW('Production Matrix'!#REF!)=0,1/0,1*('Production Matrix'!A:A="تكلفة انتاج الوحدة")*ROW('Production Matrix'!#REF!))</f>
        <v>#REF!</v>
      </c>
      <c r="D146" s="11" t="str">
        <f>IFERROR(_xlfn.AGGREGATE(15,6,$C$3:$C$53,ROW('Production Matrix'!#REF!)),"")</f>
        <v/>
      </c>
      <c r="E146" s="11" t="str">
        <f t="shared" si="6"/>
        <v/>
      </c>
      <c r="F146" s="12">
        <f>IFERROR(INDEX('Production Matrix'!$B:$B,E146,0),0)</f>
        <v>0</v>
      </c>
    </row>
    <row r="147" spans="1:6">
      <c r="A147" s="1">
        <v>145</v>
      </c>
      <c r="B147">
        <f t="shared" si="5"/>
        <v>435</v>
      </c>
      <c r="C147" s="11" t="e">
        <f>IF(1*('Production Matrix'!A:A="تكلفة انتاج الوحدة")*ROW('Production Matrix'!#REF!)=0,1/0,1*('Production Matrix'!A:A="تكلفة انتاج الوحدة")*ROW('Production Matrix'!#REF!))</f>
        <v>#REF!</v>
      </c>
      <c r="D147" s="11" t="str">
        <f>IFERROR(_xlfn.AGGREGATE(15,6,$C$3:$C$53,ROW('Production Matrix'!#REF!)),"")</f>
        <v/>
      </c>
      <c r="E147" s="11" t="str">
        <f t="shared" si="6"/>
        <v/>
      </c>
      <c r="F147" s="12">
        <f>IFERROR(INDEX('Production Matrix'!$B:$B,E147,0),0)</f>
        <v>0</v>
      </c>
    </row>
    <row r="148" spans="1:6">
      <c r="A148" s="1">
        <v>146</v>
      </c>
      <c r="B148">
        <f t="shared" si="5"/>
        <v>438</v>
      </c>
      <c r="C148" s="11" t="e">
        <f>IF(1*('Production Matrix'!A:A="تكلفة انتاج الوحدة")*ROW('Production Matrix'!#REF!)=0,1/0,1*('Production Matrix'!A:A="تكلفة انتاج الوحدة")*ROW('Production Matrix'!#REF!))</f>
        <v>#REF!</v>
      </c>
      <c r="D148" s="11" t="str">
        <f>IFERROR(_xlfn.AGGREGATE(15,6,$C$3:$C$53,ROW('Production Matrix'!#REF!)),"")</f>
        <v/>
      </c>
      <c r="E148" s="11" t="str">
        <f t="shared" si="6"/>
        <v/>
      </c>
      <c r="F148" s="12">
        <f>IFERROR(INDEX('Production Matrix'!$B:$B,E148,0),0)</f>
        <v>0</v>
      </c>
    </row>
    <row r="149" spans="1:6">
      <c r="A149" s="1">
        <v>147</v>
      </c>
      <c r="B149">
        <f t="shared" si="5"/>
        <v>441</v>
      </c>
      <c r="C149" s="11" t="e">
        <f>IF(1*('Production Matrix'!A:A="تكلفة انتاج الوحدة")*ROW('Production Matrix'!#REF!)=0,1/0,1*('Production Matrix'!A:A="تكلفة انتاج الوحدة")*ROW('Production Matrix'!#REF!))</f>
        <v>#REF!</v>
      </c>
      <c r="D149" s="11" t="str">
        <f>IFERROR(_xlfn.AGGREGATE(15,6,$C$3:$C$53,ROW('Production Matrix'!#REF!)),"")</f>
        <v/>
      </c>
      <c r="E149" s="11" t="str">
        <f t="shared" si="6"/>
        <v/>
      </c>
      <c r="F149" s="12">
        <f>IFERROR(INDEX('Production Matrix'!$B:$B,E149,0),0)</f>
        <v>0</v>
      </c>
    </row>
    <row r="150" spans="1:6">
      <c r="A150" s="1">
        <v>148</v>
      </c>
      <c r="B150">
        <f t="shared" si="5"/>
        <v>444</v>
      </c>
      <c r="C150" s="11" t="e">
        <f>IF(1*('Production Matrix'!A:A="تكلفة انتاج الوحدة")*ROW('Production Matrix'!#REF!)=0,1/0,1*('Production Matrix'!A:A="تكلفة انتاج الوحدة")*ROW('Production Matrix'!#REF!))</f>
        <v>#REF!</v>
      </c>
      <c r="D150" s="11" t="str">
        <f>IFERROR(_xlfn.AGGREGATE(15,6,$C$3:$C$53,ROW('Production Matrix'!#REF!)),"")</f>
        <v/>
      </c>
      <c r="E150" s="11" t="str">
        <f t="shared" si="6"/>
        <v/>
      </c>
      <c r="F150" s="12">
        <f>IFERROR(INDEX('Production Matrix'!$B:$B,E150,0),0)</f>
        <v>0</v>
      </c>
    </row>
    <row r="151" spans="1:6">
      <c r="A151" s="1">
        <v>149</v>
      </c>
      <c r="B151">
        <f t="shared" si="5"/>
        <v>447</v>
      </c>
      <c r="C151" s="11" t="e">
        <f>IF(1*('Production Matrix'!A:A="تكلفة انتاج الوحدة")*ROW('Production Matrix'!#REF!)=0,1/0,1*('Production Matrix'!A:A="تكلفة انتاج الوحدة")*ROW('Production Matrix'!#REF!))</f>
        <v>#REF!</v>
      </c>
      <c r="D151" s="11" t="str">
        <f>IFERROR(_xlfn.AGGREGATE(15,6,$C$3:$C$53,ROW('Production Matrix'!#REF!)),"")</f>
        <v/>
      </c>
      <c r="E151" s="11" t="str">
        <f t="shared" si="6"/>
        <v/>
      </c>
      <c r="F151" s="12">
        <f>IFERROR(INDEX('Production Matrix'!$B:$B,E151,0),0)</f>
        <v>0</v>
      </c>
    </row>
    <row r="152" spans="1:6">
      <c r="A152" s="1">
        <v>150</v>
      </c>
      <c r="B152">
        <f t="shared" si="5"/>
        <v>450</v>
      </c>
      <c r="C152" s="11" t="e">
        <f>IF(1*('Production Matrix'!A:A="تكلفة انتاج الوحدة")*ROW('Production Matrix'!#REF!)=0,1/0,1*('Production Matrix'!A:A="تكلفة انتاج الوحدة")*ROW('Production Matrix'!#REF!))</f>
        <v>#REF!</v>
      </c>
      <c r="D152" s="11" t="str">
        <f>IFERROR(_xlfn.AGGREGATE(15,6,$C$3:$C$53,ROW('Production Matrix'!#REF!)),"")</f>
        <v/>
      </c>
      <c r="E152" s="11" t="str">
        <f t="shared" si="6"/>
        <v/>
      </c>
      <c r="F152" s="12">
        <f>IFERROR(INDEX('Production Matrix'!$B:$B,E152,0),0)</f>
        <v>0</v>
      </c>
    </row>
    <row r="153" spans="1:6">
      <c r="A153" s="1">
        <v>151</v>
      </c>
      <c r="B153">
        <f t="shared" si="5"/>
        <v>453</v>
      </c>
      <c r="C153" s="11" t="e">
        <f>IF(1*('Production Matrix'!A:A="تكلفة انتاج الوحدة")*ROW('Production Matrix'!#REF!)=0,1/0,1*('Production Matrix'!A:A="تكلفة انتاج الوحدة")*ROW('Production Matrix'!#REF!))</f>
        <v>#REF!</v>
      </c>
      <c r="D153" s="11" t="str">
        <f>IFERROR(_xlfn.AGGREGATE(15,6,$C$3:$C$53,ROW('Production Matrix'!#REF!)),"")</f>
        <v/>
      </c>
      <c r="E153" s="11" t="str">
        <f t="shared" si="6"/>
        <v/>
      </c>
      <c r="F153" s="12">
        <f>IFERROR(INDEX('Production Matrix'!$B:$B,E153,0),0)</f>
        <v>0</v>
      </c>
    </row>
    <row r="154" spans="1:6">
      <c r="A154" s="1">
        <v>152</v>
      </c>
      <c r="B154">
        <f t="shared" si="5"/>
        <v>456</v>
      </c>
      <c r="C154" s="11" t="e">
        <f>IF(1*('Production Matrix'!A:A="تكلفة انتاج الوحدة")*ROW('Production Matrix'!#REF!)=0,1/0,1*('Production Matrix'!A:A="تكلفة انتاج الوحدة")*ROW('Production Matrix'!#REF!))</f>
        <v>#REF!</v>
      </c>
      <c r="D154" s="11" t="str">
        <f>IFERROR(_xlfn.AGGREGATE(15,6,$C$3:$C$53,ROW('Production Matrix'!#REF!)),"")</f>
        <v/>
      </c>
      <c r="E154" s="11" t="str">
        <f t="shared" si="6"/>
        <v/>
      </c>
      <c r="F154" s="12">
        <f>IFERROR(INDEX('Production Matrix'!$B:$B,E154,0),0)</f>
        <v>0</v>
      </c>
    </row>
    <row r="155" spans="1:6">
      <c r="A155" s="1">
        <v>153</v>
      </c>
      <c r="B155">
        <f t="shared" si="5"/>
        <v>459</v>
      </c>
      <c r="C155" s="11" t="e">
        <f>IF(1*('Production Matrix'!A:A="تكلفة انتاج الوحدة")*ROW('Production Matrix'!#REF!)=0,1/0,1*('Production Matrix'!A:A="تكلفة انتاج الوحدة")*ROW('Production Matrix'!#REF!))</f>
        <v>#REF!</v>
      </c>
      <c r="D155" s="11" t="str">
        <f>IFERROR(_xlfn.AGGREGATE(15,6,$C$3:$C$53,ROW('Production Matrix'!#REF!)),"")</f>
        <v/>
      </c>
      <c r="E155" s="11" t="str">
        <f t="shared" si="6"/>
        <v/>
      </c>
      <c r="F155" s="12">
        <f>IFERROR(INDEX('Production Matrix'!$B:$B,E155,0),0)</f>
        <v>0</v>
      </c>
    </row>
    <row r="156" spans="1:6">
      <c r="A156" s="1">
        <v>154</v>
      </c>
      <c r="B156">
        <f t="shared" si="5"/>
        <v>462</v>
      </c>
      <c r="C156" s="11" t="e">
        <f>IF(1*('Production Matrix'!A:A="تكلفة انتاج الوحدة")*ROW('Production Matrix'!#REF!)=0,1/0,1*('Production Matrix'!A:A="تكلفة انتاج الوحدة")*ROW('Production Matrix'!#REF!))</f>
        <v>#REF!</v>
      </c>
      <c r="D156" s="11" t="str">
        <f>IFERROR(_xlfn.AGGREGATE(15,6,$C$3:$C$53,ROW('Production Matrix'!#REF!)),"")</f>
        <v/>
      </c>
      <c r="E156" s="11" t="str">
        <f t="shared" si="6"/>
        <v/>
      </c>
      <c r="F156" s="12">
        <f>IFERROR(INDEX('Production Matrix'!$B:$B,E156,0),0)</f>
        <v>0</v>
      </c>
    </row>
    <row r="157" spans="1:6">
      <c r="A157" s="1">
        <v>155</v>
      </c>
      <c r="B157">
        <f t="shared" si="5"/>
        <v>465</v>
      </c>
      <c r="C157" s="11" t="e">
        <f>IF(1*('Production Matrix'!A:A="تكلفة انتاج الوحدة")*ROW('Production Matrix'!#REF!)=0,1/0,1*('Production Matrix'!A:A="تكلفة انتاج الوحدة")*ROW('Production Matrix'!#REF!))</f>
        <v>#REF!</v>
      </c>
      <c r="D157" s="11" t="str">
        <f>IFERROR(_xlfn.AGGREGATE(15,6,$C$3:$C$53,ROW('Production Matrix'!#REF!)),"")</f>
        <v/>
      </c>
      <c r="E157" s="11" t="str">
        <f t="shared" si="6"/>
        <v/>
      </c>
      <c r="F157" s="12">
        <f>IFERROR(INDEX('Production Matrix'!$B:$B,E157,0),0)</f>
        <v>0</v>
      </c>
    </row>
    <row r="158" spans="1:6">
      <c r="A158" s="1">
        <v>156</v>
      </c>
      <c r="B158">
        <f t="shared" si="5"/>
        <v>468</v>
      </c>
      <c r="C158" s="11" t="e">
        <f>IF(1*('Production Matrix'!A:A="تكلفة انتاج الوحدة")*ROW('Production Matrix'!#REF!)=0,1/0,1*('Production Matrix'!A:A="تكلفة انتاج الوحدة")*ROW('Production Matrix'!#REF!))</f>
        <v>#REF!</v>
      </c>
      <c r="D158" s="11" t="str">
        <f>IFERROR(_xlfn.AGGREGATE(15,6,$C$3:$C$53,ROW('Production Matrix'!#REF!)),"")</f>
        <v/>
      </c>
      <c r="E158" s="11" t="str">
        <f t="shared" si="6"/>
        <v/>
      </c>
      <c r="F158" s="12">
        <f>IFERROR(INDEX('Production Matrix'!$B:$B,E158,0),0)</f>
        <v>0</v>
      </c>
    </row>
    <row r="159" spans="1:6">
      <c r="A159" s="1">
        <v>157</v>
      </c>
      <c r="B159">
        <f t="shared" si="5"/>
        <v>471</v>
      </c>
      <c r="C159" s="11" t="e">
        <f>IF(1*('Production Matrix'!A:A="تكلفة انتاج الوحدة")*ROW('Production Matrix'!#REF!)=0,1/0,1*('Production Matrix'!A:A="تكلفة انتاج الوحدة")*ROW('Production Matrix'!#REF!))</f>
        <v>#REF!</v>
      </c>
      <c r="D159" s="11" t="str">
        <f>IFERROR(_xlfn.AGGREGATE(15,6,$C$3:$C$53,ROW('Production Matrix'!#REF!)),"")</f>
        <v/>
      </c>
      <c r="E159" s="11" t="str">
        <f t="shared" si="6"/>
        <v/>
      </c>
      <c r="F159" s="12">
        <f>IFERROR(INDEX('Production Matrix'!$B:$B,E159,0),0)</f>
        <v>0</v>
      </c>
    </row>
    <row r="160" spans="1:6">
      <c r="A160" s="1">
        <v>158</v>
      </c>
      <c r="B160">
        <f t="shared" si="5"/>
        <v>474</v>
      </c>
      <c r="C160" s="11" t="e">
        <f>IF(1*('Production Matrix'!A:A="تكلفة انتاج الوحدة")*ROW('Production Matrix'!#REF!)=0,1/0,1*('Production Matrix'!A:A="تكلفة انتاج الوحدة")*ROW('Production Matrix'!#REF!))</f>
        <v>#REF!</v>
      </c>
      <c r="D160" s="11" t="str">
        <f>IFERROR(_xlfn.AGGREGATE(15,6,$C$3:$C$53,ROW('Production Matrix'!#REF!)),"")</f>
        <v/>
      </c>
      <c r="E160" s="11" t="str">
        <f t="shared" si="6"/>
        <v/>
      </c>
      <c r="F160" s="12">
        <f>IFERROR(INDEX('Production Matrix'!$B:$B,E160,0),0)</f>
        <v>0</v>
      </c>
    </row>
    <row r="161" spans="1:6">
      <c r="A161" s="1">
        <v>159</v>
      </c>
      <c r="B161">
        <f t="shared" si="5"/>
        <v>477</v>
      </c>
      <c r="C161" s="11" t="e">
        <f>IF(1*('Production Matrix'!A:A="تكلفة انتاج الوحدة")*ROW('Production Matrix'!#REF!)=0,1/0,1*('Production Matrix'!A:A="تكلفة انتاج الوحدة")*ROW('Production Matrix'!#REF!))</f>
        <v>#REF!</v>
      </c>
      <c r="D161" s="11" t="str">
        <f>IFERROR(_xlfn.AGGREGATE(15,6,$C$3:$C$53,ROW('Production Matrix'!#REF!)),"")</f>
        <v/>
      </c>
      <c r="E161" s="11" t="str">
        <f t="shared" si="6"/>
        <v/>
      </c>
      <c r="F161" s="12">
        <f>IFERROR(INDEX('Production Matrix'!$B:$B,E161,0),0)</f>
        <v>0</v>
      </c>
    </row>
    <row r="162" spans="1:6">
      <c r="A162" s="1">
        <v>160</v>
      </c>
      <c r="B162">
        <f t="shared" si="5"/>
        <v>480</v>
      </c>
      <c r="C162" s="11" t="e">
        <f>IF(1*('Production Matrix'!A:A="تكلفة انتاج الوحدة")*ROW('Production Matrix'!#REF!)=0,1/0,1*('Production Matrix'!A:A="تكلفة انتاج الوحدة")*ROW('Production Matrix'!#REF!))</f>
        <v>#REF!</v>
      </c>
      <c r="D162" s="11" t="str">
        <f>IFERROR(_xlfn.AGGREGATE(15,6,$C$3:$C$53,ROW('Production Matrix'!#REF!)),"")</f>
        <v/>
      </c>
      <c r="E162" s="11" t="str">
        <f t="shared" si="6"/>
        <v/>
      </c>
      <c r="F162" s="12">
        <f>IFERROR(INDEX('Production Matrix'!$B:$B,E162,0),0)</f>
        <v>0</v>
      </c>
    </row>
    <row r="163" spans="1:6">
      <c r="A163" s="1">
        <v>161</v>
      </c>
      <c r="B163">
        <f t="shared" si="5"/>
        <v>483</v>
      </c>
      <c r="C163" s="11" t="e">
        <f>IF(1*('Production Matrix'!A:A="تكلفة انتاج الوحدة")*ROW('Production Matrix'!#REF!)=0,1/0,1*('Production Matrix'!A:A="تكلفة انتاج الوحدة")*ROW('Production Matrix'!#REF!))</f>
        <v>#REF!</v>
      </c>
      <c r="D163" s="11" t="str">
        <f>IFERROR(_xlfn.AGGREGATE(15,6,$C$3:$C$53,ROW('Production Matrix'!#REF!)),"")</f>
        <v/>
      </c>
      <c r="E163" s="11" t="str">
        <f t="shared" si="6"/>
        <v/>
      </c>
      <c r="F163" s="12">
        <f>IFERROR(INDEX('Production Matrix'!$B:$B,E163,0),0)</f>
        <v>0</v>
      </c>
    </row>
    <row r="164" spans="1:6">
      <c r="A164" s="1">
        <v>162</v>
      </c>
      <c r="B164">
        <f t="shared" si="5"/>
        <v>486</v>
      </c>
      <c r="C164" s="11" t="e">
        <f>IF(1*('Production Matrix'!A:A="تكلفة انتاج الوحدة")*ROW('Production Matrix'!#REF!)=0,1/0,1*('Production Matrix'!A:A="تكلفة انتاج الوحدة")*ROW('Production Matrix'!#REF!))</f>
        <v>#REF!</v>
      </c>
      <c r="D164" s="11" t="str">
        <f>IFERROR(_xlfn.AGGREGATE(15,6,$C$3:$C$53,ROW('Production Matrix'!#REF!)),"")</f>
        <v/>
      </c>
      <c r="E164" s="11" t="str">
        <f t="shared" si="6"/>
        <v/>
      </c>
      <c r="F164" s="12">
        <f>IFERROR(INDEX('Production Matrix'!$B:$B,E164,0),0)</f>
        <v>0</v>
      </c>
    </row>
    <row r="165" spans="1:6">
      <c r="A165" s="1">
        <v>163</v>
      </c>
      <c r="B165">
        <f t="shared" si="5"/>
        <v>489</v>
      </c>
      <c r="C165" s="11" t="e">
        <f>IF(1*('Production Matrix'!A:A="تكلفة انتاج الوحدة")*ROW('Production Matrix'!#REF!)=0,1/0,1*('Production Matrix'!A:A="تكلفة انتاج الوحدة")*ROW('Production Matrix'!#REF!))</f>
        <v>#REF!</v>
      </c>
      <c r="D165" s="11" t="str">
        <f>IFERROR(_xlfn.AGGREGATE(15,6,$C$3:$C$53,ROW('Production Matrix'!#REF!)),"")</f>
        <v/>
      </c>
      <c r="E165" s="11" t="str">
        <f t="shared" si="6"/>
        <v/>
      </c>
      <c r="F165" s="12">
        <f>IFERROR(INDEX('Production Matrix'!$B:$B,E165,0),0)</f>
        <v>0</v>
      </c>
    </row>
    <row r="166" spans="1:6">
      <c r="A166" s="1">
        <v>164</v>
      </c>
      <c r="B166">
        <f t="shared" si="5"/>
        <v>492</v>
      </c>
      <c r="C166" s="11" t="e">
        <f>IF(1*('Production Matrix'!A:A="تكلفة انتاج الوحدة")*ROW('Production Matrix'!#REF!)=0,1/0,1*('Production Matrix'!A:A="تكلفة انتاج الوحدة")*ROW('Production Matrix'!#REF!))</f>
        <v>#REF!</v>
      </c>
      <c r="D166" s="11" t="str">
        <f>IFERROR(_xlfn.AGGREGATE(15,6,$C$3:$C$53,ROW('Production Matrix'!#REF!)),"")</f>
        <v/>
      </c>
      <c r="E166" s="11" t="str">
        <f t="shared" si="6"/>
        <v/>
      </c>
      <c r="F166" s="12">
        <f>IFERROR(INDEX('Production Matrix'!$B:$B,E166,0),0)</f>
        <v>0</v>
      </c>
    </row>
    <row r="167" spans="1:6">
      <c r="A167" s="1">
        <v>165</v>
      </c>
      <c r="B167">
        <f t="shared" si="5"/>
        <v>495</v>
      </c>
      <c r="C167" s="11" t="e">
        <f>IF(1*('Production Matrix'!A:A="تكلفة انتاج الوحدة")*ROW('Production Matrix'!#REF!)=0,1/0,1*('Production Matrix'!A:A="تكلفة انتاج الوحدة")*ROW('Production Matrix'!#REF!))</f>
        <v>#REF!</v>
      </c>
      <c r="D167" s="11" t="str">
        <f>IFERROR(_xlfn.AGGREGATE(15,6,$C$3:$C$53,ROW('Production Matrix'!#REF!)),"")</f>
        <v/>
      </c>
      <c r="E167" s="11" t="str">
        <f t="shared" si="6"/>
        <v/>
      </c>
      <c r="F167" s="12">
        <f>IFERROR(INDEX('Production Matrix'!$B:$B,E167,0),0)</f>
        <v>0</v>
      </c>
    </row>
    <row r="168" spans="1:6">
      <c r="A168" s="1">
        <v>166</v>
      </c>
      <c r="B168">
        <f t="shared" si="5"/>
        <v>498</v>
      </c>
      <c r="C168" s="11" t="e">
        <f>IF(1*('Production Matrix'!A:A="تكلفة انتاج الوحدة")*ROW('Production Matrix'!#REF!)=0,1/0,1*('Production Matrix'!A:A="تكلفة انتاج الوحدة")*ROW('Production Matrix'!#REF!))</f>
        <v>#REF!</v>
      </c>
      <c r="D168" s="11" t="str">
        <f>IFERROR(_xlfn.AGGREGATE(15,6,$C$3:$C$53,ROW('Production Matrix'!#REF!)),"")</f>
        <v/>
      </c>
      <c r="E168" s="11" t="str">
        <f t="shared" si="6"/>
        <v/>
      </c>
      <c r="F168" s="12">
        <f>IFERROR(INDEX('Production Matrix'!$B:$B,E168,0),0)</f>
        <v>0</v>
      </c>
    </row>
    <row r="169" spans="1:6">
      <c r="A169" s="1">
        <v>167</v>
      </c>
      <c r="B169">
        <f t="shared" si="5"/>
        <v>501</v>
      </c>
      <c r="C169" s="11" t="e">
        <f>IF(1*('Production Matrix'!A:A="تكلفة انتاج الوحدة")*ROW('Production Matrix'!#REF!)=0,1/0,1*('Production Matrix'!A:A="تكلفة انتاج الوحدة")*ROW('Production Matrix'!#REF!))</f>
        <v>#REF!</v>
      </c>
      <c r="D169" s="11" t="str">
        <f>IFERROR(_xlfn.AGGREGATE(15,6,$C$3:$C$53,ROW('Production Matrix'!#REF!)),"")</f>
        <v/>
      </c>
      <c r="E169" s="11" t="str">
        <f t="shared" si="6"/>
        <v/>
      </c>
      <c r="F169" s="12">
        <f>IFERROR(INDEX('Production Matrix'!$B:$B,E169,0),0)</f>
        <v>0</v>
      </c>
    </row>
    <row r="170" spans="1:6">
      <c r="A170" s="1">
        <v>168</v>
      </c>
      <c r="B170">
        <f t="shared" si="5"/>
        <v>504</v>
      </c>
      <c r="C170" s="11" t="e">
        <f>IF(1*('Production Matrix'!A:A="تكلفة انتاج الوحدة")*ROW('Production Matrix'!#REF!)=0,1/0,1*('Production Matrix'!A:A="تكلفة انتاج الوحدة")*ROW('Production Matrix'!#REF!))</f>
        <v>#REF!</v>
      </c>
      <c r="D170" s="11" t="str">
        <f>IFERROR(_xlfn.AGGREGATE(15,6,$C$3:$C$53,ROW('Production Matrix'!#REF!)),"")</f>
        <v/>
      </c>
      <c r="E170" s="11" t="str">
        <f t="shared" si="6"/>
        <v/>
      </c>
      <c r="F170" s="12">
        <f>IFERROR(INDEX('Production Matrix'!$B:$B,E170,0),0)</f>
        <v>0</v>
      </c>
    </row>
    <row r="171" spans="1:6">
      <c r="A171" s="1">
        <v>169</v>
      </c>
      <c r="B171">
        <f t="shared" si="5"/>
        <v>507</v>
      </c>
      <c r="C171" s="11" t="e">
        <f>IF(1*('Production Matrix'!A:A="تكلفة انتاج الوحدة")*ROW('Production Matrix'!#REF!)=0,1/0,1*('Production Matrix'!A:A="تكلفة انتاج الوحدة")*ROW('Production Matrix'!#REF!))</f>
        <v>#REF!</v>
      </c>
      <c r="D171" s="11" t="str">
        <f>IFERROR(_xlfn.AGGREGATE(15,6,$C$3:$C$53,ROW('Production Matrix'!#REF!)),"")</f>
        <v/>
      </c>
      <c r="E171" s="11" t="str">
        <f t="shared" si="6"/>
        <v/>
      </c>
      <c r="F171" s="12">
        <f>IFERROR(INDEX('Production Matrix'!$B:$B,E171,0),0)</f>
        <v>0</v>
      </c>
    </row>
    <row r="172" spans="1:6">
      <c r="A172" s="1">
        <v>170</v>
      </c>
      <c r="B172">
        <f t="shared" si="5"/>
        <v>510</v>
      </c>
      <c r="C172" s="11" t="e">
        <f>IF(1*('Production Matrix'!A:A="تكلفة انتاج الوحدة")*ROW('Production Matrix'!#REF!)=0,1/0,1*('Production Matrix'!A:A="تكلفة انتاج الوحدة")*ROW('Production Matrix'!#REF!))</f>
        <v>#REF!</v>
      </c>
      <c r="D172" s="11" t="str">
        <f>IFERROR(_xlfn.AGGREGATE(15,6,$C$3:$C$53,ROW('Production Matrix'!#REF!)),"")</f>
        <v/>
      </c>
      <c r="E172" s="11" t="str">
        <f t="shared" si="6"/>
        <v/>
      </c>
      <c r="F172" s="12">
        <f>IFERROR(INDEX('Production Matrix'!$B:$B,E172,0),0)</f>
        <v>0</v>
      </c>
    </row>
    <row r="173" spans="1:6">
      <c r="A173" s="1">
        <v>171</v>
      </c>
      <c r="B173">
        <f t="shared" si="5"/>
        <v>513</v>
      </c>
      <c r="C173" s="11" t="e">
        <f>IF(1*('Production Matrix'!A:A="تكلفة انتاج الوحدة")*ROW('Production Matrix'!#REF!)=0,1/0,1*('Production Matrix'!A:A="تكلفة انتاج الوحدة")*ROW('Production Matrix'!#REF!))</f>
        <v>#REF!</v>
      </c>
      <c r="D173" s="11" t="str">
        <f>IFERROR(_xlfn.AGGREGATE(15,6,$C$3:$C$53,ROW('Production Matrix'!#REF!)),"")</f>
        <v/>
      </c>
      <c r="E173" s="11" t="str">
        <f t="shared" si="6"/>
        <v/>
      </c>
      <c r="F173" s="12">
        <f>IFERROR(INDEX('Production Matrix'!$B:$B,E173,0),0)</f>
        <v>0</v>
      </c>
    </row>
    <row r="174" spans="1:6">
      <c r="A174" s="1">
        <v>172</v>
      </c>
      <c r="B174">
        <f t="shared" si="5"/>
        <v>516</v>
      </c>
      <c r="C174" s="11" t="e">
        <f>IF(1*('Production Matrix'!A:A="تكلفة انتاج الوحدة")*ROW('Production Matrix'!#REF!)=0,1/0,1*('Production Matrix'!A:A="تكلفة انتاج الوحدة")*ROW('Production Matrix'!#REF!))</f>
        <v>#REF!</v>
      </c>
      <c r="D174" s="11" t="str">
        <f>IFERROR(_xlfn.AGGREGATE(15,6,$C$3:$C$53,ROW('Production Matrix'!#REF!)),"")</f>
        <v/>
      </c>
      <c r="E174" s="11" t="str">
        <f t="shared" si="6"/>
        <v/>
      </c>
      <c r="F174" s="12">
        <f>IFERROR(INDEX('Production Matrix'!$B:$B,E174,0),0)</f>
        <v>0</v>
      </c>
    </row>
    <row r="175" spans="1:6">
      <c r="A175" s="1">
        <v>173</v>
      </c>
      <c r="B175">
        <f t="shared" si="5"/>
        <v>519</v>
      </c>
      <c r="C175" s="11" t="e">
        <f>IF(1*('Production Matrix'!A:A="تكلفة انتاج الوحدة")*ROW('Production Matrix'!#REF!)=0,1/0,1*('Production Matrix'!A:A="تكلفة انتاج الوحدة")*ROW('Production Matrix'!#REF!))</f>
        <v>#REF!</v>
      </c>
      <c r="D175" s="11" t="str">
        <f>IFERROR(_xlfn.AGGREGATE(15,6,$C$3:$C$53,ROW('Production Matrix'!#REF!)),"")</f>
        <v/>
      </c>
      <c r="E175" s="11" t="str">
        <f t="shared" si="6"/>
        <v/>
      </c>
      <c r="F175" s="12">
        <f>IFERROR(INDEX('Production Matrix'!$B:$B,E175,0),0)</f>
        <v>0</v>
      </c>
    </row>
    <row r="176" spans="1:6">
      <c r="A176" s="1">
        <v>174</v>
      </c>
      <c r="B176">
        <f t="shared" si="5"/>
        <v>522</v>
      </c>
      <c r="C176" s="11" t="e">
        <f>IF(1*('Production Matrix'!A:A="تكلفة انتاج الوحدة")*ROW('Production Matrix'!#REF!)=0,1/0,1*('Production Matrix'!A:A="تكلفة انتاج الوحدة")*ROW('Production Matrix'!#REF!))</f>
        <v>#REF!</v>
      </c>
      <c r="D176" s="11" t="str">
        <f>IFERROR(_xlfn.AGGREGATE(15,6,$C$3:$C$53,ROW('Production Matrix'!#REF!)),"")</f>
        <v/>
      </c>
      <c r="E176" s="11" t="str">
        <f t="shared" si="6"/>
        <v/>
      </c>
      <c r="F176" s="12">
        <f>IFERROR(INDEX('Production Matrix'!$B:$B,E176,0),0)</f>
        <v>0</v>
      </c>
    </row>
    <row r="177" spans="1:6">
      <c r="A177" s="1">
        <v>175</v>
      </c>
      <c r="B177">
        <f t="shared" si="5"/>
        <v>525</v>
      </c>
      <c r="C177" s="11" t="e">
        <f>IF(1*('Production Matrix'!A:A="تكلفة انتاج الوحدة")*ROW('Production Matrix'!#REF!)=0,1/0,1*('Production Matrix'!A:A="تكلفة انتاج الوحدة")*ROW('Production Matrix'!#REF!))</f>
        <v>#REF!</v>
      </c>
      <c r="D177" s="11" t="str">
        <f>IFERROR(_xlfn.AGGREGATE(15,6,$C$3:$C$53,ROW('Production Matrix'!#REF!)),"")</f>
        <v/>
      </c>
      <c r="E177" s="11" t="str">
        <f t="shared" si="6"/>
        <v/>
      </c>
      <c r="F177" s="12">
        <f>IFERROR(INDEX('Production Matrix'!$B:$B,E177,0),0)</f>
        <v>0</v>
      </c>
    </row>
    <row r="178" spans="1:6">
      <c r="A178" s="1">
        <v>176</v>
      </c>
      <c r="B178">
        <f t="shared" si="5"/>
        <v>528</v>
      </c>
      <c r="C178" s="11" t="e">
        <f>IF(1*('Production Matrix'!A:A="تكلفة انتاج الوحدة")*ROW('Production Matrix'!#REF!)=0,1/0,1*('Production Matrix'!A:A="تكلفة انتاج الوحدة")*ROW('Production Matrix'!#REF!))</f>
        <v>#REF!</v>
      </c>
      <c r="D178" s="11" t="str">
        <f>IFERROR(_xlfn.AGGREGATE(15,6,$C$3:$C$53,ROW('Production Matrix'!#REF!)),"")</f>
        <v/>
      </c>
      <c r="E178" s="11" t="str">
        <f t="shared" si="6"/>
        <v/>
      </c>
      <c r="F178" s="12">
        <f>IFERROR(INDEX('Production Matrix'!$B:$B,E178,0),0)</f>
        <v>0</v>
      </c>
    </row>
    <row r="179" spans="1:6">
      <c r="A179" s="1">
        <v>177</v>
      </c>
      <c r="B179">
        <f t="shared" si="5"/>
        <v>531</v>
      </c>
      <c r="C179" s="11" t="e">
        <f>IF(1*('Production Matrix'!A:A="تكلفة انتاج الوحدة")*ROW('Production Matrix'!#REF!)=0,1/0,1*('Production Matrix'!A:A="تكلفة انتاج الوحدة")*ROW('Production Matrix'!#REF!))</f>
        <v>#REF!</v>
      </c>
      <c r="D179" s="11" t="str">
        <f>IFERROR(_xlfn.AGGREGATE(15,6,$C$3:$C$53,ROW('Production Matrix'!#REF!)),"")</f>
        <v/>
      </c>
      <c r="E179" s="11" t="str">
        <f t="shared" si="6"/>
        <v/>
      </c>
      <c r="F179" s="12">
        <f>IFERROR(INDEX('Production Matrix'!$B:$B,E179,0),0)</f>
        <v>0</v>
      </c>
    </row>
    <row r="180" spans="1:6">
      <c r="A180" s="1">
        <v>178</v>
      </c>
      <c r="B180">
        <f t="shared" si="5"/>
        <v>534</v>
      </c>
      <c r="C180" s="11" t="e">
        <f>IF(1*('Production Matrix'!A:A="تكلفة انتاج الوحدة")*ROW('Production Matrix'!#REF!)=0,1/0,1*('Production Matrix'!A:A="تكلفة انتاج الوحدة")*ROW('Production Matrix'!#REF!))</f>
        <v>#REF!</v>
      </c>
      <c r="D180" s="11" t="str">
        <f>IFERROR(_xlfn.AGGREGATE(15,6,$C$3:$C$53,ROW('Production Matrix'!#REF!)),"")</f>
        <v/>
      </c>
      <c r="E180" s="11" t="str">
        <f t="shared" si="6"/>
        <v/>
      </c>
      <c r="F180" s="12">
        <f>IFERROR(INDEX('Production Matrix'!$B:$B,E180,0),0)</f>
        <v>0</v>
      </c>
    </row>
    <row r="181" spans="1:6">
      <c r="A181" s="1">
        <v>179</v>
      </c>
      <c r="B181">
        <f t="shared" si="5"/>
        <v>537</v>
      </c>
      <c r="C181" s="11" t="e">
        <f>IF(1*('Production Matrix'!A:A="تكلفة انتاج الوحدة")*ROW('Production Matrix'!#REF!)=0,1/0,1*('Production Matrix'!A:A="تكلفة انتاج الوحدة")*ROW('Production Matrix'!#REF!))</f>
        <v>#REF!</v>
      </c>
      <c r="D181" s="11" t="str">
        <f>IFERROR(_xlfn.AGGREGATE(15,6,$C$3:$C$53,ROW('Production Matrix'!#REF!)),"")</f>
        <v/>
      </c>
      <c r="E181" s="11" t="str">
        <f t="shared" si="6"/>
        <v/>
      </c>
      <c r="F181" s="12">
        <f>IFERROR(INDEX('Production Matrix'!$B:$B,E181,0),0)</f>
        <v>0</v>
      </c>
    </row>
    <row r="182" spans="1:6">
      <c r="A182" s="1">
        <v>180</v>
      </c>
      <c r="B182">
        <f t="shared" si="5"/>
        <v>540</v>
      </c>
      <c r="C182" s="11" t="e">
        <f>IF(1*('Production Matrix'!A:A="تكلفة انتاج الوحدة")*ROW('Production Matrix'!#REF!)=0,1/0,1*('Production Matrix'!A:A="تكلفة انتاج الوحدة")*ROW('Production Matrix'!#REF!))</f>
        <v>#REF!</v>
      </c>
      <c r="D182" s="11" t="str">
        <f>IFERROR(_xlfn.AGGREGATE(15,6,$C$3:$C$53,ROW('Production Matrix'!#REF!)),"")</f>
        <v/>
      </c>
      <c r="E182" s="11" t="str">
        <f t="shared" si="6"/>
        <v/>
      </c>
      <c r="F182" s="12">
        <f>IFERROR(INDEX('Production Matrix'!$B:$B,E182,0),0)</f>
        <v>0</v>
      </c>
    </row>
    <row r="183" spans="1:6">
      <c r="A183" s="1">
        <v>181</v>
      </c>
      <c r="B183">
        <f t="shared" si="5"/>
        <v>543</v>
      </c>
      <c r="C183" s="11" t="e">
        <f>IF(1*('Production Matrix'!A:A="تكلفة انتاج الوحدة")*ROW('Production Matrix'!#REF!)=0,1/0,1*('Production Matrix'!A:A="تكلفة انتاج الوحدة")*ROW('Production Matrix'!#REF!))</f>
        <v>#REF!</v>
      </c>
      <c r="D183" s="11" t="str">
        <f>IFERROR(_xlfn.AGGREGATE(15,6,$C$3:$C$53,ROW('Production Matrix'!#REF!)),"")</f>
        <v/>
      </c>
      <c r="E183" s="11" t="str">
        <f t="shared" si="6"/>
        <v/>
      </c>
      <c r="F183" s="12">
        <f>IFERROR(INDEX('Production Matrix'!$B:$B,E183,0),0)</f>
        <v>0</v>
      </c>
    </row>
    <row r="184" spans="1:6">
      <c r="A184" s="1">
        <v>182</v>
      </c>
      <c r="B184">
        <f t="shared" si="5"/>
        <v>546</v>
      </c>
      <c r="C184" s="11" t="e">
        <f>IF(1*('Production Matrix'!A:A="تكلفة انتاج الوحدة")*ROW('Production Matrix'!#REF!)=0,1/0,1*('Production Matrix'!A:A="تكلفة انتاج الوحدة")*ROW('Production Matrix'!#REF!))</f>
        <v>#REF!</v>
      </c>
      <c r="D184" s="11" t="str">
        <f>IFERROR(_xlfn.AGGREGATE(15,6,$C$3:$C$53,ROW('Production Matrix'!#REF!)),"")</f>
        <v/>
      </c>
      <c r="E184" s="11" t="str">
        <f t="shared" si="6"/>
        <v/>
      </c>
      <c r="F184" s="12">
        <f>IFERROR(INDEX('Production Matrix'!$B:$B,E184,0),0)</f>
        <v>0</v>
      </c>
    </row>
    <row r="185" spans="1:6">
      <c r="A185" s="1">
        <v>183</v>
      </c>
      <c r="B185">
        <f t="shared" si="5"/>
        <v>549</v>
      </c>
      <c r="C185" s="11" t="e">
        <f>IF(1*('Production Matrix'!A:A="تكلفة انتاج الوحدة")*ROW('Production Matrix'!#REF!)=0,1/0,1*('Production Matrix'!A:A="تكلفة انتاج الوحدة")*ROW('Production Matrix'!#REF!))</f>
        <v>#REF!</v>
      </c>
      <c r="D185" s="11" t="str">
        <f>IFERROR(_xlfn.AGGREGATE(15,6,$C$3:$C$53,ROW('Production Matrix'!#REF!)),"")</f>
        <v/>
      </c>
      <c r="E185" s="11" t="str">
        <f t="shared" si="6"/>
        <v/>
      </c>
      <c r="F185" s="12">
        <f>IFERROR(INDEX('Production Matrix'!$B:$B,E185,0),0)</f>
        <v>0</v>
      </c>
    </row>
    <row r="186" spans="1:6">
      <c r="A186" s="1">
        <v>184</v>
      </c>
      <c r="B186">
        <f t="shared" si="5"/>
        <v>552</v>
      </c>
      <c r="C186" s="11" t="e">
        <f>IF(1*('Production Matrix'!A:A="تكلفة انتاج الوحدة")*ROW('Production Matrix'!#REF!)=0,1/0,1*('Production Matrix'!A:A="تكلفة انتاج الوحدة")*ROW('Production Matrix'!#REF!))</f>
        <v>#REF!</v>
      </c>
      <c r="D186" s="11" t="str">
        <f>IFERROR(_xlfn.AGGREGATE(15,6,$C$3:$C$53,ROW('Production Matrix'!#REF!)),"")</f>
        <v/>
      </c>
      <c r="E186" s="11" t="str">
        <f t="shared" si="6"/>
        <v/>
      </c>
      <c r="F186" s="12">
        <f>IFERROR(INDEX('Production Matrix'!$B:$B,E186,0),0)</f>
        <v>0</v>
      </c>
    </row>
    <row r="187" spans="1:6">
      <c r="A187" s="1">
        <v>185</v>
      </c>
      <c r="B187">
        <f t="shared" si="5"/>
        <v>555</v>
      </c>
      <c r="C187" s="11" t="e">
        <f>IF(1*('Production Matrix'!A:A="تكلفة انتاج الوحدة")*ROW('Production Matrix'!#REF!)=0,1/0,1*('Production Matrix'!A:A="تكلفة انتاج الوحدة")*ROW('Production Matrix'!#REF!))</f>
        <v>#REF!</v>
      </c>
      <c r="D187" s="11" t="str">
        <f>IFERROR(_xlfn.AGGREGATE(15,6,$C$3:$C$53,ROW('Production Matrix'!#REF!)),"")</f>
        <v/>
      </c>
      <c r="E187" s="11" t="str">
        <f t="shared" si="6"/>
        <v/>
      </c>
      <c r="F187" s="12">
        <f>IFERROR(INDEX('Production Matrix'!$B:$B,E187,0),0)</f>
        <v>0</v>
      </c>
    </row>
    <row r="188" spans="1:6">
      <c r="A188" s="1">
        <v>186</v>
      </c>
      <c r="B188">
        <f t="shared" si="5"/>
        <v>558</v>
      </c>
      <c r="C188" s="11" t="e">
        <f>IF(1*('Production Matrix'!A:A="تكلفة انتاج الوحدة")*ROW('Production Matrix'!#REF!)=0,1/0,1*('Production Matrix'!A:A="تكلفة انتاج الوحدة")*ROW('Production Matrix'!#REF!))</f>
        <v>#REF!</v>
      </c>
      <c r="D188" s="11" t="str">
        <f>IFERROR(_xlfn.AGGREGATE(15,6,$C$3:$C$53,ROW('Production Matrix'!#REF!)),"")</f>
        <v/>
      </c>
      <c r="E188" s="11" t="str">
        <f t="shared" si="6"/>
        <v/>
      </c>
      <c r="F188" s="12">
        <f>IFERROR(INDEX('Production Matrix'!$B:$B,E188,0),0)</f>
        <v>0</v>
      </c>
    </row>
    <row r="189" spans="1:6">
      <c r="A189" s="1">
        <v>187</v>
      </c>
      <c r="B189">
        <f t="shared" si="5"/>
        <v>561</v>
      </c>
      <c r="C189" s="11" t="e">
        <f>IF(1*('Production Matrix'!A:A="تكلفة انتاج الوحدة")*ROW('Production Matrix'!#REF!)=0,1/0,1*('Production Matrix'!A:A="تكلفة انتاج الوحدة")*ROW('Production Matrix'!#REF!))</f>
        <v>#REF!</v>
      </c>
      <c r="D189" s="11" t="str">
        <f>IFERROR(_xlfn.AGGREGATE(15,6,$C$3:$C$53,ROW('Production Matrix'!#REF!)),"")</f>
        <v/>
      </c>
      <c r="E189" s="11" t="str">
        <f t="shared" si="6"/>
        <v/>
      </c>
      <c r="F189" s="12">
        <f>IFERROR(INDEX('Production Matrix'!$B:$B,E189,0),0)</f>
        <v>0</v>
      </c>
    </row>
    <row r="190" spans="1:6">
      <c r="A190" s="1">
        <v>188</v>
      </c>
      <c r="B190">
        <f t="shared" si="5"/>
        <v>564</v>
      </c>
      <c r="C190" s="11" t="e">
        <f>IF(1*('Production Matrix'!A:A="تكلفة انتاج الوحدة")*ROW('Production Matrix'!#REF!)=0,1/0,1*('Production Matrix'!A:A="تكلفة انتاج الوحدة")*ROW('Production Matrix'!#REF!))</f>
        <v>#REF!</v>
      </c>
      <c r="D190" s="11" t="str">
        <f>IFERROR(_xlfn.AGGREGATE(15,6,$C$3:$C$53,ROW('Production Matrix'!#REF!)),"")</f>
        <v/>
      </c>
      <c r="E190" s="11" t="str">
        <f t="shared" si="6"/>
        <v/>
      </c>
      <c r="F190" s="12">
        <f>IFERROR(INDEX('Production Matrix'!$B:$B,E190,0),0)</f>
        <v>0</v>
      </c>
    </row>
    <row r="191" spans="1:6">
      <c r="A191" s="1">
        <v>189</v>
      </c>
      <c r="B191">
        <f t="shared" si="5"/>
        <v>567</v>
      </c>
      <c r="C191" s="11" t="e">
        <f>IF(1*('Production Matrix'!A:A="تكلفة انتاج الوحدة")*ROW('Production Matrix'!#REF!)=0,1/0,1*('Production Matrix'!A:A="تكلفة انتاج الوحدة")*ROW('Production Matrix'!#REF!))</f>
        <v>#REF!</v>
      </c>
      <c r="D191" s="11" t="str">
        <f>IFERROR(_xlfn.AGGREGATE(15,6,$C$3:$C$53,ROW('Production Matrix'!#REF!)),"")</f>
        <v/>
      </c>
      <c r="E191" s="11" t="str">
        <f t="shared" si="6"/>
        <v/>
      </c>
      <c r="F191" s="12">
        <f>IFERROR(INDEX('Production Matrix'!$B:$B,E191,0),0)</f>
        <v>0</v>
      </c>
    </row>
    <row r="192" spans="1:6">
      <c r="A192" s="1">
        <v>190</v>
      </c>
      <c r="B192">
        <f t="shared" si="5"/>
        <v>570</v>
      </c>
      <c r="C192" s="11" t="e">
        <f>IF(1*('Production Matrix'!A:A="تكلفة انتاج الوحدة")*ROW('Production Matrix'!#REF!)=0,1/0,1*('Production Matrix'!A:A="تكلفة انتاج الوحدة")*ROW('Production Matrix'!#REF!))</f>
        <v>#REF!</v>
      </c>
      <c r="D192" s="11" t="str">
        <f>IFERROR(_xlfn.AGGREGATE(15,6,$C$3:$C$53,ROW('Production Matrix'!#REF!)),"")</f>
        <v/>
      </c>
      <c r="E192" s="11" t="str">
        <f t="shared" si="6"/>
        <v/>
      </c>
      <c r="F192" s="12">
        <f>IFERROR(INDEX('Production Matrix'!$B:$B,E192,0),0)</f>
        <v>0</v>
      </c>
    </row>
    <row r="193" spans="1:6">
      <c r="A193" s="1">
        <v>191</v>
      </c>
      <c r="B193">
        <f t="shared" si="5"/>
        <v>573</v>
      </c>
      <c r="C193" s="11" t="e">
        <f>IF(1*('Production Matrix'!A:A="تكلفة انتاج الوحدة")*ROW('Production Matrix'!#REF!)=0,1/0,1*('Production Matrix'!A:A="تكلفة انتاج الوحدة")*ROW('Production Matrix'!#REF!))</f>
        <v>#REF!</v>
      </c>
      <c r="D193" s="11" t="str">
        <f>IFERROR(_xlfn.AGGREGATE(15,6,$C$3:$C$53,ROW('Production Matrix'!#REF!)),"")</f>
        <v/>
      </c>
      <c r="E193" s="11" t="str">
        <f t="shared" si="6"/>
        <v/>
      </c>
      <c r="F193" s="12">
        <f>IFERROR(INDEX('Production Matrix'!$B:$B,E193,0),0)</f>
        <v>0</v>
      </c>
    </row>
    <row r="194" spans="1:6">
      <c r="A194" s="1">
        <v>192</v>
      </c>
      <c r="B194">
        <f t="shared" si="5"/>
        <v>576</v>
      </c>
      <c r="C194" s="11" t="e">
        <f>IF(1*('Production Matrix'!A:A="تكلفة انتاج الوحدة")*ROW('Production Matrix'!#REF!)=0,1/0,1*('Production Matrix'!A:A="تكلفة انتاج الوحدة")*ROW('Production Matrix'!#REF!))</f>
        <v>#REF!</v>
      </c>
      <c r="D194" s="11" t="str">
        <f>IFERROR(_xlfn.AGGREGATE(15,6,$C$3:$C$53,ROW('Production Matrix'!#REF!)),"")</f>
        <v/>
      </c>
      <c r="E194" s="11" t="str">
        <f t="shared" si="6"/>
        <v/>
      </c>
      <c r="F194" s="12">
        <f>IFERROR(INDEX('Production Matrix'!$B:$B,E194,0),0)</f>
        <v>0</v>
      </c>
    </row>
    <row r="195" spans="1:6">
      <c r="A195" s="1">
        <v>193</v>
      </c>
      <c r="B195">
        <f t="shared" si="5"/>
        <v>579</v>
      </c>
      <c r="C195" s="11" t="e">
        <f>IF(1*('Production Matrix'!A:A="تكلفة انتاج الوحدة")*ROW('Production Matrix'!#REF!)=0,1/0,1*('Production Matrix'!A:A="تكلفة انتاج الوحدة")*ROW('Production Matrix'!#REF!))</f>
        <v>#REF!</v>
      </c>
      <c r="D195" s="11" t="str">
        <f>IFERROR(_xlfn.AGGREGATE(15,6,$C$3:$C$53,ROW('Production Matrix'!#REF!)),"")</f>
        <v/>
      </c>
      <c r="E195" s="11" t="str">
        <f t="shared" si="6"/>
        <v/>
      </c>
      <c r="F195" s="12">
        <f>IFERROR(INDEX('Production Matrix'!$B:$B,E195,0),0)</f>
        <v>0</v>
      </c>
    </row>
    <row r="196" spans="1:6">
      <c r="A196" s="1">
        <v>194</v>
      </c>
      <c r="B196">
        <f t="shared" ref="B196:B259" si="7">A196*3</f>
        <v>582</v>
      </c>
      <c r="C196" s="11" t="e">
        <f>IF(1*('Production Matrix'!A:A="تكلفة انتاج الوحدة")*ROW('Production Matrix'!#REF!)=0,1/0,1*('Production Matrix'!A:A="تكلفة انتاج الوحدة")*ROW('Production Matrix'!#REF!))</f>
        <v>#REF!</v>
      </c>
      <c r="D196" s="11" t="str">
        <f>IFERROR(_xlfn.AGGREGATE(15,6,$C$3:$C$53,ROW('Production Matrix'!#REF!)),"")</f>
        <v/>
      </c>
      <c r="E196" s="11" t="str">
        <f t="shared" si="6"/>
        <v/>
      </c>
      <c r="F196" s="12">
        <f>IFERROR(INDEX('Production Matrix'!$B:$B,E196,0),0)</f>
        <v>0</v>
      </c>
    </row>
    <row r="197" spans="1:6">
      <c r="A197" s="1">
        <v>195</v>
      </c>
      <c r="B197">
        <f t="shared" si="7"/>
        <v>585</v>
      </c>
      <c r="C197" s="11" t="e">
        <f>IF(1*('Production Matrix'!A:A="تكلفة انتاج الوحدة")*ROW('Production Matrix'!#REF!)=0,1/0,1*('Production Matrix'!A:A="تكلفة انتاج الوحدة")*ROW('Production Matrix'!#REF!))</f>
        <v>#REF!</v>
      </c>
      <c r="D197" s="11" t="str">
        <f>IFERROR(_xlfn.AGGREGATE(15,6,$C$3:$C$53,ROW('Production Matrix'!#REF!)),"")</f>
        <v/>
      </c>
      <c r="E197" s="11" t="str">
        <f t="shared" si="6"/>
        <v/>
      </c>
      <c r="F197" s="12">
        <f>IFERROR(INDEX('Production Matrix'!$B:$B,E197,0),0)</f>
        <v>0</v>
      </c>
    </row>
    <row r="198" spans="1:6">
      <c r="A198" s="1">
        <v>196</v>
      </c>
      <c r="B198">
        <f t="shared" si="7"/>
        <v>588</v>
      </c>
      <c r="C198" s="11" t="e">
        <f>IF(1*('Production Matrix'!A:A="تكلفة انتاج الوحدة")*ROW('Production Matrix'!#REF!)=0,1/0,1*('Production Matrix'!A:A="تكلفة انتاج الوحدة")*ROW('Production Matrix'!#REF!))</f>
        <v>#REF!</v>
      </c>
      <c r="D198" s="11" t="str">
        <f>IFERROR(_xlfn.AGGREGATE(15,6,$C$3:$C$53,ROW('Production Matrix'!#REF!)),"")</f>
        <v/>
      </c>
      <c r="E198" s="11" t="str">
        <f t="shared" si="6"/>
        <v/>
      </c>
      <c r="F198" s="12">
        <f>IFERROR(INDEX('Production Matrix'!$B:$B,E198,0),0)</f>
        <v>0</v>
      </c>
    </row>
    <row r="199" spans="1:6">
      <c r="A199" s="1">
        <v>197</v>
      </c>
      <c r="B199">
        <f t="shared" si="7"/>
        <v>591</v>
      </c>
      <c r="C199" s="11" t="e">
        <f>IF(1*('Production Matrix'!A:A="تكلفة انتاج الوحدة")*ROW('Production Matrix'!#REF!)=0,1/0,1*('Production Matrix'!A:A="تكلفة انتاج الوحدة")*ROW('Production Matrix'!#REF!))</f>
        <v>#REF!</v>
      </c>
      <c r="D199" s="11" t="str">
        <f>IFERROR(_xlfn.AGGREGATE(15,6,$C$3:$C$53,ROW('Production Matrix'!#REF!)),"")</f>
        <v/>
      </c>
      <c r="E199" s="11" t="str">
        <f t="shared" ref="E199:E262" si="8">IFERROR(D199+3,"")</f>
        <v/>
      </c>
      <c r="F199" s="12">
        <f>IFERROR(INDEX('Production Matrix'!$B:$B,E199,0),0)</f>
        <v>0</v>
      </c>
    </row>
    <row r="200" spans="1:6">
      <c r="A200" s="1">
        <v>198</v>
      </c>
      <c r="B200">
        <f t="shared" si="7"/>
        <v>594</v>
      </c>
      <c r="C200" s="11" t="e">
        <f>IF(1*('Production Matrix'!A:A="تكلفة انتاج الوحدة")*ROW('Production Matrix'!#REF!)=0,1/0,1*('Production Matrix'!A:A="تكلفة انتاج الوحدة")*ROW('Production Matrix'!#REF!))</f>
        <v>#REF!</v>
      </c>
      <c r="D200" s="11" t="str">
        <f>IFERROR(_xlfn.AGGREGATE(15,6,$C$3:$C$53,ROW('Production Matrix'!#REF!)),"")</f>
        <v/>
      </c>
      <c r="E200" s="11" t="str">
        <f t="shared" si="8"/>
        <v/>
      </c>
      <c r="F200" s="12">
        <f>IFERROR(INDEX('Production Matrix'!$B:$B,E200,0),0)</f>
        <v>0</v>
      </c>
    </row>
    <row r="201" spans="1:6">
      <c r="A201" s="1">
        <v>199</v>
      </c>
      <c r="B201">
        <f t="shared" si="7"/>
        <v>597</v>
      </c>
      <c r="C201" s="11" t="e">
        <f>IF(1*('Production Matrix'!A:A="تكلفة انتاج الوحدة")*ROW('Production Matrix'!#REF!)=0,1/0,1*('Production Matrix'!A:A="تكلفة انتاج الوحدة")*ROW('Production Matrix'!#REF!))</f>
        <v>#REF!</v>
      </c>
      <c r="D201" s="11" t="str">
        <f>IFERROR(_xlfn.AGGREGATE(15,6,$C$3:$C$53,ROW('Production Matrix'!#REF!)),"")</f>
        <v/>
      </c>
      <c r="E201" s="11" t="str">
        <f t="shared" si="8"/>
        <v/>
      </c>
      <c r="F201" s="12">
        <f>IFERROR(INDEX('Production Matrix'!$B:$B,E201,0),0)</f>
        <v>0</v>
      </c>
    </row>
    <row r="202" spans="1:6">
      <c r="A202" s="1">
        <v>200</v>
      </c>
      <c r="B202">
        <f t="shared" si="7"/>
        <v>600</v>
      </c>
      <c r="C202" s="11" t="e">
        <f>IF(1*('Production Matrix'!A:A="تكلفة انتاج الوحدة")*ROW('Production Matrix'!#REF!)=0,1/0,1*('Production Matrix'!A:A="تكلفة انتاج الوحدة")*ROW('Production Matrix'!#REF!))</f>
        <v>#REF!</v>
      </c>
      <c r="D202" s="11" t="str">
        <f>IFERROR(_xlfn.AGGREGATE(15,6,$C$3:$C$53,ROW('Production Matrix'!#REF!)),"")</f>
        <v/>
      </c>
      <c r="E202" s="11" t="str">
        <f t="shared" si="8"/>
        <v/>
      </c>
      <c r="F202" s="12">
        <f>IFERROR(INDEX('Production Matrix'!$B:$B,E202,0),0)</f>
        <v>0</v>
      </c>
    </row>
    <row r="203" spans="1:6">
      <c r="A203" s="1">
        <v>201</v>
      </c>
      <c r="B203">
        <f t="shared" si="7"/>
        <v>603</v>
      </c>
      <c r="C203" s="11" t="e">
        <f>IF(1*('Production Matrix'!A:A="تكلفة انتاج الوحدة")*ROW('Production Matrix'!#REF!)=0,1/0,1*('Production Matrix'!A:A="تكلفة انتاج الوحدة")*ROW('Production Matrix'!#REF!))</f>
        <v>#REF!</v>
      </c>
      <c r="D203" s="11" t="str">
        <f>IFERROR(_xlfn.AGGREGATE(15,6,$C$3:$C$53,ROW('Production Matrix'!#REF!)),"")</f>
        <v/>
      </c>
      <c r="E203" s="11" t="str">
        <f t="shared" si="8"/>
        <v/>
      </c>
      <c r="F203" s="12">
        <f>IFERROR(INDEX('Production Matrix'!$B:$B,E203,0),0)</f>
        <v>0</v>
      </c>
    </row>
    <row r="204" spans="1:6">
      <c r="A204" s="1">
        <v>202</v>
      </c>
      <c r="B204">
        <f t="shared" si="7"/>
        <v>606</v>
      </c>
      <c r="C204" s="11" t="e">
        <f>IF(1*('Production Matrix'!A:A="تكلفة انتاج الوحدة")*ROW('Production Matrix'!#REF!)=0,1/0,1*('Production Matrix'!A:A="تكلفة انتاج الوحدة")*ROW('Production Matrix'!#REF!))</f>
        <v>#REF!</v>
      </c>
      <c r="D204" s="11" t="str">
        <f>IFERROR(_xlfn.AGGREGATE(15,6,$C$3:$C$53,ROW('Production Matrix'!#REF!)),"")</f>
        <v/>
      </c>
      <c r="E204" s="11" t="str">
        <f t="shared" si="8"/>
        <v/>
      </c>
      <c r="F204" s="12">
        <f>IFERROR(INDEX('Production Matrix'!$B:$B,E204,0),0)</f>
        <v>0</v>
      </c>
    </row>
    <row r="205" spans="1:6">
      <c r="A205" s="1">
        <v>203</v>
      </c>
      <c r="B205">
        <f t="shared" si="7"/>
        <v>609</v>
      </c>
      <c r="C205" s="11" t="e">
        <f>IF(1*('Production Matrix'!A:A="تكلفة انتاج الوحدة")*ROW('Production Matrix'!#REF!)=0,1/0,1*('Production Matrix'!A:A="تكلفة انتاج الوحدة")*ROW('Production Matrix'!#REF!))</f>
        <v>#REF!</v>
      </c>
      <c r="D205" s="11" t="str">
        <f>IFERROR(_xlfn.AGGREGATE(15,6,$C$3:$C$53,ROW('Production Matrix'!#REF!)),"")</f>
        <v/>
      </c>
      <c r="E205" s="11" t="str">
        <f t="shared" si="8"/>
        <v/>
      </c>
      <c r="F205" s="12">
        <f>IFERROR(INDEX('Production Matrix'!$B:$B,E205,0),0)</f>
        <v>0</v>
      </c>
    </row>
    <row r="206" spans="1:6">
      <c r="A206" s="1">
        <v>204</v>
      </c>
      <c r="B206">
        <f t="shared" si="7"/>
        <v>612</v>
      </c>
      <c r="C206" s="11" t="e">
        <f>IF(1*('Production Matrix'!A:A="تكلفة انتاج الوحدة")*ROW('Production Matrix'!#REF!)=0,1/0,1*('Production Matrix'!A:A="تكلفة انتاج الوحدة")*ROW('Production Matrix'!#REF!))</f>
        <v>#REF!</v>
      </c>
      <c r="D206" s="11" t="str">
        <f>IFERROR(_xlfn.AGGREGATE(15,6,$C$3:$C$53,ROW('Production Matrix'!#REF!)),"")</f>
        <v/>
      </c>
      <c r="E206" s="11" t="str">
        <f t="shared" si="8"/>
        <v/>
      </c>
      <c r="F206" s="12">
        <f>IFERROR(INDEX('Production Matrix'!$B:$B,E206,0),0)</f>
        <v>0</v>
      </c>
    </row>
    <row r="207" spans="1:6">
      <c r="A207" s="1">
        <v>205</v>
      </c>
      <c r="B207">
        <f t="shared" si="7"/>
        <v>615</v>
      </c>
      <c r="C207" s="11" t="e">
        <f>IF(1*('Production Matrix'!A:A="تكلفة انتاج الوحدة")*ROW('Production Matrix'!#REF!)=0,1/0,1*('Production Matrix'!A:A="تكلفة انتاج الوحدة")*ROW('Production Matrix'!#REF!))</f>
        <v>#REF!</v>
      </c>
      <c r="D207" s="11" t="str">
        <f>IFERROR(_xlfn.AGGREGATE(15,6,$C$3:$C$53,ROW('Production Matrix'!#REF!)),"")</f>
        <v/>
      </c>
      <c r="E207" s="11" t="str">
        <f t="shared" si="8"/>
        <v/>
      </c>
      <c r="F207" s="12">
        <f>IFERROR(INDEX('Production Matrix'!$B:$B,E207,0),0)</f>
        <v>0</v>
      </c>
    </row>
    <row r="208" spans="1:6">
      <c r="A208" s="1">
        <v>206</v>
      </c>
      <c r="B208">
        <f t="shared" si="7"/>
        <v>618</v>
      </c>
      <c r="C208" s="11" t="e">
        <f>IF(1*('Production Matrix'!A:A="تكلفة انتاج الوحدة")*ROW('Production Matrix'!#REF!)=0,1/0,1*('Production Matrix'!A:A="تكلفة انتاج الوحدة")*ROW('Production Matrix'!#REF!))</f>
        <v>#REF!</v>
      </c>
      <c r="D208" s="11" t="str">
        <f>IFERROR(_xlfn.AGGREGATE(15,6,$C$3:$C$53,ROW('Production Matrix'!#REF!)),"")</f>
        <v/>
      </c>
      <c r="E208" s="11" t="str">
        <f t="shared" si="8"/>
        <v/>
      </c>
      <c r="F208" s="12">
        <f>IFERROR(INDEX('Production Matrix'!$B:$B,E208,0),0)</f>
        <v>0</v>
      </c>
    </row>
    <row r="209" spans="1:6">
      <c r="A209" s="1">
        <v>207</v>
      </c>
      <c r="B209">
        <f t="shared" si="7"/>
        <v>621</v>
      </c>
      <c r="C209" s="11" t="e">
        <f>IF(1*('Production Matrix'!A:A="تكلفة انتاج الوحدة")*ROW('Production Matrix'!#REF!)=0,1/0,1*('Production Matrix'!A:A="تكلفة انتاج الوحدة")*ROW('Production Matrix'!#REF!))</f>
        <v>#REF!</v>
      </c>
      <c r="D209" s="11" t="str">
        <f>IFERROR(_xlfn.AGGREGATE(15,6,$C$3:$C$53,ROW('Production Matrix'!#REF!)),"")</f>
        <v/>
      </c>
      <c r="E209" s="11" t="str">
        <f t="shared" si="8"/>
        <v/>
      </c>
      <c r="F209" s="12">
        <f>IFERROR(INDEX('Production Matrix'!$B:$B,E209,0),0)</f>
        <v>0</v>
      </c>
    </row>
    <row r="210" spans="1:6">
      <c r="A210" s="1">
        <v>208</v>
      </c>
      <c r="B210">
        <f t="shared" si="7"/>
        <v>624</v>
      </c>
      <c r="C210" s="11" t="e">
        <f>IF(1*('Production Matrix'!A:A="تكلفة انتاج الوحدة")*ROW('Production Matrix'!#REF!)=0,1/0,1*('Production Matrix'!A:A="تكلفة انتاج الوحدة")*ROW('Production Matrix'!#REF!))</f>
        <v>#REF!</v>
      </c>
      <c r="D210" s="11" t="str">
        <f>IFERROR(_xlfn.AGGREGATE(15,6,$C$3:$C$53,ROW('Production Matrix'!#REF!)),"")</f>
        <v/>
      </c>
      <c r="E210" s="11" t="str">
        <f t="shared" si="8"/>
        <v/>
      </c>
      <c r="F210" s="12">
        <f>IFERROR(INDEX('Production Matrix'!$B:$B,E210,0),0)</f>
        <v>0</v>
      </c>
    </row>
    <row r="211" spans="1:6">
      <c r="A211" s="1">
        <v>209</v>
      </c>
      <c r="B211">
        <f t="shared" si="7"/>
        <v>627</v>
      </c>
      <c r="C211" s="11" t="e">
        <f>IF(1*('Production Matrix'!A:A="تكلفة انتاج الوحدة")*ROW('Production Matrix'!#REF!)=0,1/0,1*('Production Matrix'!A:A="تكلفة انتاج الوحدة")*ROW('Production Matrix'!#REF!))</f>
        <v>#REF!</v>
      </c>
      <c r="D211" s="11" t="str">
        <f>IFERROR(_xlfn.AGGREGATE(15,6,$C$3:$C$53,ROW('Production Matrix'!#REF!)),"")</f>
        <v/>
      </c>
      <c r="E211" s="11" t="str">
        <f t="shared" si="8"/>
        <v/>
      </c>
      <c r="F211" s="12">
        <f>IFERROR(INDEX('Production Matrix'!$B:$B,E211,0),0)</f>
        <v>0</v>
      </c>
    </row>
    <row r="212" spans="1:6">
      <c r="A212" s="1">
        <v>210</v>
      </c>
      <c r="B212">
        <f t="shared" si="7"/>
        <v>630</v>
      </c>
      <c r="C212" s="11" t="e">
        <f>IF(1*('Production Matrix'!A:A="تكلفة انتاج الوحدة")*ROW('Production Matrix'!#REF!)=0,1/0,1*('Production Matrix'!A:A="تكلفة انتاج الوحدة")*ROW('Production Matrix'!#REF!))</f>
        <v>#REF!</v>
      </c>
      <c r="D212" s="11" t="str">
        <f>IFERROR(_xlfn.AGGREGATE(15,6,$C$3:$C$53,ROW('Production Matrix'!#REF!)),"")</f>
        <v/>
      </c>
      <c r="E212" s="11" t="str">
        <f t="shared" si="8"/>
        <v/>
      </c>
      <c r="F212" s="12">
        <f>IFERROR(INDEX('Production Matrix'!$B:$B,E212,0),0)</f>
        <v>0</v>
      </c>
    </row>
    <row r="213" spans="1:6">
      <c r="A213" s="1">
        <v>211</v>
      </c>
      <c r="B213">
        <f t="shared" si="7"/>
        <v>633</v>
      </c>
      <c r="C213" s="11" t="e">
        <f>IF(1*('Production Matrix'!A:A="تكلفة انتاج الوحدة")*ROW('Production Matrix'!#REF!)=0,1/0,1*('Production Matrix'!A:A="تكلفة انتاج الوحدة")*ROW('Production Matrix'!#REF!))</f>
        <v>#REF!</v>
      </c>
      <c r="D213" s="11" t="str">
        <f>IFERROR(_xlfn.AGGREGATE(15,6,$C$3:$C$53,ROW('Production Matrix'!#REF!)),"")</f>
        <v/>
      </c>
      <c r="E213" s="11" t="str">
        <f t="shared" si="8"/>
        <v/>
      </c>
      <c r="F213" s="12">
        <f>IFERROR(INDEX('Production Matrix'!$B:$B,E213,0),0)</f>
        <v>0</v>
      </c>
    </row>
    <row r="214" spans="1:6">
      <c r="A214" s="1">
        <v>212</v>
      </c>
      <c r="B214">
        <f t="shared" si="7"/>
        <v>636</v>
      </c>
      <c r="C214" s="11" t="e">
        <f>IF(1*('Production Matrix'!A:A="تكلفة انتاج الوحدة")*ROW('Production Matrix'!#REF!)=0,1/0,1*('Production Matrix'!A:A="تكلفة انتاج الوحدة")*ROW('Production Matrix'!#REF!))</f>
        <v>#REF!</v>
      </c>
      <c r="D214" s="11" t="str">
        <f>IFERROR(_xlfn.AGGREGATE(15,6,$C$3:$C$53,ROW('Production Matrix'!#REF!)),"")</f>
        <v/>
      </c>
      <c r="E214" s="11" t="str">
        <f t="shared" si="8"/>
        <v/>
      </c>
      <c r="F214" s="12">
        <f>IFERROR(INDEX('Production Matrix'!$B:$B,E214,0),0)</f>
        <v>0</v>
      </c>
    </row>
    <row r="215" spans="1:6">
      <c r="A215" s="1">
        <v>213</v>
      </c>
      <c r="B215">
        <f t="shared" si="7"/>
        <v>639</v>
      </c>
      <c r="C215" s="11" t="e">
        <f>IF(1*('Production Matrix'!A:A="تكلفة انتاج الوحدة")*ROW('Production Matrix'!#REF!)=0,1/0,1*('Production Matrix'!A:A="تكلفة انتاج الوحدة")*ROW('Production Matrix'!#REF!))</f>
        <v>#REF!</v>
      </c>
      <c r="D215" s="11" t="str">
        <f>IFERROR(_xlfn.AGGREGATE(15,6,$C$3:$C$53,ROW('Production Matrix'!#REF!)),"")</f>
        <v/>
      </c>
      <c r="E215" s="11" t="str">
        <f t="shared" si="8"/>
        <v/>
      </c>
      <c r="F215" s="12">
        <f>IFERROR(INDEX('Production Matrix'!$B:$B,E215,0),0)</f>
        <v>0</v>
      </c>
    </row>
    <row r="216" spans="1:6">
      <c r="A216" s="1">
        <v>214</v>
      </c>
      <c r="B216">
        <f t="shared" si="7"/>
        <v>642</v>
      </c>
      <c r="C216" s="11" t="e">
        <f>IF(1*('Production Matrix'!A:A="تكلفة انتاج الوحدة")*ROW('Production Matrix'!#REF!)=0,1/0,1*('Production Matrix'!A:A="تكلفة انتاج الوحدة")*ROW('Production Matrix'!#REF!))</f>
        <v>#REF!</v>
      </c>
      <c r="D216" s="11" t="str">
        <f>IFERROR(_xlfn.AGGREGATE(15,6,$C$3:$C$53,ROW('Production Matrix'!#REF!)),"")</f>
        <v/>
      </c>
      <c r="E216" s="11" t="str">
        <f t="shared" si="8"/>
        <v/>
      </c>
      <c r="F216" s="12">
        <f>IFERROR(INDEX('Production Matrix'!$B:$B,E216,0),0)</f>
        <v>0</v>
      </c>
    </row>
    <row r="217" spans="1:6">
      <c r="A217" s="1">
        <v>215</v>
      </c>
      <c r="B217">
        <f t="shared" si="7"/>
        <v>645</v>
      </c>
      <c r="C217" s="11" t="e">
        <f>IF(1*('Production Matrix'!A:A="تكلفة انتاج الوحدة")*ROW('Production Matrix'!#REF!)=0,1/0,1*('Production Matrix'!A:A="تكلفة انتاج الوحدة")*ROW('Production Matrix'!#REF!))</f>
        <v>#REF!</v>
      </c>
      <c r="D217" s="11" t="str">
        <f>IFERROR(_xlfn.AGGREGATE(15,6,$C$3:$C$53,ROW('Production Matrix'!#REF!)),"")</f>
        <v/>
      </c>
      <c r="E217" s="11" t="str">
        <f t="shared" si="8"/>
        <v/>
      </c>
      <c r="F217" s="12">
        <f>IFERROR(INDEX('Production Matrix'!$B:$B,E217,0),0)</f>
        <v>0</v>
      </c>
    </row>
    <row r="218" spans="1:6">
      <c r="A218" s="1">
        <v>216</v>
      </c>
      <c r="B218">
        <f t="shared" si="7"/>
        <v>648</v>
      </c>
      <c r="C218" s="11" t="e">
        <f>IF(1*('Production Matrix'!A:A="تكلفة انتاج الوحدة")*ROW('Production Matrix'!#REF!)=0,1/0,1*('Production Matrix'!A:A="تكلفة انتاج الوحدة")*ROW('Production Matrix'!#REF!))</f>
        <v>#REF!</v>
      </c>
      <c r="D218" s="11" t="str">
        <f>IFERROR(_xlfn.AGGREGATE(15,6,$C$3:$C$53,ROW('Production Matrix'!#REF!)),"")</f>
        <v/>
      </c>
      <c r="E218" s="11" t="str">
        <f t="shared" si="8"/>
        <v/>
      </c>
      <c r="F218" s="12">
        <f>IFERROR(INDEX('Production Matrix'!$B:$B,E218,0),0)</f>
        <v>0</v>
      </c>
    </row>
    <row r="219" spans="1:6">
      <c r="A219" s="1">
        <v>217</v>
      </c>
      <c r="B219">
        <f t="shared" si="7"/>
        <v>651</v>
      </c>
      <c r="C219" s="11" t="e">
        <f>IF(1*('Production Matrix'!A:A="تكلفة انتاج الوحدة")*ROW('Production Matrix'!#REF!)=0,1/0,1*('Production Matrix'!A:A="تكلفة انتاج الوحدة")*ROW('Production Matrix'!#REF!))</f>
        <v>#REF!</v>
      </c>
      <c r="D219" s="11" t="str">
        <f>IFERROR(_xlfn.AGGREGATE(15,6,$C$3:$C$53,ROW('Production Matrix'!#REF!)),"")</f>
        <v/>
      </c>
      <c r="E219" s="11" t="str">
        <f t="shared" si="8"/>
        <v/>
      </c>
      <c r="F219" s="12">
        <f>IFERROR(INDEX('Production Matrix'!$B:$B,E219,0),0)</f>
        <v>0</v>
      </c>
    </row>
    <row r="220" spans="1:6">
      <c r="A220" s="1">
        <v>218</v>
      </c>
      <c r="B220">
        <f t="shared" si="7"/>
        <v>654</v>
      </c>
      <c r="C220" s="11" t="e">
        <f>IF(1*('Production Matrix'!A:A="تكلفة انتاج الوحدة")*ROW('Production Matrix'!#REF!)=0,1/0,1*('Production Matrix'!A:A="تكلفة انتاج الوحدة")*ROW('Production Matrix'!#REF!))</f>
        <v>#REF!</v>
      </c>
      <c r="D220" s="11" t="str">
        <f>IFERROR(_xlfn.AGGREGATE(15,6,$C$3:$C$53,ROW('Production Matrix'!#REF!)),"")</f>
        <v/>
      </c>
      <c r="E220" s="11" t="str">
        <f t="shared" si="8"/>
        <v/>
      </c>
      <c r="F220" s="12">
        <f>IFERROR(INDEX('Production Matrix'!$B:$B,E220,0),0)</f>
        <v>0</v>
      </c>
    </row>
    <row r="221" spans="1:6">
      <c r="A221" s="1">
        <v>219</v>
      </c>
      <c r="B221">
        <f t="shared" si="7"/>
        <v>657</v>
      </c>
      <c r="C221" s="11" t="e">
        <f>IF(1*('Production Matrix'!A:A="تكلفة انتاج الوحدة")*ROW('Production Matrix'!#REF!)=0,1/0,1*('Production Matrix'!A:A="تكلفة انتاج الوحدة")*ROW('Production Matrix'!#REF!))</f>
        <v>#REF!</v>
      </c>
      <c r="D221" s="11" t="str">
        <f>IFERROR(_xlfn.AGGREGATE(15,6,$C$3:$C$53,ROW('Production Matrix'!#REF!)),"")</f>
        <v/>
      </c>
      <c r="E221" s="11" t="str">
        <f t="shared" si="8"/>
        <v/>
      </c>
      <c r="F221" s="12">
        <f>IFERROR(INDEX('Production Matrix'!$B:$B,E221,0),0)</f>
        <v>0</v>
      </c>
    </row>
    <row r="222" spans="1:6">
      <c r="A222" s="1">
        <v>220</v>
      </c>
      <c r="B222">
        <f t="shared" si="7"/>
        <v>660</v>
      </c>
      <c r="C222" s="11" t="e">
        <f>IF(1*('Production Matrix'!A:A="تكلفة انتاج الوحدة")*ROW('Production Matrix'!#REF!)=0,1/0,1*('Production Matrix'!A:A="تكلفة انتاج الوحدة")*ROW('Production Matrix'!#REF!))</f>
        <v>#REF!</v>
      </c>
      <c r="D222" s="11" t="str">
        <f>IFERROR(_xlfn.AGGREGATE(15,6,$C$3:$C$53,ROW('Production Matrix'!#REF!)),"")</f>
        <v/>
      </c>
      <c r="E222" s="11" t="str">
        <f t="shared" si="8"/>
        <v/>
      </c>
      <c r="F222" s="12">
        <f>IFERROR(INDEX('Production Matrix'!$B:$B,E222,0),0)</f>
        <v>0</v>
      </c>
    </row>
    <row r="223" spans="1:6">
      <c r="A223" s="1">
        <v>221</v>
      </c>
      <c r="B223">
        <f t="shared" si="7"/>
        <v>663</v>
      </c>
      <c r="C223" s="11" t="e">
        <f>IF(1*('Production Matrix'!A:A="تكلفة انتاج الوحدة")*ROW('Production Matrix'!#REF!)=0,1/0,1*('Production Matrix'!A:A="تكلفة انتاج الوحدة")*ROW('Production Matrix'!#REF!))</f>
        <v>#REF!</v>
      </c>
      <c r="D223" s="11" t="str">
        <f>IFERROR(_xlfn.AGGREGATE(15,6,$C$3:$C$53,ROW('Production Matrix'!#REF!)),"")</f>
        <v/>
      </c>
      <c r="E223" s="11" t="str">
        <f t="shared" si="8"/>
        <v/>
      </c>
      <c r="F223" s="12">
        <f>IFERROR(INDEX('Production Matrix'!$B:$B,E223,0),0)</f>
        <v>0</v>
      </c>
    </row>
    <row r="224" spans="1:6">
      <c r="A224" s="1">
        <v>222</v>
      </c>
      <c r="B224">
        <f t="shared" si="7"/>
        <v>666</v>
      </c>
      <c r="C224" s="11" t="e">
        <f>IF(1*('Production Matrix'!A:A="تكلفة انتاج الوحدة")*ROW('Production Matrix'!#REF!)=0,1/0,1*('Production Matrix'!A:A="تكلفة انتاج الوحدة")*ROW('Production Matrix'!#REF!))</f>
        <v>#REF!</v>
      </c>
      <c r="D224" s="11" t="str">
        <f>IFERROR(_xlfn.AGGREGATE(15,6,$C$3:$C$53,ROW('Production Matrix'!#REF!)),"")</f>
        <v/>
      </c>
      <c r="E224" s="11" t="str">
        <f t="shared" si="8"/>
        <v/>
      </c>
      <c r="F224" s="12">
        <f>IFERROR(INDEX('Production Matrix'!$B:$B,E224,0),0)</f>
        <v>0</v>
      </c>
    </row>
    <row r="225" spans="1:6">
      <c r="A225" s="1">
        <v>223</v>
      </c>
      <c r="B225">
        <f t="shared" si="7"/>
        <v>669</v>
      </c>
      <c r="C225" s="11" t="e">
        <f>IF(1*('Production Matrix'!A:A="تكلفة انتاج الوحدة")*ROW('Production Matrix'!#REF!)=0,1/0,1*('Production Matrix'!A:A="تكلفة انتاج الوحدة")*ROW('Production Matrix'!#REF!))</f>
        <v>#REF!</v>
      </c>
      <c r="D225" s="11" t="str">
        <f>IFERROR(_xlfn.AGGREGATE(15,6,$C$3:$C$53,ROW('Production Matrix'!A23)),"")</f>
        <v/>
      </c>
      <c r="E225" s="11" t="str">
        <f t="shared" si="8"/>
        <v/>
      </c>
      <c r="F225" s="12">
        <f>IFERROR(INDEX('Production Matrix'!$B:$B,E225,0),0)</f>
        <v>0</v>
      </c>
    </row>
    <row r="226" spans="1:6">
      <c r="A226" s="1">
        <v>224</v>
      </c>
      <c r="B226">
        <f t="shared" si="7"/>
        <v>672</v>
      </c>
      <c r="C226" s="11" t="e">
        <f>IF(1*('Production Matrix'!A:A="تكلفة انتاج الوحدة")*ROW('Production Matrix'!#REF!)=0,1/0,1*('Production Matrix'!A:A="تكلفة انتاج الوحدة")*ROW('Production Matrix'!#REF!))</f>
        <v>#REF!</v>
      </c>
      <c r="D226" s="11" t="str">
        <f>IFERROR(_xlfn.AGGREGATE(15,6,$C$3:$C$53,ROW('Production Matrix'!A24)),"")</f>
        <v/>
      </c>
      <c r="E226" s="11" t="str">
        <f t="shared" si="8"/>
        <v/>
      </c>
      <c r="F226" s="12">
        <f>IFERROR(INDEX('Production Matrix'!$B:$B,E226,0),0)</f>
        <v>0</v>
      </c>
    </row>
    <row r="227" spans="1:6">
      <c r="A227" s="1">
        <v>225</v>
      </c>
      <c r="B227">
        <f t="shared" si="7"/>
        <v>675</v>
      </c>
      <c r="C227" s="11" t="e">
        <f>IF(1*('Production Matrix'!A:A="تكلفة انتاج الوحدة")*ROW('Production Matrix'!#REF!)=0,1/0,1*('Production Matrix'!A:A="تكلفة انتاج الوحدة")*ROW('Production Matrix'!#REF!))</f>
        <v>#REF!</v>
      </c>
      <c r="D227" s="11" t="str">
        <f>IFERROR(_xlfn.AGGREGATE(15,6,$C$3:$C$53,ROW('Production Matrix'!A25)),"")</f>
        <v/>
      </c>
      <c r="E227" s="11" t="str">
        <f t="shared" si="8"/>
        <v/>
      </c>
      <c r="F227" s="12">
        <f>IFERROR(INDEX('Production Matrix'!$B:$B,E227,0),0)</f>
        <v>0</v>
      </c>
    </row>
    <row r="228" spans="1:6">
      <c r="A228" s="1">
        <v>226</v>
      </c>
      <c r="B228">
        <f t="shared" si="7"/>
        <v>678</v>
      </c>
      <c r="C228" s="11" t="e">
        <f>IF(1*('Production Matrix'!A:A="تكلفة انتاج الوحدة")*ROW('Production Matrix'!#REF!)=0,1/0,1*('Production Matrix'!A:A="تكلفة انتاج الوحدة")*ROW('Production Matrix'!#REF!))</f>
        <v>#REF!</v>
      </c>
      <c r="D228" s="11" t="str">
        <f>IFERROR(_xlfn.AGGREGATE(15,6,$C$3:$C$53,ROW('Production Matrix'!A45)),"")</f>
        <v/>
      </c>
      <c r="E228" s="11" t="str">
        <f t="shared" si="8"/>
        <v/>
      </c>
      <c r="F228" s="12">
        <f>IFERROR(INDEX('Production Matrix'!$B:$B,E228,0),0)</f>
        <v>0</v>
      </c>
    </row>
    <row r="229" spans="1:6">
      <c r="A229" s="1">
        <v>227</v>
      </c>
      <c r="B229">
        <f t="shared" si="7"/>
        <v>681</v>
      </c>
      <c r="C229" s="11" t="e">
        <f>IF(1*('Production Matrix'!A:A="تكلفة انتاج الوحدة")*ROW('Production Matrix'!#REF!)=0,1/0,1*('Production Matrix'!A:A="تكلفة انتاج الوحدة")*ROW('Production Matrix'!#REF!))</f>
        <v>#REF!</v>
      </c>
      <c r="D229" s="11" t="str">
        <f>IFERROR(_xlfn.AGGREGATE(15,6,$C$3:$C$53,ROW('Production Matrix'!#REF!)),"")</f>
        <v/>
      </c>
      <c r="E229" s="11" t="str">
        <f t="shared" si="8"/>
        <v/>
      </c>
      <c r="F229" s="12">
        <f>IFERROR(INDEX('Production Matrix'!$B:$B,E229,0),0)</f>
        <v>0</v>
      </c>
    </row>
    <row r="230" spans="1:6">
      <c r="A230" s="1">
        <v>228</v>
      </c>
      <c r="B230">
        <f t="shared" si="7"/>
        <v>684</v>
      </c>
      <c r="C230" s="11" t="e">
        <f>IF(1*('Production Matrix'!A:A="تكلفة انتاج الوحدة")*ROW('Production Matrix'!#REF!)=0,1/0,1*('Production Matrix'!A:A="تكلفة انتاج الوحدة")*ROW('Production Matrix'!#REF!))</f>
        <v>#REF!</v>
      </c>
      <c r="D230" s="11" t="str">
        <f>IFERROR(_xlfn.AGGREGATE(15,6,$C$3:$C$53,ROW('Production Matrix'!#REF!)),"")</f>
        <v/>
      </c>
      <c r="E230" s="11" t="str">
        <f t="shared" si="8"/>
        <v/>
      </c>
      <c r="F230" s="12">
        <f>IFERROR(INDEX('Production Matrix'!$B:$B,E230,0),0)</f>
        <v>0</v>
      </c>
    </row>
    <row r="231" spans="1:6">
      <c r="A231" s="1">
        <v>229</v>
      </c>
      <c r="B231">
        <f t="shared" si="7"/>
        <v>687</v>
      </c>
      <c r="C231" s="11" t="e">
        <f>IF(1*('Production Matrix'!A:A="تكلفة انتاج الوحدة")*ROW('Production Matrix'!#REF!)=0,1/0,1*('Production Matrix'!A:A="تكلفة انتاج الوحدة")*ROW('Production Matrix'!#REF!))</f>
        <v>#REF!</v>
      </c>
      <c r="D231" s="11" t="str">
        <f>IFERROR(_xlfn.AGGREGATE(15,6,$C$3:$C$53,ROW('Production Matrix'!#REF!)),"")</f>
        <v/>
      </c>
      <c r="E231" s="11" t="str">
        <f t="shared" si="8"/>
        <v/>
      </c>
      <c r="F231" s="12">
        <f>IFERROR(INDEX('Production Matrix'!$B:$B,E231,0),0)</f>
        <v>0</v>
      </c>
    </row>
    <row r="232" spans="1:6">
      <c r="A232" s="1">
        <v>230</v>
      </c>
      <c r="B232">
        <f t="shared" si="7"/>
        <v>690</v>
      </c>
      <c r="C232" s="11" t="e">
        <f>IF(1*('Production Matrix'!A:A="تكلفة انتاج الوحدة")*ROW('Production Matrix'!#REF!)=0,1/0,1*('Production Matrix'!A:A="تكلفة انتاج الوحدة")*ROW('Production Matrix'!#REF!))</f>
        <v>#REF!</v>
      </c>
      <c r="D232" s="11" t="str">
        <f>IFERROR(_xlfn.AGGREGATE(15,6,$C$3:$C$53,ROW('Production Matrix'!#REF!)),"")</f>
        <v/>
      </c>
      <c r="E232" s="11" t="str">
        <f t="shared" si="8"/>
        <v/>
      </c>
      <c r="F232" s="12">
        <f>IFERROR(INDEX('Production Matrix'!$B:$B,E232,0),0)</f>
        <v>0</v>
      </c>
    </row>
    <row r="233" spans="1:6">
      <c r="A233" s="1">
        <v>231</v>
      </c>
      <c r="B233">
        <f t="shared" si="7"/>
        <v>693</v>
      </c>
      <c r="C233" s="11" t="e">
        <f>IF(1*('Production Matrix'!A:A="تكلفة انتاج الوحدة")*ROW('Production Matrix'!#REF!)=0,1/0,1*('Production Matrix'!A:A="تكلفة انتاج الوحدة")*ROW('Production Matrix'!#REF!))</f>
        <v>#REF!</v>
      </c>
      <c r="D233" s="11" t="str">
        <f>IFERROR(_xlfn.AGGREGATE(15,6,$C$3:$C$53,ROW('Production Matrix'!#REF!)),"")</f>
        <v/>
      </c>
      <c r="E233" s="11" t="str">
        <f t="shared" si="8"/>
        <v/>
      </c>
      <c r="F233" s="12">
        <f>IFERROR(INDEX('Production Matrix'!$B:$B,E233,0),0)</f>
        <v>0</v>
      </c>
    </row>
    <row r="234" spans="1:6">
      <c r="A234" s="1">
        <v>232</v>
      </c>
      <c r="B234">
        <f t="shared" si="7"/>
        <v>696</v>
      </c>
      <c r="C234" s="11" t="e">
        <f>IF(1*('Production Matrix'!A:A="تكلفة انتاج الوحدة")*ROW('Production Matrix'!#REF!)=0,1/0,1*('Production Matrix'!A:A="تكلفة انتاج الوحدة")*ROW('Production Matrix'!#REF!))</f>
        <v>#REF!</v>
      </c>
      <c r="D234" s="11" t="str">
        <f>IFERROR(_xlfn.AGGREGATE(15,6,$C$3:$C$53,ROW('Production Matrix'!#REF!)),"")</f>
        <v/>
      </c>
      <c r="E234" s="11" t="str">
        <f t="shared" si="8"/>
        <v/>
      </c>
      <c r="F234" s="12">
        <f>IFERROR(INDEX('Production Matrix'!$B:$B,E234,0),0)</f>
        <v>0</v>
      </c>
    </row>
    <row r="235" spans="1:6">
      <c r="A235" s="1">
        <v>233</v>
      </c>
      <c r="B235">
        <f t="shared" si="7"/>
        <v>699</v>
      </c>
      <c r="C235" s="11" t="e">
        <f>IF(1*('Production Matrix'!A:A="تكلفة انتاج الوحدة")*ROW('Production Matrix'!#REF!)=0,1/0,1*('Production Matrix'!A:A="تكلفة انتاج الوحدة")*ROW('Production Matrix'!#REF!))</f>
        <v>#REF!</v>
      </c>
      <c r="D235" s="11" t="str">
        <f>IFERROR(_xlfn.AGGREGATE(15,6,$C$3:$C$53,ROW('Production Matrix'!#REF!)),"")</f>
        <v/>
      </c>
      <c r="E235" s="11" t="str">
        <f t="shared" si="8"/>
        <v/>
      </c>
      <c r="F235" s="12">
        <f>IFERROR(INDEX('Production Matrix'!$B:$B,E235,0),0)</f>
        <v>0</v>
      </c>
    </row>
    <row r="236" spans="1:6">
      <c r="A236" s="1">
        <v>234</v>
      </c>
      <c r="B236">
        <f t="shared" si="7"/>
        <v>702</v>
      </c>
      <c r="C236" s="11" t="e">
        <f>IF(1*('Production Matrix'!A:A="تكلفة انتاج الوحدة")*ROW('Production Matrix'!#REF!)=0,1/0,1*('Production Matrix'!A:A="تكلفة انتاج الوحدة")*ROW('Production Matrix'!#REF!))</f>
        <v>#REF!</v>
      </c>
      <c r="D236" s="11" t="str">
        <f>IFERROR(_xlfn.AGGREGATE(15,6,$C$3:$C$53,ROW('Production Matrix'!#REF!)),"")</f>
        <v/>
      </c>
      <c r="E236" s="11" t="str">
        <f t="shared" si="8"/>
        <v/>
      </c>
      <c r="F236" s="12">
        <f>IFERROR(INDEX('Production Matrix'!$B:$B,E236,0),0)</f>
        <v>0</v>
      </c>
    </row>
    <row r="237" spans="1:6">
      <c r="A237" s="1">
        <v>235</v>
      </c>
      <c r="B237">
        <f t="shared" si="7"/>
        <v>705</v>
      </c>
      <c r="C237" s="11" t="e">
        <f>IF(1*('Production Matrix'!A:A="تكلفة انتاج الوحدة")*ROW('Production Matrix'!#REF!)=0,1/0,1*('Production Matrix'!A:A="تكلفة انتاج الوحدة")*ROW('Production Matrix'!#REF!))</f>
        <v>#REF!</v>
      </c>
      <c r="D237" s="11" t="str">
        <f>IFERROR(_xlfn.AGGREGATE(15,6,$C$3:$C$53,ROW('Production Matrix'!#REF!)),"")</f>
        <v/>
      </c>
      <c r="E237" s="11" t="str">
        <f t="shared" si="8"/>
        <v/>
      </c>
      <c r="F237" s="12">
        <f>IFERROR(INDEX('Production Matrix'!$B:$B,E237,0),0)</f>
        <v>0</v>
      </c>
    </row>
    <row r="238" spans="1:6">
      <c r="A238" s="1">
        <v>236</v>
      </c>
      <c r="B238">
        <f t="shared" si="7"/>
        <v>708</v>
      </c>
      <c r="C238" s="11" t="e">
        <f>IF(1*('Production Matrix'!A:A="تكلفة انتاج الوحدة")*ROW('Production Matrix'!#REF!)=0,1/0,1*('Production Matrix'!A:A="تكلفة انتاج الوحدة")*ROW('Production Matrix'!#REF!))</f>
        <v>#REF!</v>
      </c>
      <c r="D238" s="11" t="str">
        <f>IFERROR(_xlfn.AGGREGATE(15,6,$C$3:$C$53,ROW('Production Matrix'!#REF!)),"")</f>
        <v/>
      </c>
      <c r="E238" s="11" t="str">
        <f t="shared" si="8"/>
        <v/>
      </c>
      <c r="F238" s="12">
        <f>IFERROR(INDEX('Production Matrix'!$B:$B,E238,0),0)</f>
        <v>0</v>
      </c>
    </row>
    <row r="239" spans="1:6">
      <c r="A239" s="1">
        <v>237</v>
      </c>
      <c r="B239">
        <f t="shared" si="7"/>
        <v>711</v>
      </c>
      <c r="C239" s="11" t="e">
        <f>IF(1*('Production Matrix'!A:A="تكلفة انتاج الوحدة")*ROW('Production Matrix'!#REF!)=0,1/0,1*('Production Matrix'!A:A="تكلفة انتاج الوحدة")*ROW('Production Matrix'!#REF!))</f>
        <v>#REF!</v>
      </c>
      <c r="D239" s="11" t="str">
        <f>IFERROR(_xlfn.AGGREGATE(15,6,$C$3:$C$53,ROW('Production Matrix'!#REF!)),"")</f>
        <v/>
      </c>
      <c r="E239" s="11" t="str">
        <f t="shared" si="8"/>
        <v/>
      </c>
      <c r="F239" s="12">
        <f>IFERROR(INDEX('Production Matrix'!$B:$B,E239,0),0)</f>
        <v>0</v>
      </c>
    </row>
    <row r="240" spans="1:6">
      <c r="A240" s="1">
        <v>238</v>
      </c>
      <c r="B240">
        <f t="shared" si="7"/>
        <v>714</v>
      </c>
      <c r="C240" s="11" t="e">
        <f>IF(1*('Production Matrix'!A:A="تكلفة انتاج الوحدة")*ROW('Production Matrix'!#REF!)=0,1/0,1*('Production Matrix'!A:A="تكلفة انتاج الوحدة")*ROW('Production Matrix'!#REF!))</f>
        <v>#REF!</v>
      </c>
      <c r="D240" s="11" t="str">
        <f>IFERROR(_xlfn.AGGREGATE(15,6,$C$3:$C$53,ROW('Production Matrix'!#REF!)),"")</f>
        <v/>
      </c>
      <c r="E240" s="11" t="str">
        <f t="shared" si="8"/>
        <v/>
      </c>
      <c r="F240" s="12">
        <f>IFERROR(INDEX('Production Matrix'!$B:$B,E240,0),0)</f>
        <v>0</v>
      </c>
    </row>
    <row r="241" spans="1:6">
      <c r="A241" s="1">
        <v>239</v>
      </c>
      <c r="B241">
        <f t="shared" si="7"/>
        <v>717</v>
      </c>
      <c r="C241" s="11" t="e">
        <f>IF(1*('Production Matrix'!A:A="تكلفة انتاج الوحدة")*ROW('Production Matrix'!#REF!)=0,1/0,1*('Production Matrix'!A:A="تكلفة انتاج الوحدة")*ROW('Production Matrix'!#REF!))</f>
        <v>#REF!</v>
      </c>
      <c r="D241" s="11" t="str">
        <f>IFERROR(_xlfn.AGGREGATE(15,6,$C$3:$C$53,ROW('Production Matrix'!#REF!)),"")</f>
        <v/>
      </c>
      <c r="E241" s="11" t="str">
        <f t="shared" si="8"/>
        <v/>
      </c>
      <c r="F241" s="12">
        <f>IFERROR(INDEX('Production Matrix'!$B:$B,E241,0),0)</f>
        <v>0</v>
      </c>
    </row>
    <row r="242" spans="1:6">
      <c r="A242" s="1">
        <v>240</v>
      </c>
      <c r="B242">
        <f t="shared" si="7"/>
        <v>720</v>
      </c>
      <c r="C242" s="11" t="e">
        <f>IF(1*('Production Matrix'!A:A="تكلفة انتاج الوحدة")*ROW('Production Matrix'!#REF!)=0,1/0,1*('Production Matrix'!A:A="تكلفة انتاج الوحدة")*ROW('Production Matrix'!#REF!))</f>
        <v>#REF!</v>
      </c>
      <c r="D242" s="11" t="str">
        <f>IFERROR(_xlfn.AGGREGATE(15,6,$C$3:$C$53,ROW('Production Matrix'!#REF!)),"")</f>
        <v/>
      </c>
      <c r="E242" s="11" t="str">
        <f t="shared" si="8"/>
        <v/>
      </c>
      <c r="F242" s="12">
        <f>IFERROR(INDEX('Production Matrix'!$B:$B,E242,0),0)</f>
        <v>0</v>
      </c>
    </row>
    <row r="243" spans="1:6">
      <c r="A243" s="1">
        <v>241</v>
      </c>
      <c r="B243">
        <f t="shared" si="7"/>
        <v>723</v>
      </c>
      <c r="C243" s="11" t="e">
        <f>IF(1*('Production Matrix'!A:A="تكلفة انتاج الوحدة")*ROW('Production Matrix'!#REF!)=0,1/0,1*('Production Matrix'!A:A="تكلفة انتاج الوحدة")*ROW('Production Matrix'!#REF!))</f>
        <v>#REF!</v>
      </c>
      <c r="D243" s="11" t="str">
        <f>IFERROR(_xlfn.AGGREGATE(15,6,$C$3:$C$53,ROW('Production Matrix'!#REF!)),"")</f>
        <v/>
      </c>
      <c r="E243" s="11" t="str">
        <f t="shared" si="8"/>
        <v/>
      </c>
      <c r="F243" s="12">
        <f>IFERROR(INDEX('Production Matrix'!$B:$B,E243,0),0)</f>
        <v>0</v>
      </c>
    </row>
    <row r="244" spans="1:6">
      <c r="A244" s="1">
        <v>242</v>
      </c>
      <c r="B244">
        <f t="shared" si="7"/>
        <v>726</v>
      </c>
      <c r="C244" s="11" t="e">
        <f>IF(1*('Production Matrix'!A:A="تكلفة انتاج الوحدة")*ROW('Production Matrix'!#REF!)=0,1/0,1*('Production Matrix'!A:A="تكلفة انتاج الوحدة")*ROW('Production Matrix'!#REF!))</f>
        <v>#REF!</v>
      </c>
      <c r="D244" s="11" t="str">
        <f>IFERROR(_xlfn.AGGREGATE(15,6,$C$3:$C$53,ROW('Production Matrix'!#REF!)),"")</f>
        <v/>
      </c>
      <c r="E244" s="11" t="str">
        <f t="shared" si="8"/>
        <v/>
      </c>
      <c r="F244" s="12">
        <f>IFERROR(INDEX('Production Matrix'!$B:$B,E244,0),0)</f>
        <v>0</v>
      </c>
    </row>
    <row r="245" spans="1:6">
      <c r="A245" s="1">
        <v>243</v>
      </c>
      <c r="B245">
        <f t="shared" si="7"/>
        <v>729</v>
      </c>
      <c r="C245" s="11" t="e">
        <f>IF(1*('Production Matrix'!A:A="تكلفة انتاج الوحدة")*ROW('Production Matrix'!#REF!)=0,1/0,1*('Production Matrix'!A:A="تكلفة انتاج الوحدة")*ROW('Production Matrix'!#REF!))</f>
        <v>#REF!</v>
      </c>
      <c r="D245" s="11" t="str">
        <f>IFERROR(_xlfn.AGGREGATE(15,6,$C$3:$C$53,ROW('Production Matrix'!#REF!)),"")</f>
        <v/>
      </c>
      <c r="E245" s="11" t="str">
        <f t="shared" si="8"/>
        <v/>
      </c>
      <c r="F245" s="12">
        <f>IFERROR(INDEX('Production Matrix'!$B:$B,E245,0),0)</f>
        <v>0</v>
      </c>
    </row>
    <row r="246" spans="1:6">
      <c r="A246" s="1">
        <v>244</v>
      </c>
      <c r="B246">
        <f t="shared" si="7"/>
        <v>732</v>
      </c>
      <c r="C246" s="11" t="e">
        <f>IF(1*('Production Matrix'!A:A="تكلفة انتاج الوحدة")*ROW('Production Matrix'!#REF!)=0,1/0,1*('Production Matrix'!A:A="تكلفة انتاج الوحدة")*ROW('Production Matrix'!#REF!))</f>
        <v>#REF!</v>
      </c>
      <c r="D246" s="11" t="str">
        <f>IFERROR(_xlfn.AGGREGATE(15,6,$C$3:$C$53,ROW('Production Matrix'!#REF!)),"")</f>
        <v/>
      </c>
      <c r="E246" s="11" t="str">
        <f t="shared" si="8"/>
        <v/>
      </c>
      <c r="F246" s="12">
        <f>IFERROR(INDEX('Production Matrix'!$B:$B,E246,0),0)</f>
        <v>0</v>
      </c>
    </row>
    <row r="247" spans="1:6">
      <c r="A247" s="1">
        <v>245</v>
      </c>
      <c r="B247">
        <f t="shared" si="7"/>
        <v>735</v>
      </c>
      <c r="C247" s="11" t="e">
        <f>IF(1*('Production Matrix'!A:A="تكلفة انتاج الوحدة")*ROW('Production Matrix'!#REF!)=0,1/0,1*('Production Matrix'!A:A="تكلفة انتاج الوحدة")*ROW('Production Matrix'!#REF!))</f>
        <v>#REF!</v>
      </c>
      <c r="D247" s="11" t="str">
        <f>IFERROR(_xlfn.AGGREGATE(15,6,$C$3:$C$53,ROW('Production Matrix'!#REF!)),"")</f>
        <v/>
      </c>
      <c r="E247" s="11" t="str">
        <f t="shared" si="8"/>
        <v/>
      </c>
      <c r="F247" s="12">
        <f>IFERROR(INDEX('Production Matrix'!$B:$B,E247,0),0)</f>
        <v>0</v>
      </c>
    </row>
    <row r="248" spans="1:6">
      <c r="A248" s="1">
        <v>246</v>
      </c>
      <c r="B248">
        <f t="shared" si="7"/>
        <v>738</v>
      </c>
      <c r="C248" s="11" t="e">
        <f>IF(1*('Production Matrix'!A:A="تكلفة انتاج الوحدة")*ROW('Production Matrix'!#REF!)=0,1/0,1*('Production Matrix'!A:A="تكلفة انتاج الوحدة")*ROW('Production Matrix'!#REF!))</f>
        <v>#REF!</v>
      </c>
      <c r="D248" s="11" t="str">
        <f>IFERROR(_xlfn.AGGREGATE(15,6,$C$3:$C$53,ROW('Production Matrix'!#REF!)),"")</f>
        <v/>
      </c>
      <c r="E248" s="11" t="str">
        <f t="shared" si="8"/>
        <v/>
      </c>
      <c r="F248" s="12">
        <f>IFERROR(INDEX('Production Matrix'!$B:$B,E248,0),0)</f>
        <v>0</v>
      </c>
    </row>
    <row r="249" spans="1:6">
      <c r="A249" s="1">
        <v>247</v>
      </c>
      <c r="B249">
        <f t="shared" si="7"/>
        <v>741</v>
      </c>
      <c r="C249" s="11" t="e">
        <f>IF(1*('Production Matrix'!A:A="تكلفة انتاج الوحدة")*ROW('Production Matrix'!#REF!)=0,1/0,1*('Production Matrix'!A:A="تكلفة انتاج الوحدة")*ROW('Production Matrix'!#REF!))</f>
        <v>#REF!</v>
      </c>
      <c r="D249" s="11" t="str">
        <f>IFERROR(_xlfn.AGGREGATE(15,6,$C$3:$C$53,ROW('Production Matrix'!#REF!)),"")</f>
        <v/>
      </c>
      <c r="E249" s="11" t="str">
        <f t="shared" si="8"/>
        <v/>
      </c>
      <c r="F249" s="12">
        <f>IFERROR(INDEX('Production Matrix'!$B:$B,E249,0),0)</f>
        <v>0</v>
      </c>
    </row>
    <row r="250" spans="1:6">
      <c r="A250" s="1">
        <v>248</v>
      </c>
      <c r="B250">
        <f t="shared" si="7"/>
        <v>744</v>
      </c>
      <c r="C250" s="11" t="e">
        <f>IF(1*('Production Matrix'!A:A="تكلفة انتاج الوحدة")*ROW('Production Matrix'!#REF!)=0,1/0,1*('Production Matrix'!A:A="تكلفة انتاج الوحدة")*ROW('Production Matrix'!#REF!))</f>
        <v>#REF!</v>
      </c>
      <c r="D250" s="11" t="str">
        <f>IFERROR(_xlfn.AGGREGATE(15,6,$C$3:$C$53,ROW('Production Matrix'!#REF!)),"")</f>
        <v/>
      </c>
      <c r="E250" s="11" t="str">
        <f t="shared" si="8"/>
        <v/>
      </c>
      <c r="F250" s="12">
        <f>IFERROR(INDEX('Production Matrix'!$B:$B,E250,0),0)</f>
        <v>0</v>
      </c>
    </row>
    <row r="251" spans="1:6">
      <c r="A251" s="1">
        <v>249</v>
      </c>
      <c r="B251">
        <f t="shared" si="7"/>
        <v>747</v>
      </c>
      <c r="C251" s="11" t="e">
        <f>IF(1*('Production Matrix'!A:A="تكلفة انتاج الوحدة")*ROW('Production Matrix'!#REF!)=0,1/0,1*('Production Matrix'!A:A="تكلفة انتاج الوحدة")*ROW('Production Matrix'!#REF!))</f>
        <v>#REF!</v>
      </c>
      <c r="D251" s="11" t="str">
        <f>IFERROR(_xlfn.AGGREGATE(15,6,$C$3:$C$53,ROW('Production Matrix'!#REF!)),"")</f>
        <v/>
      </c>
      <c r="E251" s="11" t="str">
        <f t="shared" si="8"/>
        <v/>
      </c>
      <c r="F251" s="12">
        <f>IFERROR(INDEX('Production Matrix'!$B:$B,E251,0),0)</f>
        <v>0</v>
      </c>
    </row>
    <row r="252" spans="1:6">
      <c r="A252" s="1">
        <v>250</v>
      </c>
      <c r="B252">
        <f t="shared" si="7"/>
        <v>750</v>
      </c>
      <c r="C252" s="11" t="e">
        <f>IF(1*('Production Matrix'!A:A="تكلفة انتاج الوحدة")*ROW('Production Matrix'!#REF!)=0,1/0,1*('Production Matrix'!A:A="تكلفة انتاج الوحدة")*ROW('Production Matrix'!#REF!))</f>
        <v>#REF!</v>
      </c>
      <c r="D252" s="11" t="str">
        <f>IFERROR(_xlfn.AGGREGATE(15,6,$C$3:$C$53,ROW('Production Matrix'!#REF!)),"")</f>
        <v/>
      </c>
      <c r="E252" s="11" t="str">
        <f t="shared" si="8"/>
        <v/>
      </c>
      <c r="F252" s="12">
        <f>IFERROR(INDEX('Production Matrix'!$B:$B,E252,0),0)</f>
        <v>0</v>
      </c>
    </row>
    <row r="253" spans="1:6">
      <c r="A253" s="1">
        <v>251</v>
      </c>
      <c r="B253">
        <f t="shared" si="7"/>
        <v>753</v>
      </c>
      <c r="C253" s="11" t="e">
        <f>IF(1*('Production Matrix'!A:A="تكلفة انتاج الوحدة")*ROW('Production Matrix'!#REF!)=0,1/0,1*('Production Matrix'!A:A="تكلفة انتاج الوحدة")*ROW('Production Matrix'!#REF!))</f>
        <v>#REF!</v>
      </c>
      <c r="D253" s="11" t="str">
        <f>IFERROR(_xlfn.AGGREGATE(15,6,$C$3:$C$53,ROW('Production Matrix'!#REF!)),"")</f>
        <v/>
      </c>
      <c r="E253" s="11" t="str">
        <f t="shared" si="8"/>
        <v/>
      </c>
      <c r="F253" s="12">
        <f>IFERROR(INDEX('Production Matrix'!$B:$B,E253,0),0)</f>
        <v>0</v>
      </c>
    </row>
    <row r="254" spans="1:6">
      <c r="A254" s="1">
        <v>252</v>
      </c>
      <c r="B254">
        <f t="shared" si="7"/>
        <v>756</v>
      </c>
      <c r="C254" s="11" t="e">
        <f>IF(1*('Production Matrix'!A:A="تكلفة انتاج الوحدة")*ROW('Production Matrix'!#REF!)=0,1/0,1*('Production Matrix'!A:A="تكلفة انتاج الوحدة")*ROW('Production Matrix'!#REF!))</f>
        <v>#REF!</v>
      </c>
      <c r="D254" s="11" t="str">
        <f>IFERROR(_xlfn.AGGREGATE(15,6,$C$3:$C$53,ROW('Production Matrix'!#REF!)),"")</f>
        <v/>
      </c>
      <c r="E254" s="11" t="str">
        <f t="shared" si="8"/>
        <v/>
      </c>
      <c r="F254" s="12">
        <f>IFERROR(INDEX('Production Matrix'!$B:$B,E254,0),0)</f>
        <v>0</v>
      </c>
    </row>
    <row r="255" spans="1:6">
      <c r="A255" s="1">
        <v>253</v>
      </c>
      <c r="B255">
        <f t="shared" si="7"/>
        <v>759</v>
      </c>
      <c r="C255" s="11" t="e">
        <f>IF(1*('Production Matrix'!A:A="تكلفة انتاج الوحدة")*ROW('Production Matrix'!#REF!)=0,1/0,1*('Production Matrix'!A:A="تكلفة انتاج الوحدة")*ROW('Production Matrix'!#REF!))</f>
        <v>#REF!</v>
      </c>
      <c r="D255" s="11" t="str">
        <f>IFERROR(_xlfn.AGGREGATE(15,6,$C$3:$C$53,ROW('Production Matrix'!#REF!)),"")</f>
        <v/>
      </c>
      <c r="E255" s="11" t="str">
        <f t="shared" si="8"/>
        <v/>
      </c>
      <c r="F255" s="12">
        <f>IFERROR(INDEX('Production Matrix'!$B:$B,E255,0),0)</f>
        <v>0</v>
      </c>
    </row>
    <row r="256" spans="1:6">
      <c r="A256" s="1">
        <v>254</v>
      </c>
      <c r="B256">
        <f t="shared" si="7"/>
        <v>762</v>
      </c>
      <c r="C256" s="11" t="e">
        <f>IF(1*('Production Matrix'!A:A="تكلفة انتاج الوحدة")*ROW('Production Matrix'!#REF!)=0,1/0,1*('Production Matrix'!A:A="تكلفة انتاج الوحدة")*ROW('Production Matrix'!#REF!))</f>
        <v>#REF!</v>
      </c>
      <c r="D256" s="11" t="str">
        <f>IFERROR(_xlfn.AGGREGATE(15,6,$C$3:$C$53,ROW('Production Matrix'!#REF!)),"")</f>
        <v/>
      </c>
      <c r="E256" s="11" t="str">
        <f t="shared" si="8"/>
        <v/>
      </c>
      <c r="F256" s="12">
        <f>IFERROR(INDEX('Production Matrix'!$B:$B,E256,0),0)</f>
        <v>0</v>
      </c>
    </row>
    <row r="257" spans="1:6">
      <c r="A257" s="1">
        <v>255</v>
      </c>
      <c r="B257">
        <f t="shared" si="7"/>
        <v>765</v>
      </c>
      <c r="C257" s="11" t="e">
        <f>IF(1*('Production Matrix'!A:A="تكلفة انتاج الوحدة")*ROW('Production Matrix'!#REF!)=0,1/0,1*('Production Matrix'!A:A="تكلفة انتاج الوحدة")*ROW('Production Matrix'!#REF!))</f>
        <v>#REF!</v>
      </c>
      <c r="D257" s="11" t="str">
        <f>IFERROR(_xlfn.AGGREGATE(15,6,$C$3:$C$53,ROW('Production Matrix'!#REF!)),"")</f>
        <v/>
      </c>
      <c r="E257" s="11" t="str">
        <f t="shared" si="8"/>
        <v/>
      </c>
      <c r="F257" s="12">
        <f>IFERROR(INDEX('Production Matrix'!$B:$B,E257,0),0)</f>
        <v>0</v>
      </c>
    </row>
    <row r="258" spans="1:6">
      <c r="A258" s="1">
        <v>256</v>
      </c>
      <c r="B258">
        <f t="shared" si="7"/>
        <v>768</v>
      </c>
      <c r="C258" s="11" t="e">
        <f>IF(1*('Production Matrix'!A:A="تكلفة انتاج الوحدة")*ROW('Production Matrix'!#REF!)=0,1/0,1*('Production Matrix'!A:A="تكلفة انتاج الوحدة")*ROW('Production Matrix'!#REF!))</f>
        <v>#REF!</v>
      </c>
      <c r="D258" s="11" t="str">
        <f>IFERROR(_xlfn.AGGREGATE(15,6,$C$3:$C$53,ROW('Production Matrix'!#REF!)),"")</f>
        <v/>
      </c>
      <c r="E258" s="11" t="str">
        <f t="shared" si="8"/>
        <v/>
      </c>
      <c r="F258" s="12">
        <f>IFERROR(INDEX('Production Matrix'!$B:$B,E258,0),0)</f>
        <v>0</v>
      </c>
    </row>
    <row r="259" spans="1:6">
      <c r="A259" s="1">
        <v>257</v>
      </c>
      <c r="B259">
        <f t="shared" si="7"/>
        <v>771</v>
      </c>
      <c r="C259" s="11" t="e">
        <f>IF(1*('Production Matrix'!A:A="تكلفة انتاج الوحدة")*ROW('Production Matrix'!#REF!)=0,1/0,1*('Production Matrix'!A:A="تكلفة انتاج الوحدة")*ROW('Production Matrix'!#REF!))</f>
        <v>#REF!</v>
      </c>
      <c r="D259" s="11" t="str">
        <f>IFERROR(_xlfn.AGGREGATE(15,6,$C$3:$C$53,ROW('Production Matrix'!#REF!)),"")</f>
        <v/>
      </c>
      <c r="E259" s="11" t="str">
        <f t="shared" si="8"/>
        <v/>
      </c>
      <c r="F259" s="12">
        <f>IFERROR(INDEX('Production Matrix'!$B:$B,E259,0),0)</f>
        <v>0</v>
      </c>
    </row>
    <row r="260" spans="1:6">
      <c r="A260" s="1">
        <v>258</v>
      </c>
      <c r="B260">
        <f t="shared" ref="B260:B323" si="9">A260*3</f>
        <v>774</v>
      </c>
      <c r="C260" s="11" t="e">
        <f>IF(1*('Production Matrix'!A:A="تكلفة انتاج الوحدة")*ROW('Production Matrix'!#REF!)=0,1/0,1*('Production Matrix'!A:A="تكلفة انتاج الوحدة")*ROW('Production Matrix'!#REF!))</f>
        <v>#REF!</v>
      </c>
      <c r="D260" s="11" t="str">
        <f>IFERROR(_xlfn.AGGREGATE(15,6,$C$3:$C$53,ROW('Production Matrix'!#REF!)),"")</f>
        <v/>
      </c>
      <c r="E260" s="11" t="str">
        <f t="shared" si="8"/>
        <v/>
      </c>
      <c r="F260" s="12">
        <f>IFERROR(INDEX('Production Matrix'!$B:$B,E260,0),0)</f>
        <v>0</v>
      </c>
    </row>
    <row r="261" spans="1:6">
      <c r="A261" s="1">
        <v>259</v>
      </c>
      <c r="B261">
        <f t="shared" si="9"/>
        <v>777</v>
      </c>
      <c r="C261" s="11" t="e">
        <f>IF(1*('Production Matrix'!A:A="تكلفة انتاج الوحدة")*ROW('Production Matrix'!#REF!)=0,1/0,1*('Production Matrix'!A:A="تكلفة انتاج الوحدة")*ROW('Production Matrix'!#REF!))</f>
        <v>#REF!</v>
      </c>
      <c r="D261" s="11" t="str">
        <f>IFERROR(_xlfn.AGGREGATE(15,6,$C$3:$C$53,ROW('Production Matrix'!#REF!)),"")</f>
        <v/>
      </c>
      <c r="E261" s="11" t="str">
        <f t="shared" si="8"/>
        <v/>
      </c>
      <c r="F261" s="12">
        <f>IFERROR(INDEX('Production Matrix'!$B:$B,E261,0),0)</f>
        <v>0</v>
      </c>
    </row>
    <row r="262" spans="1:6">
      <c r="A262" s="1">
        <v>260</v>
      </c>
      <c r="B262">
        <f t="shared" si="9"/>
        <v>780</v>
      </c>
      <c r="C262" s="11" t="e">
        <f>IF(1*('Production Matrix'!A:A="تكلفة انتاج الوحدة")*ROW('Production Matrix'!#REF!)=0,1/0,1*('Production Matrix'!A:A="تكلفة انتاج الوحدة")*ROW('Production Matrix'!#REF!))</f>
        <v>#REF!</v>
      </c>
      <c r="D262" s="11" t="str">
        <f>IFERROR(_xlfn.AGGREGATE(15,6,$C$3:$C$53,ROW('Production Matrix'!#REF!)),"")</f>
        <v/>
      </c>
      <c r="E262" s="11" t="str">
        <f t="shared" si="8"/>
        <v/>
      </c>
      <c r="F262" s="12">
        <f>IFERROR(INDEX('Production Matrix'!$B:$B,E262,0),0)</f>
        <v>0</v>
      </c>
    </row>
    <row r="263" spans="1:6">
      <c r="A263" s="1">
        <v>261</v>
      </c>
      <c r="B263">
        <f t="shared" si="9"/>
        <v>783</v>
      </c>
      <c r="C263" s="11" t="e">
        <f>IF(1*('Production Matrix'!A:A="تكلفة انتاج الوحدة")*ROW('Production Matrix'!#REF!)=0,1/0,1*('Production Matrix'!A:A="تكلفة انتاج الوحدة")*ROW('Production Matrix'!#REF!))</f>
        <v>#REF!</v>
      </c>
      <c r="D263" s="11" t="str">
        <f>IFERROR(_xlfn.AGGREGATE(15,6,$C$3:$C$53,ROW('Production Matrix'!#REF!)),"")</f>
        <v/>
      </c>
      <c r="E263" s="11" t="str">
        <f t="shared" ref="E263:E326" si="10">IFERROR(D263+3,"")</f>
        <v/>
      </c>
      <c r="F263" s="12">
        <f>IFERROR(INDEX('Production Matrix'!$B:$B,E263,0),0)</f>
        <v>0</v>
      </c>
    </row>
    <row r="264" spans="1:6">
      <c r="A264" s="1">
        <v>262</v>
      </c>
      <c r="B264">
        <f t="shared" si="9"/>
        <v>786</v>
      </c>
      <c r="C264" s="11" t="e">
        <f>IF(1*('Production Matrix'!A:A="تكلفة انتاج الوحدة")*ROW('Production Matrix'!#REF!)=0,1/0,1*('Production Matrix'!A:A="تكلفة انتاج الوحدة")*ROW('Production Matrix'!#REF!))</f>
        <v>#REF!</v>
      </c>
      <c r="D264" s="11" t="str">
        <f>IFERROR(_xlfn.AGGREGATE(15,6,$C$3:$C$53,ROW('Production Matrix'!#REF!)),"")</f>
        <v/>
      </c>
      <c r="E264" s="11" t="str">
        <f t="shared" si="10"/>
        <v/>
      </c>
      <c r="F264" s="12">
        <f>IFERROR(INDEX('Production Matrix'!$B:$B,E264,0),0)</f>
        <v>0</v>
      </c>
    </row>
    <row r="265" spans="1:6">
      <c r="A265" s="1">
        <v>263</v>
      </c>
      <c r="B265">
        <f t="shared" si="9"/>
        <v>789</v>
      </c>
      <c r="C265" s="11" t="e">
        <f>IF(1*('Production Matrix'!A:A="تكلفة انتاج الوحدة")*ROW('Production Matrix'!#REF!)=0,1/0,1*('Production Matrix'!A:A="تكلفة انتاج الوحدة")*ROW('Production Matrix'!#REF!))</f>
        <v>#REF!</v>
      </c>
      <c r="D265" s="11" t="str">
        <f>IFERROR(_xlfn.AGGREGATE(15,6,$C$3:$C$53,ROW('Production Matrix'!#REF!)),"")</f>
        <v/>
      </c>
      <c r="E265" s="11" t="str">
        <f t="shared" si="10"/>
        <v/>
      </c>
      <c r="F265" s="12">
        <f>IFERROR(INDEX('Production Matrix'!$B:$B,E265,0),0)</f>
        <v>0</v>
      </c>
    </row>
    <row r="266" spans="1:6">
      <c r="A266" s="1">
        <v>264</v>
      </c>
      <c r="B266">
        <f t="shared" si="9"/>
        <v>792</v>
      </c>
      <c r="C266" s="11" t="e">
        <f>IF(1*('Production Matrix'!A:A="تكلفة انتاج الوحدة")*ROW('Production Matrix'!#REF!)=0,1/0,1*('Production Matrix'!A:A="تكلفة انتاج الوحدة")*ROW('Production Matrix'!#REF!))</f>
        <v>#REF!</v>
      </c>
      <c r="D266" s="11" t="str">
        <f>IFERROR(_xlfn.AGGREGATE(15,6,$C$3:$C$53,ROW('Production Matrix'!#REF!)),"")</f>
        <v/>
      </c>
      <c r="E266" s="11" t="str">
        <f t="shared" si="10"/>
        <v/>
      </c>
      <c r="F266" s="12">
        <f>IFERROR(INDEX('Production Matrix'!$B:$B,E266,0),0)</f>
        <v>0</v>
      </c>
    </row>
    <row r="267" spans="1:6">
      <c r="A267" s="1">
        <v>265</v>
      </c>
      <c r="B267">
        <f t="shared" si="9"/>
        <v>795</v>
      </c>
      <c r="C267" s="11" t="e">
        <f>IF(1*('Production Matrix'!A:A="تكلفة انتاج الوحدة")*ROW('Production Matrix'!#REF!)=0,1/0,1*('Production Matrix'!A:A="تكلفة انتاج الوحدة")*ROW('Production Matrix'!#REF!))</f>
        <v>#REF!</v>
      </c>
      <c r="D267" s="11" t="str">
        <f>IFERROR(_xlfn.AGGREGATE(15,6,$C$3:$C$53,ROW('Production Matrix'!#REF!)),"")</f>
        <v/>
      </c>
      <c r="E267" s="11" t="str">
        <f t="shared" si="10"/>
        <v/>
      </c>
      <c r="F267" s="12">
        <f>IFERROR(INDEX('Production Matrix'!$B:$B,E267,0),0)</f>
        <v>0</v>
      </c>
    </row>
    <row r="268" spans="1:6">
      <c r="A268" s="1">
        <v>266</v>
      </c>
      <c r="B268">
        <f t="shared" si="9"/>
        <v>798</v>
      </c>
      <c r="C268" s="11" t="e">
        <f>IF(1*('Production Matrix'!A:A="تكلفة انتاج الوحدة")*ROW('Production Matrix'!#REF!)=0,1/0,1*('Production Matrix'!A:A="تكلفة انتاج الوحدة")*ROW('Production Matrix'!#REF!))</f>
        <v>#REF!</v>
      </c>
      <c r="D268" s="11" t="str">
        <f>IFERROR(_xlfn.AGGREGATE(15,6,$C$3:$C$53,ROW('Production Matrix'!#REF!)),"")</f>
        <v/>
      </c>
      <c r="E268" s="11" t="str">
        <f t="shared" si="10"/>
        <v/>
      </c>
      <c r="F268" s="12">
        <f>IFERROR(INDEX('Production Matrix'!$B:$B,E268,0),0)</f>
        <v>0</v>
      </c>
    </row>
    <row r="269" spans="1:6">
      <c r="A269" s="1">
        <v>267</v>
      </c>
      <c r="B269">
        <f t="shared" si="9"/>
        <v>801</v>
      </c>
      <c r="C269" s="11" t="e">
        <f>IF(1*('Production Matrix'!A:A="تكلفة انتاج الوحدة")*ROW('Production Matrix'!#REF!)=0,1/0,1*('Production Matrix'!A:A="تكلفة انتاج الوحدة")*ROW('Production Matrix'!#REF!))</f>
        <v>#REF!</v>
      </c>
      <c r="D269" s="11" t="str">
        <f>IFERROR(_xlfn.AGGREGATE(15,6,$C$3:$C$53,ROW('Production Matrix'!#REF!)),"")</f>
        <v/>
      </c>
      <c r="E269" s="11" t="str">
        <f t="shared" si="10"/>
        <v/>
      </c>
      <c r="F269" s="12">
        <f>IFERROR(INDEX('Production Matrix'!$B:$B,E269,0),0)</f>
        <v>0</v>
      </c>
    </row>
    <row r="270" spans="1:6">
      <c r="A270" s="1">
        <v>268</v>
      </c>
      <c r="B270">
        <f t="shared" si="9"/>
        <v>804</v>
      </c>
      <c r="C270" s="11" t="e">
        <f>IF(1*('Production Matrix'!A:A="تكلفة انتاج الوحدة")*ROW('Production Matrix'!#REF!)=0,1/0,1*('Production Matrix'!A:A="تكلفة انتاج الوحدة")*ROW('Production Matrix'!#REF!))</f>
        <v>#REF!</v>
      </c>
      <c r="D270" s="11" t="str">
        <f>IFERROR(_xlfn.AGGREGATE(15,6,$C$3:$C$53,ROW('Production Matrix'!#REF!)),"")</f>
        <v/>
      </c>
      <c r="E270" s="11" t="str">
        <f t="shared" si="10"/>
        <v/>
      </c>
      <c r="F270" s="12">
        <f>IFERROR(INDEX('Production Matrix'!$B:$B,E270,0),0)</f>
        <v>0</v>
      </c>
    </row>
    <row r="271" spans="1:6">
      <c r="A271" s="1">
        <v>269</v>
      </c>
      <c r="B271">
        <f t="shared" si="9"/>
        <v>807</v>
      </c>
      <c r="C271" s="11" t="e">
        <f>IF(1*('Production Matrix'!A:A="تكلفة انتاج الوحدة")*ROW('Production Matrix'!#REF!)=0,1/0,1*('Production Matrix'!A:A="تكلفة انتاج الوحدة")*ROW('Production Matrix'!#REF!))</f>
        <v>#REF!</v>
      </c>
      <c r="D271" s="11" t="str">
        <f>IFERROR(_xlfn.AGGREGATE(15,6,$C$3:$C$53,ROW('Production Matrix'!#REF!)),"")</f>
        <v/>
      </c>
      <c r="E271" s="11" t="str">
        <f t="shared" si="10"/>
        <v/>
      </c>
      <c r="F271" s="12">
        <f>IFERROR(INDEX('Production Matrix'!$B:$B,E271,0),0)</f>
        <v>0</v>
      </c>
    </row>
    <row r="272" spans="1:6">
      <c r="A272" s="1">
        <v>270</v>
      </c>
      <c r="B272">
        <f t="shared" si="9"/>
        <v>810</v>
      </c>
      <c r="C272" s="11" t="e">
        <f>IF(1*('Production Matrix'!A:A="تكلفة انتاج الوحدة")*ROW('Production Matrix'!#REF!)=0,1/0,1*('Production Matrix'!A:A="تكلفة انتاج الوحدة")*ROW('Production Matrix'!#REF!))</f>
        <v>#REF!</v>
      </c>
      <c r="D272" s="11" t="str">
        <f>IFERROR(_xlfn.AGGREGATE(15,6,$C$3:$C$53,ROW('Production Matrix'!#REF!)),"")</f>
        <v/>
      </c>
      <c r="E272" s="11" t="str">
        <f t="shared" si="10"/>
        <v/>
      </c>
      <c r="F272" s="12">
        <f>IFERROR(INDEX('Production Matrix'!$B:$B,E272,0),0)</f>
        <v>0</v>
      </c>
    </row>
    <row r="273" spans="1:6">
      <c r="A273" s="1">
        <v>271</v>
      </c>
      <c r="B273">
        <f t="shared" si="9"/>
        <v>813</v>
      </c>
      <c r="C273" s="11" t="e">
        <f>IF(1*('Production Matrix'!A:A="تكلفة انتاج الوحدة")*ROW('Production Matrix'!#REF!)=0,1/0,1*('Production Matrix'!A:A="تكلفة انتاج الوحدة")*ROW('Production Matrix'!#REF!))</f>
        <v>#REF!</v>
      </c>
      <c r="D273" s="11" t="str">
        <f>IFERROR(_xlfn.AGGREGATE(15,6,$C$3:$C$53,ROW('Production Matrix'!#REF!)),"")</f>
        <v/>
      </c>
      <c r="E273" s="11" t="str">
        <f t="shared" si="10"/>
        <v/>
      </c>
      <c r="F273" s="12">
        <f>IFERROR(INDEX('Production Matrix'!$B:$B,E273,0),0)</f>
        <v>0</v>
      </c>
    </row>
    <row r="274" spans="1:6">
      <c r="A274" s="1">
        <v>272</v>
      </c>
      <c r="B274">
        <f t="shared" si="9"/>
        <v>816</v>
      </c>
      <c r="C274" s="11" t="e">
        <f>IF(1*('Production Matrix'!A:A="تكلفة انتاج الوحدة")*ROW('Production Matrix'!#REF!)=0,1/0,1*('Production Matrix'!A:A="تكلفة انتاج الوحدة")*ROW('Production Matrix'!#REF!))</f>
        <v>#REF!</v>
      </c>
      <c r="D274" s="11" t="str">
        <f>IFERROR(_xlfn.AGGREGATE(15,6,$C$3:$C$53,ROW('Production Matrix'!#REF!)),"")</f>
        <v/>
      </c>
      <c r="E274" s="11" t="str">
        <f t="shared" si="10"/>
        <v/>
      </c>
      <c r="F274" s="12">
        <f>IFERROR(INDEX('Production Matrix'!$B:$B,E274,0),0)</f>
        <v>0</v>
      </c>
    </row>
    <row r="275" spans="1:6">
      <c r="A275" s="1">
        <v>273</v>
      </c>
      <c r="B275">
        <f t="shared" si="9"/>
        <v>819</v>
      </c>
      <c r="C275" s="11" t="e">
        <f>IF(1*('Production Matrix'!A:A="تكلفة انتاج الوحدة")*ROW('Production Matrix'!#REF!)=0,1/0,1*('Production Matrix'!A:A="تكلفة انتاج الوحدة")*ROW('Production Matrix'!#REF!))</f>
        <v>#REF!</v>
      </c>
      <c r="D275" s="11" t="str">
        <f>IFERROR(_xlfn.AGGREGATE(15,6,$C$3:$C$53,ROW('Production Matrix'!#REF!)),"")</f>
        <v/>
      </c>
      <c r="E275" s="11" t="str">
        <f t="shared" si="10"/>
        <v/>
      </c>
      <c r="F275" s="12">
        <f>IFERROR(INDEX('Production Matrix'!$B:$B,E275,0),0)</f>
        <v>0</v>
      </c>
    </row>
    <row r="276" spans="1:6">
      <c r="A276" s="1">
        <v>274</v>
      </c>
      <c r="B276">
        <f t="shared" si="9"/>
        <v>822</v>
      </c>
      <c r="C276" s="11" t="e">
        <f>IF(1*('Production Matrix'!A:A="تكلفة انتاج الوحدة")*ROW('Production Matrix'!#REF!)=0,1/0,1*('Production Matrix'!A:A="تكلفة انتاج الوحدة")*ROW('Production Matrix'!#REF!))</f>
        <v>#REF!</v>
      </c>
      <c r="D276" s="11" t="str">
        <f>IFERROR(_xlfn.AGGREGATE(15,6,$C$3:$C$53,ROW('Production Matrix'!#REF!)),"")</f>
        <v/>
      </c>
      <c r="E276" s="11" t="str">
        <f t="shared" si="10"/>
        <v/>
      </c>
      <c r="F276" s="12">
        <f>IFERROR(INDEX('Production Matrix'!$B:$B,E276,0),0)</f>
        <v>0</v>
      </c>
    </row>
    <row r="277" spans="1:6">
      <c r="A277" s="1">
        <v>275</v>
      </c>
      <c r="B277">
        <f t="shared" si="9"/>
        <v>825</v>
      </c>
      <c r="C277" s="11" t="e">
        <f>IF(1*('Production Matrix'!A:A="تكلفة انتاج الوحدة")*ROW('Production Matrix'!#REF!)=0,1/0,1*('Production Matrix'!A:A="تكلفة انتاج الوحدة")*ROW('Production Matrix'!#REF!))</f>
        <v>#REF!</v>
      </c>
      <c r="D277" s="11" t="str">
        <f>IFERROR(_xlfn.AGGREGATE(15,6,$C$3:$C$53,ROW('Production Matrix'!#REF!)),"")</f>
        <v/>
      </c>
      <c r="E277" s="11" t="str">
        <f t="shared" si="10"/>
        <v/>
      </c>
      <c r="F277" s="12">
        <f>IFERROR(INDEX('Production Matrix'!$B:$B,E277,0),0)</f>
        <v>0</v>
      </c>
    </row>
    <row r="278" spans="1:6">
      <c r="A278" s="1">
        <v>276</v>
      </c>
      <c r="B278">
        <f t="shared" si="9"/>
        <v>828</v>
      </c>
      <c r="C278" s="11" t="e">
        <f>IF(1*('Production Matrix'!A:A="تكلفة انتاج الوحدة")*ROW('Production Matrix'!#REF!)=0,1/0,1*('Production Matrix'!A:A="تكلفة انتاج الوحدة")*ROW('Production Matrix'!#REF!))</f>
        <v>#REF!</v>
      </c>
      <c r="D278" s="11" t="str">
        <f>IFERROR(_xlfn.AGGREGATE(15,6,$C$3:$C$53,ROW('Production Matrix'!#REF!)),"")</f>
        <v/>
      </c>
      <c r="E278" s="11" t="str">
        <f t="shared" si="10"/>
        <v/>
      </c>
      <c r="F278" s="12">
        <f>IFERROR(INDEX('Production Matrix'!$B:$B,E278,0),0)</f>
        <v>0</v>
      </c>
    </row>
    <row r="279" spans="1:6">
      <c r="A279" s="1">
        <v>277</v>
      </c>
      <c r="B279">
        <f t="shared" si="9"/>
        <v>831</v>
      </c>
      <c r="C279" s="11" t="e">
        <f>IF(1*('Production Matrix'!A:A="تكلفة انتاج الوحدة")*ROW('Production Matrix'!#REF!)=0,1/0,1*('Production Matrix'!A:A="تكلفة انتاج الوحدة")*ROW('Production Matrix'!#REF!))</f>
        <v>#REF!</v>
      </c>
      <c r="D279" s="11" t="str">
        <f>IFERROR(_xlfn.AGGREGATE(15,6,$C$3:$C$53,ROW('Production Matrix'!#REF!)),"")</f>
        <v/>
      </c>
      <c r="E279" s="11" t="str">
        <f t="shared" si="10"/>
        <v/>
      </c>
      <c r="F279" s="12">
        <f>IFERROR(INDEX('Production Matrix'!$B:$B,E279,0),0)</f>
        <v>0</v>
      </c>
    </row>
    <row r="280" spans="1:6">
      <c r="A280" s="1">
        <v>278</v>
      </c>
      <c r="B280">
        <f t="shared" si="9"/>
        <v>834</v>
      </c>
      <c r="C280" s="11" t="e">
        <f>IF(1*('Production Matrix'!A:A="تكلفة انتاج الوحدة")*ROW('Production Matrix'!#REF!)=0,1/0,1*('Production Matrix'!A:A="تكلفة انتاج الوحدة")*ROW('Production Matrix'!#REF!))</f>
        <v>#REF!</v>
      </c>
      <c r="D280" s="11" t="str">
        <f>IFERROR(_xlfn.AGGREGATE(15,6,$C$3:$C$53,ROW('Production Matrix'!#REF!)),"")</f>
        <v/>
      </c>
      <c r="E280" s="11" t="str">
        <f t="shared" si="10"/>
        <v/>
      </c>
      <c r="F280" s="12">
        <f>IFERROR(INDEX('Production Matrix'!$B:$B,E280,0),0)</f>
        <v>0</v>
      </c>
    </row>
    <row r="281" spans="1:6">
      <c r="A281" s="1">
        <v>279</v>
      </c>
      <c r="B281">
        <f t="shared" si="9"/>
        <v>837</v>
      </c>
      <c r="C281" s="11" t="e">
        <f>IF(1*('Production Matrix'!A:A="تكلفة انتاج الوحدة")*ROW('Production Matrix'!#REF!)=0,1/0,1*('Production Matrix'!A:A="تكلفة انتاج الوحدة")*ROW('Production Matrix'!#REF!))</f>
        <v>#REF!</v>
      </c>
      <c r="D281" s="11" t="str">
        <f>IFERROR(_xlfn.AGGREGATE(15,6,$C$3:$C$53,ROW('Production Matrix'!#REF!)),"")</f>
        <v/>
      </c>
      <c r="E281" s="11" t="str">
        <f t="shared" si="10"/>
        <v/>
      </c>
      <c r="F281" s="12">
        <f>IFERROR(INDEX('Production Matrix'!$B:$B,E281,0),0)</f>
        <v>0</v>
      </c>
    </row>
    <row r="282" spans="1:6">
      <c r="A282" s="1">
        <v>280</v>
      </c>
      <c r="B282">
        <f t="shared" si="9"/>
        <v>840</v>
      </c>
      <c r="C282" s="11" t="e">
        <f>IF(1*('Production Matrix'!A:A="تكلفة انتاج الوحدة")*ROW('Production Matrix'!#REF!)=0,1/0,1*('Production Matrix'!A:A="تكلفة انتاج الوحدة")*ROW('Production Matrix'!#REF!))</f>
        <v>#REF!</v>
      </c>
      <c r="D282" s="11" t="str">
        <f>IFERROR(_xlfn.AGGREGATE(15,6,$C$3:$C$53,ROW('Production Matrix'!#REF!)),"")</f>
        <v/>
      </c>
      <c r="E282" s="11" t="str">
        <f t="shared" si="10"/>
        <v/>
      </c>
      <c r="F282" s="12">
        <f>IFERROR(INDEX('Production Matrix'!$B:$B,E282,0),0)</f>
        <v>0</v>
      </c>
    </row>
    <row r="283" spans="1:6">
      <c r="A283" s="1">
        <v>281</v>
      </c>
      <c r="B283">
        <f t="shared" si="9"/>
        <v>843</v>
      </c>
      <c r="C283" s="11" t="e">
        <f>IF(1*('Production Matrix'!A:A="تكلفة انتاج الوحدة")*ROW('Production Matrix'!#REF!)=0,1/0,1*('Production Matrix'!A:A="تكلفة انتاج الوحدة")*ROW('Production Matrix'!#REF!))</f>
        <v>#REF!</v>
      </c>
      <c r="D283" s="11" t="str">
        <f>IFERROR(_xlfn.AGGREGATE(15,6,$C$3:$C$53,ROW('Production Matrix'!#REF!)),"")</f>
        <v/>
      </c>
      <c r="E283" s="11" t="str">
        <f t="shared" si="10"/>
        <v/>
      </c>
      <c r="F283" s="12">
        <f>IFERROR(INDEX('Production Matrix'!$B:$B,E283,0),0)</f>
        <v>0</v>
      </c>
    </row>
    <row r="284" spans="1:6">
      <c r="A284" s="1">
        <v>282</v>
      </c>
      <c r="B284">
        <f t="shared" si="9"/>
        <v>846</v>
      </c>
      <c r="C284" s="11" t="e">
        <f>IF(1*('Production Matrix'!A:A="تكلفة انتاج الوحدة")*ROW('Production Matrix'!#REF!)=0,1/0,1*('Production Matrix'!A:A="تكلفة انتاج الوحدة")*ROW('Production Matrix'!#REF!))</f>
        <v>#REF!</v>
      </c>
      <c r="D284" s="11" t="str">
        <f>IFERROR(_xlfn.AGGREGATE(15,6,$C$3:$C$53,ROW('Production Matrix'!#REF!)),"")</f>
        <v/>
      </c>
      <c r="E284" s="11" t="str">
        <f t="shared" si="10"/>
        <v/>
      </c>
      <c r="F284" s="12">
        <f>IFERROR(INDEX('Production Matrix'!$B:$B,E284,0),0)</f>
        <v>0</v>
      </c>
    </row>
    <row r="285" spans="1:6">
      <c r="A285" s="1">
        <v>283</v>
      </c>
      <c r="B285">
        <f t="shared" si="9"/>
        <v>849</v>
      </c>
      <c r="C285" s="11" t="e">
        <f>IF(1*('Production Matrix'!A:A="تكلفة انتاج الوحدة")*ROW('Production Matrix'!#REF!)=0,1/0,1*('Production Matrix'!A:A="تكلفة انتاج الوحدة")*ROW('Production Matrix'!#REF!))</f>
        <v>#REF!</v>
      </c>
      <c r="D285" s="11" t="str">
        <f>IFERROR(_xlfn.AGGREGATE(15,6,$C$3:$C$53,ROW('Production Matrix'!#REF!)),"")</f>
        <v/>
      </c>
      <c r="E285" s="11" t="str">
        <f t="shared" si="10"/>
        <v/>
      </c>
      <c r="F285" s="12">
        <f>IFERROR(INDEX('Production Matrix'!$B:$B,E285,0),0)</f>
        <v>0</v>
      </c>
    </row>
    <row r="286" spans="1:6">
      <c r="A286" s="1">
        <v>284</v>
      </c>
      <c r="B286">
        <f t="shared" si="9"/>
        <v>852</v>
      </c>
      <c r="C286" s="11" t="e">
        <f>IF(1*('Production Matrix'!A:A="تكلفة انتاج الوحدة")*ROW('Production Matrix'!#REF!)=0,1/0,1*('Production Matrix'!A:A="تكلفة انتاج الوحدة")*ROW('Production Matrix'!#REF!))</f>
        <v>#REF!</v>
      </c>
      <c r="D286" s="11" t="str">
        <f>IFERROR(_xlfn.AGGREGATE(15,6,$C$3:$C$53,ROW('Production Matrix'!#REF!)),"")</f>
        <v/>
      </c>
      <c r="E286" s="11" t="str">
        <f t="shared" si="10"/>
        <v/>
      </c>
      <c r="F286" s="12">
        <f>IFERROR(INDEX('Production Matrix'!$B:$B,E286,0),0)</f>
        <v>0</v>
      </c>
    </row>
    <row r="287" spans="1:6">
      <c r="A287" s="1">
        <v>285</v>
      </c>
      <c r="B287">
        <f t="shared" si="9"/>
        <v>855</v>
      </c>
      <c r="C287" s="11" t="e">
        <f>IF(1*('Production Matrix'!A:A="تكلفة انتاج الوحدة")*ROW('Production Matrix'!#REF!)=0,1/0,1*('Production Matrix'!A:A="تكلفة انتاج الوحدة")*ROW('Production Matrix'!#REF!))</f>
        <v>#REF!</v>
      </c>
      <c r="D287" s="11" t="str">
        <f>IFERROR(_xlfn.AGGREGATE(15,6,$C$3:$C$53,ROW('Production Matrix'!#REF!)),"")</f>
        <v/>
      </c>
      <c r="E287" s="11" t="str">
        <f t="shared" si="10"/>
        <v/>
      </c>
      <c r="F287" s="12">
        <f>IFERROR(INDEX('Production Matrix'!$B:$B,E287,0),0)</f>
        <v>0</v>
      </c>
    </row>
    <row r="288" spans="1:6">
      <c r="A288" s="1">
        <v>286</v>
      </c>
      <c r="B288">
        <f t="shared" si="9"/>
        <v>858</v>
      </c>
      <c r="C288" s="11" t="e">
        <f>IF(1*('Production Matrix'!A:A="تكلفة انتاج الوحدة")*ROW('Production Matrix'!#REF!)=0,1/0,1*('Production Matrix'!A:A="تكلفة انتاج الوحدة")*ROW('Production Matrix'!#REF!))</f>
        <v>#REF!</v>
      </c>
      <c r="D288" s="11" t="str">
        <f>IFERROR(_xlfn.AGGREGATE(15,6,$C$3:$C$53,ROW('Production Matrix'!#REF!)),"")</f>
        <v/>
      </c>
      <c r="E288" s="11" t="str">
        <f t="shared" si="10"/>
        <v/>
      </c>
      <c r="F288" s="12">
        <f>IFERROR(INDEX('Production Matrix'!$B:$B,E288,0),0)</f>
        <v>0</v>
      </c>
    </row>
    <row r="289" spans="1:6">
      <c r="A289" s="1">
        <v>287</v>
      </c>
      <c r="B289">
        <f t="shared" si="9"/>
        <v>861</v>
      </c>
      <c r="C289" s="11" t="e">
        <f>IF(1*('Production Matrix'!A:A="تكلفة انتاج الوحدة")*ROW('Production Matrix'!#REF!)=0,1/0,1*('Production Matrix'!A:A="تكلفة انتاج الوحدة")*ROW('Production Matrix'!#REF!))</f>
        <v>#REF!</v>
      </c>
      <c r="D289" s="11" t="str">
        <f>IFERROR(_xlfn.AGGREGATE(15,6,$C$3:$C$53,ROW('Production Matrix'!#REF!)),"")</f>
        <v/>
      </c>
      <c r="E289" s="11" t="str">
        <f t="shared" si="10"/>
        <v/>
      </c>
      <c r="F289" s="12">
        <f>IFERROR(INDEX('Production Matrix'!$B:$B,E289,0),0)</f>
        <v>0</v>
      </c>
    </row>
    <row r="290" spans="1:6">
      <c r="A290" s="1">
        <v>288</v>
      </c>
      <c r="B290">
        <f t="shared" si="9"/>
        <v>864</v>
      </c>
      <c r="C290" s="11" t="e">
        <f>IF(1*('Production Matrix'!A:A="تكلفة انتاج الوحدة")*ROW('Production Matrix'!#REF!)=0,1/0,1*('Production Matrix'!A:A="تكلفة انتاج الوحدة")*ROW('Production Matrix'!#REF!))</f>
        <v>#REF!</v>
      </c>
      <c r="D290" s="11" t="str">
        <f>IFERROR(_xlfn.AGGREGATE(15,6,$C$3:$C$53,ROW('Production Matrix'!#REF!)),"")</f>
        <v/>
      </c>
      <c r="E290" s="11" t="str">
        <f t="shared" si="10"/>
        <v/>
      </c>
      <c r="F290" s="12">
        <f>IFERROR(INDEX('Production Matrix'!$B:$B,E290,0),0)</f>
        <v>0</v>
      </c>
    </row>
    <row r="291" spans="1:6">
      <c r="A291" s="1">
        <v>289</v>
      </c>
      <c r="B291">
        <f t="shared" si="9"/>
        <v>867</v>
      </c>
      <c r="C291" s="11" t="e">
        <f>IF(1*('Production Matrix'!A:A="تكلفة انتاج الوحدة")*ROW('Production Matrix'!#REF!)=0,1/0,1*('Production Matrix'!A:A="تكلفة انتاج الوحدة")*ROW('Production Matrix'!#REF!))</f>
        <v>#REF!</v>
      </c>
      <c r="D291" s="11" t="str">
        <f>IFERROR(_xlfn.AGGREGATE(15,6,$C$3:$C$53,ROW('Production Matrix'!#REF!)),"")</f>
        <v/>
      </c>
      <c r="E291" s="11" t="str">
        <f t="shared" si="10"/>
        <v/>
      </c>
      <c r="F291" s="12">
        <f>IFERROR(INDEX('Production Matrix'!$B:$B,E291,0),0)</f>
        <v>0</v>
      </c>
    </row>
    <row r="292" spans="1:6">
      <c r="A292" s="1">
        <v>290</v>
      </c>
      <c r="B292">
        <f t="shared" si="9"/>
        <v>870</v>
      </c>
      <c r="C292" s="11" t="e">
        <f>IF(1*('Production Matrix'!A:A="تكلفة انتاج الوحدة")*ROW('Production Matrix'!#REF!)=0,1/0,1*('Production Matrix'!A:A="تكلفة انتاج الوحدة")*ROW('Production Matrix'!#REF!))</f>
        <v>#REF!</v>
      </c>
      <c r="D292" s="11" t="str">
        <f>IFERROR(_xlfn.AGGREGATE(15,6,$C$3:$C$53,ROW('Production Matrix'!#REF!)),"")</f>
        <v/>
      </c>
      <c r="E292" s="11" t="str">
        <f t="shared" si="10"/>
        <v/>
      </c>
      <c r="F292" s="12">
        <f>IFERROR(INDEX('Production Matrix'!$B:$B,E292,0),0)</f>
        <v>0</v>
      </c>
    </row>
    <row r="293" spans="1:6">
      <c r="A293" s="1">
        <v>291</v>
      </c>
      <c r="B293">
        <f t="shared" si="9"/>
        <v>873</v>
      </c>
      <c r="C293" s="11" t="e">
        <f>IF(1*('Production Matrix'!A:A="تكلفة انتاج الوحدة")*ROW('Production Matrix'!#REF!)=0,1/0,1*('Production Matrix'!A:A="تكلفة انتاج الوحدة")*ROW('Production Matrix'!#REF!))</f>
        <v>#REF!</v>
      </c>
      <c r="D293" s="11" t="str">
        <f>IFERROR(_xlfn.AGGREGATE(15,6,$C$3:$C$53,ROW('Production Matrix'!#REF!)),"")</f>
        <v/>
      </c>
      <c r="E293" s="11" t="str">
        <f t="shared" si="10"/>
        <v/>
      </c>
      <c r="F293" s="12">
        <f>IFERROR(INDEX('Production Matrix'!$B:$B,E293,0),0)</f>
        <v>0</v>
      </c>
    </row>
    <row r="294" spans="1:6">
      <c r="A294" s="1">
        <v>292</v>
      </c>
      <c r="B294">
        <f t="shared" si="9"/>
        <v>876</v>
      </c>
      <c r="C294" s="11" t="e">
        <f>IF(1*('Production Matrix'!A:A="تكلفة انتاج الوحدة")*ROW('Production Matrix'!#REF!)=0,1/0,1*('Production Matrix'!A:A="تكلفة انتاج الوحدة")*ROW('Production Matrix'!#REF!))</f>
        <v>#REF!</v>
      </c>
      <c r="D294" s="11" t="str">
        <f>IFERROR(_xlfn.AGGREGATE(15,6,$C$3:$C$53,ROW('Production Matrix'!#REF!)),"")</f>
        <v/>
      </c>
      <c r="E294" s="11" t="str">
        <f t="shared" si="10"/>
        <v/>
      </c>
      <c r="F294" s="12">
        <f>IFERROR(INDEX('Production Matrix'!$B:$B,E294,0),0)</f>
        <v>0</v>
      </c>
    </row>
    <row r="295" spans="1:6">
      <c r="A295" s="1">
        <v>293</v>
      </c>
      <c r="B295">
        <f t="shared" si="9"/>
        <v>879</v>
      </c>
      <c r="C295" s="11" t="e">
        <f>IF(1*('Production Matrix'!A:A="تكلفة انتاج الوحدة")*ROW('Production Matrix'!#REF!)=0,1/0,1*('Production Matrix'!A:A="تكلفة انتاج الوحدة")*ROW('Production Matrix'!#REF!))</f>
        <v>#REF!</v>
      </c>
      <c r="D295" s="11" t="str">
        <f>IFERROR(_xlfn.AGGREGATE(15,6,$C$3:$C$53,ROW('Production Matrix'!#REF!)),"")</f>
        <v/>
      </c>
      <c r="E295" s="11" t="str">
        <f t="shared" si="10"/>
        <v/>
      </c>
      <c r="F295" s="12">
        <f>IFERROR(INDEX('Production Matrix'!$B:$B,E295,0),0)</f>
        <v>0</v>
      </c>
    </row>
    <row r="296" spans="1:6">
      <c r="A296" s="1">
        <v>294</v>
      </c>
      <c r="B296">
        <f t="shared" si="9"/>
        <v>882</v>
      </c>
      <c r="C296" s="11" t="e">
        <f>IF(1*('Production Matrix'!A:A="تكلفة انتاج الوحدة")*ROW('Production Matrix'!#REF!)=0,1/0,1*('Production Matrix'!A:A="تكلفة انتاج الوحدة")*ROW('Production Matrix'!#REF!))</f>
        <v>#REF!</v>
      </c>
      <c r="D296" s="11" t="str">
        <f>IFERROR(_xlfn.AGGREGATE(15,6,$C$3:$C$53,ROW('Production Matrix'!#REF!)),"")</f>
        <v/>
      </c>
      <c r="E296" s="11" t="str">
        <f t="shared" si="10"/>
        <v/>
      </c>
      <c r="F296" s="12">
        <f>IFERROR(INDEX('Production Matrix'!$B:$B,E296,0),0)</f>
        <v>0</v>
      </c>
    </row>
    <row r="297" spans="1:6">
      <c r="A297" s="1">
        <v>295</v>
      </c>
      <c r="B297">
        <f t="shared" si="9"/>
        <v>885</v>
      </c>
      <c r="C297" s="11" t="e">
        <f>IF(1*('Production Matrix'!A:A="تكلفة انتاج الوحدة")*ROW('Production Matrix'!#REF!)=0,1/0,1*('Production Matrix'!A:A="تكلفة انتاج الوحدة")*ROW('Production Matrix'!#REF!))</f>
        <v>#REF!</v>
      </c>
      <c r="D297" s="11" t="str">
        <f>IFERROR(_xlfn.AGGREGATE(15,6,$C$3:$C$53,ROW('Production Matrix'!#REF!)),"")</f>
        <v/>
      </c>
      <c r="E297" s="11" t="str">
        <f t="shared" si="10"/>
        <v/>
      </c>
      <c r="F297" s="12">
        <f>IFERROR(INDEX('Production Matrix'!$B:$B,E297,0),0)</f>
        <v>0</v>
      </c>
    </row>
    <row r="298" spans="1:6">
      <c r="A298" s="1">
        <v>296</v>
      </c>
      <c r="B298">
        <f t="shared" si="9"/>
        <v>888</v>
      </c>
      <c r="C298" s="11" t="e">
        <f>IF(1*('Production Matrix'!A:A="تكلفة انتاج الوحدة")*ROW('Production Matrix'!#REF!)=0,1/0,1*('Production Matrix'!A:A="تكلفة انتاج الوحدة")*ROW('Production Matrix'!#REF!))</f>
        <v>#REF!</v>
      </c>
      <c r="D298" s="11" t="str">
        <f>IFERROR(_xlfn.AGGREGATE(15,6,$C$3:$C$53,ROW('Production Matrix'!#REF!)),"")</f>
        <v/>
      </c>
      <c r="E298" s="11" t="str">
        <f t="shared" si="10"/>
        <v/>
      </c>
      <c r="F298" s="12">
        <f>IFERROR(INDEX('Production Matrix'!$B:$B,E298,0),0)</f>
        <v>0</v>
      </c>
    </row>
    <row r="299" spans="1:6">
      <c r="A299" s="1">
        <v>297</v>
      </c>
      <c r="B299">
        <f t="shared" si="9"/>
        <v>891</v>
      </c>
      <c r="C299" s="11" t="e">
        <f>IF(1*('Production Matrix'!A:A="تكلفة انتاج الوحدة")*ROW('Production Matrix'!#REF!)=0,1/0,1*('Production Matrix'!A:A="تكلفة انتاج الوحدة")*ROW('Production Matrix'!#REF!))</f>
        <v>#REF!</v>
      </c>
      <c r="D299" s="11" t="str">
        <f>IFERROR(_xlfn.AGGREGATE(15,6,$C$3:$C$53,ROW('Production Matrix'!#REF!)),"")</f>
        <v/>
      </c>
      <c r="E299" s="11" t="str">
        <f t="shared" si="10"/>
        <v/>
      </c>
      <c r="F299" s="12">
        <f>IFERROR(INDEX('Production Matrix'!$B:$B,E299,0),0)</f>
        <v>0</v>
      </c>
    </row>
    <row r="300" spans="1:6">
      <c r="A300" s="1">
        <v>298</v>
      </c>
      <c r="B300">
        <f t="shared" si="9"/>
        <v>894</v>
      </c>
      <c r="C300" s="11" t="e">
        <f>IF(1*('Production Matrix'!A:A="تكلفة انتاج الوحدة")*ROW('Production Matrix'!#REF!)=0,1/0,1*('Production Matrix'!A:A="تكلفة انتاج الوحدة")*ROW('Production Matrix'!#REF!))</f>
        <v>#REF!</v>
      </c>
      <c r="D300" s="11" t="str">
        <f>IFERROR(_xlfn.AGGREGATE(15,6,$C$3:$C$53,ROW('Production Matrix'!#REF!)),"")</f>
        <v/>
      </c>
      <c r="E300" s="11" t="str">
        <f t="shared" si="10"/>
        <v/>
      </c>
      <c r="F300" s="12">
        <f>IFERROR(INDEX('Production Matrix'!$B:$B,E300,0),0)</f>
        <v>0</v>
      </c>
    </row>
    <row r="301" spans="1:6">
      <c r="A301" s="1">
        <v>299</v>
      </c>
      <c r="B301">
        <f t="shared" si="9"/>
        <v>897</v>
      </c>
      <c r="C301" s="11" t="e">
        <f>IF(1*('Production Matrix'!A:A="تكلفة انتاج الوحدة")*ROW('Production Matrix'!#REF!)=0,1/0,1*('Production Matrix'!A:A="تكلفة انتاج الوحدة")*ROW('Production Matrix'!#REF!))</f>
        <v>#REF!</v>
      </c>
      <c r="D301" s="11" t="str">
        <f>IFERROR(_xlfn.AGGREGATE(15,6,$C$3:$C$53,ROW('Production Matrix'!#REF!)),"")</f>
        <v/>
      </c>
      <c r="E301" s="11" t="str">
        <f t="shared" si="10"/>
        <v/>
      </c>
      <c r="F301" s="12">
        <f>IFERROR(INDEX('Production Matrix'!$B:$B,E301,0),0)</f>
        <v>0</v>
      </c>
    </row>
    <row r="302" spans="1:6">
      <c r="A302" s="1">
        <v>300</v>
      </c>
      <c r="B302">
        <f t="shared" si="9"/>
        <v>900</v>
      </c>
      <c r="C302" s="11" t="e">
        <f>IF(1*('Production Matrix'!A:A="تكلفة انتاج الوحدة")*ROW('Production Matrix'!#REF!)=0,1/0,1*('Production Matrix'!A:A="تكلفة انتاج الوحدة")*ROW('Production Matrix'!#REF!))</f>
        <v>#REF!</v>
      </c>
      <c r="D302" s="11" t="str">
        <f>IFERROR(_xlfn.AGGREGATE(15,6,$C$3:$C$53,ROW('Production Matrix'!#REF!)),"")</f>
        <v/>
      </c>
      <c r="E302" s="11" t="str">
        <f t="shared" si="10"/>
        <v/>
      </c>
      <c r="F302" s="12">
        <f>IFERROR(INDEX('Production Matrix'!$B:$B,E302,0),0)</f>
        <v>0</v>
      </c>
    </row>
    <row r="303" spans="1:6">
      <c r="A303" s="1">
        <v>301</v>
      </c>
      <c r="B303">
        <f t="shared" si="9"/>
        <v>903</v>
      </c>
      <c r="C303" s="11" t="e">
        <f>IF(1*('Production Matrix'!A:A="تكلفة انتاج الوحدة")*ROW('Production Matrix'!#REF!)=0,1/0,1*('Production Matrix'!A:A="تكلفة انتاج الوحدة")*ROW('Production Matrix'!#REF!))</f>
        <v>#REF!</v>
      </c>
      <c r="D303" s="11" t="str">
        <f>IFERROR(_xlfn.AGGREGATE(15,6,$C$3:$C$53,ROW('Production Matrix'!#REF!)),"")</f>
        <v/>
      </c>
      <c r="E303" s="11" t="str">
        <f t="shared" si="10"/>
        <v/>
      </c>
      <c r="F303" s="12">
        <f>IFERROR(INDEX('Production Matrix'!$B:$B,E303,0),0)</f>
        <v>0</v>
      </c>
    </row>
    <row r="304" spans="1:6">
      <c r="A304" s="1">
        <v>302</v>
      </c>
      <c r="B304">
        <f t="shared" si="9"/>
        <v>906</v>
      </c>
      <c r="C304" s="11" t="e">
        <f>IF(1*('Production Matrix'!A:A="تكلفة انتاج الوحدة")*ROW('Production Matrix'!#REF!)=0,1/0,1*('Production Matrix'!A:A="تكلفة انتاج الوحدة")*ROW('Production Matrix'!#REF!))</f>
        <v>#REF!</v>
      </c>
      <c r="D304" s="11" t="str">
        <f>IFERROR(_xlfn.AGGREGATE(15,6,$C$3:$C$53,ROW('Production Matrix'!#REF!)),"")</f>
        <v/>
      </c>
      <c r="E304" s="11" t="str">
        <f t="shared" si="10"/>
        <v/>
      </c>
      <c r="F304" s="12">
        <f>IFERROR(INDEX('Production Matrix'!$B:$B,E304,0),0)</f>
        <v>0</v>
      </c>
    </row>
    <row r="305" spans="1:6">
      <c r="A305" s="1">
        <v>303</v>
      </c>
      <c r="B305">
        <f t="shared" si="9"/>
        <v>909</v>
      </c>
      <c r="C305" s="11" t="e">
        <f>IF(1*('Production Matrix'!A:A="تكلفة انتاج الوحدة")*ROW('Production Matrix'!#REF!)=0,1/0,1*('Production Matrix'!A:A="تكلفة انتاج الوحدة")*ROW('Production Matrix'!#REF!))</f>
        <v>#REF!</v>
      </c>
      <c r="D305" s="11" t="str">
        <f>IFERROR(_xlfn.AGGREGATE(15,6,$C$3:$C$53,ROW('Production Matrix'!#REF!)),"")</f>
        <v/>
      </c>
      <c r="E305" s="11" t="str">
        <f t="shared" si="10"/>
        <v/>
      </c>
      <c r="F305" s="12">
        <f>IFERROR(INDEX('Production Matrix'!$B:$B,E305,0),0)</f>
        <v>0</v>
      </c>
    </row>
    <row r="306" spans="1:6">
      <c r="A306" s="1">
        <v>304</v>
      </c>
      <c r="B306">
        <f t="shared" si="9"/>
        <v>912</v>
      </c>
      <c r="C306" s="11" t="e">
        <f>IF(1*('Production Matrix'!A:A="تكلفة انتاج الوحدة")*ROW('Production Matrix'!#REF!)=0,1/0,1*('Production Matrix'!A:A="تكلفة انتاج الوحدة")*ROW('Production Matrix'!#REF!))</f>
        <v>#REF!</v>
      </c>
      <c r="D306" s="11" t="str">
        <f>IFERROR(_xlfn.AGGREGATE(15,6,$C$3:$C$53,ROW('Production Matrix'!#REF!)),"")</f>
        <v/>
      </c>
      <c r="E306" s="11" t="str">
        <f t="shared" si="10"/>
        <v/>
      </c>
      <c r="F306" s="12">
        <f>IFERROR(INDEX('Production Matrix'!$B:$B,E306,0),0)</f>
        <v>0</v>
      </c>
    </row>
    <row r="307" spans="1:6">
      <c r="A307" s="1">
        <v>305</v>
      </c>
      <c r="B307">
        <f t="shared" si="9"/>
        <v>915</v>
      </c>
      <c r="C307" s="11" t="e">
        <f>IF(1*('Production Matrix'!A:A="تكلفة انتاج الوحدة")*ROW('Production Matrix'!#REF!)=0,1/0,1*('Production Matrix'!A:A="تكلفة انتاج الوحدة")*ROW('Production Matrix'!#REF!))</f>
        <v>#REF!</v>
      </c>
      <c r="D307" s="11" t="str">
        <f>IFERROR(_xlfn.AGGREGATE(15,6,$C$3:$C$53,ROW('Production Matrix'!#REF!)),"")</f>
        <v/>
      </c>
      <c r="E307" s="11" t="str">
        <f t="shared" si="10"/>
        <v/>
      </c>
      <c r="F307" s="12">
        <f>IFERROR(INDEX('Production Matrix'!$B:$B,E307,0),0)</f>
        <v>0</v>
      </c>
    </row>
    <row r="308" spans="1:6">
      <c r="A308" s="1">
        <v>306</v>
      </c>
      <c r="B308">
        <f t="shared" si="9"/>
        <v>918</v>
      </c>
      <c r="C308" s="11" t="e">
        <f>IF(1*('Production Matrix'!A:A="تكلفة انتاج الوحدة")*ROW('Production Matrix'!#REF!)=0,1/0,1*('Production Matrix'!A:A="تكلفة انتاج الوحدة")*ROW('Production Matrix'!#REF!))</f>
        <v>#REF!</v>
      </c>
      <c r="D308" s="11" t="str">
        <f>IFERROR(_xlfn.AGGREGATE(15,6,$C$3:$C$53,ROW('Production Matrix'!#REF!)),"")</f>
        <v/>
      </c>
      <c r="E308" s="11" t="str">
        <f t="shared" si="10"/>
        <v/>
      </c>
      <c r="F308" s="12">
        <f>IFERROR(INDEX('Production Matrix'!$B:$B,E308,0),0)</f>
        <v>0</v>
      </c>
    </row>
    <row r="309" spans="1:6">
      <c r="A309" s="1">
        <v>307</v>
      </c>
      <c r="B309">
        <f t="shared" si="9"/>
        <v>921</v>
      </c>
      <c r="C309" s="11" t="e">
        <f>IF(1*('Production Matrix'!A:A="تكلفة انتاج الوحدة")*ROW('Production Matrix'!#REF!)=0,1/0,1*('Production Matrix'!A:A="تكلفة انتاج الوحدة")*ROW('Production Matrix'!#REF!))</f>
        <v>#REF!</v>
      </c>
      <c r="D309" s="11" t="str">
        <f>IFERROR(_xlfn.AGGREGATE(15,6,$C$3:$C$53,ROW('Production Matrix'!#REF!)),"")</f>
        <v/>
      </c>
      <c r="E309" s="11" t="str">
        <f t="shared" si="10"/>
        <v/>
      </c>
      <c r="F309" s="12">
        <f>IFERROR(INDEX('Production Matrix'!$B:$B,E309,0),0)</f>
        <v>0</v>
      </c>
    </row>
    <row r="310" spans="1:6">
      <c r="A310" s="1">
        <v>308</v>
      </c>
      <c r="B310">
        <f t="shared" si="9"/>
        <v>924</v>
      </c>
      <c r="C310" s="11" t="e">
        <f>IF(1*('Production Matrix'!A:A="تكلفة انتاج الوحدة")*ROW('Production Matrix'!#REF!)=0,1/0,1*('Production Matrix'!A:A="تكلفة انتاج الوحدة")*ROW('Production Matrix'!#REF!))</f>
        <v>#REF!</v>
      </c>
      <c r="D310" s="11" t="str">
        <f>IFERROR(_xlfn.AGGREGATE(15,6,$C$3:$C$53,ROW('Production Matrix'!#REF!)),"")</f>
        <v/>
      </c>
      <c r="E310" s="11" t="str">
        <f t="shared" si="10"/>
        <v/>
      </c>
      <c r="F310" s="12">
        <f>IFERROR(INDEX('Production Matrix'!$B:$B,E310,0),0)</f>
        <v>0</v>
      </c>
    </row>
    <row r="311" spans="1:6">
      <c r="A311" s="1">
        <v>309</v>
      </c>
      <c r="B311">
        <f t="shared" si="9"/>
        <v>927</v>
      </c>
      <c r="C311" s="11" t="e">
        <f>IF(1*('Production Matrix'!A:A="تكلفة انتاج الوحدة")*ROW('Production Matrix'!#REF!)=0,1/0,1*('Production Matrix'!A:A="تكلفة انتاج الوحدة")*ROW('Production Matrix'!#REF!))</f>
        <v>#REF!</v>
      </c>
      <c r="D311" s="11" t="str">
        <f>IFERROR(_xlfn.AGGREGATE(15,6,$C$3:$C$53,ROW('Production Matrix'!#REF!)),"")</f>
        <v/>
      </c>
      <c r="E311" s="11" t="str">
        <f t="shared" si="10"/>
        <v/>
      </c>
      <c r="F311" s="12">
        <f>IFERROR(INDEX('Production Matrix'!$B:$B,E311,0),0)</f>
        <v>0</v>
      </c>
    </row>
    <row r="312" spans="1:6">
      <c r="A312" s="1">
        <v>310</v>
      </c>
      <c r="B312">
        <f t="shared" si="9"/>
        <v>930</v>
      </c>
      <c r="C312" s="11" t="e">
        <f>IF(1*('Production Matrix'!A:A="تكلفة انتاج الوحدة")*ROW('Production Matrix'!#REF!)=0,1/0,1*('Production Matrix'!A:A="تكلفة انتاج الوحدة")*ROW('Production Matrix'!#REF!))</f>
        <v>#REF!</v>
      </c>
      <c r="D312" s="11" t="str">
        <f>IFERROR(_xlfn.AGGREGATE(15,6,$C$3:$C$53,ROW('Production Matrix'!#REF!)),"")</f>
        <v/>
      </c>
      <c r="E312" s="11" t="str">
        <f t="shared" si="10"/>
        <v/>
      </c>
      <c r="F312" s="12">
        <f>IFERROR(INDEX('Production Matrix'!$B:$B,E312,0),0)</f>
        <v>0</v>
      </c>
    </row>
    <row r="313" spans="1:6">
      <c r="A313" s="1">
        <v>311</v>
      </c>
      <c r="B313">
        <f t="shared" si="9"/>
        <v>933</v>
      </c>
      <c r="C313" s="11" t="e">
        <f>IF(1*('Production Matrix'!A:A="تكلفة انتاج الوحدة")*ROW('Production Matrix'!#REF!)=0,1/0,1*('Production Matrix'!A:A="تكلفة انتاج الوحدة")*ROW('Production Matrix'!#REF!))</f>
        <v>#REF!</v>
      </c>
      <c r="D313" s="11" t="str">
        <f>IFERROR(_xlfn.AGGREGATE(15,6,$C$3:$C$53,ROW('Production Matrix'!#REF!)),"")</f>
        <v/>
      </c>
      <c r="E313" s="11" t="str">
        <f t="shared" si="10"/>
        <v/>
      </c>
      <c r="F313" s="12">
        <f>IFERROR(INDEX('Production Matrix'!$B:$B,E313,0),0)</f>
        <v>0</v>
      </c>
    </row>
    <row r="314" spans="1:6">
      <c r="A314" s="1">
        <v>312</v>
      </c>
      <c r="B314">
        <f t="shared" si="9"/>
        <v>936</v>
      </c>
      <c r="C314" s="11" t="e">
        <f>IF(1*('Production Matrix'!A:A="تكلفة انتاج الوحدة")*ROW('Production Matrix'!#REF!)=0,1/0,1*('Production Matrix'!A:A="تكلفة انتاج الوحدة")*ROW('Production Matrix'!#REF!))</f>
        <v>#REF!</v>
      </c>
      <c r="D314" s="11" t="str">
        <f>IFERROR(_xlfn.AGGREGATE(15,6,$C$3:$C$53,ROW('Production Matrix'!#REF!)),"")</f>
        <v/>
      </c>
      <c r="E314" s="11" t="str">
        <f t="shared" si="10"/>
        <v/>
      </c>
      <c r="F314" s="12">
        <f>IFERROR(INDEX('Production Matrix'!$B:$B,E314,0),0)</f>
        <v>0</v>
      </c>
    </row>
    <row r="315" spans="1:6">
      <c r="A315" s="1">
        <v>313</v>
      </c>
      <c r="B315">
        <f t="shared" si="9"/>
        <v>939</v>
      </c>
      <c r="C315" s="11" t="e">
        <f>IF(1*('Production Matrix'!A:A="تكلفة انتاج الوحدة")*ROW('Production Matrix'!#REF!)=0,1/0,1*('Production Matrix'!A:A="تكلفة انتاج الوحدة")*ROW('Production Matrix'!#REF!))</f>
        <v>#REF!</v>
      </c>
      <c r="D315" s="11" t="str">
        <f>IFERROR(_xlfn.AGGREGATE(15,6,$C$3:$C$53,ROW('Production Matrix'!#REF!)),"")</f>
        <v/>
      </c>
      <c r="E315" s="11" t="str">
        <f t="shared" si="10"/>
        <v/>
      </c>
      <c r="F315" s="12">
        <f>IFERROR(INDEX('Production Matrix'!$B:$B,E315,0),0)</f>
        <v>0</v>
      </c>
    </row>
    <row r="316" spans="1:6">
      <c r="A316" s="1">
        <v>314</v>
      </c>
      <c r="B316">
        <f t="shared" si="9"/>
        <v>942</v>
      </c>
      <c r="C316" s="11" t="e">
        <f>IF(1*('Production Matrix'!A:A="تكلفة انتاج الوحدة")*ROW('Production Matrix'!#REF!)=0,1/0,1*('Production Matrix'!A:A="تكلفة انتاج الوحدة")*ROW('Production Matrix'!#REF!))</f>
        <v>#REF!</v>
      </c>
      <c r="D316" s="11" t="str">
        <f>IFERROR(_xlfn.AGGREGATE(15,6,$C$3:$C$53,ROW('Production Matrix'!#REF!)),"")</f>
        <v/>
      </c>
      <c r="E316" s="11" t="str">
        <f t="shared" si="10"/>
        <v/>
      </c>
      <c r="F316" s="12">
        <f>IFERROR(INDEX('Production Matrix'!$B:$B,E316,0),0)</f>
        <v>0</v>
      </c>
    </row>
    <row r="317" spans="1:6">
      <c r="A317" s="1">
        <v>315</v>
      </c>
      <c r="B317">
        <f t="shared" si="9"/>
        <v>945</v>
      </c>
      <c r="C317" s="11" t="e">
        <f>IF(1*('Production Matrix'!A:A="تكلفة انتاج الوحدة")*ROW('Production Matrix'!#REF!)=0,1/0,1*('Production Matrix'!A:A="تكلفة انتاج الوحدة")*ROW('Production Matrix'!#REF!))</f>
        <v>#REF!</v>
      </c>
      <c r="D317" s="11" t="str">
        <f>IFERROR(_xlfn.AGGREGATE(15,6,$C$3:$C$53,ROW('Production Matrix'!#REF!)),"")</f>
        <v/>
      </c>
      <c r="E317" s="11" t="str">
        <f t="shared" si="10"/>
        <v/>
      </c>
      <c r="F317" s="12">
        <f>IFERROR(INDEX('Production Matrix'!$B:$B,E317,0),0)</f>
        <v>0</v>
      </c>
    </row>
    <row r="318" spans="1:6">
      <c r="A318" s="1">
        <v>316</v>
      </c>
      <c r="B318">
        <f t="shared" si="9"/>
        <v>948</v>
      </c>
      <c r="C318" s="11" t="e">
        <f>IF(1*('Production Matrix'!A:A="تكلفة انتاج الوحدة")*ROW('Production Matrix'!#REF!)=0,1/0,1*('Production Matrix'!A:A="تكلفة انتاج الوحدة")*ROW('Production Matrix'!#REF!))</f>
        <v>#REF!</v>
      </c>
      <c r="D318" s="11" t="str">
        <f>IFERROR(_xlfn.AGGREGATE(15,6,$C$3:$C$53,ROW('Production Matrix'!#REF!)),"")</f>
        <v/>
      </c>
      <c r="E318" s="11" t="str">
        <f t="shared" si="10"/>
        <v/>
      </c>
      <c r="F318" s="12">
        <f>IFERROR(INDEX('Production Matrix'!$B:$B,E318,0),0)</f>
        <v>0</v>
      </c>
    </row>
    <row r="319" spans="1:6">
      <c r="A319" s="1">
        <v>317</v>
      </c>
      <c r="B319">
        <f t="shared" si="9"/>
        <v>951</v>
      </c>
      <c r="C319" s="11" t="e">
        <f>IF(1*('Production Matrix'!A:A="تكلفة انتاج الوحدة")*ROW('Production Matrix'!#REF!)=0,1/0,1*('Production Matrix'!A:A="تكلفة انتاج الوحدة")*ROW('Production Matrix'!#REF!))</f>
        <v>#REF!</v>
      </c>
      <c r="D319" s="11" t="str">
        <f>IFERROR(_xlfn.AGGREGATE(15,6,$C$3:$C$53,ROW('Production Matrix'!#REF!)),"")</f>
        <v/>
      </c>
      <c r="E319" s="11" t="str">
        <f t="shared" si="10"/>
        <v/>
      </c>
      <c r="F319" s="12">
        <f>IFERROR(INDEX('Production Matrix'!$B:$B,E319,0),0)</f>
        <v>0</v>
      </c>
    </row>
    <row r="320" spans="1:6">
      <c r="A320" s="1">
        <v>318</v>
      </c>
      <c r="B320">
        <f t="shared" si="9"/>
        <v>954</v>
      </c>
      <c r="C320" s="11" t="e">
        <f>IF(1*('Production Matrix'!A:A="تكلفة انتاج الوحدة")*ROW('Production Matrix'!#REF!)=0,1/0,1*('Production Matrix'!A:A="تكلفة انتاج الوحدة")*ROW('Production Matrix'!#REF!))</f>
        <v>#REF!</v>
      </c>
      <c r="D320" s="11" t="str">
        <f>IFERROR(_xlfn.AGGREGATE(15,6,$C$3:$C$53,ROW('Production Matrix'!#REF!)),"")</f>
        <v/>
      </c>
      <c r="E320" s="11" t="str">
        <f t="shared" si="10"/>
        <v/>
      </c>
      <c r="F320" s="12">
        <f>IFERROR(INDEX('Production Matrix'!$B:$B,E320,0),0)</f>
        <v>0</v>
      </c>
    </row>
    <row r="321" spans="1:6">
      <c r="A321" s="1">
        <v>319</v>
      </c>
      <c r="B321">
        <f t="shared" si="9"/>
        <v>957</v>
      </c>
      <c r="C321" s="11" t="e">
        <f>IF(1*('Production Matrix'!A:A="تكلفة انتاج الوحدة")*ROW('Production Matrix'!#REF!)=0,1/0,1*('Production Matrix'!A:A="تكلفة انتاج الوحدة")*ROW('Production Matrix'!#REF!))</f>
        <v>#REF!</v>
      </c>
      <c r="D321" s="11" t="str">
        <f>IFERROR(_xlfn.AGGREGATE(15,6,$C$3:$C$53,ROW('Production Matrix'!#REF!)),"")</f>
        <v/>
      </c>
      <c r="E321" s="11" t="str">
        <f t="shared" si="10"/>
        <v/>
      </c>
      <c r="F321" s="12">
        <f>IFERROR(INDEX('Production Matrix'!$B:$B,E321,0),0)</f>
        <v>0</v>
      </c>
    </row>
    <row r="322" spans="1:6">
      <c r="A322" s="1">
        <v>320</v>
      </c>
      <c r="B322">
        <f t="shared" si="9"/>
        <v>960</v>
      </c>
      <c r="C322" s="11" t="e">
        <f>IF(1*('Production Matrix'!A:A="تكلفة انتاج الوحدة")*ROW('Production Matrix'!#REF!)=0,1/0,1*('Production Matrix'!A:A="تكلفة انتاج الوحدة")*ROW('Production Matrix'!#REF!))</f>
        <v>#REF!</v>
      </c>
      <c r="D322" s="11" t="str">
        <f>IFERROR(_xlfn.AGGREGATE(15,6,$C$3:$C$53,ROW('Production Matrix'!#REF!)),"")</f>
        <v/>
      </c>
      <c r="E322" s="11" t="str">
        <f t="shared" si="10"/>
        <v/>
      </c>
      <c r="F322" s="12">
        <f>IFERROR(INDEX('Production Matrix'!$B:$B,E322,0),0)</f>
        <v>0</v>
      </c>
    </row>
    <row r="323" spans="1:6">
      <c r="A323" s="1">
        <v>321</v>
      </c>
      <c r="B323">
        <f t="shared" si="9"/>
        <v>963</v>
      </c>
      <c r="C323" s="11" t="e">
        <f>IF(1*('Production Matrix'!A:A="تكلفة انتاج الوحدة")*ROW('Production Matrix'!#REF!)=0,1/0,1*('Production Matrix'!A:A="تكلفة انتاج الوحدة")*ROW('Production Matrix'!#REF!))</f>
        <v>#REF!</v>
      </c>
      <c r="D323" s="11" t="str">
        <f>IFERROR(_xlfn.AGGREGATE(15,6,$C$3:$C$53,ROW('Production Matrix'!#REF!)),"")</f>
        <v/>
      </c>
      <c r="E323" s="11" t="str">
        <f t="shared" si="10"/>
        <v/>
      </c>
      <c r="F323" s="12">
        <f>IFERROR(INDEX('Production Matrix'!$B:$B,E323,0),0)</f>
        <v>0</v>
      </c>
    </row>
    <row r="324" spans="1:6">
      <c r="A324" s="1">
        <v>322</v>
      </c>
      <c r="B324">
        <f t="shared" ref="B324:B387" si="11">A324*3</f>
        <v>966</v>
      </c>
      <c r="C324" s="11" t="e">
        <f>IF(1*('Production Matrix'!A:A="تكلفة انتاج الوحدة")*ROW('Production Matrix'!#REF!)=0,1/0,1*('Production Matrix'!A:A="تكلفة انتاج الوحدة")*ROW('Production Matrix'!#REF!))</f>
        <v>#REF!</v>
      </c>
      <c r="D324" s="11" t="str">
        <f>IFERROR(_xlfn.AGGREGATE(15,6,$C$3:$C$53,ROW('Production Matrix'!#REF!)),"")</f>
        <v/>
      </c>
      <c r="E324" s="11" t="str">
        <f t="shared" si="10"/>
        <v/>
      </c>
      <c r="F324" s="12">
        <f>IFERROR(INDEX('Production Matrix'!$B:$B,E324,0),0)</f>
        <v>0</v>
      </c>
    </row>
    <row r="325" spans="1:6">
      <c r="A325" s="1">
        <v>323</v>
      </c>
      <c r="B325">
        <f t="shared" si="11"/>
        <v>969</v>
      </c>
      <c r="C325" s="11" t="e">
        <f>IF(1*('Production Matrix'!A:A="تكلفة انتاج الوحدة")*ROW('Production Matrix'!#REF!)=0,1/0,1*('Production Matrix'!A:A="تكلفة انتاج الوحدة")*ROW('Production Matrix'!#REF!))</f>
        <v>#REF!</v>
      </c>
      <c r="D325" s="11" t="str">
        <f>IFERROR(_xlfn.AGGREGATE(15,6,$C$3:$C$53,ROW('Production Matrix'!#REF!)),"")</f>
        <v/>
      </c>
      <c r="E325" s="11" t="str">
        <f t="shared" si="10"/>
        <v/>
      </c>
      <c r="F325" s="12">
        <f>IFERROR(INDEX('Production Matrix'!$B:$B,E325,0),0)</f>
        <v>0</v>
      </c>
    </row>
    <row r="326" spans="1:6">
      <c r="A326" s="1">
        <v>324</v>
      </c>
      <c r="B326">
        <f t="shared" si="11"/>
        <v>972</v>
      </c>
      <c r="C326" s="11" t="e">
        <f>IF(1*('Production Matrix'!A:A="تكلفة انتاج الوحدة")*ROW('Production Matrix'!#REF!)=0,1/0,1*('Production Matrix'!A:A="تكلفة انتاج الوحدة")*ROW('Production Matrix'!#REF!))</f>
        <v>#REF!</v>
      </c>
      <c r="D326" s="11" t="str">
        <f>IFERROR(_xlfn.AGGREGATE(15,6,$C$3:$C$53,ROW('Production Matrix'!#REF!)),"")</f>
        <v/>
      </c>
      <c r="E326" s="11" t="str">
        <f t="shared" si="10"/>
        <v/>
      </c>
      <c r="F326" s="12">
        <f>IFERROR(INDEX('Production Matrix'!$B:$B,E326,0),0)</f>
        <v>0</v>
      </c>
    </row>
    <row r="327" spans="1:6">
      <c r="A327" s="1">
        <v>325</v>
      </c>
      <c r="B327">
        <f t="shared" si="11"/>
        <v>975</v>
      </c>
      <c r="C327" s="11" t="e">
        <f>IF(1*('Production Matrix'!A:A="تكلفة انتاج الوحدة")*ROW('Production Matrix'!#REF!)=0,1/0,1*('Production Matrix'!A:A="تكلفة انتاج الوحدة")*ROW('Production Matrix'!#REF!))</f>
        <v>#REF!</v>
      </c>
      <c r="D327" s="11" t="str">
        <f>IFERROR(_xlfn.AGGREGATE(15,6,$C$3:$C$53,ROW('Production Matrix'!#REF!)),"")</f>
        <v/>
      </c>
      <c r="E327" s="11" t="str">
        <f t="shared" ref="E327:E390" si="12">IFERROR(D327+3,"")</f>
        <v/>
      </c>
      <c r="F327" s="12">
        <f>IFERROR(INDEX('Production Matrix'!$B:$B,E327,0),0)</f>
        <v>0</v>
      </c>
    </row>
    <row r="328" spans="1:6">
      <c r="A328" s="1">
        <v>326</v>
      </c>
      <c r="B328">
        <f t="shared" si="11"/>
        <v>978</v>
      </c>
      <c r="C328" s="11" t="e">
        <f>IF(1*('Production Matrix'!A:A="تكلفة انتاج الوحدة")*ROW('Production Matrix'!#REF!)=0,1/0,1*('Production Matrix'!A:A="تكلفة انتاج الوحدة")*ROW('Production Matrix'!#REF!))</f>
        <v>#REF!</v>
      </c>
      <c r="D328" s="11" t="str">
        <f>IFERROR(_xlfn.AGGREGATE(15,6,$C$3:$C$53,ROW('Production Matrix'!#REF!)),"")</f>
        <v/>
      </c>
      <c r="E328" s="11" t="str">
        <f t="shared" si="12"/>
        <v/>
      </c>
      <c r="F328" s="12">
        <f>IFERROR(INDEX('Production Matrix'!$B:$B,E328,0),0)</f>
        <v>0</v>
      </c>
    </row>
    <row r="329" spans="1:6">
      <c r="A329" s="1">
        <v>327</v>
      </c>
      <c r="B329">
        <f t="shared" si="11"/>
        <v>981</v>
      </c>
      <c r="C329" s="11" t="e">
        <f>IF(1*('Production Matrix'!A:A="تكلفة انتاج الوحدة")*ROW('Production Matrix'!#REF!)=0,1/0,1*('Production Matrix'!A:A="تكلفة انتاج الوحدة")*ROW('Production Matrix'!#REF!))</f>
        <v>#REF!</v>
      </c>
      <c r="D329" s="11" t="str">
        <f>IFERROR(_xlfn.AGGREGATE(15,6,$C$3:$C$53,ROW('Production Matrix'!#REF!)),"")</f>
        <v/>
      </c>
      <c r="E329" s="11" t="str">
        <f t="shared" si="12"/>
        <v/>
      </c>
      <c r="F329" s="12">
        <f>IFERROR(INDEX('Production Matrix'!$B:$B,E329,0),0)</f>
        <v>0</v>
      </c>
    </row>
    <row r="330" spans="1:6">
      <c r="A330" s="1">
        <v>328</v>
      </c>
      <c r="B330">
        <f t="shared" si="11"/>
        <v>984</v>
      </c>
      <c r="C330" s="11" t="e">
        <f>IF(1*('Production Matrix'!A:A="تكلفة انتاج الوحدة")*ROW('Production Matrix'!#REF!)=0,1/0,1*('Production Matrix'!A:A="تكلفة انتاج الوحدة")*ROW('Production Matrix'!#REF!))</f>
        <v>#REF!</v>
      </c>
      <c r="D330" s="11" t="str">
        <f>IFERROR(_xlfn.AGGREGATE(15,6,$C$3:$C$53,ROW('Production Matrix'!#REF!)),"")</f>
        <v/>
      </c>
      <c r="E330" s="11" t="str">
        <f t="shared" si="12"/>
        <v/>
      </c>
      <c r="F330" s="12">
        <f>IFERROR(INDEX('Production Matrix'!$B:$B,E330,0),0)</f>
        <v>0</v>
      </c>
    </row>
    <row r="331" spans="1:6">
      <c r="A331" s="1">
        <v>329</v>
      </c>
      <c r="B331">
        <f t="shared" si="11"/>
        <v>987</v>
      </c>
      <c r="C331" s="11" t="e">
        <f>IF(1*('Production Matrix'!A:A="تكلفة انتاج الوحدة")*ROW('Production Matrix'!#REF!)=0,1/0,1*('Production Matrix'!A:A="تكلفة انتاج الوحدة")*ROW('Production Matrix'!#REF!))</f>
        <v>#REF!</v>
      </c>
      <c r="D331" s="11" t="str">
        <f>IFERROR(_xlfn.AGGREGATE(15,6,$C$3:$C$53,ROW('Production Matrix'!#REF!)),"")</f>
        <v/>
      </c>
      <c r="E331" s="11" t="str">
        <f t="shared" si="12"/>
        <v/>
      </c>
      <c r="F331" s="12">
        <f>IFERROR(INDEX('Production Matrix'!$B:$B,E331,0),0)</f>
        <v>0</v>
      </c>
    </row>
    <row r="332" spans="1:6">
      <c r="A332" s="1">
        <v>330</v>
      </c>
      <c r="B332">
        <f t="shared" si="11"/>
        <v>990</v>
      </c>
      <c r="C332" s="11" t="e">
        <f>IF(1*('Production Matrix'!A:A="تكلفة انتاج الوحدة")*ROW('Production Matrix'!#REF!)=0,1/0,1*('Production Matrix'!A:A="تكلفة انتاج الوحدة")*ROW('Production Matrix'!#REF!))</f>
        <v>#REF!</v>
      </c>
      <c r="D332" s="11" t="str">
        <f>IFERROR(_xlfn.AGGREGATE(15,6,$C$3:$C$53,ROW('Production Matrix'!#REF!)),"")</f>
        <v/>
      </c>
      <c r="E332" s="11" t="str">
        <f t="shared" si="12"/>
        <v/>
      </c>
      <c r="F332" s="12">
        <f>IFERROR(INDEX('Production Matrix'!$B:$B,E332,0),0)</f>
        <v>0</v>
      </c>
    </row>
    <row r="333" spans="1:6">
      <c r="A333" s="1">
        <v>331</v>
      </c>
      <c r="B333">
        <f t="shared" si="11"/>
        <v>993</v>
      </c>
      <c r="C333" s="11" t="e">
        <f>IF(1*('Production Matrix'!A:A="تكلفة انتاج الوحدة")*ROW('Production Matrix'!#REF!)=0,1/0,1*('Production Matrix'!A:A="تكلفة انتاج الوحدة")*ROW('Production Matrix'!#REF!))</f>
        <v>#REF!</v>
      </c>
      <c r="D333" s="11" t="str">
        <f>IFERROR(_xlfn.AGGREGATE(15,6,$C$3:$C$53,ROW('Production Matrix'!#REF!)),"")</f>
        <v/>
      </c>
      <c r="E333" s="11" t="str">
        <f t="shared" si="12"/>
        <v/>
      </c>
      <c r="F333" s="12">
        <f>IFERROR(INDEX('Production Matrix'!$B:$B,E333,0),0)</f>
        <v>0</v>
      </c>
    </row>
    <row r="334" spans="1:6">
      <c r="A334" s="1">
        <v>332</v>
      </c>
      <c r="B334">
        <f t="shared" si="11"/>
        <v>996</v>
      </c>
      <c r="C334" s="11" t="e">
        <f>IF(1*('Production Matrix'!A:A="تكلفة انتاج الوحدة")*ROW('Production Matrix'!#REF!)=0,1/0,1*('Production Matrix'!A:A="تكلفة انتاج الوحدة")*ROW('Production Matrix'!#REF!))</f>
        <v>#REF!</v>
      </c>
      <c r="D334" s="11" t="str">
        <f>IFERROR(_xlfn.AGGREGATE(15,6,$C$3:$C$53,ROW('Production Matrix'!#REF!)),"")</f>
        <v/>
      </c>
      <c r="E334" s="11" t="str">
        <f t="shared" si="12"/>
        <v/>
      </c>
      <c r="F334" s="12">
        <f>IFERROR(INDEX('Production Matrix'!$B:$B,E334,0),0)</f>
        <v>0</v>
      </c>
    </row>
    <row r="335" spans="1:6">
      <c r="A335" s="1">
        <v>333</v>
      </c>
      <c r="B335">
        <f t="shared" si="11"/>
        <v>999</v>
      </c>
      <c r="C335" s="11" t="e">
        <f>IF(1*('Production Matrix'!A:A="تكلفة انتاج الوحدة")*ROW('Production Matrix'!#REF!)=0,1/0,1*('Production Matrix'!A:A="تكلفة انتاج الوحدة")*ROW('Production Matrix'!#REF!))</f>
        <v>#REF!</v>
      </c>
      <c r="D335" s="11" t="str">
        <f>IFERROR(_xlfn.AGGREGATE(15,6,$C$3:$C$53,ROW('Production Matrix'!#REF!)),"")</f>
        <v/>
      </c>
      <c r="E335" s="11" t="str">
        <f t="shared" si="12"/>
        <v/>
      </c>
      <c r="F335" s="12">
        <f>IFERROR(INDEX('Production Matrix'!$B:$B,E335,0),0)</f>
        <v>0</v>
      </c>
    </row>
    <row r="336" spans="1:6">
      <c r="A336" s="1">
        <v>334</v>
      </c>
      <c r="B336">
        <f t="shared" si="11"/>
        <v>1002</v>
      </c>
      <c r="C336" s="11" t="e">
        <f>IF(1*('Production Matrix'!A:A="تكلفة انتاج الوحدة")*ROW('Production Matrix'!#REF!)=0,1/0,1*('Production Matrix'!A:A="تكلفة انتاج الوحدة")*ROW('Production Matrix'!#REF!))</f>
        <v>#REF!</v>
      </c>
      <c r="D336" s="11" t="str">
        <f>IFERROR(_xlfn.AGGREGATE(15,6,$C$3:$C$53,ROW('Production Matrix'!#REF!)),"")</f>
        <v/>
      </c>
      <c r="E336" s="11" t="str">
        <f t="shared" si="12"/>
        <v/>
      </c>
      <c r="F336" s="12">
        <f>IFERROR(INDEX('Production Matrix'!$B:$B,E336,0),0)</f>
        <v>0</v>
      </c>
    </row>
    <row r="337" spans="1:6">
      <c r="A337" s="1">
        <v>335</v>
      </c>
      <c r="B337">
        <f t="shared" si="11"/>
        <v>1005</v>
      </c>
      <c r="C337" s="11" t="e">
        <f>IF(1*('Production Matrix'!A:A="تكلفة انتاج الوحدة")*ROW('Production Matrix'!#REF!)=0,1/0,1*('Production Matrix'!A:A="تكلفة انتاج الوحدة")*ROW('Production Matrix'!#REF!))</f>
        <v>#REF!</v>
      </c>
      <c r="D337" s="11" t="str">
        <f>IFERROR(_xlfn.AGGREGATE(15,6,$C$3:$C$53,ROW('Production Matrix'!#REF!)),"")</f>
        <v/>
      </c>
      <c r="E337" s="11" t="str">
        <f t="shared" si="12"/>
        <v/>
      </c>
      <c r="F337" s="12">
        <f>IFERROR(INDEX('Production Matrix'!$B:$B,E337,0),0)</f>
        <v>0</v>
      </c>
    </row>
    <row r="338" spans="1:6">
      <c r="A338" s="1">
        <v>336</v>
      </c>
      <c r="B338">
        <f t="shared" si="11"/>
        <v>1008</v>
      </c>
      <c r="C338" s="11" t="e">
        <f>IF(1*('Production Matrix'!A:A="تكلفة انتاج الوحدة")*ROW('Production Matrix'!#REF!)=0,1/0,1*('Production Matrix'!A:A="تكلفة انتاج الوحدة")*ROW('Production Matrix'!#REF!))</f>
        <v>#REF!</v>
      </c>
      <c r="D338" s="11" t="str">
        <f>IFERROR(_xlfn.AGGREGATE(15,6,$C$3:$C$53,ROW('Production Matrix'!#REF!)),"")</f>
        <v/>
      </c>
      <c r="E338" s="11" t="str">
        <f t="shared" si="12"/>
        <v/>
      </c>
      <c r="F338" s="12">
        <f>IFERROR(INDEX('Production Matrix'!$B:$B,E338,0),0)</f>
        <v>0</v>
      </c>
    </row>
    <row r="339" spans="1:6">
      <c r="A339" s="1">
        <v>337</v>
      </c>
      <c r="B339">
        <f t="shared" si="11"/>
        <v>1011</v>
      </c>
      <c r="C339" s="11" t="e">
        <f>IF(1*('Production Matrix'!A:A="تكلفة انتاج الوحدة")*ROW('Production Matrix'!#REF!)=0,1/0,1*('Production Matrix'!A:A="تكلفة انتاج الوحدة")*ROW('Production Matrix'!#REF!))</f>
        <v>#REF!</v>
      </c>
      <c r="D339" s="11" t="str">
        <f>IFERROR(_xlfn.AGGREGATE(15,6,$C$3:$C$53,ROW('Production Matrix'!#REF!)),"")</f>
        <v/>
      </c>
      <c r="E339" s="11" t="str">
        <f t="shared" si="12"/>
        <v/>
      </c>
      <c r="F339" s="12">
        <f>IFERROR(INDEX('Production Matrix'!$B:$B,E339,0),0)</f>
        <v>0</v>
      </c>
    </row>
    <row r="340" spans="1:6">
      <c r="A340" s="1">
        <v>338</v>
      </c>
      <c r="B340">
        <f t="shared" si="11"/>
        <v>1014</v>
      </c>
      <c r="C340" s="11" t="e">
        <f>IF(1*('Production Matrix'!A:A="تكلفة انتاج الوحدة")*ROW('Production Matrix'!#REF!)=0,1/0,1*('Production Matrix'!A:A="تكلفة انتاج الوحدة")*ROW('Production Matrix'!#REF!))</f>
        <v>#REF!</v>
      </c>
      <c r="D340" s="11" t="str">
        <f>IFERROR(_xlfn.AGGREGATE(15,6,$C$3:$C$53,ROW('Production Matrix'!#REF!)),"")</f>
        <v/>
      </c>
      <c r="E340" s="11" t="str">
        <f t="shared" si="12"/>
        <v/>
      </c>
      <c r="F340" s="12">
        <f>IFERROR(INDEX('Production Matrix'!$B:$B,E340,0),0)</f>
        <v>0</v>
      </c>
    </row>
    <row r="341" spans="1:6">
      <c r="A341" s="1">
        <v>339</v>
      </c>
      <c r="B341">
        <f t="shared" si="11"/>
        <v>1017</v>
      </c>
      <c r="C341" s="11" t="e">
        <f>IF(1*('Production Matrix'!A:A="تكلفة انتاج الوحدة")*ROW('Production Matrix'!#REF!)=0,1/0,1*('Production Matrix'!A:A="تكلفة انتاج الوحدة")*ROW('Production Matrix'!#REF!))</f>
        <v>#REF!</v>
      </c>
      <c r="D341" s="11" t="str">
        <f>IFERROR(_xlfn.AGGREGATE(15,6,$C$3:$C$53,ROW('Production Matrix'!#REF!)),"")</f>
        <v/>
      </c>
      <c r="E341" s="11" t="str">
        <f t="shared" si="12"/>
        <v/>
      </c>
      <c r="F341" s="12">
        <f>IFERROR(INDEX('Production Matrix'!$B:$B,E341,0),0)</f>
        <v>0</v>
      </c>
    </row>
    <row r="342" spans="1:6">
      <c r="A342" s="1">
        <v>340</v>
      </c>
      <c r="B342">
        <f t="shared" si="11"/>
        <v>1020</v>
      </c>
      <c r="C342" s="11" t="e">
        <f>IF(1*('Production Matrix'!A:A="تكلفة انتاج الوحدة")*ROW('Production Matrix'!#REF!)=0,1/0,1*('Production Matrix'!A:A="تكلفة انتاج الوحدة")*ROW('Production Matrix'!#REF!))</f>
        <v>#REF!</v>
      </c>
      <c r="D342" s="11" t="str">
        <f>IFERROR(_xlfn.AGGREGATE(15,6,$C$3:$C$53,ROW('Production Matrix'!#REF!)),"")</f>
        <v/>
      </c>
      <c r="E342" s="11" t="str">
        <f t="shared" si="12"/>
        <v/>
      </c>
      <c r="F342" s="12">
        <f>IFERROR(INDEX('Production Matrix'!$B:$B,E342,0),0)</f>
        <v>0</v>
      </c>
    </row>
    <row r="343" spans="1:6">
      <c r="A343" s="1">
        <v>341</v>
      </c>
      <c r="B343">
        <f t="shared" si="11"/>
        <v>1023</v>
      </c>
      <c r="C343" s="11" t="e">
        <f>IF(1*('Production Matrix'!A:A="تكلفة انتاج الوحدة")*ROW('Production Matrix'!#REF!)=0,1/0,1*('Production Matrix'!A:A="تكلفة انتاج الوحدة")*ROW('Production Matrix'!#REF!))</f>
        <v>#REF!</v>
      </c>
      <c r="D343" s="11" t="str">
        <f>IFERROR(_xlfn.AGGREGATE(15,6,$C$3:$C$53,ROW('Production Matrix'!#REF!)),"")</f>
        <v/>
      </c>
      <c r="E343" s="11" t="str">
        <f t="shared" si="12"/>
        <v/>
      </c>
      <c r="F343" s="12">
        <f>IFERROR(INDEX('Production Matrix'!$B:$B,E343,0),0)</f>
        <v>0</v>
      </c>
    </row>
    <row r="344" spans="1:6">
      <c r="A344" s="1">
        <v>342</v>
      </c>
      <c r="B344">
        <f t="shared" si="11"/>
        <v>1026</v>
      </c>
      <c r="C344" s="11" t="e">
        <f>IF(1*('Production Matrix'!A:A="تكلفة انتاج الوحدة")*ROW('Production Matrix'!#REF!)=0,1/0,1*('Production Matrix'!A:A="تكلفة انتاج الوحدة")*ROW('Production Matrix'!#REF!))</f>
        <v>#REF!</v>
      </c>
      <c r="D344" s="11" t="str">
        <f>IFERROR(_xlfn.AGGREGATE(15,6,$C$3:$C$53,ROW('Production Matrix'!#REF!)),"")</f>
        <v/>
      </c>
      <c r="E344" s="11" t="str">
        <f t="shared" si="12"/>
        <v/>
      </c>
      <c r="F344" s="12">
        <f>IFERROR(INDEX('Production Matrix'!$B:$B,E344,0),0)</f>
        <v>0</v>
      </c>
    </row>
    <row r="345" spans="1:6">
      <c r="A345" s="1">
        <v>343</v>
      </c>
      <c r="B345">
        <f t="shared" si="11"/>
        <v>1029</v>
      </c>
      <c r="C345" s="11" t="e">
        <f>IF(1*('Production Matrix'!A:A="تكلفة انتاج الوحدة")*ROW('Production Matrix'!#REF!)=0,1/0,1*('Production Matrix'!A:A="تكلفة انتاج الوحدة")*ROW('Production Matrix'!#REF!))</f>
        <v>#REF!</v>
      </c>
      <c r="D345" s="11" t="str">
        <f>IFERROR(_xlfn.AGGREGATE(15,6,$C$3:$C$53,ROW('Production Matrix'!#REF!)),"")</f>
        <v/>
      </c>
      <c r="E345" s="11" t="str">
        <f t="shared" si="12"/>
        <v/>
      </c>
      <c r="F345" s="12">
        <f>IFERROR(INDEX('Production Matrix'!$B:$B,E345,0),0)</f>
        <v>0</v>
      </c>
    </row>
    <row r="346" spans="1:6">
      <c r="A346" s="1">
        <v>344</v>
      </c>
      <c r="B346">
        <f t="shared" si="11"/>
        <v>1032</v>
      </c>
      <c r="C346" s="11" t="e">
        <f>IF(1*('Production Matrix'!A:A="تكلفة انتاج الوحدة")*ROW('Production Matrix'!#REF!)=0,1/0,1*('Production Matrix'!A:A="تكلفة انتاج الوحدة")*ROW('Production Matrix'!#REF!))</f>
        <v>#REF!</v>
      </c>
      <c r="D346" s="11" t="str">
        <f>IFERROR(_xlfn.AGGREGATE(15,6,$C$3:$C$53,ROW('Production Matrix'!#REF!)),"")</f>
        <v/>
      </c>
      <c r="E346" s="11" t="str">
        <f t="shared" si="12"/>
        <v/>
      </c>
      <c r="F346" s="12">
        <f>IFERROR(INDEX('Production Matrix'!$B:$B,E346,0),0)</f>
        <v>0</v>
      </c>
    </row>
    <row r="347" spans="1:6">
      <c r="A347" s="1">
        <v>345</v>
      </c>
      <c r="B347">
        <f t="shared" si="11"/>
        <v>1035</v>
      </c>
      <c r="C347" s="11" t="e">
        <f>IF(1*('Production Matrix'!A:A="تكلفة انتاج الوحدة")*ROW('Production Matrix'!#REF!)=0,1/0,1*('Production Matrix'!A:A="تكلفة انتاج الوحدة")*ROW('Production Matrix'!#REF!))</f>
        <v>#REF!</v>
      </c>
      <c r="D347" s="11" t="str">
        <f>IFERROR(_xlfn.AGGREGATE(15,6,$C$3:$C$53,ROW('Production Matrix'!#REF!)),"")</f>
        <v/>
      </c>
      <c r="E347" s="11" t="str">
        <f t="shared" si="12"/>
        <v/>
      </c>
      <c r="F347" s="12">
        <f>IFERROR(INDEX('Production Matrix'!$B:$B,E347,0),0)</f>
        <v>0</v>
      </c>
    </row>
    <row r="348" spans="1:6">
      <c r="A348" s="1">
        <v>346</v>
      </c>
      <c r="B348">
        <f t="shared" si="11"/>
        <v>1038</v>
      </c>
      <c r="C348" s="11" t="e">
        <f>IF(1*('Production Matrix'!A:A="تكلفة انتاج الوحدة")*ROW('Production Matrix'!#REF!)=0,1/0,1*('Production Matrix'!A:A="تكلفة انتاج الوحدة")*ROW('Production Matrix'!#REF!))</f>
        <v>#REF!</v>
      </c>
      <c r="D348" s="11" t="str">
        <f>IFERROR(_xlfn.AGGREGATE(15,6,$C$3:$C$53,ROW('Production Matrix'!#REF!)),"")</f>
        <v/>
      </c>
      <c r="E348" s="11" t="str">
        <f t="shared" si="12"/>
        <v/>
      </c>
      <c r="F348" s="12">
        <f>IFERROR(INDEX('Production Matrix'!$B:$B,E348,0),0)</f>
        <v>0</v>
      </c>
    </row>
    <row r="349" spans="1:6">
      <c r="A349" s="1">
        <v>347</v>
      </c>
      <c r="B349">
        <f t="shared" si="11"/>
        <v>1041</v>
      </c>
      <c r="C349" s="11" t="e">
        <f>IF(1*('Production Matrix'!A:A="تكلفة انتاج الوحدة")*ROW('Production Matrix'!#REF!)=0,1/0,1*('Production Matrix'!A:A="تكلفة انتاج الوحدة")*ROW('Production Matrix'!#REF!))</f>
        <v>#REF!</v>
      </c>
      <c r="D349" s="11" t="str">
        <f>IFERROR(_xlfn.AGGREGATE(15,6,$C$3:$C$53,ROW('Production Matrix'!#REF!)),"")</f>
        <v/>
      </c>
      <c r="E349" s="11" t="str">
        <f t="shared" si="12"/>
        <v/>
      </c>
      <c r="F349" s="12">
        <f>IFERROR(INDEX('Production Matrix'!$B:$B,E349,0),0)</f>
        <v>0</v>
      </c>
    </row>
    <row r="350" spans="1:6">
      <c r="A350" s="1">
        <v>348</v>
      </c>
      <c r="B350">
        <f t="shared" si="11"/>
        <v>1044</v>
      </c>
      <c r="C350" s="11" t="e">
        <f>IF(1*('Production Matrix'!A:A="تكلفة انتاج الوحدة")*ROW('Production Matrix'!#REF!)=0,1/0,1*('Production Matrix'!A:A="تكلفة انتاج الوحدة")*ROW('Production Matrix'!#REF!))</f>
        <v>#REF!</v>
      </c>
      <c r="D350" s="11" t="str">
        <f>IFERROR(_xlfn.AGGREGATE(15,6,$C$3:$C$53,ROW('Production Matrix'!#REF!)),"")</f>
        <v/>
      </c>
      <c r="E350" s="11" t="str">
        <f t="shared" si="12"/>
        <v/>
      </c>
      <c r="F350" s="12">
        <f>IFERROR(INDEX('Production Matrix'!$B:$B,E350,0),0)</f>
        <v>0</v>
      </c>
    </row>
    <row r="351" spans="1:6">
      <c r="A351" s="1">
        <v>349</v>
      </c>
      <c r="B351">
        <f t="shared" si="11"/>
        <v>1047</v>
      </c>
      <c r="C351" s="11" t="e">
        <f>IF(1*('Production Matrix'!A:A="تكلفة انتاج الوحدة")*ROW('Production Matrix'!#REF!)=0,1/0,1*('Production Matrix'!A:A="تكلفة انتاج الوحدة")*ROW('Production Matrix'!#REF!))</f>
        <v>#REF!</v>
      </c>
      <c r="D351" s="11" t="str">
        <f>IFERROR(_xlfn.AGGREGATE(15,6,$C$3:$C$53,ROW('Production Matrix'!#REF!)),"")</f>
        <v/>
      </c>
      <c r="E351" s="11" t="str">
        <f t="shared" si="12"/>
        <v/>
      </c>
      <c r="F351" s="12">
        <f>IFERROR(INDEX('Production Matrix'!$B:$B,E351,0),0)</f>
        <v>0</v>
      </c>
    </row>
    <row r="352" spans="1:6">
      <c r="A352" s="1">
        <v>350</v>
      </c>
      <c r="B352">
        <f t="shared" si="11"/>
        <v>1050</v>
      </c>
      <c r="C352" s="11" t="e">
        <f>IF(1*('Production Matrix'!A:A="تكلفة انتاج الوحدة")*ROW('Production Matrix'!#REF!)=0,1/0,1*('Production Matrix'!A:A="تكلفة انتاج الوحدة")*ROW('Production Matrix'!#REF!))</f>
        <v>#REF!</v>
      </c>
      <c r="D352" s="11" t="str">
        <f>IFERROR(_xlfn.AGGREGATE(15,6,$C$3:$C$53,ROW('Production Matrix'!#REF!)),"")</f>
        <v/>
      </c>
      <c r="E352" s="11" t="str">
        <f t="shared" si="12"/>
        <v/>
      </c>
      <c r="F352" s="12">
        <f>IFERROR(INDEX('Production Matrix'!$B:$B,E352,0),0)</f>
        <v>0</v>
      </c>
    </row>
    <row r="353" spans="1:6">
      <c r="A353" s="1">
        <v>351</v>
      </c>
      <c r="B353">
        <f t="shared" si="11"/>
        <v>1053</v>
      </c>
      <c r="C353" s="11" t="e">
        <f>IF(1*('Production Matrix'!A:A="تكلفة انتاج الوحدة")*ROW('Production Matrix'!#REF!)=0,1/0,1*('Production Matrix'!A:A="تكلفة انتاج الوحدة")*ROW('Production Matrix'!#REF!))</f>
        <v>#REF!</v>
      </c>
      <c r="D353" s="11" t="str">
        <f>IFERROR(_xlfn.AGGREGATE(15,6,$C$3:$C$53,ROW('Production Matrix'!#REF!)),"")</f>
        <v/>
      </c>
      <c r="E353" s="11" t="str">
        <f t="shared" si="12"/>
        <v/>
      </c>
      <c r="F353" s="12">
        <f>IFERROR(INDEX('Production Matrix'!$B:$B,E353,0),0)</f>
        <v>0</v>
      </c>
    </row>
    <row r="354" spans="1:6">
      <c r="A354" s="1">
        <v>352</v>
      </c>
      <c r="B354">
        <f t="shared" si="11"/>
        <v>1056</v>
      </c>
      <c r="C354" s="11" t="e">
        <f>IF(1*('Production Matrix'!A:A="تكلفة انتاج الوحدة")*ROW('Production Matrix'!#REF!)=0,1/0,1*('Production Matrix'!A:A="تكلفة انتاج الوحدة")*ROW('Production Matrix'!#REF!))</f>
        <v>#REF!</v>
      </c>
      <c r="D354" s="11" t="str">
        <f>IFERROR(_xlfn.AGGREGATE(15,6,$C$3:$C$53,ROW('Production Matrix'!#REF!)),"")</f>
        <v/>
      </c>
      <c r="E354" s="11" t="str">
        <f t="shared" si="12"/>
        <v/>
      </c>
      <c r="F354" s="12">
        <f>IFERROR(INDEX('Production Matrix'!$B:$B,E354,0),0)</f>
        <v>0</v>
      </c>
    </row>
    <row r="355" spans="1:6">
      <c r="A355" s="1">
        <v>353</v>
      </c>
      <c r="B355">
        <f t="shared" si="11"/>
        <v>1059</v>
      </c>
      <c r="C355" s="11" t="e">
        <f>IF(1*('Production Matrix'!A:A="تكلفة انتاج الوحدة")*ROW('Production Matrix'!#REF!)=0,1/0,1*('Production Matrix'!A:A="تكلفة انتاج الوحدة")*ROW('Production Matrix'!#REF!))</f>
        <v>#REF!</v>
      </c>
      <c r="D355" s="11" t="str">
        <f>IFERROR(_xlfn.AGGREGATE(15,6,$C$3:$C$53,ROW('Production Matrix'!#REF!)),"")</f>
        <v/>
      </c>
      <c r="E355" s="11" t="str">
        <f t="shared" si="12"/>
        <v/>
      </c>
      <c r="F355" s="12">
        <f>IFERROR(INDEX('Production Matrix'!$B:$B,E355,0),0)</f>
        <v>0</v>
      </c>
    </row>
    <row r="356" spans="1:6">
      <c r="A356" s="1">
        <v>354</v>
      </c>
      <c r="B356">
        <f t="shared" si="11"/>
        <v>1062</v>
      </c>
      <c r="C356" s="11" t="e">
        <f>IF(1*('Production Matrix'!A:A="تكلفة انتاج الوحدة")*ROW('Production Matrix'!#REF!)=0,1/0,1*('Production Matrix'!A:A="تكلفة انتاج الوحدة")*ROW('Production Matrix'!#REF!))</f>
        <v>#REF!</v>
      </c>
      <c r="D356" s="11" t="str">
        <f>IFERROR(_xlfn.AGGREGATE(15,6,$C$3:$C$53,ROW('Production Matrix'!#REF!)),"")</f>
        <v/>
      </c>
      <c r="E356" s="11" t="str">
        <f t="shared" si="12"/>
        <v/>
      </c>
      <c r="F356" s="12">
        <f>IFERROR(INDEX('Production Matrix'!$B:$B,E356,0),0)</f>
        <v>0</v>
      </c>
    </row>
    <row r="357" spans="1:6">
      <c r="A357" s="1">
        <v>355</v>
      </c>
      <c r="B357">
        <f t="shared" si="11"/>
        <v>1065</v>
      </c>
      <c r="C357" s="11" t="e">
        <f>IF(1*('Production Matrix'!A:A="تكلفة انتاج الوحدة")*ROW('Production Matrix'!#REF!)=0,1/0,1*('Production Matrix'!A:A="تكلفة انتاج الوحدة")*ROW('Production Matrix'!#REF!))</f>
        <v>#REF!</v>
      </c>
      <c r="D357" s="11" t="str">
        <f>IFERROR(_xlfn.AGGREGATE(15,6,$C$3:$C$53,ROW('Production Matrix'!#REF!)),"")</f>
        <v/>
      </c>
      <c r="E357" s="11" t="str">
        <f t="shared" si="12"/>
        <v/>
      </c>
      <c r="F357" s="12">
        <f>IFERROR(INDEX('Production Matrix'!$B:$B,E357,0),0)</f>
        <v>0</v>
      </c>
    </row>
    <row r="358" spans="1:6">
      <c r="A358" s="1">
        <v>356</v>
      </c>
      <c r="B358">
        <f t="shared" si="11"/>
        <v>1068</v>
      </c>
      <c r="C358" s="11" t="e">
        <f>IF(1*('Production Matrix'!A:A="تكلفة انتاج الوحدة")*ROW('Production Matrix'!#REF!)=0,1/0,1*('Production Matrix'!A:A="تكلفة انتاج الوحدة")*ROW('Production Matrix'!#REF!))</f>
        <v>#REF!</v>
      </c>
      <c r="D358" s="11" t="str">
        <f>IFERROR(_xlfn.AGGREGATE(15,6,$C$3:$C$53,ROW('Production Matrix'!#REF!)),"")</f>
        <v/>
      </c>
      <c r="E358" s="11" t="str">
        <f t="shared" si="12"/>
        <v/>
      </c>
      <c r="F358" s="12">
        <f>IFERROR(INDEX('Production Matrix'!$B:$B,E358,0),0)</f>
        <v>0</v>
      </c>
    </row>
    <row r="359" spans="1:6">
      <c r="A359" s="1">
        <v>357</v>
      </c>
      <c r="B359">
        <f t="shared" si="11"/>
        <v>1071</v>
      </c>
      <c r="C359" s="11" t="e">
        <f>IF(1*('Production Matrix'!A:A="تكلفة انتاج الوحدة")*ROW('Production Matrix'!#REF!)=0,1/0,1*('Production Matrix'!A:A="تكلفة انتاج الوحدة")*ROW('Production Matrix'!#REF!))</f>
        <v>#REF!</v>
      </c>
      <c r="D359" s="11" t="str">
        <f>IFERROR(_xlfn.AGGREGATE(15,6,$C$3:$C$53,ROW('Production Matrix'!#REF!)),"")</f>
        <v/>
      </c>
      <c r="E359" s="11" t="str">
        <f t="shared" si="12"/>
        <v/>
      </c>
      <c r="F359" s="12">
        <f>IFERROR(INDEX('Production Matrix'!$B:$B,E359,0),0)</f>
        <v>0</v>
      </c>
    </row>
    <row r="360" spans="1:6">
      <c r="A360" s="1">
        <v>358</v>
      </c>
      <c r="B360">
        <f t="shared" si="11"/>
        <v>1074</v>
      </c>
      <c r="C360" s="11" t="e">
        <f>IF(1*('Production Matrix'!A:A="تكلفة انتاج الوحدة")*ROW('Production Matrix'!#REF!)=0,1/0,1*('Production Matrix'!A:A="تكلفة انتاج الوحدة")*ROW('Production Matrix'!#REF!))</f>
        <v>#REF!</v>
      </c>
      <c r="D360" s="11" t="str">
        <f>IFERROR(_xlfn.AGGREGATE(15,6,$C$3:$C$53,ROW('Production Matrix'!#REF!)),"")</f>
        <v/>
      </c>
      <c r="E360" s="11" t="str">
        <f t="shared" si="12"/>
        <v/>
      </c>
      <c r="F360" s="12">
        <f>IFERROR(INDEX('Production Matrix'!$B:$B,E360,0),0)</f>
        <v>0</v>
      </c>
    </row>
    <row r="361" spans="1:6">
      <c r="A361" s="1">
        <v>359</v>
      </c>
      <c r="B361">
        <f t="shared" si="11"/>
        <v>1077</v>
      </c>
      <c r="C361" s="11" t="e">
        <f>IF(1*('Production Matrix'!A:A="تكلفة انتاج الوحدة")*ROW('Production Matrix'!#REF!)=0,1/0,1*('Production Matrix'!A:A="تكلفة انتاج الوحدة")*ROW('Production Matrix'!#REF!))</f>
        <v>#REF!</v>
      </c>
      <c r="D361" s="11" t="str">
        <f>IFERROR(_xlfn.AGGREGATE(15,6,$C$3:$C$53,ROW('Production Matrix'!#REF!)),"")</f>
        <v/>
      </c>
      <c r="E361" s="11" t="str">
        <f t="shared" si="12"/>
        <v/>
      </c>
      <c r="F361" s="12">
        <f>IFERROR(INDEX('Production Matrix'!$B:$B,E361,0),0)</f>
        <v>0</v>
      </c>
    </row>
    <row r="362" spans="1:6">
      <c r="A362" s="1">
        <v>360</v>
      </c>
      <c r="B362">
        <f t="shared" si="11"/>
        <v>1080</v>
      </c>
      <c r="C362" s="11" t="e">
        <f>IF(1*('Production Matrix'!A:A="تكلفة انتاج الوحدة")*ROW('Production Matrix'!#REF!)=0,1/0,1*('Production Matrix'!A:A="تكلفة انتاج الوحدة")*ROW('Production Matrix'!#REF!))</f>
        <v>#REF!</v>
      </c>
      <c r="D362" s="11" t="str">
        <f>IFERROR(_xlfn.AGGREGATE(15,6,$C$3:$C$53,ROW('Production Matrix'!#REF!)),"")</f>
        <v/>
      </c>
      <c r="E362" s="11" t="str">
        <f t="shared" si="12"/>
        <v/>
      </c>
      <c r="F362" s="12">
        <f>IFERROR(INDEX('Production Matrix'!$B:$B,E362,0),0)</f>
        <v>0</v>
      </c>
    </row>
    <row r="363" spans="1:6">
      <c r="A363" s="1">
        <v>361</v>
      </c>
      <c r="B363">
        <f t="shared" si="11"/>
        <v>1083</v>
      </c>
      <c r="C363" s="11" t="e">
        <f>IF(1*('Production Matrix'!A:A="تكلفة انتاج الوحدة")*ROW('Production Matrix'!#REF!)=0,1/0,1*('Production Matrix'!A:A="تكلفة انتاج الوحدة")*ROW('Production Matrix'!#REF!))</f>
        <v>#REF!</v>
      </c>
      <c r="D363" s="11" t="str">
        <f>IFERROR(_xlfn.AGGREGATE(15,6,$C$3:$C$53,ROW('Production Matrix'!#REF!)),"")</f>
        <v/>
      </c>
      <c r="E363" s="11" t="str">
        <f t="shared" si="12"/>
        <v/>
      </c>
      <c r="F363" s="12">
        <f>IFERROR(INDEX('Production Matrix'!$B:$B,E363,0),0)</f>
        <v>0</v>
      </c>
    </row>
    <row r="364" spans="1:6">
      <c r="A364" s="1">
        <v>362</v>
      </c>
      <c r="B364">
        <f t="shared" si="11"/>
        <v>1086</v>
      </c>
      <c r="C364" s="11" t="e">
        <f>IF(1*('Production Matrix'!A:A="تكلفة انتاج الوحدة")*ROW('Production Matrix'!#REF!)=0,1/0,1*('Production Matrix'!A:A="تكلفة انتاج الوحدة")*ROW('Production Matrix'!#REF!))</f>
        <v>#REF!</v>
      </c>
      <c r="D364" s="11" t="str">
        <f>IFERROR(_xlfn.AGGREGATE(15,6,$C$3:$C$53,ROW('Production Matrix'!#REF!)),"")</f>
        <v/>
      </c>
      <c r="E364" s="11" t="str">
        <f t="shared" si="12"/>
        <v/>
      </c>
      <c r="F364" s="12">
        <f>IFERROR(INDEX('Production Matrix'!$B:$B,E364,0),0)</f>
        <v>0</v>
      </c>
    </row>
    <row r="365" spans="1:6">
      <c r="A365" s="1">
        <v>363</v>
      </c>
      <c r="B365">
        <f t="shared" si="11"/>
        <v>1089</v>
      </c>
      <c r="C365" s="11" t="e">
        <f>IF(1*('Production Matrix'!A:A="تكلفة انتاج الوحدة")*ROW('Production Matrix'!#REF!)=0,1/0,1*('Production Matrix'!A:A="تكلفة انتاج الوحدة")*ROW('Production Matrix'!#REF!))</f>
        <v>#REF!</v>
      </c>
      <c r="D365" s="11" t="str">
        <f>IFERROR(_xlfn.AGGREGATE(15,6,$C$3:$C$53,ROW('Production Matrix'!#REF!)),"")</f>
        <v/>
      </c>
      <c r="E365" s="11" t="str">
        <f t="shared" si="12"/>
        <v/>
      </c>
      <c r="F365" s="12">
        <f>IFERROR(INDEX('Production Matrix'!$B:$B,E365,0),0)</f>
        <v>0</v>
      </c>
    </row>
    <row r="366" spans="1:6">
      <c r="A366" s="1">
        <v>364</v>
      </c>
      <c r="B366">
        <f t="shared" si="11"/>
        <v>1092</v>
      </c>
      <c r="C366" s="11" t="e">
        <f>IF(1*('Production Matrix'!A:A="تكلفة انتاج الوحدة")*ROW('Production Matrix'!#REF!)=0,1/0,1*('Production Matrix'!A:A="تكلفة انتاج الوحدة")*ROW('Production Matrix'!#REF!))</f>
        <v>#REF!</v>
      </c>
      <c r="D366" s="11" t="str">
        <f>IFERROR(_xlfn.AGGREGATE(15,6,$C$3:$C$53,ROW('Production Matrix'!#REF!)),"")</f>
        <v/>
      </c>
      <c r="E366" s="11" t="str">
        <f t="shared" si="12"/>
        <v/>
      </c>
      <c r="F366" s="12">
        <f>IFERROR(INDEX('Production Matrix'!$B:$B,E366,0),0)</f>
        <v>0</v>
      </c>
    </row>
    <row r="367" spans="1:6">
      <c r="A367" s="1">
        <v>365</v>
      </c>
      <c r="B367">
        <f t="shared" si="11"/>
        <v>1095</v>
      </c>
      <c r="C367" s="11" t="e">
        <f>IF(1*('Production Matrix'!A:A="تكلفة انتاج الوحدة")*ROW('Production Matrix'!#REF!)=0,1/0,1*('Production Matrix'!A:A="تكلفة انتاج الوحدة")*ROW('Production Matrix'!#REF!))</f>
        <v>#REF!</v>
      </c>
      <c r="D367" s="11" t="str">
        <f>IFERROR(_xlfn.AGGREGATE(15,6,$C$3:$C$53,ROW('Production Matrix'!#REF!)),"")</f>
        <v/>
      </c>
      <c r="E367" s="11" t="str">
        <f t="shared" si="12"/>
        <v/>
      </c>
      <c r="F367" s="12">
        <f>IFERROR(INDEX('Production Matrix'!$B:$B,E367,0),0)</f>
        <v>0</v>
      </c>
    </row>
    <row r="368" spans="1:6">
      <c r="A368" s="1">
        <v>366</v>
      </c>
      <c r="B368">
        <f t="shared" si="11"/>
        <v>1098</v>
      </c>
      <c r="C368" s="11" t="e">
        <f>IF(1*('Production Matrix'!A:A="تكلفة انتاج الوحدة")*ROW('Production Matrix'!#REF!)=0,1/0,1*('Production Matrix'!A:A="تكلفة انتاج الوحدة")*ROW('Production Matrix'!#REF!))</f>
        <v>#REF!</v>
      </c>
      <c r="D368" s="11" t="str">
        <f>IFERROR(_xlfn.AGGREGATE(15,6,$C$3:$C$53,ROW('Production Matrix'!#REF!)),"")</f>
        <v/>
      </c>
      <c r="E368" s="11" t="str">
        <f t="shared" si="12"/>
        <v/>
      </c>
      <c r="F368" s="12">
        <f>IFERROR(INDEX('Production Matrix'!$B:$B,E368,0),0)</f>
        <v>0</v>
      </c>
    </row>
    <row r="369" spans="1:6">
      <c r="A369" s="1">
        <v>367</v>
      </c>
      <c r="B369">
        <f t="shared" si="11"/>
        <v>1101</v>
      </c>
      <c r="C369" s="11" t="e">
        <f>IF(1*('Production Matrix'!A:A="تكلفة انتاج الوحدة")*ROW('Production Matrix'!#REF!)=0,1/0,1*('Production Matrix'!A:A="تكلفة انتاج الوحدة")*ROW('Production Matrix'!#REF!))</f>
        <v>#REF!</v>
      </c>
      <c r="D369" s="11" t="str">
        <f>IFERROR(_xlfn.AGGREGATE(15,6,$C$3:$C$53,ROW('Production Matrix'!#REF!)),"")</f>
        <v/>
      </c>
      <c r="E369" s="11" t="str">
        <f t="shared" si="12"/>
        <v/>
      </c>
      <c r="F369" s="12">
        <f>IFERROR(INDEX('Production Matrix'!$B:$B,E369,0),0)</f>
        <v>0</v>
      </c>
    </row>
    <row r="370" spans="1:6">
      <c r="A370" s="1">
        <v>368</v>
      </c>
      <c r="B370">
        <f t="shared" si="11"/>
        <v>1104</v>
      </c>
      <c r="C370" s="11" t="e">
        <f>IF(1*('Production Matrix'!A:A="تكلفة انتاج الوحدة")*ROW('Production Matrix'!#REF!)=0,1/0,1*('Production Matrix'!A:A="تكلفة انتاج الوحدة")*ROW('Production Matrix'!#REF!))</f>
        <v>#REF!</v>
      </c>
      <c r="D370" s="11" t="str">
        <f>IFERROR(_xlfn.AGGREGATE(15,6,$C$3:$C$53,ROW('Production Matrix'!#REF!)),"")</f>
        <v/>
      </c>
      <c r="E370" s="11" t="str">
        <f t="shared" si="12"/>
        <v/>
      </c>
      <c r="F370" s="12">
        <f>IFERROR(INDEX('Production Matrix'!$B:$B,E370,0),0)</f>
        <v>0</v>
      </c>
    </row>
    <row r="371" spans="1:6">
      <c r="A371" s="1">
        <v>369</v>
      </c>
      <c r="B371">
        <f t="shared" si="11"/>
        <v>1107</v>
      </c>
      <c r="C371" s="11" t="e">
        <f>IF(1*('Production Matrix'!A:A="تكلفة انتاج الوحدة")*ROW('Production Matrix'!#REF!)=0,1/0,1*('Production Matrix'!A:A="تكلفة انتاج الوحدة")*ROW('Production Matrix'!#REF!))</f>
        <v>#REF!</v>
      </c>
      <c r="D371" s="11" t="str">
        <f>IFERROR(_xlfn.AGGREGATE(15,6,$C$3:$C$53,ROW('Production Matrix'!#REF!)),"")</f>
        <v/>
      </c>
      <c r="E371" s="11" t="str">
        <f t="shared" si="12"/>
        <v/>
      </c>
      <c r="F371" s="12">
        <f>IFERROR(INDEX('Production Matrix'!$B:$B,E371,0),0)</f>
        <v>0</v>
      </c>
    </row>
    <row r="372" spans="1:6">
      <c r="A372" s="1">
        <v>370</v>
      </c>
      <c r="B372">
        <f t="shared" si="11"/>
        <v>1110</v>
      </c>
      <c r="C372" s="11" t="e">
        <f>IF(1*('Production Matrix'!A:A="تكلفة انتاج الوحدة")*ROW('Production Matrix'!#REF!)=0,1/0,1*('Production Matrix'!A:A="تكلفة انتاج الوحدة")*ROW('Production Matrix'!#REF!))</f>
        <v>#REF!</v>
      </c>
      <c r="D372" s="11" t="str">
        <f>IFERROR(_xlfn.AGGREGATE(15,6,$C$3:$C$53,ROW('Production Matrix'!#REF!)),"")</f>
        <v/>
      </c>
      <c r="E372" s="11" t="str">
        <f t="shared" si="12"/>
        <v/>
      </c>
      <c r="F372" s="12">
        <f>IFERROR(INDEX('Production Matrix'!$B:$B,E372,0),0)</f>
        <v>0</v>
      </c>
    </row>
    <row r="373" spans="1:6">
      <c r="A373" s="1">
        <v>371</v>
      </c>
      <c r="B373">
        <f t="shared" si="11"/>
        <v>1113</v>
      </c>
      <c r="C373" s="11" t="e">
        <f>IF(1*('Production Matrix'!A:A="تكلفة انتاج الوحدة")*ROW('Production Matrix'!#REF!)=0,1/0,1*('Production Matrix'!A:A="تكلفة انتاج الوحدة")*ROW('Production Matrix'!#REF!))</f>
        <v>#REF!</v>
      </c>
      <c r="D373" s="11" t="str">
        <f>IFERROR(_xlfn.AGGREGATE(15,6,$C$3:$C$53,ROW('Production Matrix'!#REF!)),"")</f>
        <v/>
      </c>
      <c r="E373" s="11" t="str">
        <f t="shared" si="12"/>
        <v/>
      </c>
      <c r="F373" s="12">
        <f>IFERROR(INDEX('Production Matrix'!$B:$B,E373,0),0)</f>
        <v>0</v>
      </c>
    </row>
    <row r="374" spans="1:6">
      <c r="A374" s="1">
        <v>372</v>
      </c>
      <c r="B374">
        <f t="shared" si="11"/>
        <v>1116</v>
      </c>
      <c r="C374" s="11" t="e">
        <f>IF(1*('Production Matrix'!A:A="تكلفة انتاج الوحدة")*ROW('Production Matrix'!#REF!)=0,1/0,1*('Production Matrix'!A:A="تكلفة انتاج الوحدة")*ROW('Production Matrix'!#REF!))</f>
        <v>#REF!</v>
      </c>
      <c r="D374" s="11" t="str">
        <f>IFERROR(_xlfn.AGGREGATE(15,6,$C$3:$C$53,ROW('Production Matrix'!#REF!)),"")</f>
        <v/>
      </c>
      <c r="E374" s="11" t="str">
        <f t="shared" si="12"/>
        <v/>
      </c>
      <c r="F374" s="12">
        <f>IFERROR(INDEX('Production Matrix'!$B:$B,E374,0),0)</f>
        <v>0</v>
      </c>
    </row>
    <row r="375" spans="1:6">
      <c r="A375" s="1">
        <v>373</v>
      </c>
      <c r="B375">
        <f t="shared" si="11"/>
        <v>1119</v>
      </c>
      <c r="C375" s="11" t="e">
        <f>IF(1*('Production Matrix'!A:A="تكلفة انتاج الوحدة")*ROW('Production Matrix'!#REF!)=0,1/0,1*('Production Matrix'!A:A="تكلفة انتاج الوحدة")*ROW('Production Matrix'!#REF!))</f>
        <v>#REF!</v>
      </c>
      <c r="D375" s="11" t="str">
        <f>IFERROR(_xlfn.AGGREGATE(15,6,$C$3:$C$53,ROW('Production Matrix'!#REF!)),"")</f>
        <v/>
      </c>
      <c r="E375" s="11" t="str">
        <f t="shared" si="12"/>
        <v/>
      </c>
      <c r="F375" s="12">
        <f>IFERROR(INDEX('Production Matrix'!$B:$B,E375,0),0)</f>
        <v>0</v>
      </c>
    </row>
    <row r="376" spans="1:6">
      <c r="A376" s="1">
        <v>374</v>
      </c>
      <c r="B376">
        <f t="shared" si="11"/>
        <v>1122</v>
      </c>
      <c r="C376" s="11" t="e">
        <f>IF(1*('Production Matrix'!A:A="تكلفة انتاج الوحدة")*ROW('Production Matrix'!#REF!)=0,1/0,1*('Production Matrix'!A:A="تكلفة انتاج الوحدة")*ROW('Production Matrix'!#REF!))</f>
        <v>#REF!</v>
      </c>
      <c r="D376" s="11" t="str">
        <f>IFERROR(_xlfn.AGGREGATE(15,6,$C$3:$C$53,ROW('Production Matrix'!#REF!)),"")</f>
        <v/>
      </c>
      <c r="E376" s="11" t="str">
        <f t="shared" si="12"/>
        <v/>
      </c>
      <c r="F376" s="12">
        <f>IFERROR(INDEX('Production Matrix'!$B:$B,E376,0),0)</f>
        <v>0</v>
      </c>
    </row>
    <row r="377" spans="1:6">
      <c r="A377" s="1">
        <v>375</v>
      </c>
      <c r="B377">
        <f t="shared" si="11"/>
        <v>1125</v>
      </c>
      <c r="C377" s="11" t="e">
        <f>IF(1*('Production Matrix'!A:A="تكلفة انتاج الوحدة")*ROW('Production Matrix'!#REF!)=0,1/0,1*('Production Matrix'!A:A="تكلفة انتاج الوحدة")*ROW('Production Matrix'!#REF!))</f>
        <v>#REF!</v>
      </c>
      <c r="D377" s="11" t="str">
        <f>IFERROR(_xlfn.AGGREGATE(15,6,$C$3:$C$53,ROW('Production Matrix'!#REF!)),"")</f>
        <v/>
      </c>
      <c r="E377" s="11" t="str">
        <f t="shared" si="12"/>
        <v/>
      </c>
      <c r="F377" s="12">
        <f>IFERROR(INDEX('Production Matrix'!$B:$B,E377,0),0)</f>
        <v>0</v>
      </c>
    </row>
    <row r="378" spans="1:6">
      <c r="A378" s="1">
        <v>376</v>
      </c>
      <c r="B378">
        <f t="shared" si="11"/>
        <v>1128</v>
      </c>
      <c r="C378" s="11" t="e">
        <f>IF(1*('Production Matrix'!A:A="تكلفة انتاج الوحدة")*ROW('Production Matrix'!#REF!)=0,1/0,1*('Production Matrix'!A:A="تكلفة انتاج الوحدة")*ROW('Production Matrix'!#REF!))</f>
        <v>#REF!</v>
      </c>
      <c r="D378" s="11" t="str">
        <f>IFERROR(_xlfn.AGGREGATE(15,6,$C$3:$C$53,ROW('Production Matrix'!#REF!)),"")</f>
        <v/>
      </c>
      <c r="E378" s="11" t="str">
        <f t="shared" si="12"/>
        <v/>
      </c>
      <c r="F378" s="12">
        <f>IFERROR(INDEX('Production Matrix'!$B:$B,E378,0),0)</f>
        <v>0</v>
      </c>
    </row>
    <row r="379" spans="1:6">
      <c r="A379" s="1">
        <v>377</v>
      </c>
      <c r="B379">
        <f t="shared" si="11"/>
        <v>1131</v>
      </c>
      <c r="C379" s="11" t="e">
        <f>IF(1*('Production Matrix'!A:A="تكلفة انتاج الوحدة")*ROW('Production Matrix'!#REF!)=0,1/0,1*('Production Matrix'!A:A="تكلفة انتاج الوحدة")*ROW('Production Matrix'!#REF!))</f>
        <v>#REF!</v>
      </c>
      <c r="D379" s="11" t="str">
        <f>IFERROR(_xlfn.AGGREGATE(15,6,$C$3:$C$53,ROW('Production Matrix'!#REF!)),"")</f>
        <v/>
      </c>
      <c r="E379" s="11" t="str">
        <f t="shared" si="12"/>
        <v/>
      </c>
      <c r="F379" s="12">
        <f>IFERROR(INDEX('Production Matrix'!$B:$B,E379,0),0)</f>
        <v>0</v>
      </c>
    </row>
    <row r="380" spans="1:6">
      <c r="A380" s="1">
        <v>378</v>
      </c>
      <c r="B380">
        <f t="shared" si="11"/>
        <v>1134</v>
      </c>
      <c r="C380" s="11" t="e">
        <f>IF(1*('Production Matrix'!A:A="تكلفة انتاج الوحدة")*ROW('Production Matrix'!#REF!)=0,1/0,1*('Production Matrix'!A:A="تكلفة انتاج الوحدة")*ROW('Production Matrix'!#REF!))</f>
        <v>#REF!</v>
      </c>
      <c r="D380" s="11" t="str">
        <f>IFERROR(_xlfn.AGGREGATE(15,6,$C$3:$C$53,ROW('Production Matrix'!#REF!)),"")</f>
        <v/>
      </c>
      <c r="E380" s="11" t="str">
        <f t="shared" si="12"/>
        <v/>
      </c>
      <c r="F380" s="12">
        <f>IFERROR(INDEX('Production Matrix'!$B:$B,E380,0),0)</f>
        <v>0</v>
      </c>
    </row>
    <row r="381" spans="1:6">
      <c r="A381" s="1">
        <v>379</v>
      </c>
      <c r="B381">
        <f t="shared" si="11"/>
        <v>1137</v>
      </c>
      <c r="C381" s="11" t="e">
        <f>IF(1*('Production Matrix'!A:A="تكلفة انتاج الوحدة")*ROW('Production Matrix'!#REF!)=0,1/0,1*('Production Matrix'!A:A="تكلفة انتاج الوحدة")*ROW('Production Matrix'!#REF!))</f>
        <v>#REF!</v>
      </c>
      <c r="D381" s="11" t="str">
        <f>IFERROR(_xlfn.AGGREGATE(15,6,$C$3:$C$53,ROW('Production Matrix'!#REF!)),"")</f>
        <v/>
      </c>
      <c r="E381" s="11" t="str">
        <f t="shared" si="12"/>
        <v/>
      </c>
      <c r="F381" s="12">
        <f>IFERROR(INDEX('Production Matrix'!$B:$B,E381,0),0)</f>
        <v>0</v>
      </c>
    </row>
    <row r="382" spans="1:6">
      <c r="A382" s="1">
        <v>380</v>
      </c>
      <c r="B382">
        <f t="shared" si="11"/>
        <v>1140</v>
      </c>
      <c r="C382" s="11" t="e">
        <f>IF(1*('Production Matrix'!A:A="تكلفة انتاج الوحدة")*ROW('Production Matrix'!#REF!)=0,1/0,1*('Production Matrix'!A:A="تكلفة انتاج الوحدة")*ROW('Production Matrix'!#REF!))</f>
        <v>#REF!</v>
      </c>
      <c r="D382" s="11" t="str">
        <f>IFERROR(_xlfn.AGGREGATE(15,6,$C$3:$C$53,ROW('Production Matrix'!#REF!)),"")</f>
        <v/>
      </c>
      <c r="E382" s="11" t="str">
        <f t="shared" si="12"/>
        <v/>
      </c>
      <c r="F382" s="12">
        <f>IFERROR(INDEX('Production Matrix'!$B:$B,E382,0),0)</f>
        <v>0</v>
      </c>
    </row>
    <row r="383" spans="1:6">
      <c r="A383" s="1">
        <v>381</v>
      </c>
      <c r="B383">
        <f t="shared" si="11"/>
        <v>1143</v>
      </c>
      <c r="C383" s="11" t="e">
        <f>IF(1*('Production Matrix'!A:A="تكلفة انتاج الوحدة")*ROW('Production Matrix'!#REF!)=0,1/0,1*('Production Matrix'!A:A="تكلفة انتاج الوحدة")*ROW('Production Matrix'!#REF!))</f>
        <v>#REF!</v>
      </c>
      <c r="D383" s="11" t="str">
        <f>IFERROR(_xlfn.AGGREGATE(15,6,$C$3:$C$53,ROW('Production Matrix'!#REF!)),"")</f>
        <v/>
      </c>
      <c r="E383" s="11" t="str">
        <f t="shared" si="12"/>
        <v/>
      </c>
      <c r="F383" s="12">
        <f>IFERROR(INDEX('Production Matrix'!$B:$B,E383,0),0)</f>
        <v>0</v>
      </c>
    </row>
    <row r="384" spans="1:6">
      <c r="A384" s="1">
        <v>382</v>
      </c>
      <c r="B384">
        <f t="shared" si="11"/>
        <v>1146</v>
      </c>
      <c r="C384" s="11" t="e">
        <f>IF(1*('Production Matrix'!A:A="تكلفة انتاج الوحدة")*ROW('Production Matrix'!#REF!)=0,1/0,1*('Production Matrix'!A:A="تكلفة انتاج الوحدة")*ROW('Production Matrix'!#REF!))</f>
        <v>#REF!</v>
      </c>
      <c r="D384" s="11" t="str">
        <f>IFERROR(_xlfn.AGGREGATE(15,6,$C$3:$C$53,ROW('Production Matrix'!#REF!)),"")</f>
        <v/>
      </c>
      <c r="E384" s="11" t="str">
        <f t="shared" si="12"/>
        <v/>
      </c>
      <c r="F384" s="12">
        <f>IFERROR(INDEX('Production Matrix'!$B:$B,E384,0),0)</f>
        <v>0</v>
      </c>
    </row>
    <row r="385" spans="1:6">
      <c r="A385" s="1">
        <v>383</v>
      </c>
      <c r="B385">
        <f t="shared" si="11"/>
        <v>1149</v>
      </c>
      <c r="C385" s="11" t="e">
        <f>IF(1*('Production Matrix'!A:A="تكلفة انتاج الوحدة")*ROW('Production Matrix'!#REF!)=0,1/0,1*('Production Matrix'!A:A="تكلفة انتاج الوحدة")*ROW('Production Matrix'!#REF!))</f>
        <v>#REF!</v>
      </c>
      <c r="D385" s="11" t="str">
        <f>IFERROR(_xlfn.AGGREGATE(15,6,$C$3:$C$53,ROW('Production Matrix'!#REF!)),"")</f>
        <v/>
      </c>
      <c r="E385" s="11" t="str">
        <f t="shared" si="12"/>
        <v/>
      </c>
      <c r="F385" s="12">
        <f>IFERROR(INDEX('Production Matrix'!$B:$B,E385,0),0)</f>
        <v>0</v>
      </c>
    </row>
    <row r="386" spans="1:6">
      <c r="A386" s="1">
        <v>384</v>
      </c>
      <c r="B386">
        <f t="shared" si="11"/>
        <v>1152</v>
      </c>
      <c r="C386" s="11" t="e">
        <f>IF(1*('Production Matrix'!A:A="تكلفة انتاج الوحدة")*ROW('Production Matrix'!#REF!)=0,1/0,1*('Production Matrix'!A:A="تكلفة انتاج الوحدة")*ROW('Production Matrix'!#REF!))</f>
        <v>#REF!</v>
      </c>
      <c r="D386" s="11" t="str">
        <f>IFERROR(_xlfn.AGGREGATE(15,6,$C$3:$C$53,ROW('Production Matrix'!#REF!)),"")</f>
        <v/>
      </c>
      <c r="E386" s="11" t="str">
        <f t="shared" si="12"/>
        <v/>
      </c>
      <c r="F386" s="12">
        <f>IFERROR(INDEX('Production Matrix'!$B:$B,E386,0),0)</f>
        <v>0</v>
      </c>
    </row>
    <row r="387" spans="1:6">
      <c r="A387" s="1">
        <v>385</v>
      </c>
      <c r="B387">
        <f t="shared" si="11"/>
        <v>1155</v>
      </c>
      <c r="C387" s="11" t="e">
        <f>IF(1*('Production Matrix'!A:A="تكلفة انتاج الوحدة")*ROW('Production Matrix'!#REF!)=0,1/0,1*('Production Matrix'!A:A="تكلفة انتاج الوحدة")*ROW('Production Matrix'!#REF!))</f>
        <v>#REF!</v>
      </c>
      <c r="D387" s="11" t="str">
        <f>IFERROR(_xlfn.AGGREGATE(15,6,$C$3:$C$53,ROW('Production Matrix'!#REF!)),"")</f>
        <v/>
      </c>
      <c r="E387" s="11" t="str">
        <f t="shared" si="12"/>
        <v/>
      </c>
      <c r="F387" s="12">
        <f>IFERROR(INDEX('Production Matrix'!$B:$B,E387,0),0)</f>
        <v>0</v>
      </c>
    </row>
    <row r="388" spans="1:6">
      <c r="A388" s="1">
        <v>386</v>
      </c>
      <c r="B388">
        <f t="shared" ref="B388:B451" si="13">A388*3</f>
        <v>1158</v>
      </c>
      <c r="C388" s="11" t="e">
        <f>IF(1*('Production Matrix'!A:A="تكلفة انتاج الوحدة")*ROW('Production Matrix'!#REF!)=0,1/0,1*('Production Matrix'!A:A="تكلفة انتاج الوحدة")*ROW('Production Matrix'!#REF!))</f>
        <v>#REF!</v>
      </c>
      <c r="D388" s="11" t="str">
        <f>IFERROR(_xlfn.AGGREGATE(15,6,$C$3:$C$53,ROW('Production Matrix'!#REF!)),"")</f>
        <v/>
      </c>
      <c r="E388" s="11" t="str">
        <f t="shared" si="12"/>
        <v/>
      </c>
      <c r="F388" s="12">
        <f>IFERROR(INDEX('Production Matrix'!$B:$B,E388,0),0)</f>
        <v>0</v>
      </c>
    </row>
    <row r="389" spans="1:6">
      <c r="A389" s="1">
        <v>387</v>
      </c>
      <c r="B389">
        <f t="shared" si="13"/>
        <v>1161</v>
      </c>
      <c r="C389" s="11" t="e">
        <f>IF(1*('Production Matrix'!A:A="تكلفة انتاج الوحدة")*ROW('Production Matrix'!#REF!)=0,1/0,1*('Production Matrix'!A:A="تكلفة انتاج الوحدة")*ROW('Production Matrix'!#REF!))</f>
        <v>#REF!</v>
      </c>
      <c r="D389" s="11" t="str">
        <f>IFERROR(_xlfn.AGGREGATE(15,6,$C$3:$C$53,ROW('Production Matrix'!#REF!)),"")</f>
        <v/>
      </c>
      <c r="E389" s="11" t="str">
        <f t="shared" si="12"/>
        <v/>
      </c>
      <c r="F389" s="12">
        <f>IFERROR(INDEX('Production Matrix'!$B:$B,E389,0),0)</f>
        <v>0</v>
      </c>
    </row>
    <row r="390" spans="1:6">
      <c r="A390" s="1">
        <v>388</v>
      </c>
      <c r="B390">
        <f t="shared" si="13"/>
        <v>1164</v>
      </c>
      <c r="C390" s="11" t="e">
        <f>IF(1*('Production Matrix'!A:A="تكلفة انتاج الوحدة")*ROW('Production Matrix'!#REF!)=0,1/0,1*('Production Matrix'!A:A="تكلفة انتاج الوحدة")*ROW('Production Matrix'!#REF!))</f>
        <v>#REF!</v>
      </c>
      <c r="D390" s="11" t="str">
        <f>IFERROR(_xlfn.AGGREGATE(15,6,$C$3:$C$53,ROW('Production Matrix'!#REF!)),"")</f>
        <v/>
      </c>
      <c r="E390" s="11" t="str">
        <f t="shared" si="12"/>
        <v/>
      </c>
      <c r="F390" s="12">
        <f>IFERROR(INDEX('Production Matrix'!$B:$B,E390,0),0)</f>
        <v>0</v>
      </c>
    </row>
    <row r="391" spans="1:6">
      <c r="A391" s="1">
        <v>389</v>
      </c>
      <c r="B391">
        <f t="shared" si="13"/>
        <v>1167</v>
      </c>
      <c r="C391" s="11" t="e">
        <f>IF(1*('Production Matrix'!A:A="تكلفة انتاج الوحدة")*ROW('Production Matrix'!#REF!)=0,1/0,1*('Production Matrix'!A:A="تكلفة انتاج الوحدة")*ROW('Production Matrix'!#REF!))</f>
        <v>#REF!</v>
      </c>
      <c r="D391" s="11" t="str">
        <f>IFERROR(_xlfn.AGGREGATE(15,6,$C$3:$C$53,ROW('Production Matrix'!#REF!)),"")</f>
        <v/>
      </c>
      <c r="E391" s="11" t="str">
        <f t="shared" ref="E391:E454" si="14">IFERROR(D391+3,"")</f>
        <v/>
      </c>
      <c r="F391" s="12">
        <f>IFERROR(INDEX('Production Matrix'!$B:$B,E391,0),0)</f>
        <v>0</v>
      </c>
    </row>
    <row r="392" spans="1:6">
      <c r="A392" s="1">
        <v>390</v>
      </c>
      <c r="B392">
        <f t="shared" si="13"/>
        <v>1170</v>
      </c>
      <c r="C392" s="11" t="e">
        <f>IF(1*('Production Matrix'!A:A="تكلفة انتاج الوحدة")*ROW('Production Matrix'!#REF!)=0,1/0,1*('Production Matrix'!A:A="تكلفة انتاج الوحدة")*ROW('Production Matrix'!#REF!))</f>
        <v>#REF!</v>
      </c>
      <c r="D392" s="11" t="str">
        <f>IFERROR(_xlfn.AGGREGATE(15,6,$C$3:$C$53,ROW('Production Matrix'!#REF!)),"")</f>
        <v/>
      </c>
      <c r="E392" s="11" t="str">
        <f t="shared" si="14"/>
        <v/>
      </c>
      <c r="F392" s="12">
        <f>IFERROR(INDEX('Production Matrix'!$B:$B,E392,0),0)</f>
        <v>0</v>
      </c>
    </row>
    <row r="393" spans="1:6">
      <c r="A393" s="1">
        <v>391</v>
      </c>
      <c r="B393">
        <f t="shared" si="13"/>
        <v>1173</v>
      </c>
      <c r="C393" s="11" t="e">
        <f>IF(1*('Production Matrix'!A:A="تكلفة انتاج الوحدة")*ROW('Production Matrix'!#REF!)=0,1/0,1*('Production Matrix'!A:A="تكلفة انتاج الوحدة")*ROW('Production Matrix'!#REF!))</f>
        <v>#REF!</v>
      </c>
      <c r="D393" s="11" t="str">
        <f>IFERROR(_xlfn.AGGREGATE(15,6,$C$3:$C$53,ROW('Production Matrix'!#REF!)),"")</f>
        <v/>
      </c>
      <c r="E393" s="11" t="str">
        <f t="shared" si="14"/>
        <v/>
      </c>
      <c r="F393" s="12">
        <f>IFERROR(INDEX('Production Matrix'!$B:$B,E393,0),0)</f>
        <v>0</v>
      </c>
    </row>
    <row r="394" spans="1:6">
      <c r="A394" s="1">
        <v>392</v>
      </c>
      <c r="B394">
        <f t="shared" si="13"/>
        <v>1176</v>
      </c>
      <c r="C394" s="11" t="e">
        <f>IF(1*('Production Matrix'!A:A="تكلفة انتاج الوحدة")*ROW('Production Matrix'!#REF!)=0,1/0,1*('Production Matrix'!A:A="تكلفة انتاج الوحدة")*ROW('Production Matrix'!#REF!))</f>
        <v>#REF!</v>
      </c>
      <c r="D394" s="11" t="str">
        <f>IFERROR(_xlfn.AGGREGATE(15,6,$C$3:$C$53,ROW('Production Matrix'!#REF!)),"")</f>
        <v/>
      </c>
      <c r="E394" s="11" t="str">
        <f t="shared" si="14"/>
        <v/>
      </c>
      <c r="F394" s="12">
        <f>IFERROR(INDEX('Production Matrix'!$B:$B,E394,0),0)</f>
        <v>0</v>
      </c>
    </row>
    <row r="395" spans="1:6">
      <c r="A395" s="1">
        <v>393</v>
      </c>
      <c r="B395">
        <f t="shared" si="13"/>
        <v>1179</v>
      </c>
      <c r="C395" s="11" t="e">
        <f>IF(1*('Production Matrix'!A:A="تكلفة انتاج الوحدة")*ROW('Production Matrix'!#REF!)=0,1/0,1*('Production Matrix'!A:A="تكلفة انتاج الوحدة")*ROW('Production Matrix'!#REF!))</f>
        <v>#REF!</v>
      </c>
      <c r="D395" s="11" t="str">
        <f>IFERROR(_xlfn.AGGREGATE(15,6,$C$3:$C$53,ROW('Production Matrix'!#REF!)),"")</f>
        <v/>
      </c>
      <c r="E395" s="11" t="str">
        <f t="shared" si="14"/>
        <v/>
      </c>
      <c r="F395" s="12">
        <f>IFERROR(INDEX('Production Matrix'!$B:$B,E395,0),0)</f>
        <v>0</v>
      </c>
    </row>
    <row r="396" spans="1:6">
      <c r="A396" s="1">
        <v>394</v>
      </c>
      <c r="B396">
        <f t="shared" si="13"/>
        <v>1182</v>
      </c>
      <c r="C396" s="11" t="e">
        <f>IF(1*('Production Matrix'!A:A="تكلفة انتاج الوحدة")*ROW('Production Matrix'!#REF!)=0,1/0,1*('Production Matrix'!A:A="تكلفة انتاج الوحدة")*ROW('Production Matrix'!#REF!))</f>
        <v>#REF!</v>
      </c>
      <c r="D396" s="11" t="str">
        <f>IFERROR(_xlfn.AGGREGATE(15,6,$C$3:$C$53,ROW('Production Matrix'!#REF!)),"")</f>
        <v/>
      </c>
      <c r="E396" s="11" t="str">
        <f t="shared" si="14"/>
        <v/>
      </c>
      <c r="F396" s="12">
        <f>IFERROR(INDEX('Production Matrix'!$B:$B,E396,0),0)</f>
        <v>0</v>
      </c>
    </row>
    <row r="397" spans="1:6">
      <c r="A397" s="1">
        <v>395</v>
      </c>
      <c r="B397">
        <f t="shared" si="13"/>
        <v>1185</v>
      </c>
      <c r="C397" s="11" t="e">
        <f>IF(1*('Production Matrix'!A:A="تكلفة انتاج الوحدة")*ROW('Production Matrix'!#REF!)=0,1/0,1*('Production Matrix'!A:A="تكلفة انتاج الوحدة")*ROW('Production Matrix'!#REF!))</f>
        <v>#REF!</v>
      </c>
      <c r="D397" s="11" t="str">
        <f>IFERROR(_xlfn.AGGREGATE(15,6,$C$3:$C$53,ROW('Production Matrix'!#REF!)),"")</f>
        <v/>
      </c>
      <c r="E397" s="11" t="str">
        <f t="shared" si="14"/>
        <v/>
      </c>
      <c r="F397" s="12">
        <f>IFERROR(INDEX('Production Matrix'!$B:$B,E397,0),0)</f>
        <v>0</v>
      </c>
    </row>
    <row r="398" spans="1:6">
      <c r="A398" s="1">
        <v>396</v>
      </c>
      <c r="B398">
        <f t="shared" si="13"/>
        <v>1188</v>
      </c>
      <c r="C398" s="11" t="e">
        <f>IF(1*('Production Matrix'!A:A="تكلفة انتاج الوحدة")*ROW('Production Matrix'!#REF!)=0,1/0,1*('Production Matrix'!A:A="تكلفة انتاج الوحدة")*ROW('Production Matrix'!#REF!))</f>
        <v>#REF!</v>
      </c>
      <c r="D398" s="11" t="str">
        <f>IFERROR(_xlfn.AGGREGATE(15,6,$C$3:$C$53,ROW('Production Matrix'!#REF!)),"")</f>
        <v/>
      </c>
      <c r="E398" s="11" t="str">
        <f t="shared" si="14"/>
        <v/>
      </c>
      <c r="F398" s="12">
        <f>IFERROR(INDEX('Production Matrix'!$B:$B,E398,0),0)</f>
        <v>0</v>
      </c>
    </row>
    <row r="399" spans="1:6">
      <c r="A399" s="1">
        <v>397</v>
      </c>
      <c r="B399">
        <f t="shared" si="13"/>
        <v>1191</v>
      </c>
      <c r="C399" s="11" t="e">
        <f>IF(1*('Production Matrix'!A:A="تكلفة انتاج الوحدة")*ROW('Production Matrix'!#REF!)=0,1/0,1*('Production Matrix'!A:A="تكلفة انتاج الوحدة")*ROW('Production Matrix'!#REF!))</f>
        <v>#REF!</v>
      </c>
      <c r="D399" s="11" t="str">
        <f>IFERROR(_xlfn.AGGREGATE(15,6,$C$3:$C$53,ROW('Production Matrix'!#REF!)),"")</f>
        <v/>
      </c>
      <c r="E399" s="11" t="str">
        <f t="shared" si="14"/>
        <v/>
      </c>
      <c r="F399" s="12">
        <f>IFERROR(INDEX('Production Matrix'!$B:$B,E399,0),0)</f>
        <v>0</v>
      </c>
    </row>
    <row r="400" spans="1:6">
      <c r="A400" s="1">
        <v>398</v>
      </c>
      <c r="B400">
        <f t="shared" si="13"/>
        <v>1194</v>
      </c>
      <c r="C400" s="11" t="e">
        <f>IF(1*('Production Matrix'!A:A="تكلفة انتاج الوحدة")*ROW('Production Matrix'!#REF!)=0,1/0,1*('Production Matrix'!A:A="تكلفة انتاج الوحدة")*ROW('Production Matrix'!#REF!))</f>
        <v>#REF!</v>
      </c>
      <c r="D400" s="11" t="str">
        <f>IFERROR(_xlfn.AGGREGATE(15,6,$C$3:$C$53,ROW('Production Matrix'!#REF!)),"")</f>
        <v/>
      </c>
      <c r="E400" s="11" t="str">
        <f t="shared" si="14"/>
        <v/>
      </c>
      <c r="F400" s="12">
        <f>IFERROR(INDEX('Production Matrix'!$B:$B,E400,0),0)</f>
        <v>0</v>
      </c>
    </row>
    <row r="401" spans="1:6">
      <c r="A401" s="1">
        <v>399</v>
      </c>
      <c r="B401">
        <f t="shared" si="13"/>
        <v>1197</v>
      </c>
      <c r="C401" s="11" t="e">
        <f>IF(1*('Production Matrix'!A:A="تكلفة انتاج الوحدة")*ROW('Production Matrix'!#REF!)=0,1/0,1*('Production Matrix'!A:A="تكلفة انتاج الوحدة")*ROW('Production Matrix'!#REF!))</f>
        <v>#REF!</v>
      </c>
      <c r="D401" s="11" t="str">
        <f>IFERROR(_xlfn.AGGREGATE(15,6,$C$3:$C$53,ROW('Production Matrix'!#REF!)),"")</f>
        <v/>
      </c>
      <c r="E401" s="11" t="str">
        <f t="shared" si="14"/>
        <v/>
      </c>
      <c r="F401" s="12">
        <f>IFERROR(INDEX('Production Matrix'!$B:$B,E401,0),0)</f>
        <v>0</v>
      </c>
    </row>
    <row r="402" spans="1:6">
      <c r="A402" s="1">
        <v>400</v>
      </c>
      <c r="B402">
        <f t="shared" si="13"/>
        <v>1200</v>
      </c>
      <c r="C402" s="11" t="e">
        <f>IF(1*('Production Matrix'!A:A="تكلفة انتاج الوحدة")*ROW('Production Matrix'!#REF!)=0,1/0,1*('Production Matrix'!A:A="تكلفة انتاج الوحدة")*ROW('Production Matrix'!#REF!))</f>
        <v>#REF!</v>
      </c>
      <c r="D402" s="11" t="str">
        <f>IFERROR(_xlfn.AGGREGATE(15,6,$C$3:$C$53,ROW('Production Matrix'!#REF!)),"")</f>
        <v/>
      </c>
      <c r="E402" s="11" t="str">
        <f t="shared" si="14"/>
        <v/>
      </c>
      <c r="F402" s="12">
        <f>IFERROR(INDEX('Production Matrix'!$B:$B,E402,0),0)</f>
        <v>0</v>
      </c>
    </row>
    <row r="403" spans="1:6">
      <c r="A403" s="1">
        <v>401</v>
      </c>
      <c r="B403">
        <f t="shared" si="13"/>
        <v>1203</v>
      </c>
      <c r="C403" s="11" t="e">
        <f>IF(1*('Production Matrix'!A:A="تكلفة انتاج الوحدة")*ROW('Production Matrix'!#REF!)=0,1/0,1*('Production Matrix'!A:A="تكلفة انتاج الوحدة")*ROW('Production Matrix'!#REF!))</f>
        <v>#REF!</v>
      </c>
      <c r="D403" s="11" t="str">
        <f>IFERROR(_xlfn.AGGREGATE(15,6,$C$3:$C$53,ROW('Production Matrix'!#REF!)),"")</f>
        <v/>
      </c>
      <c r="E403" s="11" t="str">
        <f t="shared" si="14"/>
        <v/>
      </c>
      <c r="F403" s="12">
        <f>IFERROR(INDEX('Production Matrix'!$B:$B,E403,0),0)</f>
        <v>0</v>
      </c>
    </row>
    <row r="404" spans="1:6">
      <c r="A404" s="1">
        <v>402</v>
      </c>
      <c r="B404">
        <f t="shared" si="13"/>
        <v>1206</v>
      </c>
      <c r="C404" s="11" t="e">
        <f>IF(1*('Production Matrix'!A:A="تكلفة انتاج الوحدة")*ROW('Production Matrix'!#REF!)=0,1/0,1*('Production Matrix'!A:A="تكلفة انتاج الوحدة")*ROW('Production Matrix'!#REF!))</f>
        <v>#REF!</v>
      </c>
      <c r="D404" s="11" t="str">
        <f>IFERROR(_xlfn.AGGREGATE(15,6,$C$3:$C$53,ROW('Production Matrix'!#REF!)),"")</f>
        <v/>
      </c>
      <c r="E404" s="11" t="str">
        <f t="shared" si="14"/>
        <v/>
      </c>
      <c r="F404" s="12">
        <f>IFERROR(INDEX('Production Matrix'!$B:$B,E404,0),0)</f>
        <v>0</v>
      </c>
    </row>
    <row r="405" spans="1:6">
      <c r="A405" s="1">
        <v>403</v>
      </c>
      <c r="B405">
        <f t="shared" si="13"/>
        <v>1209</v>
      </c>
      <c r="C405" s="11" t="e">
        <f>IF(1*('Production Matrix'!A:A="تكلفة انتاج الوحدة")*ROW('Production Matrix'!#REF!)=0,1/0,1*('Production Matrix'!A:A="تكلفة انتاج الوحدة")*ROW('Production Matrix'!#REF!))</f>
        <v>#REF!</v>
      </c>
      <c r="D405" s="11" t="str">
        <f>IFERROR(_xlfn.AGGREGATE(15,6,$C$3:$C$53,ROW('Production Matrix'!#REF!)),"")</f>
        <v/>
      </c>
      <c r="E405" s="11" t="str">
        <f t="shared" si="14"/>
        <v/>
      </c>
      <c r="F405" s="12">
        <f>IFERROR(INDEX('Production Matrix'!$B:$B,E405,0),0)</f>
        <v>0</v>
      </c>
    </row>
    <row r="406" spans="1:6">
      <c r="A406" s="1">
        <v>404</v>
      </c>
      <c r="B406">
        <f t="shared" si="13"/>
        <v>1212</v>
      </c>
      <c r="C406" s="11" t="e">
        <f>IF(1*('Production Matrix'!A:A="تكلفة انتاج الوحدة")*ROW('Production Matrix'!#REF!)=0,1/0,1*('Production Matrix'!A:A="تكلفة انتاج الوحدة")*ROW('Production Matrix'!#REF!))</f>
        <v>#REF!</v>
      </c>
      <c r="D406" s="11" t="str">
        <f>IFERROR(_xlfn.AGGREGATE(15,6,$C$3:$C$53,ROW('Production Matrix'!#REF!)),"")</f>
        <v/>
      </c>
      <c r="E406" s="11" t="str">
        <f t="shared" si="14"/>
        <v/>
      </c>
      <c r="F406" s="12">
        <f>IFERROR(INDEX('Production Matrix'!$B:$B,E406,0),0)</f>
        <v>0</v>
      </c>
    </row>
    <row r="407" spans="1:6">
      <c r="A407" s="1">
        <v>405</v>
      </c>
      <c r="B407">
        <f t="shared" si="13"/>
        <v>1215</v>
      </c>
      <c r="C407" s="11" t="e">
        <f>IF(1*('Production Matrix'!A:A="تكلفة انتاج الوحدة")*ROW('Production Matrix'!#REF!)=0,1/0,1*('Production Matrix'!A:A="تكلفة انتاج الوحدة")*ROW('Production Matrix'!#REF!))</f>
        <v>#REF!</v>
      </c>
      <c r="D407" s="11" t="str">
        <f>IFERROR(_xlfn.AGGREGATE(15,6,$C$3:$C$53,ROW('Production Matrix'!#REF!)),"")</f>
        <v/>
      </c>
      <c r="E407" s="11" t="str">
        <f t="shared" si="14"/>
        <v/>
      </c>
      <c r="F407" s="12">
        <f>IFERROR(INDEX('Production Matrix'!$B:$B,E407,0),0)</f>
        <v>0</v>
      </c>
    </row>
    <row r="408" spans="1:6">
      <c r="A408" s="1">
        <v>406</v>
      </c>
      <c r="B408">
        <f t="shared" si="13"/>
        <v>1218</v>
      </c>
      <c r="C408" s="11" t="e">
        <f>IF(1*('Production Matrix'!A:A="تكلفة انتاج الوحدة")*ROW('Production Matrix'!#REF!)=0,1/0,1*('Production Matrix'!A:A="تكلفة انتاج الوحدة")*ROW('Production Matrix'!#REF!))</f>
        <v>#REF!</v>
      </c>
      <c r="D408" s="11" t="str">
        <f>IFERROR(_xlfn.AGGREGATE(15,6,$C$3:$C$53,ROW('Production Matrix'!#REF!)),"")</f>
        <v/>
      </c>
      <c r="E408" s="11" t="str">
        <f t="shared" si="14"/>
        <v/>
      </c>
      <c r="F408" s="12">
        <f>IFERROR(INDEX('Production Matrix'!$B:$B,E408,0),0)</f>
        <v>0</v>
      </c>
    </row>
    <row r="409" spans="1:6">
      <c r="A409" s="1">
        <v>407</v>
      </c>
      <c r="B409">
        <f t="shared" si="13"/>
        <v>1221</v>
      </c>
      <c r="C409" s="11" t="e">
        <f>IF(1*('Production Matrix'!A:A="تكلفة انتاج الوحدة")*ROW('Production Matrix'!#REF!)=0,1/0,1*('Production Matrix'!A:A="تكلفة انتاج الوحدة")*ROW('Production Matrix'!#REF!))</f>
        <v>#REF!</v>
      </c>
      <c r="D409" s="11" t="str">
        <f>IFERROR(_xlfn.AGGREGATE(15,6,$C$3:$C$53,ROW('Production Matrix'!#REF!)),"")</f>
        <v/>
      </c>
      <c r="E409" s="11" t="str">
        <f t="shared" si="14"/>
        <v/>
      </c>
      <c r="F409" s="12">
        <f>IFERROR(INDEX('Production Matrix'!$B:$B,E409,0),0)</f>
        <v>0</v>
      </c>
    </row>
    <row r="410" spans="1:6">
      <c r="A410" s="1">
        <v>408</v>
      </c>
      <c r="B410">
        <f t="shared" si="13"/>
        <v>1224</v>
      </c>
      <c r="C410" s="11" t="e">
        <f>IF(1*('Production Matrix'!A:A="تكلفة انتاج الوحدة")*ROW('Production Matrix'!#REF!)=0,1/0,1*('Production Matrix'!A:A="تكلفة انتاج الوحدة")*ROW('Production Matrix'!#REF!))</f>
        <v>#REF!</v>
      </c>
      <c r="D410" s="11" t="str">
        <f>IFERROR(_xlfn.AGGREGATE(15,6,$C$3:$C$53,ROW('Production Matrix'!#REF!)),"")</f>
        <v/>
      </c>
      <c r="E410" s="11" t="str">
        <f t="shared" si="14"/>
        <v/>
      </c>
      <c r="F410" s="12">
        <f>IFERROR(INDEX('Production Matrix'!$B:$B,E410,0),0)</f>
        <v>0</v>
      </c>
    </row>
    <row r="411" spans="1:6">
      <c r="A411" s="1">
        <v>409</v>
      </c>
      <c r="B411">
        <f t="shared" si="13"/>
        <v>1227</v>
      </c>
      <c r="C411" s="11" t="e">
        <f>IF(1*('Production Matrix'!A:A="تكلفة انتاج الوحدة")*ROW('Production Matrix'!#REF!)=0,1/0,1*('Production Matrix'!A:A="تكلفة انتاج الوحدة")*ROW('Production Matrix'!#REF!))</f>
        <v>#REF!</v>
      </c>
      <c r="D411" s="11" t="str">
        <f>IFERROR(_xlfn.AGGREGATE(15,6,$C$3:$C$53,ROW('Production Matrix'!#REF!)),"")</f>
        <v/>
      </c>
      <c r="E411" s="11" t="str">
        <f t="shared" si="14"/>
        <v/>
      </c>
      <c r="F411" s="12">
        <f>IFERROR(INDEX('Production Matrix'!$B:$B,E411,0),0)</f>
        <v>0</v>
      </c>
    </row>
    <row r="412" spans="1:6">
      <c r="A412" s="1">
        <v>410</v>
      </c>
      <c r="B412">
        <f t="shared" si="13"/>
        <v>1230</v>
      </c>
      <c r="C412" s="11" t="e">
        <f>IF(1*('Production Matrix'!A:A="تكلفة انتاج الوحدة")*ROW('Production Matrix'!#REF!)=0,1/0,1*('Production Matrix'!A:A="تكلفة انتاج الوحدة")*ROW('Production Matrix'!#REF!))</f>
        <v>#REF!</v>
      </c>
      <c r="D412" s="11" t="str">
        <f>IFERROR(_xlfn.AGGREGATE(15,6,$C$3:$C$53,ROW('Production Matrix'!#REF!)),"")</f>
        <v/>
      </c>
      <c r="E412" s="11" t="str">
        <f t="shared" si="14"/>
        <v/>
      </c>
      <c r="F412" s="12">
        <f>IFERROR(INDEX('Production Matrix'!$B:$B,E412,0),0)</f>
        <v>0</v>
      </c>
    </row>
    <row r="413" spans="1:6">
      <c r="A413" s="1">
        <v>411</v>
      </c>
      <c r="B413">
        <f t="shared" si="13"/>
        <v>1233</v>
      </c>
      <c r="C413" s="11" t="e">
        <f>IF(1*('Production Matrix'!A:A="تكلفة انتاج الوحدة")*ROW('Production Matrix'!#REF!)=0,1/0,1*('Production Matrix'!A:A="تكلفة انتاج الوحدة")*ROW('Production Matrix'!#REF!))</f>
        <v>#REF!</v>
      </c>
      <c r="D413" s="11" t="str">
        <f>IFERROR(_xlfn.AGGREGATE(15,6,$C$3:$C$53,ROW('Production Matrix'!#REF!)),"")</f>
        <v/>
      </c>
      <c r="E413" s="11" t="str">
        <f t="shared" si="14"/>
        <v/>
      </c>
      <c r="F413" s="12">
        <f>IFERROR(INDEX('Production Matrix'!$B:$B,E413,0),0)</f>
        <v>0</v>
      </c>
    </row>
    <row r="414" spans="1:6">
      <c r="A414" s="1">
        <v>412</v>
      </c>
      <c r="B414">
        <f t="shared" si="13"/>
        <v>1236</v>
      </c>
      <c r="C414" s="11" t="e">
        <f>IF(1*('Production Matrix'!A:A="تكلفة انتاج الوحدة")*ROW('Production Matrix'!#REF!)=0,1/0,1*('Production Matrix'!A:A="تكلفة انتاج الوحدة")*ROW('Production Matrix'!#REF!))</f>
        <v>#REF!</v>
      </c>
      <c r="D414" s="11" t="str">
        <f>IFERROR(_xlfn.AGGREGATE(15,6,$C$3:$C$53,ROW('Production Matrix'!#REF!)),"")</f>
        <v/>
      </c>
      <c r="E414" s="11" t="str">
        <f t="shared" si="14"/>
        <v/>
      </c>
      <c r="F414" s="12">
        <f>IFERROR(INDEX('Production Matrix'!$B:$B,E414,0),0)</f>
        <v>0</v>
      </c>
    </row>
    <row r="415" spans="1:6">
      <c r="A415" s="1">
        <v>413</v>
      </c>
      <c r="B415">
        <f t="shared" si="13"/>
        <v>1239</v>
      </c>
      <c r="C415" s="11" t="e">
        <f>IF(1*('Production Matrix'!A:A="تكلفة انتاج الوحدة")*ROW('Production Matrix'!#REF!)=0,1/0,1*('Production Matrix'!A:A="تكلفة انتاج الوحدة")*ROW('Production Matrix'!#REF!))</f>
        <v>#REF!</v>
      </c>
      <c r="D415" s="11" t="str">
        <f>IFERROR(_xlfn.AGGREGATE(15,6,$C$3:$C$53,ROW('Production Matrix'!#REF!)),"")</f>
        <v/>
      </c>
      <c r="E415" s="11" t="str">
        <f t="shared" si="14"/>
        <v/>
      </c>
      <c r="F415" s="12">
        <f>IFERROR(INDEX('Production Matrix'!$B:$B,E415,0),0)</f>
        <v>0</v>
      </c>
    </row>
    <row r="416" spans="1:6">
      <c r="A416" s="1">
        <v>414</v>
      </c>
      <c r="B416">
        <f t="shared" si="13"/>
        <v>1242</v>
      </c>
      <c r="C416" s="11" t="e">
        <f>IF(1*('Production Matrix'!A:A="تكلفة انتاج الوحدة")*ROW('Production Matrix'!#REF!)=0,1/0,1*('Production Matrix'!A:A="تكلفة انتاج الوحدة")*ROW('Production Matrix'!#REF!))</f>
        <v>#REF!</v>
      </c>
      <c r="D416" s="11" t="str">
        <f>IFERROR(_xlfn.AGGREGATE(15,6,$C$3:$C$53,ROW('Production Matrix'!#REF!)),"")</f>
        <v/>
      </c>
      <c r="E416" s="11" t="str">
        <f t="shared" si="14"/>
        <v/>
      </c>
      <c r="F416" s="12">
        <f>IFERROR(INDEX('Production Matrix'!$B:$B,E416,0),0)</f>
        <v>0</v>
      </c>
    </row>
    <row r="417" spans="1:6">
      <c r="A417" s="1">
        <v>415</v>
      </c>
      <c r="B417">
        <f t="shared" si="13"/>
        <v>1245</v>
      </c>
      <c r="C417" s="11" t="e">
        <f>IF(1*('Production Matrix'!A:A="تكلفة انتاج الوحدة")*ROW('Production Matrix'!#REF!)=0,1/0,1*('Production Matrix'!A:A="تكلفة انتاج الوحدة")*ROW('Production Matrix'!#REF!))</f>
        <v>#REF!</v>
      </c>
      <c r="D417" s="11" t="str">
        <f>IFERROR(_xlfn.AGGREGATE(15,6,$C$3:$C$53,ROW('Production Matrix'!#REF!)),"")</f>
        <v/>
      </c>
      <c r="E417" s="11" t="str">
        <f t="shared" si="14"/>
        <v/>
      </c>
      <c r="F417" s="12">
        <f>IFERROR(INDEX('Production Matrix'!$B:$B,E417,0),0)</f>
        <v>0</v>
      </c>
    </row>
    <row r="418" spans="1:6">
      <c r="A418" s="1">
        <v>416</v>
      </c>
      <c r="B418">
        <f t="shared" si="13"/>
        <v>1248</v>
      </c>
      <c r="C418" s="11" t="e">
        <f>IF(1*('Production Matrix'!A:A="تكلفة انتاج الوحدة")*ROW('Production Matrix'!#REF!)=0,1/0,1*('Production Matrix'!A:A="تكلفة انتاج الوحدة")*ROW('Production Matrix'!#REF!))</f>
        <v>#REF!</v>
      </c>
      <c r="D418" s="11" t="str">
        <f>IFERROR(_xlfn.AGGREGATE(15,6,$C$3:$C$53,ROW('Production Matrix'!#REF!)),"")</f>
        <v/>
      </c>
      <c r="E418" s="11" t="str">
        <f t="shared" si="14"/>
        <v/>
      </c>
      <c r="F418" s="12">
        <f>IFERROR(INDEX('Production Matrix'!$B:$B,E418,0),0)</f>
        <v>0</v>
      </c>
    </row>
    <row r="419" spans="1:6">
      <c r="A419" s="1">
        <v>417</v>
      </c>
      <c r="B419">
        <f t="shared" si="13"/>
        <v>1251</v>
      </c>
      <c r="C419" s="11" t="e">
        <f>IF(1*('Production Matrix'!A:A="تكلفة انتاج الوحدة")*ROW('Production Matrix'!#REF!)=0,1/0,1*('Production Matrix'!A:A="تكلفة انتاج الوحدة")*ROW('Production Matrix'!#REF!))</f>
        <v>#REF!</v>
      </c>
      <c r="D419" s="11" t="str">
        <f>IFERROR(_xlfn.AGGREGATE(15,6,$C$3:$C$53,ROW('Production Matrix'!#REF!)),"")</f>
        <v/>
      </c>
      <c r="E419" s="11" t="str">
        <f t="shared" si="14"/>
        <v/>
      </c>
      <c r="F419" s="12">
        <f>IFERROR(INDEX('Production Matrix'!$B:$B,E419,0),0)</f>
        <v>0</v>
      </c>
    </row>
    <row r="420" spans="1:6">
      <c r="A420" s="1">
        <v>418</v>
      </c>
      <c r="B420">
        <f t="shared" si="13"/>
        <v>1254</v>
      </c>
      <c r="C420" s="11" t="e">
        <f>IF(1*('Production Matrix'!A:A="تكلفة انتاج الوحدة")*ROW('Production Matrix'!#REF!)=0,1/0,1*('Production Matrix'!A:A="تكلفة انتاج الوحدة")*ROW('Production Matrix'!#REF!))</f>
        <v>#REF!</v>
      </c>
      <c r="D420" s="11" t="str">
        <f>IFERROR(_xlfn.AGGREGATE(15,6,$C$3:$C$53,ROW('Production Matrix'!#REF!)),"")</f>
        <v/>
      </c>
      <c r="E420" s="11" t="str">
        <f t="shared" si="14"/>
        <v/>
      </c>
      <c r="F420" s="12">
        <f>IFERROR(INDEX('Production Matrix'!$B:$B,E420,0),0)</f>
        <v>0</v>
      </c>
    </row>
    <row r="421" spans="1:6">
      <c r="A421" s="1">
        <v>419</v>
      </c>
      <c r="B421">
        <f t="shared" si="13"/>
        <v>1257</v>
      </c>
      <c r="C421" s="11" t="e">
        <f>IF(1*('Production Matrix'!A:A="تكلفة انتاج الوحدة")*ROW('Production Matrix'!#REF!)=0,1/0,1*('Production Matrix'!A:A="تكلفة انتاج الوحدة")*ROW('Production Matrix'!#REF!))</f>
        <v>#REF!</v>
      </c>
      <c r="D421" s="11" t="str">
        <f>IFERROR(_xlfn.AGGREGATE(15,6,$C$3:$C$53,ROW('Production Matrix'!#REF!)),"")</f>
        <v/>
      </c>
      <c r="E421" s="11" t="str">
        <f t="shared" si="14"/>
        <v/>
      </c>
      <c r="F421" s="12">
        <f>IFERROR(INDEX('Production Matrix'!$B:$B,E421,0),0)</f>
        <v>0</v>
      </c>
    </row>
    <row r="422" spans="1:6">
      <c r="A422" s="1">
        <v>420</v>
      </c>
      <c r="B422">
        <f t="shared" si="13"/>
        <v>1260</v>
      </c>
      <c r="C422" s="11" t="e">
        <f>IF(1*('Production Matrix'!A:A="تكلفة انتاج الوحدة")*ROW('Production Matrix'!#REF!)=0,1/0,1*('Production Matrix'!A:A="تكلفة انتاج الوحدة")*ROW('Production Matrix'!#REF!))</f>
        <v>#REF!</v>
      </c>
      <c r="D422" s="11" t="str">
        <f>IFERROR(_xlfn.AGGREGATE(15,6,$C$3:$C$53,ROW('Production Matrix'!#REF!)),"")</f>
        <v/>
      </c>
      <c r="E422" s="11" t="str">
        <f t="shared" si="14"/>
        <v/>
      </c>
      <c r="F422" s="12">
        <f>IFERROR(INDEX('Production Matrix'!$B:$B,E422,0),0)</f>
        <v>0</v>
      </c>
    </row>
    <row r="423" spans="1:6">
      <c r="A423" s="1">
        <v>421</v>
      </c>
      <c r="B423">
        <f t="shared" si="13"/>
        <v>1263</v>
      </c>
      <c r="C423" s="11" t="e">
        <f>IF(1*('Production Matrix'!A:A="تكلفة انتاج الوحدة")*ROW('Production Matrix'!#REF!)=0,1/0,1*('Production Matrix'!A:A="تكلفة انتاج الوحدة")*ROW('Production Matrix'!#REF!))</f>
        <v>#REF!</v>
      </c>
      <c r="D423" s="11" t="str">
        <f>IFERROR(_xlfn.AGGREGATE(15,6,$C$3:$C$53,ROW('Production Matrix'!#REF!)),"")</f>
        <v/>
      </c>
      <c r="E423" s="11" t="str">
        <f t="shared" si="14"/>
        <v/>
      </c>
      <c r="F423" s="12">
        <f>IFERROR(INDEX('Production Matrix'!$B:$B,E423,0),0)</f>
        <v>0</v>
      </c>
    </row>
    <row r="424" spans="1:6">
      <c r="A424" s="1">
        <v>422</v>
      </c>
      <c r="B424">
        <f t="shared" si="13"/>
        <v>1266</v>
      </c>
      <c r="C424" s="11" t="e">
        <f>IF(1*('Production Matrix'!A:A="تكلفة انتاج الوحدة")*ROW('Production Matrix'!#REF!)=0,1/0,1*('Production Matrix'!A:A="تكلفة انتاج الوحدة")*ROW('Production Matrix'!#REF!))</f>
        <v>#REF!</v>
      </c>
      <c r="D424" s="11" t="str">
        <f>IFERROR(_xlfn.AGGREGATE(15,6,$C$3:$C$53,ROW('Production Matrix'!#REF!)),"")</f>
        <v/>
      </c>
      <c r="E424" s="11" t="str">
        <f t="shared" si="14"/>
        <v/>
      </c>
      <c r="F424" s="12">
        <f>IFERROR(INDEX('Production Matrix'!$B:$B,E424,0),0)</f>
        <v>0</v>
      </c>
    </row>
    <row r="425" spans="1:6">
      <c r="A425" s="1">
        <v>423</v>
      </c>
      <c r="B425">
        <f t="shared" si="13"/>
        <v>1269</v>
      </c>
      <c r="C425" s="11" t="e">
        <f>IF(1*('Production Matrix'!A:A="تكلفة انتاج الوحدة")*ROW('Production Matrix'!#REF!)=0,1/0,1*('Production Matrix'!A:A="تكلفة انتاج الوحدة")*ROW('Production Matrix'!#REF!))</f>
        <v>#REF!</v>
      </c>
      <c r="D425" s="11" t="str">
        <f>IFERROR(_xlfn.AGGREGATE(15,6,$C$3:$C$53,ROW('Production Matrix'!#REF!)),"")</f>
        <v/>
      </c>
      <c r="E425" s="11" t="str">
        <f t="shared" si="14"/>
        <v/>
      </c>
      <c r="F425" s="12">
        <f>IFERROR(INDEX('Production Matrix'!$B:$B,E425,0),0)</f>
        <v>0</v>
      </c>
    </row>
    <row r="426" spans="1:6">
      <c r="A426" s="1">
        <v>424</v>
      </c>
      <c r="B426">
        <f t="shared" si="13"/>
        <v>1272</v>
      </c>
      <c r="C426" s="11" t="e">
        <f>IF(1*('Production Matrix'!A:A="تكلفة انتاج الوحدة")*ROW('Production Matrix'!#REF!)=0,1/0,1*('Production Matrix'!A:A="تكلفة انتاج الوحدة")*ROW('Production Matrix'!#REF!))</f>
        <v>#REF!</v>
      </c>
      <c r="D426" s="11" t="str">
        <f>IFERROR(_xlfn.AGGREGATE(15,6,$C$3:$C$53,ROW('Production Matrix'!#REF!)),"")</f>
        <v/>
      </c>
      <c r="E426" s="11" t="str">
        <f t="shared" si="14"/>
        <v/>
      </c>
      <c r="F426" s="12">
        <f>IFERROR(INDEX('Production Matrix'!$B:$B,E426,0),0)</f>
        <v>0</v>
      </c>
    </row>
    <row r="427" spans="1:6">
      <c r="A427" s="1">
        <v>425</v>
      </c>
      <c r="B427">
        <f t="shared" si="13"/>
        <v>1275</v>
      </c>
      <c r="C427" s="11" t="e">
        <f>IF(1*('Production Matrix'!A:A="تكلفة انتاج الوحدة")*ROW('Production Matrix'!#REF!)=0,1/0,1*('Production Matrix'!A:A="تكلفة انتاج الوحدة")*ROW('Production Matrix'!#REF!))</f>
        <v>#REF!</v>
      </c>
      <c r="D427" s="11" t="str">
        <f>IFERROR(_xlfn.AGGREGATE(15,6,$C$3:$C$53,ROW('Production Matrix'!#REF!)),"")</f>
        <v/>
      </c>
      <c r="E427" s="11" t="str">
        <f t="shared" si="14"/>
        <v/>
      </c>
      <c r="F427" s="12">
        <f>IFERROR(INDEX('Production Matrix'!$B:$B,E427,0),0)</f>
        <v>0</v>
      </c>
    </row>
    <row r="428" spans="1:6">
      <c r="A428" s="1">
        <v>426</v>
      </c>
      <c r="B428">
        <f t="shared" si="13"/>
        <v>1278</v>
      </c>
      <c r="C428" s="11" t="e">
        <f>IF(1*('Production Matrix'!A:A="تكلفة انتاج الوحدة")*ROW('Production Matrix'!#REF!)=0,1/0,1*('Production Matrix'!A:A="تكلفة انتاج الوحدة")*ROW('Production Matrix'!#REF!))</f>
        <v>#REF!</v>
      </c>
      <c r="D428" s="11" t="str">
        <f>IFERROR(_xlfn.AGGREGATE(15,6,$C$3:$C$53,ROW('Production Matrix'!#REF!)),"")</f>
        <v/>
      </c>
      <c r="E428" s="11" t="str">
        <f t="shared" si="14"/>
        <v/>
      </c>
      <c r="F428" s="12">
        <f>IFERROR(INDEX('Production Matrix'!$B:$B,E428,0),0)</f>
        <v>0</v>
      </c>
    </row>
    <row r="429" spans="1:6">
      <c r="A429" s="1">
        <v>427</v>
      </c>
      <c r="B429">
        <f t="shared" si="13"/>
        <v>1281</v>
      </c>
      <c r="C429" s="11" t="e">
        <f>IF(1*('Production Matrix'!A:A="تكلفة انتاج الوحدة")*ROW('Production Matrix'!#REF!)=0,1/0,1*('Production Matrix'!A:A="تكلفة انتاج الوحدة")*ROW('Production Matrix'!#REF!))</f>
        <v>#REF!</v>
      </c>
      <c r="D429" s="11" t="str">
        <f>IFERROR(_xlfn.AGGREGATE(15,6,$C$3:$C$53,ROW('Production Matrix'!#REF!)),"")</f>
        <v/>
      </c>
      <c r="E429" s="11" t="str">
        <f t="shared" si="14"/>
        <v/>
      </c>
      <c r="F429" s="12">
        <f>IFERROR(INDEX('Production Matrix'!$B:$B,E429,0),0)</f>
        <v>0</v>
      </c>
    </row>
    <row r="430" spans="1:6">
      <c r="A430" s="1">
        <v>428</v>
      </c>
      <c r="B430">
        <f t="shared" si="13"/>
        <v>1284</v>
      </c>
      <c r="C430" s="11" t="e">
        <f>IF(1*('Production Matrix'!A:A="تكلفة انتاج الوحدة")*ROW('Production Matrix'!#REF!)=0,1/0,1*('Production Matrix'!A:A="تكلفة انتاج الوحدة")*ROW('Production Matrix'!#REF!))</f>
        <v>#REF!</v>
      </c>
      <c r="D430" s="11" t="str">
        <f>IFERROR(_xlfn.AGGREGATE(15,6,$C$3:$C$53,ROW('Production Matrix'!#REF!)),"")</f>
        <v/>
      </c>
      <c r="E430" s="11" t="str">
        <f t="shared" si="14"/>
        <v/>
      </c>
      <c r="F430" s="12">
        <f>IFERROR(INDEX('Production Matrix'!$B:$B,E430,0),0)</f>
        <v>0</v>
      </c>
    </row>
    <row r="431" spans="1:6">
      <c r="A431" s="1">
        <v>429</v>
      </c>
      <c r="B431">
        <f t="shared" si="13"/>
        <v>1287</v>
      </c>
      <c r="C431" s="11" t="e">
        <f>IF(1*('Production Matrix'!A:A="تكلفة انتاج الوحدة")*ROW('Production Matrix'!#REF!)=0,1/0,1*('Production Matrix'!A:A="تكلفة انتاج الوحدة")*ROW('Production Matrix'!#REF!))</f>
        <v>#REF!</v>
      </c>
      <c r="D431" s="11" t="str">
        <f>IFERROR(_xlfn.AGGREGATE(15,6,$C$3:$C$53,ROW('Production Matrix'!#REF!)),"")</f>
        <v/>
      </c>
      <c r="E431" s="11" t="str">
        <f t="shared" si="14"/>
        <v/>
      </c>
      <c r="F431" s="12">
        <f>IFERROR(INDEX('Production Matrix'!$B:$B,E431,0),0)</f>
        <v>0</v>
      </c>
    </row>
    <row r="432" spans="1:6">
      <c r="A432" s="1">
        <v>430</v>
      </c>
      <c r="B432">
        <f t="shared" si="13"/>
        <v>1290</v>
      </c>
      <c r="C432" s="11" t="e">
        <f>IF(1*('Production Matrix'!A:A="تكلفة انتاج الوحدة")*ROW('Production Matrix'!#REF!)=0,1/0,1*('Production Matrix'!A:A="تكلفة انتاج الوحدة")*ROW('Production Matrix'!#REF!))</f>
        <v>#REF!</v>
      </c>
      <c r="D432" s="11" t="str">
        <f>IFERROR(_xlfn.AGGREGATE(15,6,$C$3:$C$53,ROW('Production Matrix'!#REF!)),"")</f>
        <v/>
      </c>
      <c r="E432" s="11" t="str">
        <f t="shared" si="14"/>
        <v/>
      </c>
      <c r="F432" s="12">
        <f>IFERROR(INDEX('Production Matrix'!$B:$B,E432,0),0)</f>
        <v>0</v>
      </c>
    </row>
    <row r="433" spans="1:6">
      <c r="A433" s="1">
        <v>431</v>
      </c>
      <c r="B433">
        <f t="shared" si="13"/>
        <v>1293</v>
      </c>
      <c r="C433" s="11" t="e">
        <f>IF(1*('Production Matrix'!A:A="تكلفة انتاج الوحدة")*ROW('Production Matrix'!#REF!)=0,1/0,1*('Production Matrix'!A:A="تكلفة انتاج الوحدة")*ROW('Production Matrix'!#REF!))</f>
        <v>#REF!</v>
      </c>
      <c r="D433" s="11" t="str">
        <f>IFERROR(_xlfn.AGGREGATE(15,6,$C$3:$C$53,ROW('Production Matrix'!#REF!)),"")</f>
        <v/>
      </c>
      <c r="E433" s="11" t="str">
        <f t="shared" si="14"/>
        <v/>
      </c>
      <c r="F433" s="12">
        <f>IFERROR(INDEX('Production Matrix'!$B:$B,E433,0),0)</f>
        <v>0</v>
      </c>
    </row>
    <row r="434" spans="1:6">
      <c r="A434" s="1">
        <v>432</v>
      </c>
      <c r="B434">
        <f t="shared" si="13"/>
        <v>1296</v>
      </c>
      <c r="C434" s="11" t="e">
        <f>IF(1*('Production Matrix'!A:A="تكلفة انتاج الوحدة")*ROW('Production Matrix'!#REF!)=0,1/0,1*('Production Matrix'!A:A="تكلفة انتاج الوحدة")*ROW('Production Matrix'!#REF!))</f>
        <v>#REF!</v>
      </c>
      <c r="D434" s="11" t="str">
        <f>IFERROR(_xlfn.AGGREGATE(15,6,$C$3:$C$53,ROW('Production Matrix'!#REF!)),"")</f>
        <v/>
      </c>
      <c r="E434" s="11" t="str">
        <f t="shared" si="14"/>
        <v/>
      </c>
      <c r="F434" s="12">
        <f>IFERROR(INDEX('Production Matrix'!$B:$B,E434,0),0)</f>
        <v>0</v>
      </c>
    </row>
    <row r="435" spans="1:6">
      <c r="A435" s="1">
        <v>433</v>
      </c>
      <c r="B435">
        <f t="shared" si="13"/>
        <v>1299</v>
      </c>
      <c r="C435" s="11" t="e">
        <f>IF(1*('Production Matrix'!A:A="تكلفة انتاج الوحدة")*ROW('Production Matrix'!#REF!)=0,1/0,1*('Production Matrix'!A:A="تكلفة انتاج الوحدة")*ROW('Production Matrix'!#REF!))</f>
        <v>#REF!</v>
      </c>
      <c r="D435" s="11" t="str">
        <f>IFERROR(_xlfn.AGGREGATE(15,6,$C$3:$C$53,ROW('Production Matrix'!#REF!)),"")</f>
        <v/>
      </c>
      <c r="E435" s="11" t="str">
        <f t="shared" si="14"/>
        <v/>
      </c>
      <c r="F435" s="12">
        <f>IFERROR(INDEX('Production Matrix'!$B:$B,E435,0),0)</f>
        <v>0</v>
      </c>
    </row>
    <row r="436" spans="1:6">
      <c r="A436" s="1">
        <v>434</v>
      </c>
      <c r="B436">
        <f t="shared" si="13"/>
        <v>1302</v>
      </c>
      <c r="C436" s="11" t="e">
        <f>IF(1*('Production Matrix'!A:A="تكلفة انتاج الوحدة")*ROW('Production Matrix'!#REF!)=0,1/0,1*('Production Matrix'!A:A="تكلفة انتاج الوحدة")*ROW('Production Matrix'!#REF!))</f>
        <v>#REF!</v>
      </c>
      <c r="D436" s="11" t="str">
        <f>IFERROR(_xlfn.AGGREGATE(15,6,$C$3:$C$53,ROW('Production Matrix'!#REF!)),"")</f>
        <v/>
      </c>
      <c r="E436" s="11" t="str">
        <f t="shared" si="14"/>
        <v/>
      </c>
      <c r="F436" s="12">
        <f>IFERROR(INDEX('Production Matrix'!$B:$B,E436,0),0)</f>
        <v>0</v>
      </c>
    </row>
    <row r="437" spans="1:6">
      <c r="A437" s="1">
        <v>435</v>
      </c>
      <c r="B437">
        <f t="shared" si="13"/>
        <v>1305</v>
      </c>
      <c r="C437" s="11" t="e">
        <f>IF(1*('Production Matrix'!A:A="تكلفة انتاج الوحدة")*ROW('Production Matrix'!#REF!)=0,1/0,1*('Production Matrix'!A:A="تكلفة انتاج الوحدة")*ROW('Production Matrix'!#REF!))</f>
        <v>#REF!</v>
      </c>
      <c r="D437" s="11" t="str">
        <f>IFERROR(_xlfn.AGGREGATE(15,6,$C$3:$C$53,ROW('Production Matrix'!#REF!)),"")</f>
        <v/>
      </c>
      <c r="E437" s="11" t="str">
        <f t="shared" si="14"/>
        <v/>
      </c>
      <c r="F437" s="12">
        <f>IFERROR(INDEX('Production Matrix'!$B:$B,E437,0),0)</f>
        <v>0</v>
      </c>
    </row>
    <row r="438" spans="1:6">
      <c r="A438" s="1">
        <v>436</v>
      </c>
      <c r="B438">
        <f t="shared" si="13"/>
        <v>1308</v>
      </c>
      <c r="C438" s="11" t="e">
        <f>IF(1*('Production Matrix'!A:A="تكلفة انتاج الوحدة")*ROW('Production Matrix'!#REF!)=0,1/0,1*('Production Matrix'!A:A="تكلفة انتاج الوحدة")*ROW('Production Matrix'!#REF!))</f>
        <v>#REF!</v>
      </c>
      <c r="D438" s="11" t="str">
        <f>IFERROR(_xlfn.AGGREGATE(15,6,$C$3:$C$53,ROW('Production Matrix'!#REF!)),"")</f>
        <v/>
      </c>
      <c r="E438" s="11" t="str">
        <f t="shared" si="14"/>
        <v/>
      </c>
      <c r="F438" s="12">
        <f>IFERROR(INDEX('Production Matrix'!$B:$B,E438,0),0)</f>
        <v>0</v>
      </c>
    </row>
    <row r="439" spans="1:6">
      <c r="A439" s="1">
        <v>437</v>
      </c>
      <c r="B439">
        <f t="shared" si="13"/>
        <v>1311</v>
      </c>
      <c r="C439" s="11" t="e">
        <f>IF(1*('Production Matrix'!A:A="تكلفة انتاج الوحدة")*ROW('Production Matrix'!#REF!)=0,1/0,1*('Production Matrix'!A:A="تكلفة انتاج الوحدة")*ROW('Production Matrix'!#REF!))</f>
        <v>#REF!</v>
      </c>
      <c r="D439" s="11" t="str">
        <f>IFERROR(_xlfn.AGGREGATE(15,6,$C$3:$C$53,ROW('Production Matrix'!#REF!)),"")</f>
        <v/>
      </c>
      <c r="E439" s="11" t="str">
        <f t="shared" si="14"/>
        <v/>
      </c>
      <c r="F439" s="12">
        <f>IFERROR(INDEX('Production Matrix'!$B:$B,E439,0),0)</f>
        <v>0</v>
      </c>
    </row>
    <row r="440" spans="1:6">
      <c r="A440" s="1">
        <v>438</v>
      </c>
      <c r="B440">
        <f t="shared" si="13"/>
        <v>1314</v>
      </c>
      <c r="C440" s="11" t="e">
        <f>IF(1*('Production Matrix'!A:A="تكلفة انتاج الوحدة")*ROW('Production Matrix'!#REF!)=0,1/0,1*('Production Matrix'!A:A="تكلفة انتاج الوحدة")*ROW('Production Matrix'!#REF!))</f>
        <v>#REF!</v>
      </c>
      <c r="D440" s="11" t="str">
        <f>IFERROR(_xlfn.AGGREGATE(15,6,$C$3:$C$53,ROW('Production Matrix'!#REF!)),"")</f>
        <v/>
      </c>
      <c r="E440" s="11" t="str">
        <f t="shared" si="14"/>
        <v/>
      </c>
      <c r="F440" s="12">
        <f>IFERROR(INDEX('Production Matrix'!$B:$B,E440,0),0)</f>
        <v>0</v>
      </c>
    </row>
    <row r="441" spans="1:6">
      <c r="A441" s="1">
        <v>439</v>
      </c>
      <c r="B441">
        <f t="shared" si="13"/>
        <v>1317</v>
      </c>
      <c r="C441" s="11" t="e">
        <f>IF(1*('Production Matrix'!A:A="تكلفة انتاج الوحدة")*ROW('Production Matrix'!#REF!)=0,1/0,1*('Production Matrix'!A:A="تكلفة انتاج الوحدة")*ROW('Production Matrix'!#REF!))</f>
        <v>#REF!</v>
      </c>
      <c r="D441" s="11" t="str">
        <f>IFERROR(_xlfn.AGGREGATE(15,6,$C$3:$C$53,ROW('Production Matrix'!#REF!)),"")</f>
        <v/>
      </c>
      <c r="E441" s="11" t="str">
        <f t="shared" si="14"/>
        <v/>
      </c>
      <c r="F441" s="12">
        <f>IFERROR(INDEX('Production Matrix'!$B:$B,E441,0),0)</f>
        <v>0</v>
      </c>
    </row>
    <row r="442" spans="1:6">
      <c r="A442" s="1">
        <v>440</v>
      </c>
      <c r="B442">
        <f t="shared" si="13"/>
        <v>1320</v>
      </c>
      <c r="C442" s="11" t="e">
        <f>IF(1*('Production Matrix'!A:A="تكلفة انتاج الوحدة")*ROW('Production Matrix'!#REF!)=0,1/0,1*('Production Matrix'!A:A="تكلفة انتاج الوحدة")*ROW('Production Matrix'!#REF!))</f>
        <v>#REF!</v>
      </c>
      <c r="D442" s="11" t="str">
        <f>IFERROR(_xlfn.AGGREGATE(15,6,$C$3:$C$53,ROW('Production Matrix'!#REF!)),"")</f>
        <v/>
      </c>
      <c r="E442" s="11" t="str">
        <f t="shared" si="14"/>
        <v/>
      </c>
      <c r="F442" s="12">
        <f>IFERROR(INDEX('Production Matrix'!$B:$B,E442,0),0)</f>
        <v>0</v>
      </c>
    </row>
    <row r="443" spans="1:6">
      <c r="A443" s="1">
        <v>441</v>
      </c>
      <c r="B443">
        <f t="shared" si="13"/>
        <v>1323</v>
      </c>
      <c r="C443" s="11" t="e">
        <f>IF(1*('Production Matrix'!A:A="تكلفة انتاج الوحدة")*ROW('Production Matrix'!#REF!)=0,1/0,1*('Production Matrix'!A:A="تكلفة انتاج الوحدة")*ROW('Production Matrix'!#REF!))</f>
        <v>#REF!</v>
      </c>
      <c r="D443" s="11" t="str">
        <f>IFERROR(_xlfn.AGGREGATE(15,6,$C$3:$C$53,ROW('Production Matrix'!#REF!)),"")</f>
        <v/>
      </c>
      <c r="E443" s="11" t="str">
        <f t="shared" si="14"/>
        <v/>
      </c>
      <c r="F443" s="12">
        <f>IFERROR(INDEX('Production Matrix'!$B:$B,E443,0),0)</f>
        <v>0</v>
      </c>
    </row>
    <row r="444" spans="1:6">
      <c r="A444" s="1">
        <v>442</v>
      </c>
      <c r="B444">
        <f t="shared" si="13"/>
        <v>1326</v>
      </c>
      <c r="C444" s="11" t="e">
        <f>IF(1*('Production Matrix'!A:A="تكلفة انتاج الوحدة")*ROW('Production Matrix'!#REF!)=0,1/0,1*('Production Matrix'!A:A="تكلفة انتاج الوحدة")*ROW('Production Matrix'!#REF!))</f>
        <v>#REF!</v>
      </c>
      <c r="D444" s="11" t="str">
        <f>IFERROR(_xlfn.AGGREGATE(15,6,$C$3:$C$53,ROW('Production Matrix'!#REF!)),"")</f>
        <v/>
      </c>
      <c r="E444" s="11" t="str">
        <f t="shared" si="14"/>
        <v/>
      </c>
      <c r="F444" s="12">
        <f>IFERROR(INDEX('Production Matrix'!$B:$B,E444,0),0)</f>
        <v>0</v>
      </c>
    </row>
    <row r="445" spans="1:6">
      <c r="A445" s="1">
        <v>443</v>
      </c>
      <c r="B445">
        <f t="shared" si="13"/>
        <v>1329</v>
      </c>
      <c r="C445" s="11" t="e">
        <f>IF(1*('Production Matrix'!A:A="تكلفة انتاج الوحدة")*ROW('Production Matrix'!#REF!)=0,1/0,1*('Production Matrix'!A:A="تكلفة انتاج الوحدة")*ROW('Production Matrix'!#REF!))</f>
        <v>#REF!</v>
      </c>
      <c r="D445" s="11" t="str">
        <f>IFERROR(_xlfn.AGGREGATE(15,6,$C$3:$C$53,ROW('Production Matrix'!#REF!)),"")</f>
        <v/>
      </c>
      <c r="E445" s="11" t="str">
        <f t="shared" si="14"/>
        <v/>
      </c>
      <c r="F445" s="12">
        <f>IFERROR(INDEX('Production Matrix'!$B:$B,E445,0),0)</f>
        <v>0</v>
      </c>
    </row>
    <row r="446" spans="1:6">
      <c r="A446" s="1">
        <v>444</v>
      </c>
      <c r="B446">
        <f t="shared" si="13"/>
        <v>1332</v>
      </c>
      <c r="C446" s="11" t="e">
        <f>IF(1*('Production Matrix'!A:A="تكلفة انتاج الوحدة")*ROW('Production Matrix'!#REF!)=0,1/0,1*('Production Matrix'!A:A="تكلفة انتاج الوحدة")*ROW('Production Matrix'!#REF!))</f>
        <v>#REF!</v>
      </c>
      <c r="D446" s="11" t="str">
        <f>IFERROR(_xlfn.AGGREGATE(15,6,$C$3:$C$53,ROW('Production Matrix'!#REF!)),"")</f>
        <v/>
      </c>
      <c r="E446" s="11" t="str">
        <f t="shared" si="14"/>
        <v/>
      </c>
      <c r="F446" s="12">
        <f>IFERROR(INDEX('Production Matrix'!$B:$B,E446,0),0)</f>
        <v>0</v>
      </c>
    </row>
    <row r="447" spans="1:6">
      <c r="A447" s="1">
        <v>445</v>
      </c>
      <c r="B447">
        <f t="shared" si="13"/>
        <v>1335</v>
      </c>
      <c r="C447" s="11" t="e">
        <f>IF(1*('Production Matrix'!A:A="تكلفة انتاج الوحدة")*ROW('Production Matrix'!#REF!)=0,1/0,1*('Production Matrix'!A:A="تكلفة انتاج الوحدة")*ROW('Production Matrix'!#REF!))</f>
        <v>#REF!</v>
      </c>
      <c r="D447" s="11" t="str">
        <f>IFERROR(_xlfn.AGGREGATE(15,6,$C$3:$C$53,ROW('Production Matrix'!#REF!)),"")</f>
        <v/>
      </c>
      <c r="E447" s="11" t="str">
        <f t="shared" si="14"/>
        <v/>
      </c>
      <c r="F447" s="12">
        <f>IFERROR(INDEX('Production Matrix'!$B:$B,E447,0),0)</f>
        <v>0</v>
      </c>
    </row>
    <row r="448" spans="1:6">
      <c r="A448" s="1">
        <v>446</v>
      </c>
      <c r="B448">
        <f t="shared" si="13"/>
        <v>1338</v>
      </c>
      <c r="C448" s="11" t="e">
        <f>IF(1*('Production Matrix'!A:A="تكلفة انتاج الوحدة")*ROW('Production Matrix'!#REF!)=0,1/0,1*('Production Matrix'!A:A="تكلفة انتاج الوحدة")*ROW('Production Matrix'!#REF!))</f>
        <v>#REF!</v>
      </c>
      <c r="D448" s="11" t="str">
        <f>IFERROR(_xlfn.AGGREGATE(15,6,$C$3:$C$53,ROW('Production Matrix'!#REF!)),"")</f>
        <v/>
      </c>
      <c r="E448" s="11" t="str">
        <f t="shared" si="14"/>
        <v/>
      </c>
      <c r="F448" s="12">
        <f>IFERROR(INDEX('Production Matrix'!$B:$B,E448,0),0)</f>
        <v>0</v>
      </c>
    </row>
    <row r="449" spans="1:6">
      <c r="A449" s="1">
        <v>447</v>
      </c>
      <c r="B449">
        <f t="shared" si="13"/>
        <v>1341</v>
      </c>
      <c r="C449" s="11" t="e">
        <f>IF(1*('Production Matrix'!A:A="تكلفة انتاج الوحدة")*ROW('Production Matrix'!#REF!)=0,1/0,1*('Production Matrix'!A:A="تكلفة انتاج الوحدة")*ROW('Production Matrix'!#REF!))</f>
        <v>#REF!</v>
      </c>
      <c r="D449" s="11" t="str">
        <f>IFERROR(_xlfn.AGGREGATE(15,6,$C$3:$C$53,ROW('Production Matrix'!#REF!)),"")</f>
        <v/>
      </c>
      <c r="E449" s="11" t="str">
        <f t="shared" si="14"/>
        <v/>
      </c>
      <c r="F449" s="12">
        <f>IFERROR(INDEX('Production Matrix'!$B:$B,E449,0),0)</f>
        <v>0</v>
      </c>
    </row>
    <row r="450" spans="1:6">
      <c r="A450" s="1">
        <v>448</v>
      </c>
      <c r="B450">
        <f t="shared" si="13"/>
        <v>1344</v>
      </c>
      <c r="C450" s="11" t="e">
        <f>IF(1*('Production Matrix'!A:A="تكلفة انتاج الوحدة")*ROW('Production Matrix'!#REF!)=0,1/0,1*('Production Matrix'!A:A="تكلفة انتاج الوحدة")*ROW('Production Matrix'!#REF!))</f>
        <v>#REF!</v>
      </c>
      <c r="D450" s="11" t="str">
        <f>IFERROR(_xlfn.AGGREGATE(15,6,$C$3:$C$53,ROW('Production Matrix'!#REF!)),"")</f>
        <v/>
      </c>
      <c r="E450" s="11" t="str">
        <f t="shared" si="14"/>
        <v/>
      </c>
      <c r="F450" s="12">
        <f>IFERROR(INDEX('Production Matrix'!$B:$B,E450,0),0)</f>
        <v>0</v>
      </c>
    </row>
    <row r="451" spans="1:6">
      <c r="A451" s="1">
        <v>449</v>
      </c>
      <c r="B451">
        <f t="shared" si="13"/>
        <v>1347</v>
      </c>
      <c r="C451" s="11" t="e">
        <f>IF(1*('Production Matrix'!A:A="تكلفة انتاج الوحدة")*ROW('Production Matrix'!#REF!)=0,1/0,1*('Production Matrix'!A:A="تكلفة انتاج الوحدة")*ROW('Production Matrix'!#REF!))</f>
        <v>#REF!</v>
      </c>
      <c r="D451" s="11" t="str">
        <f>IFERROR(_xlfn.AGGREGATE(15,6,$C$3:$C$53,ROW('Production Matrix'!#REF!)),"")</f>
        <v/>
      </c>
      <c r="E451" s="11" t="str">
        <f t="shared" si="14"/>
        <v/>
      </c>
      <c r="F451" s="12">
        <f>IFERROR(INDEX('Production Matrix'!$B:$B,E451,0),0)</f>
        <v>0</v>
      </c>
    </row>
    <row r="452" spans="1:6">
      <c r="A452" s="1">
        <v>450</v>
      </c>
      <c r="B452">
        <f t="shared" ref="B452:B500" si="15">A452*3</f>
        <v>1350</v>
      </c>
      <c r="C452" s="11" t="e">
        <f>IF(1*('Production Matrix'!A:A="تكلفة انتاج الوحدة")*ROW('Production Matrix'!#REF!)=0,1/0,1*('Production Matrix'!A:A="تكلفة انتاج الوحدة")*ROW('Production Matrix'!#REF!))</f>
        <v>#REF!</v>
      </c>
      <c r="D452" s="11" t="str">
        <f>IFERROR(_xlfn.AGGREGATE(15,6,$C$3:$C$53,ROW('Production Matrix'!#REF!)),"")</f>
        <v/>
      </c>
      <c r="E452" s="11" t="str">
        <f t="shared" si="14"/>
        <v/>
      </c>
      <c r="F452" s="12">
        <f>IFERROR(INDEX('Production Matrix'!$B:$B,E452,0),0)</f>
        <v>0</v>
      </c>
    </row>
    <row r="453" spans="1:6">
      <c r="A453" s="1">
        <v>451</v>
      </c>
      <c r="B453">
        <f t="shared" si="15"/>
        <v>1353</v>
      </c>
      <c r="C453" s="11" t="e">
        <f>IF(1*('Production Matrix'!A:A="تكلفة انتاج الوحدة")*ROW('Production Matrix'!#REF!)=0,1/0,1*('Production Matrix'!A:A="تكلفة انتاج الوحدة")*ROW('Production Matrix'!#REF!))</f>
        <v>#REF!</v>
      </c>
      <c r="D453" s="11" t="str">
        <f>IFERROR(_xlfn.AGGREGATE(15,6,$C$3:$C$53,ROW('Production Matrix'!#REF!)),"")</f>
        <v/>
      </c>
      <c r="E453" s="11" t="str">
        <f t="shared" si="14"/>
        <v/>
      </c>
      <c r="F453" s="12">
        <f>IFERROR(INDEX('Production Matrix'!$B:$B,E453,0),0)</f>
        <v>0</v>
      </c>
    </row>
    <row r="454" spans="1:6">
      <c r="A454" s="1">
        <v>452</v>
      </c>
      <c r="B454">
        <f t="shared" si="15"/>
        <v>1356</v>
      </c>
      <c r="C454" s="11" t="e">
        <f>IF(1*('Production Matrix'!A:A="تكلفة انتاج الوحدة")*ROW('Production Matrix'!#REF!)=0,1/0,1*('Production Matrix'!A:A="تكلفة انتاج الوحدة")*ROW('Production Matrix'!#REF!))</f>
        <v>#REF!</v>
      </c>
      <c r="D454" s="11" t="str">
        <f>IFERROR(_xlfn.AGGREGATE(15,6,$C$3:$C$53,ROW('Production Matrix'!#REF!)),"")</f>
        <v/>
      </c>
      <c r="E454" s="11" t="str">
        <f t="shared" si="14"/>
        <v/>
      </c>
      <c r="F454" s="12">
        <f>IFERROR(INDEX('Production Matrix'!$B:$B,E454,0),0)</f>
        <v>0</v>
      </c>
    </row>
    <row r="455" spans="1:6">
      <c r="A455" s="1">
        <v>453</v>
      </c>
      <c r="B455">
        <f t="shared" si="15"/>
        <v>1359</v>
      </c>
      <c r="C455" s="11" t="e">
        <f>IF(1*('Production Matrix'!A:A="تكلفة انتاج الوحدة")*ROW('Production Matrix'!#REF!)=0,1/0,1*('Production Matrix'!A:A="تكلفة انتاج الوحدة")*ROW('Production Matrix'!#REF!))</f>
        <v>#REF!</v>
      </c>
      <c r="D455" s="11" t="str">
        <f>IFERROR(_xlfn.AGGREGATE(15,6,$C$3:$C$53,ROW('Production Matrix'!#REF!)),"")</f>
        <v/>
      </c>
      <c r="E455" s="11" t="str">
        <f t="shared" ref="E455:E518" si="16">IFERROR(D455+3,"")</f>
        <v/>
      </c>
      <c r="F455" s="12">
        <f>IFERROR(INDEX('Production Matrix'!$B:$B,E455,0),0)</f>
        <v>0</v>
      </c>
    </row>
    <row r="456" spans="1:6">
      <c r="A456" s="1">
        <v>454</v>
      </c>
      <c r="B456">
        <f t="shared" si="15"/>
        <v>1362</v>
      </c>
      <c r="C456" s="11" t="e">
        <f>IF(1*('Production Matrix'!A:A="تكلفة انتاج الوحدة")*ROW('Production Matrix'!#REF!)=0,1/0,1*('Production Matrix'!A:A="تكلفة انتاج الوحدة")*ROW('Production Matrix'!#REF!))</f>
        <v>#REF!</v>
      </c>
      <c r="D456" s="11" t="str">
        <f>IFERROR(_xlfn.AGGREGATE(15,6,$C$3:$C$53,ROW('Production Matrix'!#REF!)),"")</f>
        <v/>
      </c>
      <c r="E456" s="11" t="str">
        <f t="shared" si="16"/>
        <v/>
      </c>
      <c r="F456" s="12">
        <f>IFERROR(INDEX('Production Matrix'!$B:$B,E456,0),0)</f>
        <v>0</v>
      </c>
    </row>
    <row r="457" spans="1:6">
      <c r="A457" s="1">
        <v>455</v>
      </c>
      <c r="B457">
        <f t="shared" si="15"/>
        <v>1365</v>
      </c>
      <c r="C457" s="11" t="e">
        <f>IF(1*('Production Matrix'!A:A="تكلفة انتاج الوحدة")*ROW('Production Matrix'!#REF!)=0,1/0,1*('Production Matrix'!A:A="تكلفة انتاج الوحدة")*ROW('Production Matrix'!#REF!))</f>
        <v>#REF!</v>
      </c>
      <c r="D457" s="11" t="str">
        <f>IFERROR(_xlfn.AGGREGATE(15,6,$C$3:$C$53,ROW('Production Matrix'!#REF!)),"")</f>
        <v/>
      </c>
      <c r="E457" s="11" t="str">
        <f t="shared" si="16"/>
        <v/>
      </c>
      <c r="F457" s="12">
        <f>IFERROR(INDEX('Production Matrix'!$B:$B,E457,0),0)</f>
        <v>0</v>
      </c>
    </row>
    <row r="458" spans="1:6">
      <c r="A458" s="1">
        <v>456</v>
      </c>
      <c r="B458">
        <f t="shared" si="15"/>
        <v>1368</v>
      </c>
      <c r="C458" s="11" t="e">
        <f>IF(1*('Production Matrix'!A:A="تكلفة انتاج الوحدة")*ROW('Production Matrix'!#REF!)=0,1/0,1*('Production Matrix'!A:A="تكلفة انتاج الوحدة")*ROW('Production Matrix'!#REF!))</f>
        <v>#REF!</v>
      </c>
      <c r="D458" s="11" t="str">
        <f>IFERROR(_xlfn.AGGREGATE(15,6,$C$3:$C$53,ROW('Production Matrix'!#REF!)),"")</f>
        <v/>
      </c>
      <c r="E458" s="11" t="str">
        <f t="shared" si="16"/>
        <v/>
      </c>
      <c r="F458" s="12">
        <f>IFERROR(INDEX('Production Matrix'!$B:$B,E458,0),0)</f>
        <v>0</v>
      </c>
    </row>
    <row r="459" spans="1:6">
      <c r="A459" s="1">
        <v>457</v>
      </c>
      <c r="B459">
        <f t="shared" si="15"/>
        <v>1371</v>
      </c>
      <c r="C459" s="11" t="e">
        <f>IF(1*('Production Matrix'!A:A="تكلفة انتاج الوحدة")*ROW('Production Matrix'!#REF!)=0,1/0,1*('Production Matrix'!A:A="تكلفة انتاج الوحدة")*ROW('Production Matrix'!#REF!))</f>
        <v>#REF!</v>
      </c>
      <c r="D459" s="11" t="str">
        <f>IFERROR(_xlfn.AGGREGATE(15,6,$C$3:$C$53,ROW('Production Matrix'!#REF!)),"")</f>
        <v/>
      </c>
      <c r="E459" s="11" t="str">
        <f t="shared" si="16"/>
        <v/>
      </c>
      <c r="F459" s="12">
        <f>IFERROR(INDEX('Production Matrix'!$B:$B,E459,0),0)</f>
        <v>0</v>
      </c>
    </row>
    <row r="460" spans="1:6">
      <c r="A460" s="1">
        <v>458</v>
      </c>
      <c r="B460">
        <f t="shared" si="15"/>
        <v>1374</v>
      </c>
      <c r="C460" s="11" t="e">
        <f>IF(1*('Production Matrix'!A:A="تكلفة انتاج الوحدة")*ROW('Production Matrix'!#REF!)=0,1/0,1*('Production Matrix'!A:A="تكلفة انتاج الوحدة")*ROW('Production Matrix'!#REF!))</f>
        <v>#REF!</v>
      </c>
      <c r="D460" s="11" t="str">
        <f>IFERROR(_xlfn.AGGREGATE(15,6,$C$3:$C$53,ROW('Production Matrix'!#REF!)),"")</f>
        <v/>
      </c>
      <c r="E460" s="11" t="str">
        <f t="shared" si="16"/>
        <v/>
      </c>
      <c r="F460" s="12">
        <f>IFERROR(INDEX('Production Matrix'!$B:$B,E460,0),0)</f>
        <v>0</v>
      </c>
    </row>
    <row r="461" spans="1:6">
      <c r="A461" s="1">
        <v>459</v>
      </c>
      <c r="B461">
        <f t="shared" si="15"/>
        <v>1377</v>
      </c>
      <c r="C461" s="11" t="e">
        <f>IF(1*('Production Matrix'!A:A="تكلفة انتاج الوحدة")*ROW('Production Matrix'!#REF!)=0,1/0,1*('Production Matrix'!A:A="تكلفة انتاج الوحدة")*ROW('Production Matrix'!#REF!))</f>
        <v>#REF!</v>
      </c>
      <c r="D461" s="11" t="str">
        <f>IFERROR(_xlfn.AGGREGATE(15,6,$C$3:$C$53,ROW('Production Matrix'!#REF!)),"")</f>
        <v/>
      </c>
      <c r="E461" s="11" t="str">
        <f t="shared" si="16"/>
        <v/>
      </c>
      <c r="F461" s="12">
        <f>IFERROR(INDEX('Production Matrix'!$B:$B,E461,0),0)</f>
        <v>0</v>
      </c>
    </row>
    <row r="462" spans="1:6">
      <c r="A462" s="1">
        <v>460</v>
      </c>
      <c r="B462">
        <f t="shared" si="15"/>
        <v>1380</v>
      </c>
      <c r="C462" s="11" t="e">
        <f>IF(1*('Production Matrix'!A:A="تكلفة انتاج الوحدة")*ROW('Production Matrix'!#REF!)=0,1/0,1*('Production Matrix'!A:A="تكلفة انتاج الوحدة")*ROW('Production Matrix'!#REF!))</f>
        <v>#REF!</v>
      </c>
      <c r="D462" s="11" t="str">
        <f>IFERROR(_xlfn.AGGREGATE(15,6,$C$3:$C$53,ROW('Production Matrix'!#REF!)),"")</f>
        <v/>
      </c>
      <c r="E462" s="11" t="str">
        <f t="shared" si="16"/>
        <v/>
      </c>
      <c r="F462" s="12">
        <f>IFERROR(INDEX('Production Matrix'!$B:$B,E462,0),0)</f>
        <v>0</v>
      </c>
    </row>
    <row r="463" spans="1:6">
      <c r="A463" s="1">
        <v>461</v>
      </c>
      <c r="B463">
        <f t="shared" si="15"/>
        <v>1383</v>
      </c>
      <c r="C463" s="11" t="e">
        <f>IF(1*('Production Matrix'!A:A="تكلفة انتاج الوحدة")*ROW('Production Matrix'!#REF!)=0,1/0,1*('Production Matrix'!A:A="تكلفة انتاج الوحدة")*ROW('Production Matrix'!#REF!))</f>
        <v>#REF!</v>
      </c>
      <c r="D463" s="11" t="str">
        <f>IFERROR(_xlfn.AGGREGATE(15,6,$C$3:$C$53,ROW('Production Matrix'!#REF!)),"")</f>
        <v/>
      </c>
      <c r="E463" s="11" t="str">
        <f t="shared" si="16"/>
        <v/>
      </c>
      <c r="F463" s="12">
        <f>IFERROR(INDEX('Production Matrix'!$B:$B,E463,0),0)</f>
        <v>0</v>
      </c>
    </row>
    <row r="464" spans="1:6">
      <c r="A464" s="1">
        <v>462</v>
      </c>
      <c r="B464">
        <f t="shared" si="15"/>
        <v>1386</v>
      </c>
      <c r="C464" s="11" t="e">
        <f>IF(1*('Production Matrix'!A:A="تكلفة انتاج الوحدة")*ROW('Production Matrix'!#REF!)=0,1/0,1*('Production Matrix'!A:A="تكلفة انتاج الوحدة")*ROW('Production Matrix'!#REF!))</f>
        <v>#REF!</v>
      </c>
      <c r="D464" s="11" t="str">
        <f>IFERROR(_xlfn.AGGREGATE(15,6,$C$3:$C$53,ROW('Production Matrix'!#REF!)),"")</f>
        <v/>
      </c>
      <c r="E464" s="11" t="str">
        <f t="shared" si="16"/>
        <v/>
      </c>
      <c r="F464" s="12">
        <f>IFERROR(INDEX('Production Matrix'!$B:$B,E464,0),0)</f>
        <v>0</v>
      </c>
    </row>
    <row r="465" spans="1:6">
      <c r="A465" s="1">
        <v>463</v>
      </c>
      <c r="B465">
        <f t="shared" si="15"/>
        <v>1389</v>
      </c>
      <c r="C465" s="11" t="e">
        <f>IF(1*('Production Matrix'!A:A="تكلفة انتاج الوحدة")*ROW('Production Matrix'!#REF!)=0,1/0,1*('Production Matrix'!A:A="تكلفة انتاج الوحدة")*ROW('Production Matrix'!#REF!))</f>
        <v>#REF!</v>
      </c>
      <c r="D465" s="11" t="str">
        <f>IFERROR(_xlfn.AGGREGATE(15,6,$C$3:$C$53,ROW('Production Matrix'!#REF!)),"")</f>
        <v/>
      </c>
      <c r="E465" s="11" t="str">
        <f t="shared" si="16"/>
        <v/>
      </c>
      <c r="F465" s="12">
        <f>IFERROR(INDEX('Production Matrix'!$B:$B,E465,0),0)</f>
        <v>0</v>
      </c>
    </row>
    <row r="466" spans="1:6">
      <c r="A466" s="1">
        <v>464</v>
      </c>
      <c r="B466">
        <f t="shared" si="15"/>
        <v>1392</v>
      </c>
      <c r="C466" s="11" t="e">
        <f>IF(1*('Production Matrix'!A:A="تكلفة انتاج الوحدة")*ROW('Production Matrix'!#REF!)=0,1/0,1*('Production Matrix'!A:A="تكلفة انتاج الوحدة")*ROW('Production Matrix'!#REF!))</f>
        <v>#REF!</v>
      </c>
      <c r="D466" s="11" t="str">
        <f>IFERROR(_xlfn.AGGREGATE(15,6,$C$3:$C$53,ROW('Production Matrix'!#REF!)),"")</f>
        <v/>
      </c>
      <c r="E466" s="11" t="str">
        <f t="shared" si="16"/>
        <v/>
      </c>
      <c r="F466" s="12">
        <f>IFERROR(INDEX('Production Matrix'!$B:$B,E466,0),0)</f>
        <v>0</v>
      </c>
    </row>
    <row r="467" spans="1:6">
      <c r="A467" s="1">
        <v>465</v>
      </c>
      <c r="B467">
        <f t="shared" si="15"/>
        <v>1395</v>
      </c>
      <c r="C467" s="11" t="e">
        <f>IF(1*('Production Matrix'!A:A="تكلفة انتاج الوحدة")*ROW('Production Matrix'!#REF!)=0,1/0,1*('Production Matrix'!A:A="تكلفة انتاج الوحدة")*ROW('Production Matrix'!#REF!))</f>
        <v>#REF!</v>
      </c>
      <c r="D467" s="11" t="str">
        <f>IFERROR(_xlfn.AGGREGATE(15,6,$C$3:$C$53,ROW('Production Matrix'!#REF!)),"")</f>
        <v/>
      </c>
      <c r="E467" s="11" t="str">
        <f t="shared" si="16"/>
        <v/>
      </c>
      <c r="F467" s="12">
        <f>IFERROR(INDEX('Production Matrix'!$B:$B,E467,0),0)</f>
        <v>0</v>
      </c>
    </row>
    <row r="468" spans="1:6">
      <c r="A468" s="1">
        <v>466</v>
      </c>
      <c r="B468">
        <f t="shared" si="15"/>
        <v>1398</v>
      </c>
      <c r="C468" s="11" t="e">
        <f>IF(1*('Production Matrix'!A:A="تكلفة انتاج الوحدة")*ROW('Production Matrix'!#REF!)=0,1/0,1*('Production Matrix'!A:A="تكلفة انتاج الوحدة")*ROW('Production Matrix'!#REF!))</f>
        <v>#REF!</v>
      </c>
      <c r="D468" s="11" t="str">
        <f>IFERROR(_xlfn.AGGREGATE(15,6,$C$3:$C$53,ROW('Production Matrix'!#REF!)),"")</f>
        <v/>
      </c>
      <c r="E468" s="11" t="str">
        <f t="shared" si="16"/>
        <v/>
      </c>
      <c r="F468" s="12">
        <f>IFERROR(INDEX('Production Matrix'!$B:$B,E468,0),0)</f>
        <v>0</v>
      </c>
    </row>
    <row r="469" spans="1:6">
      <c r="A469" s="1">
        <v>467</v>
      </c>
      <c r="B469">
        <f t="shared" si="15"/>
        <v>1401</v>
      </c>
      <c r="C469" s="11" t="e">
        <f>IF(1*('Production Matrix'!A:A="تكلفة انتاج الوحدة")*ROW('Production Matrix'!#REF!)=0,1/0,1*('Production Matrix'!A:A="تكلفة انتاج الوحدة")*ROW('Production Matrix'!#REF!))</f>
        <v>#REF!</v>
      </c>
      <c r="D469" s="11" t="str">
        <f>IFERROR(_xlfn.AGGREGATE(15,6,$C$3:$C$53,ROW('Production Matrix'!#REF!)),"")</f>
        <v/>
      </c>
      <c r="E469" s="11" t="str">
        <f t="shared" si="16"/>
        <v/>
      </c>
      <c r="F469" s="12">
        <f>IFERROR(INDEX('Production Matrix'!$B:$B,E469,0),0)</f>
        <v>0</v>
      </c>
    </row>
    <row r="470" spans="1:6">
      <c r="A470" s="1">
        <v>468</v>
      </c>
      <c r="B470">
        <f t="shared" si="15"/>
        <v>1404</v>
      </c>
      <c r="C470" s="11" t="e">
        <f>IF(1*('Production Matrix'!A:A="تكلفة انتاج الوحدة")*ROW('Production Matrix'!#REF!)=0,1/0,1*('Production Matrix'!A:A="تكلفة انتاج الوحدة")*ROW('Production Matrix'!#REF!))</f>
        <v>#REF!</v>
      </c>
      <c r="D470" s="11" t="str">
        <f>IFERROR(_xlfn.AGGREGATE(15,6,$C$3:$C$53,ROW('Production Matrix'!#REF!)),"")</f>
        <v/>
      </c>
      <c r="E470" s="11" t="str">
        <f t="shared" si="16"/>
        <v/>
      </c>
      <c r="F470" s="12">
        <f>IFERROR(INDEX('Production Matrix'!$B:$B,E470,0),0)</f>
        <v>0</v>
      </c>
    </row>
    <row r="471" spans="1:6">
      <c r="A471" s="1">
        <v>469</v>
      </c>
      <c r="B471">
        <f t="shared" si="15"/>
        <v>1407</v>
      </c>
      <c r="C471" s="11" t="e">
        <f>IF(1*('Production Matrix'!A:A="تكلفة انتاج الوحدة")*ROW('Production Matrix'!#REF!)=0,1/0,1*('Production Matrix'!A:A="تكلفة انتاج الوحدة")*ROW('Production Matrix'!#REF!))</f>
        <v>#REF!</v>
      </c>
      <c r="D471" s="11" t="str">
        <f>IFERROR(_xlfn.AGGREGATE(15,6,$C$3:$C$53,ROW('Production Matrix'!#REF!)),"")</f>
        <v/>
      </c>
      <c r="E471" s="11" t="str">
        <f t="shared" si="16"/>
        <v/>
      </c>
      <c r="F471" s="12">
        <f>IFERROR(INDEX('Production Matrix'!$B:$B,E471,0),0)</f>
        <v>0</v>
      </c>
    </row>
    <row r="472" spans="1:6">
      <c r="A472" s="1">
        <v>470</v>
      </c>
      <c r="B472">
        <f t="shared" si="15"/>
        <v>1410</v>
      </c>
      <c r="C472" s="11" t="e">
        <f>IF(1*('Production Matrix'!A:A="تكلفة انتاج الوحدة")*ROW('Production Matrix'!#REF!)=0,1/0,1*('Production Matrix'!A:A="تكلفة انتاج الوحدة")*ROW('Production Matrix'!#REF!))</f>
        <v>#REF!</v>
      </c>
      <c r="D472" s="11" t="str">
        <f>IFERROR(_xlfn.AGGREGATE(15,6,$C$3:$C$53,ROW('Production Matrix'!#REF!)),"")</f>
        <v/>
      </c>
      <c r="E472" s="11" t="str">
        <f t="shared" si="16"/>
        <v/>
      </c>
      <c r="F472" s="12">
        <f>IFERROR(INDEX('Production Matrix'!$B:$B,E472,0),0)</f>
        <v>0</v>
      </c>
    </row>
    <row r="473" spans="1:6">
      <c r="A473" s="1">
        <v>471</v>
      </c>
      <c r="B473">
        <f t="shared" si="15"/>
        <v>1413</v>
      </c>
      <c r="C473" s="11" t="e">
        <f>IF(1*('Production Matrix'!A:A="تكلفة انتاج الوحدة")*ROW('Production Matrix'!#REF!)=0,1/0,1*('Production Matrix'!A:A="تكلفة انتاج الوحدة")*ROW('Production Matrix'!#REF!))</f>
        <v>#REF!</v>
      </c>
      <c r="D473" s="11" t="str">
        <f>IFERROR(_xlfn.AGGREGATE(15,6,$C$3:$C$53,ROW('Production Matrix'!#REF!)),"")</f>
        <v/>
      </c>
      <c r="E473" s="11" t="str">
        <f t="shared" si="16"/>
        <v/>
      </c>
      <c r="F473" s="12">
        <f>IFERROR(INDEX('Production Matrix'!$B:$B,E473,0),0)</f>
        <v>0</v>
      </c>
    </row>
    <row r="474" spans="1:6">
      <c r="A474" s="1">
        <v>472</v>
      </c>
      <c r="B474">
        <f t="shared" si="15"/>
        <v>1416</v>
      </c>
      <c r="C474" s="11" t="e">
        <f>IF(1*('Production Matrix'!A:A="تكلفة انتاج الوحدة")*ROW('Production Matrix'!#REF!)=0,1/0,1*('Production Matrix'!A:A="تكلفة انتاج الوحدة")*ROW('Production Matrix'!#REF!))</f>
        <v>#REF!</v>
      </c>
      <c r="D474" s="11" t="str">
        <f>IFERROR(_xlfn.AGGREGATE(15,6,$C$3:$C$53,ROW('Production Matrix'!#REF!)),"")</f>
        <v/>
      </c>
      <c r="E474" s="11" t="str">
        <f t="shared" si="16"/>
        <v/>
      </c>
      <c r="F474" s="12">
        <f>IFERROR(INDEX('Production Matrix'!$B:$B,E474,0),0)</f>
        <v>0</v>
      </c>
    </row>
    <row r="475" spans="1:6">
      <c r="A475" s="1">
        <v>473</v>
      </c>
      <c r="B475">
        <f t="shared" si="15"/>
        <v>1419</v>
      </c>
      <c r="C475" s="11" t="e">
        <f>IF(1*('Production Matrix'!A:A="تكلفة انتاج الوحدة")*ROW('Production Matrix'!#REF!)=0,1/0,1*('Production Matrix'!A:A="تكلفة انتاج الوحدة")*ROW('Production Matrix'!#REF!))</f>
        <v>#REF!</v>
      </c>
      <c r="D475" s="11" t="str">
        <f>IFERROR(_xlfn.AGGREGATE(15,6,$C$3:$C$53,ROW('Production Matrix'!#REF!)),"")</f>
        <v/>
      </c>
      <c r="E475" s="11" t="str">
        <f t="shared" si="16"/>
        <v/>
      </c>
      <c r="F475" s="12">
        <f>IFERROR(INDEX('Production Matrix'!$B:$B,E475,0),0)</f>
        <v>0</v>
      </c>
    </row>
    <row r="476" spans="1:6">
      <c r="A476" s="1">
        <v>474</v>
      </c>
      <c r="B476">
        <f t="shared" si="15"/>
        <v>1422</v>
      </c>
      <c r="C476" s="11" t="e">
        <f>IF(1*('Production Matrix'!A:A="تكلفة انتاج الوحدة")*ROW('Production Matrix'!#REF!)=0,1/0,1*('Production Matrix'!A:A="تكلفة انتاج الوحدة")*ROW('Production Matrix'!#REF!))</f>
        <v>#REF!</v>
      </c>
      <c r="D476" s="11" t="str">
        <f>IFERROR(_xlfn.AGGREGATE(15,6,$C$3:$C$53,ROW('Production Matrix'!#REF!)),"")</f>
        <v/>
      </c>
      <c r="E476" s="11" t="str">
        <f t="shared" si="16"/>
        <v/>
      </c>
      <c r="F476" s="12">
        <f>IFERROR(INDEX('Production Matrix'!$B:$B,E476,0),0)</f>
        <v>0</v>
      </c>
    </row>
    <row r="477" spans="1:6">
      <c r="A477" s="1">
        <v>475</v>
      </c>
      <c r="B477">
        <f t="shared" si="15"/>
        <v>1425</v>
      </c>
      <c r="C477" s="11" t="e">
        <f>IF(1*('Production Matrix'!A:A="تكلفة انتاج الوحدة")*ROW('Production Matrix'!#REF!)=0,1/0,1*('Production Matrix'!A:A="تكلفة انتاج الوحدة")*ROW('Production Matrix'!#REF!))</f>
        <v>#REF!</v>
      </c>
      <c r="D477" s="11" t="str">
        <f>IFERROR(_xlfn.AGGREGATE(15,6,$C$3:$C$53,ROW('Production Matrix'!#REF!)),"")</f>
        <v/>
      </c>
      <c r="E477" s="11" t="str">
        <f t="shared" si="16"/>
        <v/>
      </c>
      <c r="F477" s="12">
        <f>IFERROR(INDEX('Production Matrix'!$B:$B,E477,0),0)</f>
        <v>0</v>
      </c>
    </row>
    <row r="478" spans="1:6">
      <c r="A478" s="1">
        <v>476</v>
      </c>
      <c r="B478">
        <f t="shared" si="15"/>
        <v>1428</v>
      </c>
      <c r="C478" s="11" t="e">
        <f>IF(1*('Production Matrix'!A:A="تكلفة انتاج الوحدة")*ROW('Production Matrix'!#REF!)=0,1/0,1*('Production Matrix'!A:A="تكلفة انتاج الوحدة")*ROW('Production Matrix'!#REF!))</f>
        <v>#REF!</v>
      </c>
      <c r="D478" s="11" t="str">
        <f>IFERROR(_xlfn.AGGREGATE(15,6,$C$3:$C$53,ROW('Production Matrix'!#REF!)),"")</f>
        <v/>
      </c>
      <c r="E478" s="11" t="str">
        <f t="shared" si="16"/>
        <v/>
      </c>
      <c r="F478" s="12">
        <f>IFERROR(INDEX('Production Matrix'!$B:$B,E478,0),0)</f>
        <v>0</v>
      </c>
    </row>
    <row r="479" spans="1:6">
      <c r="A479" s="1">
        <v>477</v>
      </c>
      <c r="B479">
        <f t="shared" si="15"/>
        <v>1431</v>
      </c>
      <c r="C479" s="11" t="e">
        <f>IF(1*('Production Matrix'!A:A="تكلفة انتاج الوحدة")*ROW('Production Matrix'!#REF!)=0,1/0,1*('Production Matrix'!A:A="تكلفة انتاج الوحدة")*ROW('Production Matrix'!#REF!))</f>
        <v>#REF!</v>
      </c>
      <c r="D479" s="11" t="str">
        <f>IFERROR(_xlfn.AGGREGATE(15,6,$C$3:$C$53,ROW('Production Matrix'!#REF!)),"")</f>
        <v/>
      </c>
      <c r="E479" s="11" t="str">
        <f t="shared" si="16"/>
        <v/>
      </c>
      <c r="F479" s="12">
        <f>IFERROR(INDEX('Production Matrix'!$B:$B,E479,0),0)</f>
        <v>0</v>
      </c>
    </row>
    <row r="480" spans="1:6">
      <c r="A480" s="1">
        <v>478</v>
      </c>
      <c r="B480">
        <f t="shared" si="15"/>
        <v>1434</v>
      </c>
      <c r="C480" s="11" t="e">
        <f>IF(1*('Production Matrix'!A:A="تكلفة انتاج الوحدة")*ROW('Production Matrix'!#REF!)=0,1/0,1*('Production Matrix'!A:A="تكلفة انتاج الوحدة")*ROW('Production Matrix'!#REF!))</f>
        <v>#REF!</v>
      </c>
      <c r="D480" s="11" t="str">
        <f>IFERROR(_xlfn.AGGREGATE(15,6,$C$3:$C$53,ROW('Production Matrix'!#REF!)),"")</f>
        <v/>
      </c>
      <c r="E480" s="11" t="str">
        <f t="shared" si="16"/>
        <v/>
      </c>
      <c r="F480" s="12">
        <f>IFERROR(INDEX('Production Matrix'!$B:$B,E480,0),0)</f>
        <v>0</v>
      </c>
    </row>
    <row r="481" spans="1:6">
      <c r="A481" s="1">
        <v>479</v>
      </c>
      <c r="B481">
        <f t="shared" si="15"/>
        <v>1437</v>
      </c>
      <c r="C481" s="11" t="e">
        <f>IF(1*('Production Matrix'!A:A="تكلفة انتاج الوحدة")*ROW('Production Matrix'!#REF!)=0,1/0,1*('Production Matrix'!A:A="تكلفة انتاج الوحدة")*ROW('Production Matrix'!#REF!))</f>
        <v>#REF!</v>
      </c>
      <c r="D481" s="11" t="str">
        <f>IFERROR(_xlfn.AGGREGATE(15,6,$C$3:$C$53,ROW('Production Matrix'!#REF!)),"")</f>
        <v/>
      </c>
      <c r="E481" s="11" t="str">
        <f t="shared" si="16"/>
        <v/>
      </c>
      <c r="F481" s="12">
        <f>IFERROR(INDEX('Production Matrix'!$B:$B,E481,0),0)</f>
        <v>0</v>
      </c>
    </row>
    <row r="482" spans="1:6">
      <c r="A482" s="1">
        <v>480</v>
      </c>
      <c r="B482">
        <f t="shared" si="15"/>
        <v>1440</v>
      </c>
      <c r="C482" s="11" t="e">
        <f>IF(1*('Production Matrix'!A:A="تكلفة انتاج الوحدة")*ROW('Production Matrix'!#REF!)=0,1/0,1*('Production Matrix'!A:A="تكلفة انتاج الوحدة")*ROW('Production Matrix'!#REF!))</f>
        <v>#REF!</v>
      </c>
      <c r="D482" s="11" t="str">
        <f>IFERROR(_xlfn.AGGREGATE(15,6,$C$3:$C$53,ROW('Production Matrix'!#REF!)),"")</f>
        <v/>
      </c>
      <c r="E482" s="11" t="str">
        <f t="shared" si="16"/>
        <v/>
      </c>
      <c r="F482" s="12">
        <f>IFERROR(INDEX('Production Matrix'!$B:$B,E482,0),0)</f>
        <v>0</v>
      </c>
    </row>
    <row r="483" spans="1:6">
      <c r="A483" s="1">
        <v>481</v>
      </c>
      <c r="B483">
        <f t="shared" si="15"/>
        <v>1443</v>
      </c>
      <c r="C483" s="11" t="e">
        <f>IF(1*('Production Matrix'!A:A="تكلفة انتاج الوحدة")*ROW('Production Matrix'!#REF!)=0,1/0,1*('Production Matrix'!A:A="تكلفة انتاج الوحدة")*ROW('Production Matrix'!#REF!))</f>
        <v>#REF!</v>
      </c>
      <c r="D483" s="11" t="str">
        <f>IFERROR(_xlfn.AGGREGATE(15,6,$C$3:$C$53,ROW('Production Matrix'!#REF!)),"")</f>
        <v/>
      </c>
      <c r="E483" s="11" t="str">
        <f t="shared" si="16"/>
        <v/>
      </c>
      <c r="F483" s="12">
        <f>IFERROR(INDEX('Production Matrix'!$B:$B,E483,0),0)</f>
        <v>0</v>
      </c>
    </row>
    <row r="484" spans="1:6">
      <c r="A484" s="1">
        <v>482</v>
      </c>
      <c r="B484">
        <f t="shared" si="15"/>
        <v>1446</v>
      </c>
      <c r="C484" s="11" t="e">
        <f>IF(1*('Production Matrix'!A:A="تكلفة انتاج الوحدة")*ROW('Production Matrix'!#REF!)=0,1/0,1*('Production Matrix'!A:A="تكلفة انتاج الوحدة")*ROW('Production Matrix'!#REF!))</f>
        <v>#REF!</v>
      </c>
      <c r="D484" s="11" t="str">
        <f>IFERROR(_xlfn.AGGREGATE(15,6,$C$3:$C$53,ROW('Production Matrix'!#REF!)),"")</f>
        <v/>
      </c>
      <c r="E484" s="11" t="str">
        <f t="shared" si="16"/>
        <v/>
      </c>
      <c r="F484" s="12">
        <f>IFERROR(INDEX('Production Matrix'!$B:$B,E484,0),0)</f>
        <v>0</v>
      </c>
    </row>
    <row r="485" spans="1:6">
      <c r="A485" s="1">
        <v>483</v>
      </c>
      <c r="B485">
        <f t="shared" si="15"/>
        <v>1449</v>
      </c>
      <c r="C485" s="11" t="e">
        <f>IF(1*('Production Matrix'!A:A="تكلفة انتاج الوحدة")*ROW('Production Matrix'!#REF!)=0,1/0,1*('Production Matrix'!A:A="تكلفة انتاج الوحدة")*ROW('Production Matrix'!#REF!))</f>
        <v>#REF!</v>
      </c>
      <c r="D485" s="11" t="str">
        <f>IFERROR(_xlfn.AGGREGATE(15,6,$C$3:$C$53,ROW('Production Matrix'!#REF!)),"")</f>
        <v/>
      </c>
      <c r="E485" s="11" t="str">
        <f t="shared" si="16"/>
        <v/>
      </c>
      <c r="F485" s="12">
        <f>IFERROR(INDEX('Production Matrix'!$B:$B,E485,0),0)</f>
        <v>0</v>
      </c>
    </row>
    <row r="486" spans="1:6">
      <c r="A486" s="1">
        <v>484</v>
      </c>
      <c r="B486">
        <f t="shared" si="15"/>
        <v>1452</v>
      </c>
      <c r="C486" s="11" t="e">
        <f>IF(1*('Production Matrix'!A:A="تكلفة انتاج الوحدة")*ROW('Production Matrix'!#REF!)=0,1/0,1*('Production Matrix'!A:A="تكلفة انتاج الوحدة")*ROW('Production Matrix'!#REF!))</f>
        <v>#REF!</v>
      </c>
      <c r="D486" s="11" t="str">
        <f>IFERROR(_xlfn.AGGREGATE(15,6,$C$3:$C$53,ROW('Production Matrix'!#REF!)),"")</f>
        <v/>
      </c>
      <c r="E486" s="11" t="str">
        <f t="shared" si="16"/>
        <v/>
      </c>
      <c r="F486" s="12">
        <f>IFERROR(INDEX('Production Matrix'!$B:$B,E486,0),0)</f>
        <v>0</v>
      </c>
    </row>
    <row r="487" spans="1:6">
      <c r="A487" s="1">
        <v>485</v>
      </c>
      <c r="B487">
        <f t="shared" si="15"/>
        <v>1455</v>
      </c>
      <c r="C487" s="11" t="e">
        <f>IF(1*('Production Matrix'!A:A="تكلفة انتاج الوحدة")*ROW('Production Matrix'!#REF!)=0,1/0,1*('Production Matrix'!A:A="تكلفة انتاج الوحدة")*ROW('Production Matrix'!#REF!))</f>
        <v>#REF!</v>
      </c>
      <c r="D487" s="11" t="str">
        <f>IFERROR(_xlfn.AGGREGATE(15,6,$C$3:$C$53,ROW('Production Matrix'!#REF!)),"")</f>
        <v/>
      </c>
      <c r="E487" s="11" t="str">
        <f t="shared" si="16"/>
        <v/>
      </c>
      <c r="F487" s="12">
        <f>IFERROR(INDEX('Production Matrix'!$B:$B,E487,0),0)</f>
        <v>0</v>
      </c>
    </row>
    <row r="488" spans="1:6">
      <c r="A488" s="1">
        <v>486</v>
      </c>
      <c r="B488">
        <f t="shared" si="15"/>
        <v>1458</v>
      </c>
      <c r="C488" s="11" t="e">
        <f>IF(1*('Production Matrix'!A:A="تكلفة انتاج الوحدة")*ROW('Production Matrix'!#REF!)=0,1/0,1*('Production Matrix'!A:A="تكلفة انتاج الوحدة")*ROW('Production Matrix'!#REF!))</f>
        <v>#REF!</v>
      </c>
      <c r="D488" s="11" t="str">
        <f>IFERROR(_xlfn.AGGREGATE(15,6,$C$3:$C$53,ROW('Production Matrix'!#REF!)),"")</f>
        <v/>
      </c>
      <c r="E488" s="11" t="str">
        <f t="shared" si="16"/>
        <v/>
      </c>
      <c r="F488" s="12">
        <f>IFERROR(INDEX('Production Matrix'!$B:$B,E488,0),0)</f>
        <v>0</v>
      </c>
    </row>
    <row r="489" spans="1:6">
      <c r="A489" s="1">
        <v>487</v>
      </c>
      <c r="B489">
        <f t="shared" si="15"/>
        <v>1461</v>
      </c>
      <c r="C489" s="11" t="e">
        <f>IF(1*('Production Matrix'!A:A="تكلفة انتاج الوحدة")*ROW('Production Matrix'!#REF!)=0,1/0,1*('Production Matrix'!A:A="تكلفة انتاج الوحدة")*ROW('Production Matrix'!#REF!))</f>
        <v>#REF!</v>
      </c>
      <c r="D489" s="11" t="str">
        <f>IFERROR(_xlfn.AGGREGATE(15,6,$C$3:$C$53,ROW('Production Matrix'!#REF!)),"")</f>
        <v/>
      </c>
      <c r="E489" s="11" t="str">
        <f t="shared" si="16"/>
        <v/>
      </c>
      <c r="F489" s="12">
        <f>IFERROR(INDEX('Production Matrix'!$B:$B,E489,0),0)</f>
        <v>0</v>
      </c>
    </row>
    <row r="490" spans="1:6">
      <c r="A490" s="1">
        <v>488</v>
      </c>
      <c r="B490">
        <f t="shared" si="15"/>
        <v>1464</v>
      </c>
      <c r="C490" s="11" t="e">
        <f>IF(1*('Production Matrix'!A:A="تكلفة انتاج الوحدة")*ROW('Production Matrix'!#REF!)=0,1/0,1*('Production Matrix'!A:A="تكلفة انتاج الوحدة")*ROW('Production Matrix'!#REF!))</f>
        <v>#REF!</v>
      </c>
      <c r="D490" s="11" t="str">
        <f>IFERROR(_xlfn.AGGREGATE(15,6,$C$3:$C$53,ROW('Production Matrix'!#REF!)),"")</f>
        <v/>
      </c>
      <c r="E490" s="11" t="str">
        <f t="shared" si="16"/>
        <v/>
      </c>
      <c r="F490" s="12">
        <f>IFERROR(INDEX('Production Matrix'!$B:$B,E490,0),0)</f>
        <v>0</v>
      </c>
    </row>
    <row r="491" spans="1:6">
      <c r="A491" s="1">
        <v>489</v>
      </c>
      <c r="B491">
        <f t="shared" si="15"/>
        <v>1467</v>
      </c>
      <c r="C491" s="11" t="e">
        <f>IF(1*('Production Matrix'!A:A="تكلفة انتاج الوحدة")*ROW('Production Matrix'!#REF!)=0,1/0,1*('Production Matrix'!A:A="تكلفة انتاج الوحدة")*ROW('Production Matrix'!#REF!))</f>
        <v>#REF!</v>
      </c>
      <c r="D491" s="11" t="str">
        <f>IFERROR(_xlfn.AGGREGATE(15,6,$C$3:$C$53,ROW('Production Matrix'!#REF!)),"")</f>
        <v/>
      </c>
      <c r="E491" s="11" t="str">
        <f t="shared" si="16"/>
        <v/>
      </c>
      <c r="F491" s="12">
        <f>IFERROR(INDEX('Production Matrix'!$B:$B,E491,0),0)</f>
        <v>0</v>
      </c>
    </row>
    <row r="492" spans="1:6">
      <c r="A492" s="1">
        <v>490</v>
      </c>
      <c r="B492">
        <f t="shared" si="15"/>
        <v>1470</v>
      </c>
      <c r="C492" s="11" t="e">
        <f>IF(1*('Production Matrix'!A:A="تكلفة انتاج الوحدة")*ROW('Production Matrix'!#REF!)=0,1/0,1*('Production Matrix'!A:A="تكلفة انتاج الوحدة")*ROW('Production Matrix'!#REF!))</f>
        <v>#REF!</v>
      </c>
      <c r="D492" s="11" t="str">
        <f>IFERROR(_xlfn.AGGREGATE(15,6,$C$3:$C$53,ROW('Production Matrix'!#REF!)),"")</f>
        <v/>
      </c>
      <c r="E492" s="11" t="str">
        <f t="shared" si="16"/>
        <v/>
      </c>
      <c r="F492" s="12">
        <f>IFERROR(INDEX('Production Matrix'!$B:$B,E492,0),0)</f>
        <v>0</v>
      </c>
    </row>
    <row r="493" spans="1:6">
      <c r="A493" s="1">
        <v>491</v>
      </c>
      <c r="B493">
        <f t="shared" si="15"/>
        <v>1473</v>
      </c>
      <c r="C493" s="11" t="e">
        <f>IF(1*('Production Matrix'!A:A="تكلفة انتاج الوحدة")*ROW('Production Matrix'!#REF!)=0,1/0,1*('Production Matrix'!A:A="تكلفة انتاج الوحدة")*ROW('Production Matrix'!#REF!))</f>
        <v>#REF!</v>
      </c>
      <c r="D493" s="11" t="str">
        <f>IFERROR(_xlfn.AGGREGATE(15,6,$C$3:$C$53,ROW('Production Matrix'!#REF!)),"")</f>
        <v/>
      </c>
      <c r="E493" s="11" t="str">
        <f t="shared" si="16"/>
        <v/>
      </c>
      <c r="F493" s="12">
        <f>IFERROR(INDEX('Production Matrix'!$B:$B,E493,0),0)</f>
        <v>0</v>
      </c>
    </row>
    <row r="494" spans="1:6">
      <c r="A494" s="1">
        <v>492</v>
      </c>
      <c r="B494">
        <f t="shared" si="15"/>
        <v>1476</v>
      </c>
      <c r="C494" s="11" t="e">
        <f>IF(1*('Production Matrix'!A:A="تكلفة انتاج الوحدة")*ROW('Production Matrix'!#REF!)=0,1/0,1*('Production Matrix'!A:A="تكلفة انتاج الوحدة")*ROW('Production Matrix'!#REF!))</f>
        <v>#REF!</v>
      </c>
      <c r="D494" s="11" t="str">
        <f>IFERROR(_xlfn.AGGREGATE(15,6,$C$3:$C$53,ROW('Production Matrix'!#REF!)),"")</f>
        <v/>
      </c>
      <c r="E494" s="11" t="str">
        <f t="shared" si="16"/>
        <v/>
      </c>
      <c r="F494" s="12">
        <f>IFERROR(INDEX('Production Matrix'!$B:$B,E494,0),0)</f>
        <v>0</v>
      </c>
    </row>
    <row r="495" spans="1:6">
      <c r="A495" s="1">
        <v>493</v>
      </c>
      <c r="B495">
        <f t="shared" si="15"/>
        <v>1479</v>
      </c>
      <c r="C495" s="11" t="e">
        <f>IF(1*('Production Matrix'!A:A="تكلفة انتاج الوحدة")*ROW('Production Matrix'!#REF!)=0,1/0,1*('Production Matrix'!A:A="تكلفة انتاج الوحدة")*ROW('Production Matrix'!#REF!))</f>
        <v>#REF!</v>
      </c>
      <c r="D495" s="11" t="str">
        <f>IFERROR(_xlfn.AGGREGATE(15,6,$C$3:$C$53,ROW('Production Matrix'!#REF!)),"")</f>
        <v/>
      </c>
      <c r="E495" s="11" t="str">
        <f t="shared" si="16"/>
        <v/>
      </c>
      <c r="F495" s="12">
        <f>IFERROR(INDEX('Production Matrix'!$B:$B,E495,0),0)</f>
        <v>0</v>
      </c>
    </row>
    <row r="496" spans="1:6">
      <c r="A496" s="1">
        <v>494</v>
      </c>
      <c r="B496">
        <f t="shared" si="15"/>
        <v>1482</v>
      </c>
      <c r="C496" s="11" t="e">
        <f>IF(1*('Production Matrix'!A:A="تكلفة انتاج الوحدة")*ROW('Production Matrix'!#REF!)=0,1/0,1*('Production Matrix'!A:A="تكلفة انتاج الوحدة")*ROW('Production Matrix'!#REF!))</f>
        <v>#REF!</v>
      </c>
      <c r="D496" s="11" t="str">
        <f>IFERROR(_xlfn.AGGREGATE(15,6,$C$3:$C$53,ROW('Production Matrix'!#REF!)),"")</f>
        <v/>
      </c>
      <c r="E496" s="11" t="str">
        <f t="shared" si="16"/>
        <v/>
      </c>
      <c r="F496" s="12">
        <f>IFERROR(INDEX('Production Matrix'!$B:$B,E496,0),0)</f>
        <v>0</v>
      </c>
    </row>
    <row r="497" spans="1:6">
      <c r="A497" s="1">
        <v>495</v>
      </c>
      <c r="B497">
        <f t="shared" si="15"/>
        <v>1485</v>
      </c>
      <c r="C497" s="11" t="e">
        <f>IF(1*('Production Matrix'!A:A="تكلفة انتاج الوحدة")*ROW('Production Matrix'!#REF!)=0,1/0,1*('Production Matrix'!A:A="تكلفة انتاج الوحدة")*ROW('Production Matrix'!#REF!))</f>
        <v>#REF!</v>
      </c>
      <c r="D497" s="11" t="str">
        <f>IFERROR(_xlfn.AGGREGATE(15,6,$C$3:$C$53,ROW('Production Matrix'!#REF!)),"")</f>
        <v/>
      </c>
      <c r="E497" s="11" t="str">
        <f t="shared" si="16"/>
        <v/>
      </c>
      <c r="F497" s="12">
        <f>IFERROR(INDEX('Production Matrix'!$B:$B,E497,0),0)</f>
        <v>0</v>
      </c>
    </row>
    <row r="498" spans="1:6">
      <c r="A498" s="1">
        <v>496</v>
      </c>
      <c r="B498">
        <f t="shared" si="15"/>
        <v>1488</v>
      </c>
      <c r="C498" s="11" t="e">
        <f>IF(1*('Production Matrix'!A:A="تكلفة انتاج الوحدة")*ROW('Production Matrix'!#REF!)=0,1/0,1*('Production Matrix'!A:A="تكلفة انتاج الوحدة")*ROW('Production Matrix'!#REF!))</f>
        <v>#REF!</v>
      </c>
      <c r="D498" s="11" t="str">
        <f>IFERROR(_xlfn.AGGREGATE(15,6,$C$3:$C$53,ROW('Production Matrix'!#REF!)),"")</f>
        <v/>
      </c>
      <c r="E498" s="11" t="str">
        <f t="shared" si="16"/>
        <v/>
      </c>
      <c r="F498" s="12">
        <f>IFERROR(INDEX('Production Matrix'!$B:$B,E498,0),0)</f>
        <v>0</v>
      </c>
    </row>
    <row r="499" spans="1:6">
      <c r="A499" s="1">
        <v>497</v>
      </c>
      <c r="B499">
        <f t="shared" si="15"/>
        <v>1491</v>
      </c>
      <c r="C499" s="11" t="e">
        <f>IF(1*('Production Matrix'!A:A="تكلفة انتاج الوحدة")*ROW('Production Matrix'!#REF!)=0,1/0,1*('Production Matrix'!A:A="تكلفة انتاج الوحدة")*ROW('Production Matrix'!#REF!))</f>
        <v>#REF!</v>
      </c>
      <c r="D499" s="11" t="str">
        <f>IFERROR(_xlfn.AGGREGATE(15,6,$C$3:$C$53,ROW('Production Matrix'!#REF!)),"")</f>
        <v/>
      </c>
      <c r="E499" s="11" t="str">
        <f t="shared" si="16"/>
        <v/>
      </c>
      <c r="F499" s="12">
        <f>IFERROR(INDEX('Production Matrix'!$B:$B,E499,0),0)</f>
        <v>0</v>
      </c>
    </row>
    <row r="500" spans="1:6">
      <c r="A500" s="1">
        <v>498</v>
      </c>
      <c r="B500">
        <f t="shared" si="15"/>
        <v>1494</v>
      </c>
      <c r="C500" s="11" t="e">
        <f>IF(1*('Production Matrix'!A:A="تكلفة انتاج الوحدة")*ROW('Production Matrix'!#REF!)=0,1/0,1*('Production Matrix'!A:A="تكلفة انتاج الوحدة")*ROW('Production Matrix'!#REF!))</f>
        <v>#REF!</v>
      </c>
      <c r="D500" s="11" t="str">
        <f>IFERROR(_xlfn.AGGREGATE(15,6,$C$3:$C$53,ROW('Production Matrix'!#REF!)),"")</f>
        <v/>
      </c>
      <c r="E500" s="11" t="str">
        <f t="shared" si="16"/>
        <v/>
      </c>
      <c r="F500" s="12">
        <f>IFERROR(INDEX('Production Matrix'!$B:$B,E500,0),0)</f>
        <v>0</v>
      </c>
    </row>
    <row r="501" spans="1:6">
      <c r="C501" s="11" t="e">
        <f>IF(1*('Production Matrix'!A:A="تكلفة انتاج الوحدة")*ROW('Production Matrix'!#REF!)=0,1/0,1*('Production Matrix'!A:A="تكلفة انتاج الوحدة")*ROW('Production Matrix'!#REF!))</f>
        <v>#REF!</v>
      </c>
      <c r="D501" s="11" t="str">
        <f>IFERROR(_xlfn.AGGREGATE(15,6,$C$3:$C$53,ROW('Production Matrix'!#REF!)),"")</f>
        <v/>
      </c>
      <c r="E501" s="11" t="str">
        <f t="shared" si="16"/>
        <v/>
      </c>
      <c r="F501" s="12">
        <f>IFERROR(INDEX('Production Matrix'!$B:$B,E501,0),0)</f>
        <v>0</v>
      </c>
    </row>
    <row r="502" spans="1:6">
      <c r="C502" s="11" t="e">
        <f>IF(1*('Production Matrix'!A:A="تكلفة انتاج الوحدة")*ROW('Production Matrix'!#REF!)=0,1/0,1*('Production Matrix'!A:A="تكلفة انتاج الوحدة")*ROW('Production Matrix'!#REF!))</f>
        <v>#REF!</v>
      </c>
      <c r="D502" s="11" t="str">
        <f>IFERROR(_xlfn.AGGREGATE(15,6,$C$3:$C$53,ROW('Production Matrix'!#REF!)),"")</f>
        <v/>
      </c>
      <c r="E502" s="11" t="str">
        <f t="shared" si="16"/>
        <v/>
      </c>
      <c r="F502" s="12">
        <f>IFERROR(INDEX('Production Matrix'!$B:$B,E502,0),0)</f>
        <v>0</v>
      </c>
    </row>
    <row r="503" spans="1:6">
      <c r="C503" s="11" t="e">
        <f>IF(1*('Production Matrix'!A:A="تكلفة انتاج الوحدة")*ROW('Production Matrix'!#REF!)=0,1/0,1*('Production Matrix'!A:A="تكلفة انتاج الوحدة")*ROW('Production Matrix'!#REF!))</f>
        <v>#REF!</v>
      </c>
      <c r="D503" s="11" t="str">
        <f>IFERROR(_xlfn.AGGREGATE(15,6,$C$3:$C$53,ROW('Production Matrix'!#REF!)),"")</f>
        <v/>
      </c>
      <c r="E503" s="11" t="str">
        <f t="shared" si="16"/>
        <v/>
      </c>
      <c r="F503" s="12">
        <f>IFERROR(INDEX('Production Matrix'!$B:$B,E503,0),0)</f>
        <v>0</v>
      </c>
    </row>
    <row r="504" spans="1:6">
      <c r="C504" s="11" t="e">
        <f>IF(1*('Production Matrix'!A:A="تكلفة انتاج الوحدة")*ROW('Production Matrix'!#REF!)=0,1/0,1*('Production Matrix'!A:A="تكلفة انتاج الوحدة")*ROW('Production Matrix'!#REF!))</f>
        <v>#REF!</v>
      </c>
      <c r="D504" s="11" t="str">
        <f>IFERROR(_xlfn.AGGREGATE(15,6,$C$3:$C$53,ROW('Production Matrix'!#REF!)),"")</f>
        <v/>
      </c>
      <c r="E504" s="11" t="str">
        <f t="shared" si="16"/>
        <v/>
      </c>
      <c r="F504" s="12">
        <f>IFERROR(INDEX('Production Matrix'!$B:$B,E504,0),0)</f>
        <v>0</v>
      </c>
    </row>
    <row r="505" spans="1:6">
      <c r="C505" s="11" t="e">
        <f>IF(1*('Production Matrix'!A:A="تكلفة انتاج الوحدة")*ROW('Production Matrix'!#REF!)=0,1/0,1*('Production Matrix'!A:A="تكلفة انتاج الوحدة")*ROW('Production Matrix'!#REF!))</f>
        <v>#REF!</v>
      </c>
      <c r="D505" s="11" t="str">
        <f>IFERROR(_xlfn.AGGREGATE(15,6,$C$3:$C$53,ROW('Production Matrix'!#REF!)),"")</f>
        <v/>
      </c>
      <c r="E505" s="11" t="str">
        <f t="shared" si="16"/>
        <v/>
      </c>
      <c r="F505" s="12">
        <f>IFERROR(INDEX('Production Matrix'!$B:$B,E505,0),0)</f>
        <v>0</v>
      </c>
    </row>
    <row r="506" spans="1:6">
      <c r="C506" s="11" t="e">
        <f>IF(1*('Production Matrix'!A:A="تكلفة انتاج الوحدة")*ROW('Production Matrix'!#REF!)=0,1/0,1*('Production Matrix'!A:A="تكلفة انتاج الوحدة")*ROW('Production Matrix'!#REF!))</f>
        <v>#REF!</v>
      </c>
      <c r="D506" s="11" t="str">
        <f>IFERROR(_xlfn.AGGREGATE(15,6,$C$3:$C$53,ROW('Production Matrix'!#REF!)),"")</f>
        <v/>
      </c>
      <c r="E506" s="11" t="str">
        <f t="shared" si="16"/>
        <v/>
      </c>
      <c r="F506" s="12">
        <f>IFERROR(INDEX('Production Matrix'!$B:$B,E506,0),0)</f>
        <v>0</v>
      </c>
    </row>
    <row r="507" spans="1:6">
      <c r="C507" s="11" t="e">
        <f>IF(1*('Production Matrix'!A:A="تكلفة انتاج الوحدة")*ROW('Production Matrix'!#REF!)=0,1/0,1*('Production Matrix'!A:A="تكلفة انتاج الوحدة")*ROW('Production Matrix'!#REF!))</f>
        <v>#REF!</v>
      </c>
      <c r="D507" s="11" t="str">
        <f>IFERROR(_xlfn.AGGREGATE(15,6,$C$3:$C$53,ROW('Production Matrix'!#REF!)),"")</f>
        <v/>
      </c>
      <c r="E507" s="11" t="str">
        <f t="shared" si="16"/>
        <v/>
      </c>
      <c r="F507" s="12">
        <f>IFERROR(INDEX('Production Matrix'!$B:$B,E507,0),0)</f>
        <v>0</v>
      </c>
    </row>
    <row r="508" spans="1:6">
      <c r="C508" s="11" t="e">
        <f>IF(1*('Production Matrix'!A:A="تكلفة انتاج الوحدة")*ROW('Production Matrix'!#REF!)=0,1/0,1*('Production Matrix'!A:A="تكلفة انتاج الوحدة")*ROW('Production Matrix'!#REF!))</f>
        <v>#REF!</v>
      </c>
      <c r="D508" s="11" t="str">
        <f>IFERROR(_xlfn.AGGREGATE(15,6,$C$3:$C$53,ROW('Production Matrix'!#REF!)),"")</f>
        <v/>
      </c>
      <c r="E508" s="11" t="str">
        <f t="shared" si="16"/>
        <v/>
      </c>
      <c r="F508" s="12">
        <f>IFERROR(INDEX('Production Matrix'!$B:$B,E508,0),0)</f>
        <v>0</v>
      </c>
    </row>
    <row r="509" spans="1:6">
      <c r="C509" s="11" t="e">
        <f>IF(1*('Production Matrix'!A:A="تكلفة انتاج الوحدة")*ROW('Production Matrix'!#REF!)=0,1/0,1*('Production Matrix'!A:A="تكلفة انتاج الوحدة")*ROW('Production Matrix'!#REF!))</f>
        <v>#REF!</v>
      </c>
      <c r="D509" s="11" t="str">
        <f>IFERROR(_xlfn.AGGREGATE(15,6,$C$3:$C$53,ROW('Production Matrix'!#REF!)),"")</f>
        <v/>
      </c>
      <c r="E509" s="11" t="str">
        <f t="shared" si="16"/>
        <v/>
      </c>
      <c r="F509" s="12">
        <f>IFERROR(INDEX('Production Matrix'!$B:$B,E509,0),0)</f>
        <v>0</v>
      </c>
    </row>
    <row r="510" spans="1:6">
      <c r="C510" s="11" t="e">
        <f>IF(1*('Production Matrix'!A:A="تكلفة انتاج الوحدة")*ROW('Production Matrix'!#REF!)=0,1/0,1*('Production Matrix'!A:A="تكلفة انتاج الوحدة")*ROW('Production Matrix'!#REF!))</f>
        <v>#REF!</v>
      </c>
      <c r="D510" s="11" t="str">
        <f>IFERROR(_xlfn.AGGREGATE(15,6,$C$3:$C$53,ROW('Production Matrix'!#REF!)),"")</f>
        <v/>
      </c>
      <c r="E510" s="11" t="str">
        <f t="shared" si="16"/>
        <v/>
      </c>
      <c r="F510" s="12">
        <f>IFERROR(INDEX('Production Matrix'!$B:$B,E510,0),0)</f>
        <v>0</v>
      </c>
    </row>
    <row r="511" spans="1:6">
      <c r="C511" s="11" t="e">
        <f>IF(1*('Production Matrix'!A:A="تكلفة انتاج الوحدة")*ROW('Production Matrix'!#REF!)=0,1/0,1*('Production Matrix'!A:A="تكلفة انتاج الوحدة")*ROW('Production Matrix'!#REF!))</f>
        <v>#REF!</v>
      </c>
      <c r="D511" s="11" t="str">
        <f>IFERROR(_xlfn.AGGREGATE(15,6,$C$3:$C$53,ROW('Production Matrix'!#REF!)),"")</f>
        <v/>
      </c>
      <c r="E511" s="11" t="str">
        <f t="shared" si="16"/>
        <v/>
      </c>
      <c r="F511" s="12">
        <f>IFERROR(INDEX('Production Matrix'!$B:$B,E511,0),0)</f>
        <v>0</v>
      </c>
    </row>
    <row r="512" spans="1:6">
      <c r="C512" s="11" t="e">
        <f>IF(1*('Production Matrix'!A:A="تكلفة انتاج الوحدة")*ROW('Production Matrix'!#REF!)=0,1/0,1*('Production Matrix'!A:A="تكلفة انتاج الوحدة")*ROW('Production Matrix'!#REF!))</f>
        <v>#REF!</v>
      </c>
      <c r="D512" s="11" t="str">
        <f>IFERROR(_xlfn.AGGREGATE(15,6,$C$3:$C$53,ROW('Production Matrix'!#REF!)),"")</f>
        <v/>
      </c>
      <c r="E512" s="11" t="str">
        <f t="shared" si="16"/>
        <v/>
      </c>
      <c r="F512" s="12">
        <f>IFERROR(INDEX('Production Matrix'!$B:$B,E512,0),0)</f>
        <v>0</v>
      </c>
    </row>
    <row r="513" spans="3:6">
      <c r="C513" s="11" t="e">
        <f>IF(1*('Production Matrix'!A:A="تكلفة انتاج الوحدة")*ROW('Production Matrix'!#REF!)=0,1/0,1*('Production Matrix'!A:A="تكلفة انتاج الوحدة")*ROW('Production Matrix'!#REF!))</f>
        <v>#REF!</v>
      </c>
      <c r="D513" s="11" t="str">
        <f>IFERROR(_xlfn.AGGREGATE(15,6,$C$3:$C$53,ROW('Production Matrix'!#REF!)),"")</f>
        <v/>
      </c>
      <c r="E513" s="11" t="str">
        <f t="shared" si="16"/>
        <v/>
      </c>
      <c r="F513" s="12">
        <f>IFERROR(INDEX('Production Matrix'!$B:$B,E513,0),0)</f>
        <v>0</v>
      </c>
    </row>
    <row r="514" spans="3:6">
      <c r="C514" s="11" t="e">
        <f>IF(1*('Production Matrix'!A:A="تكلفة انتاج الوحدة")*ROW('Production Matrix'!#REF!)=0,1/0,1*('Production Matrix'!A:A="تكلفة انتاج الوحدة")*ROW('Production Matrix'!#REF!))</f>
        <v>#REF!</v>
      </c>
      <c r="D514" s="11" t="str">
        <f>IFERROR(_xlfn.AGGREGATE(15,6,$C$3:$C$53,ROW('Production Matrix'!#REF!)),"")</f>
        <v/>
      </c>
      <c r="E514" s="11" t="str">
        <f t="shared" si="16"/>
        <v/>
      </c>
      <c r="F514" s="12">
        <f>IFERROR(INDEX('Production Matrix'!$B:$B,E514,0),0)</f>
        <v>0</v>
      </c>
    </row>
    <row r="515" spans="3:6">
      <c r="C515" s="11" t="e">
        <f>IF(1*('Production Matrix'!A:A="تكلفة انتاج الوحدة")*ROW('Production Matrix'!#REF!)=0,1/0,1*('Production Matrix'!A:A="تكلفة انتاج الوحدة")*ROW('Production Matrix'!#REF!))</f>
        <v>#REF!</v>
      </c>
      <c r="D515" s="11" t="str">
        <f>IFERROR(_xlfn.AGGREGATE(15,6,$C$3:$C$53,ROW('Production Matrix'!#REF!)),"")</f>
        <v/>
      </c>
      <c r="E515" s="11" t="str">
        <f t="shared" si="16"/>
        <v/>
      </c>
      <c r="F515" s="12">
        <f>IFERROR(INDEX('Production Matrix'!$B:$B,E515,0),0)</f>
        <v>0</v>
      </c>
    </row>
    <row r="516" spans="3:6">
      <c r="C516" s="11" t="e">
        <f>IF(1*('Production Matrix'!A:A="تكلفة انتاج الوحدة")*ROW('Production Matrix'!#REF!)=0,1/0,1*('Production Matrix'!A:A="تكلفة انتاج الوحدة")*ROW('Production Matrix'!#REF!))</f>
        <v>#REF!</v>
      </c>
      <c r="D516" s="11" t="str">
        <f>IFERROR(_xlfn.AGGREGATE(15,6,$C$3:$C$53,ROW('Production Matrix'!#REF!)),"")</f>
        <v/>
      </c>
      <c r="E516" s="11" t="str">
        <f t="shared" si="16"/>
        <v/>
      </c>
      <c r="F516" s="12">
        <f>IFERROR(INDEX('Production Matrix'!$B:$B,E516,0),0)</f>
        <v>0</v>
      </c>
    </row>
    <row r="517" spans="3:6">
      <c r="C517" s="11" t="e">
        <f>IF(1*('Production Matrix'!A:A="تكلفة انتاج الوحدة")*ROW('Production Matrix'!#REF!)=0,1/0,1*('Production Matrix'!A:A="تكلفة انتاج الوحدة")*ROW('Production Matrix'!#REF!))</f>
        <v>#REF!</v>
      </c>
      <c r="D517" s="11" t="str">
        <f>IFERROR(_xlfn.AGGREGATE(15,6,$C$3:$C$53,ROW('Production Matrix'!#REF!)),"")</f>
        <v/>
      </c>
      <c r="E517" s="11" t="str">
        <f t="shared" si="16"/>
        <v/>
      </c>
      <c r="F517" s="12">
        <f>IFERROR(INDEX('Production Matrix'!$B:$B,E517,0),0)</f>
        <v>0</v>
      </c>
    </row>
    <row r="518" spans="3:6">
      <c r="C518" s="11" t="e">
        <f>IF(1*('Production Matrix'!A:A="تكلفة انتاج الوحدة")*ROW('Production Matrix'!#REF!)=0,1/0,1*('Production Matrix'!A:A="تكلفة انتاج الوحدة")*ROW('Production Matrix'!#REF!))</f>
        <v>#REF!</v>
      </c>
      <c r="D518" s="11" t="str">
        <f>IFERROR(_xlfn.AGGREGATE(15,6,$C$3:$C$53,ROW('Production Matrix'!#REF!)),"")</f>
        <v/>
      </c>
      <c r="E518" s="11" t="str">
        <f t="shared" si="16"/>
        <v/>
      </c>
      <c r="F518" s="12">
        <f>IFERROR(INDEX('Production Matrix'!$B:$B,E518,0),0)</f>
        <v>0</v>
      </c>
    </row>
    <row r="519" spans="3:6">
      <c r="C519" s="11" t="e">
        <f>IF(1*('Production Matrix'!A:A="تكلفة انتاج الوحدة")*ROW('Production Matrix'!#REF!)=0,1/0,1*('Production Matrix'!A:A="تكلفة انتاج الوحدة")*ROW('Production Matrix'!#REF!))</f>
        <v>#REF!</v>
      </c>
      <c r="D519" s="11" t="str">
        <f>IFERROR(_xlfn.AGGREGATE(15,6,$C$3:$C$53,ROW('Production Matrix'!#REF!)),"")</f>
        <v/>
      </c>
      <c r="E519" s="11" t="str">
        <f t="shared" ref="E519:E582" si="17">IFERROR(D519+3,"")</f>
        <v/>
      </c>
      <c r="F519" s="12">
        <f>IFERROR(INDEX('Production Matrix'!$B:$B,E519,0),0)</f>
        <v>0</v>
      </c>
    </row>
    <row r="520" spans="3:6">
      <c r="C520" s="11" t="e">
        <f>IF(1*('Production Matrix'!A:A="تكلفة انتاج الوحدة")*ROW('Production Matrix'!#REF!)=0,1/0,1*('Production Matrix'!A:A="تكلفة انتاج الوحدة")*ROW('Production Matrix'!#REF!))</f>
        <v>#REF!</v>
      </c>
      <c r="D520" s="11" t="str">
        <f>IFERROR(_xlfn.AGGREGATE(15,6,$C$3:$C$53,ROW('Production Matrix'!#REF!)),"")</f>
        <v/>
      </c>
      <c r="E520" s="11" t="str">
        <f t="shared" si="17"/>
        <v/>
      </c>
      <c r="F520" s="12">
        <f>IFERROR(INDEX('Production Matrix'!$B:$B,E520,0),0)</f>
        <v>0</v>
      </c>
    </row>
    <row r="521" spans="3:6">
      <c r="C521" s="11" t="e">
        <f>IF(1*('Production Matrix'!A:A="تكلفة انتاج الوحدة")*ROW('Production Matrix'!#REF!)=0,1/0,1*('Production Matrix'!A:A="تكلفة انتاج الوحدة")*ROW('Production Matrix'!#REF!))</f>
        <v>#REF!</v>
      </c>
      <c r="D521" s="11" t="str">
        <f>IFERROR(_xlfn.AGGREGATE(15,6,$C$3:$C$53,ROW('Production Matrix'!#REF!)),"")</f>
        <v/>
      </c>
      <c r="E521" s="11" t="str">
        <f t="shared" si="17"/>
        <v/>
      </c>
      <c r="F521" s="12">
        <f>IFERROR(INDEX('Production Matrix'!$B:$B,E521,0),0)</f>
        <v>0</v>
      </c>
    </row>
    <row r="522" spans="3:6">
      <c r="C522" s="11" t="e">
        <f>IF(1*('Production Matrix'!A:A="تكلفة انتاج الوحدة")*ROW('Production Matrix'!#REF!)=0,1/0,1*('Production Matrix'!A:A="تكلفة انتاج الوحدة")*ROW('Production Matrix'!#REF!))</f>
        <v>#REF!</v>
      </c>
      <c r="D522" s="11" t="str">
        <f>IFERROR(_xlfn.AGGREGATE(15,6,$C$3:$C$53,ROW('Production Matrix'!#REF!)),"")</f>
        <v/>
      </c>
      <c r="E522" s="11" t="str">
        <f t="shared" si="17"/>
        <v/>
      </c>
      <c r="F522" s="12">
        <f>IFERROR(INDEX('Production Matrix'!$B:$B,E522,0),0)</f>
        <v>0</v>
      </c>
    </row>
    <row r="523" spans="3:6">
      <c r="C523" s="11" t="e">
        <f>IF(1*('Production Matrix'!A:A="تكلفة انتاج الوحدة")*ROW('Production Matrix'!#REF!)=0,1/0,1*('Production Matrix'!A:A="تكلفة انتاج الوحدة")*ROW('Production Matrix'!#REF!))</f>
        <v>#REF!</v>
      </c>
      <c r="D523" s="11" t="str">
        <f>IFERROR(_xlfn.AGGREGATE(15,6,$C$3:$C$53,ROW('Production Matrix'!#REF!)),"")</f>
        <v/>
      </c>
      <c r="E523" s="11" t="str">
        <f t="shared" si="17"/>
        <v/>
      </c>
      <c r="F523" s="12">
        <f>IFERROR(INDEX('Production Matrix'!$B:$B,E523,0),0)</f>
        <v>0</v>
      </c>
    </row>
    <row r="524" spans="3:6">
      <c r="C524" s="11" t="e">
        <f>IF(1*('Production Matrix'!A:A="تكلفة انتاج الوحدة")*ROW('Production Matrix'!#REF!)=0,1/0,1*('Production Matrix'!A:A="تكلفة انتاج الوحدة")*ROW('Production Matrix'!#REF!))</f>
        <v>#REF!</v>
      </c>
      <c r="D524" s="11" t="str">
        <f>IFERROR(_xlfn.AGGREGATE(15,6,$C$3:$C$53,ROW('Production Matrix'!#REF!)),"")</f>
        <v/>
      </c>
      <c r="E524" s="11" t="str">
        <f t="shared" si="17"/>
        <v/>
      </c>
      <c r="F524" s="12">
        <f>IFERROR(INDEX('Production Matrix'!$B:$B,E524,0),0)</f>
        <v>0</v>
      </c>
    </row>
    <row r="525" spans="3:6">
      <c r="C525" s="11" t="e">
        <f>IF(1*('Production Matrix'!A:A="تكلفة انتاج الوحدة")*ROW('Production Matrix'!#REF!)=0,1/0,1*('Production Matrix'!A:A="تكلفة انتاج الوحدة")*ROW('Production Matrix'!#REF!))</f>
        <v>#REF!</v>
      </c>
      <c r="D525" s="11" t="str">
        <f>IFERROR(_xlfn.AGGREGATE(15,6,$C$3:$C$53,ROW('Production Matrix'!#REF!)),"")</f>
        <v/>
      </c>
      <c r="E525" s="11" t="str">
        <f t="shared" si="17"/>
        <v/>
      </c>
      <c r="F525" s="12">
        <f>IFERROR(INDEX('Production Matrix'!$B:$B,E525,0),0)</f>
        <v>0</v>
      </c>
    </row>
    <row r="526" spans="3:6">
      <c r="C526" s="11" t="e">
        <f>IF(1*('Production Matrix'!A:A="تكلفة انتاج الوحدة")*ROW('Production Matrix'!#REF!)=0,1/0,1*('Production Matrix'!A:A="تكلفة انتاج الوحدة")*ROW('Production Matrix'!#REF!))</f>
        <v>#REF!</v>
      </c>
      <c r="D526" s="11" t="str">
        <f>IFERROR(_xlfn.AGGREGATE(15,6,$C$3:$C$53,ROW('Production Matrix'!#REF!)),"")</f>
        <v/>
      </c>
      <c r="E526" s="11" t="str">
        <f t="shared" si="17"/>
        <v/>
      </c>
      <c r="F526" s="12">
        <f>IFERROR(INDEX('Production Matrix'!$B:$B,E526,0),0)</f>
        <v>0</v>
      </c>
    </row>
    <row r="527" spans="3:6">
      <c r="C527" s="11" t="e">
        <f>IF(1*('Production Matrix'!A:A="تكلفة انتاج الوحدة")*ROW('Production Matrix'!#REF!)=0,1/0,1*('Production Matrix'!A:A="تكلفة انتاج الوحدة")*ROW('Production Matrix'!#REF!))</f>
        <v>#REF!</v>
      </c>
      <c r="D527" s="11" t="str">
        <f>IFERROR(_xlfn.AGGREGATE(15,6,$C$3:$C$53,ROW('Production Matrix'!#REF!)),"")</f>
        <v/>
      </c>
      <c r="E527" s="11" t="str">
        <f t="shared" si="17"/>
        <v/>
      </c>
      <c r="F527" s="12">
        <f>IFERROR(INDEX('Production Matrix'!$B:$B,E527,0),0)</f>
        <v>0</v>
      </c>
    </row>
    <row r="528" spans="3:6">
      <c r="C528" s="11" t="e">
        <f>IF(1*('Production Matrix'!A:A="تكلفة انتاج الوحدة")*ROW('Production Matrix'!#REF!)=0,1/0,1*('Production Matrix'!A:A="تكلفة انتاج الوحدة")*ROW('Production Matrix'!#REF!))</f>
        <v>#REF!</v>
      </c>
      <c r="D528" s="11" t="str">
        <f>IFERROR(_xlfn.AGGREGATE(15,6,$C$3:$C$53,ROW('Production Matrix'!#REF!)),"")</f>
        <v/>
      </c>
      <c r="E528" s="11" t="str">
        <f t="shared" si="17"/>
        <v/>
      </c>
      <c r="F528" s="12">
        <f>IFERROR(INDEX('Production Matrix'!$B:$B,E528,0),0)</f>
        <v>0</v>
      </c>
    </row>
    <row r="529" spans="3:6">
      <c r="C529" s="11" t="e">
        <f>IF(1*('Production Matrix'!A:A="تكلفة انتاج الوحدة")*ROW('Production Matrix'!#REF!)=0,1/0,1*('Production Matrix'!A:A="تكلفة انتاج الوحدة")*ROW('Production Matrix'!#REF!))</f>
        <v>#REF!</v>
      </c>
      <c r="D529" s="11" t="str">
        <f>IFERROR(_xlfn.AGGREGATE(15,6,$C$3:$C$53,ROW('Production Matrix'!#REF!)),"")</f>
        <v/>
      </c>
      <c r="E529" s="11" t="str">
        <f t="shared" si="17"/>
        <v/>
      </c>
      <c r="F529" s="12">
        <f>IFERROR(INDEX('Production Matrix'!$B:$B,E529,0),0)</f>
        <v>0</v>
      </c>
    </row>
    <row r="530" spans="3:6">
      <c r="C530" s="11" t="e">
        <f>IF(1*('Production Matrix'!A:A="تكلفة انتاج الوحدة")*ROW('Production Matrix'!#REF!)=0,1/0,1*('Production Matrix'!A:A="تكلفة انتاج الوحدة")*ROW('Production Matrix'!#REF!))</f>
        <v>#REF!</v>
      </c>
      <c r="D530" s="11" t="str">
        <f>IFERROR(_xlfn.AGGREGATE(15,6,$C$3:$C$53,ROW('Production Matrix'!#REF!)),"")</f>
        <v/>
      </c>
      <c r="E530" s="11" t="str">
        <f t="shared" si="17"/>
        <v/>
      </c>
      <c r="F530" s="12">
        <f>IFERROR(INDEX('Production Matrix'!$B:$B,E530,0),0)</f>
        <v>0</v>
      </c>
    </row>
    <row r="531" spans="3:6">
      <c r="C531" s="11" t="e">
        <f>IF(1*('Production Matrix'!A:A="تكلفة انتاج الوحدة")*ROW('Production Matrix'!#REF!)=0,1/0,1*('Production Matrix'!A:A="تكلفة انتاج الوحدة")*ROW('Production Matrix'!#REF!))</f>
        <v>#REF!</v>
      </c>
      <c r="D531" s="11" t="str">
        <f>IFERROR(_xlfn.AGGREGATE(15,6,$C$3:$C$53,ROW('Production Matrix'!#REF!)),"")</f>
        <v/>
      </c>
      <c r="E531" s="11" t="str">
        <f t="shared" si="17"/>
        <v/>
      </c>
      <c r="F531" s="12">
        <f>IFERROR(INDEX('Production Matrix'!$B:$B,E531,0),0)</f>
        <v>0</v>
      </c>
    </row>
    <row r="532" spans="3:6">
      <c r="C532" s="11" t="e">
        <f>IF(1*('Production Matrix'!A:A="تكلفة انتاج الوحدة")*ROW('Production Matrix'!#REF!)=0,1/0,1*('Production Matrix'!A:A="تكلفة انتاج الوحدة")*ROW('Production Matrix'!#REF!))</f>
        <v>#REF!</v>
      </c>
      <c r="D532" s="11" t="str">
        <f>IFERROR(_xlfn.AGGREGATE(15,6,$C$3:$C$53,ROW('Production Matrix'!#REF!)),"")</f>
        <v/>
      </c>
      <c r="E532" s="11" t="str">
        <f t="shared" si="17"/>
        <v/>
      </c>
      <c r="F532" s="12">
        <f>IFERROR(INDEX('Production Matrix'!$B:$B,E532,0),0)</f>
        <v>0</v>
      </c>
    </row>
    <row r="533" spans="3:6">
      <c r="C533" s="11" t="e">
        <f>IF(1*('Production Matrix'!A:A="تكلفة انتاج الوحدة")*ROW('Production Matrix'!#REF!)=0,1/0,1*('Production Matrix'!A:A="تكلفة انتاج الوحدة")*ROW('Production Matrix'!#REF!))</f>
        <v>#REF!</v>
      </c>
      <c r="D533" s="11" t="str">
        <f>IFERROR(_xlfn.AGGREGATE(15,6,$C$3:$C$53,ROW('Production Matrix'!#REF!)),"")</f>
        <v/>
      </c>
      <c r="E533" s="11" t="str">
        <f t="shared" si="17"/>
        <v/>
      </c>
      <c r="F533" s="12">
        <f>IFERROR(INDEX('Production Matrix'!$B:$B,E533,0),0)</f>
        <v>0</v>
      </c>
    </row>
    <row r="534" spans="3:6">
      <c r="C534" s="11" t="e">
        <f>IF(1*('Production Matrix'!A:A="تكلفة انتاج الوحدة")*ROW('Production Matrix'!#REF!)=0,1/0,1*('Production Matrix'!A:A="تكلفة انتاج الوحدة")*ROW('Production Matrix'!#REF!))</f>
        <v>#REF!</v>
      </c>
      <c r="D534" s="11" t="str">
        <f>IFERROR(_xlfn.AGGREGATE(15,6,$C$3:$C$53,ROW('Production Matrix'!#REF!)),"")</f>
        <v/>
      </c>
      <c r="E534" s="11" t="str">
        <f t="shared" si="17"/>
        <v/>
      </c>
      <c r="F534" s="12">
        <f>IFERROR(INDEX('Production Matrix'!$B:$B,E534,0),0)</f>
        <v>0</v>
      </c>
    </row>
    <row r="535" spans="3:6">
      <c r="C535" s="11" t="e">
        <f>IF(1*('Production Matrix'!A:A="تكلفة انتاج الوحدة")*ROW('Production Matrix'!#REF!)=0,1/0,1*('Production Matrix'!A:A="تكلفة انتاج الوحدة")*ROW('Production Matrix'!#REF!))</f>
        <v>#REF!</v>
      </c>
      <c r="D535" s="11" t="str">
        <f>IFERROR(_xlfn.AGGREGATE(15,6,$C$3:$C$53,ROW('Production Matrix'!#REF!)),"")</f>
        <v/>
      </c>
      <c r="E535" s="11" t="str">
        <f t="shared" si="17"/>
        <v/>
      </c>
      <c r="F535" s="12">
        <f>IFERROR(INDEX('Production Matrix'!$B:$B,E535,0),0)</f>
        <v>0</v>
      </c>
    </row>
    <row r="536" spans="3:6">
      <c r="C536" s="11" t="e">
        <f>IF(1*('Production Matrix'!A:A="تكلفة انتاج الوحدة")*ROW('Production Matrix'!#REF!)=0,1/0,1*('Production Matrix'!A:A="تكلفة انتاج الوحدة")*ROW('Production Matrix'!#REF!))</f>
        <v>#REF!</v>
      </c>
      <c r="D536" s="11" t="str">
        <f>IFERROR(_xlfn.AGGREGATE(15,6,$C$3:$C$53,ROW('Production Matrix'!#REF!)),"")</f>
        <v/>
      </c>
      <c r="E536" s="11" t="str">
        <f t="shared" si="17"/>
        <v/>
      </c>
      <c r="F536" s="12">
        <f>IFERROR(INDEX('Production Matrix'!$B:$B,E536,0),0)</f>
        <v>0</v>
      </c>
    </row>
    <row r="537" spans="3:6">
      <c r="C537" s="11" t="e">
        <f>IF(1*('Production Matrix'!A:A="تكلفة انتاج الوحدة")*ROW('Production Matrix'!#REF!)=0,1/0,1*('Production Matrix'!A:A="تكلفة انتاج الوحدة")*ROW('Production Matrix'!#REF!))</f>
        <v>#REF!</v>
      </c>
      <c r="D537" s="11" t="str">
        <f>IFERROR(_xlfn.AGGREGATE(15,6,$C$3:$C$53,ROW('Production Matrix'!#REF!)),"")</f>
        <v/>
      </c>
      <c r="E537" s="11" t="str">
        <f t="shared" si="17"/>
        <v/>
      </c>
      <c r="F537" s="12">
        <f>IFERROR(INDEX('Production Matrix'!$B:$B,E537,0),0)</f>
        <v>0</v>
      </c>
    </row>
    <row r="538" spans="3:6">
      <c r="C538" s="11" t="e">
        <f>IF(1*('Production Matrix'!A:A="تكلفة انتاج الوحدة")*ROW('Production Matrix'!#REF!)=0,1/0,1*('Production Matrix'!A:A="تكلفة انتاج الوحدة")*ROW('Production Matrix'!#REF!))</f>
        <v>#REF!</v>
      </c>
      <c r="D538" s="11" t="str">
        <f>IFERROR(_xlfn.AGGREGATE(15,6,$C$3:$C$53,ROW('Production Matrix'!#REF!)),"")</f>
        <v/>
      </c>
      <c r="E538" s="11" t="str">
        <f t="shared" si="17"/>
        <v/>
      </c>
      <c r="F538" s="12">
        <f>IFERROR(INDEX('Production Matrix'!$B:$B,E538,0),0)</f>
        <v>0</v>
      </c>
    </row>
    <row r="539" spans="3:6">
      <c r="C539" s="11" t="e">
        <f>IF(1*('Production Matrix'!A:A="تكلفة انتاج الوحدة")*ROW('Production Matrix'!#REF!)=0,1/0,1*('Production Matrix'!A:A="تكلفة انتاج الوحدة")*ROW('Production Matrix'!#REF!))</f>
        <v>#REF!</v>
      </c>
      <c r="D539" s="11" t="str">
        <f>IFERROR(_xlfn.AGGREGATE(15,6,$C$3:$C$53,ROW('Production Matrix'!#REF!)),"")</f>
        <v/>
      </c>
      <c r="E539" s="11" t="str">
        <f t="shared" si="17"/>
        <v/>
      </c>
      <c r="F539" s="12">
        <f>IFERROR(INDEX('Production Matrix'!$B:$B,E539,0),0)</f>
        <v>0</v>
      </c>
    </row>
    <row r="540" spans="3:6">
      <c r="C540" s="11" t="e">
        <f>IF(1*('Production Matrix'!A:A="تكلفة انتاج الوحدة")*ROW('Production Matrix'!#REF!)=0,1/0,1*('Production Matrix'!A:A="تكلفة انتاج الوحدة")*ROW('Production Matrix'!#REF!))</f>
        <v>#REF!</v>
      </c>
      <c r="D540" s="11" t="str">
        <f>IFERROR(_xlfn.AGGREGATE(15,6,$C$3:$C$53,ROW('Production Matrix'!#REF!)),"")</f>
        <v/>
      </c>
      <c r="E540" s="11" t="str">
        <f t="shared" si="17"/>
        <v/>
      </c>
      <c r="F540" s="12">
        <f>IFERROR(INDEX('Production Matrix'!$B:$B,E540,0),0)</f>
        <v>0</v>
      </c>
    </row>
    <row r="541" spans="3:6">
      <c r="C541" s="11" t="e">
        <f>IF(1*('Production Matrix'!A:A="تكلفة انتاج الوحدة")*ROW('Production Matrix'!#REF!)=0,1/0,1*('Production Matrix'!A:A="تكلفة انتاج الوحدة")*ROW('Production Matrix'!#REF!))</f>
        <v>#REF!</v>
      </c>
      <c r="D541" s="11" t="str">
        <f>IFERROR(_xlfn.AGGREGATE(15,6,$C$3:$C$53,ROW('Production Matrix'!#REF!)),"")</f>
        <v/>
      </c>
      <c r="E541" s="11" t="str">
        <f t="shared" si="17"/>
        <v/>
      </c>
      <c r="F541" s="12">
        <f>IFERROR(INDEX('Production Matrix'!$B:$B,E541,0),0)</f>
        <v>0</v>
      </c>
    </row>
    <row r="542" spans="3:6">
      <c r="C542" s="11" t="e">
        <f>IF(1*('Production Matrix'!A:A="تكلفة انتاج الوحدة")*ROW('Production Matrix'!#REF!)=0,1/0,1*('Production Matrix'!A:A="تكلفة انتاج الوحدة")*ROW('Production Matrix'!#REF!))</f>
        <v>#REF!</v>
      </c>
      <c r="D542" s="11" t="str">
        <f>IFERROR(_xlfn.AGGREGATE(15,6,$C$3:$C$53,ROW('Production Matrix'!#REF!)),"")</f>
        <v/>
      </c>
      <c r="E542" s="11" t="str">
        <f t="shared" si="17"/>
        <v/>
      </c>
      <c r="F542" s="12">
        <f>IFERROR(INDEX('Production Matrix'!$B:$B,E542,0),0)</f>
        <v>0</v>
      </c>
    </row>
    <row r="543" spans="3:6">
      <c r="C543" s="11" t="e">
        <f>IF(1*('Production Matrix'!A:A="تكلفة انتاج الوحدة")*ROW('Production Matrix'!#REF!)=0,1/0,1*('Production Matrix'!A:A="تكلفة انتاج الوحدة")*ROW('Production Matrix'!#REF!))</f>
        <v>#REF!</v>
      </c>
      <c r="D543" s="11" t="str">
        <f>IFERROR(_xlfn.AGGREGATE(15,6,$C$3:$C$53,ROW('Production Matrix'!#REF!)),"")</f>
        <v/>
      </c>
      <c r="E543" s="11" t="str">
        <f t="shared" si="17"/>
        <v/>
      </c>
      <c r="F543" s="12">
        <f>IFERROR(INDEX('Production Matrix'!$B:$B,E543,0),0)</f>
        <v>0</v>
      </c>
    </row>
    <row r="544" spans="3:6">
      <c r="C544" s="11" t="e">
        <f>IF(1*('Production Matrix'!A:A="تكلفة انتاج الوحدة")*ROW('Production Matrix'!#REF!)=0,1/0,1*('Production Matrix'!A:A="تكلفة انتاج الوحدة")*ROW('Production Matrix'!#REF!))</f>
        <v>#REF!</v>
      </c>
      <c r="D544" s="11" t="str">
        <f>IFERROR(_xlfn.AGGREGATE(15,6,$C$3:$C$53,ROW('Production Matrix'!#REF!)),"")</f>
        <v/>
      </c>
      <c r="E544" s="11" t="str">
        <f t="shared" si="17"/>
        <v/>
      </c>
      <c r="F544" s="12">
        <f>IFERROR(INDEX('Production Matrix'!$B:$B,E544,0),0)</f>
        <v>0</v>
      </c>
    </row>
    <row r="545" spans="3:6">
      <c r="C545" s="11" t="e">
        <f>IF(1*('Production Matrix'!A:A="تكلفة انتاج الوحدة")*ROW('Production Matrix'!#REF!)=0,1/0,1*('Production Matrix'!A:A="تكلفة انتاج الوحدة")*ROW('Production Matrix'!#REF!))</f>
        <v>#REF!</v>
      </c>
      <c r="D545" s="11" t="str">
        <f>IFERROR(_xlfn.AGGREGATE(15,6,$C$3:$C$53,ROW('Production Matrix'!#REF!)),"")</f>
        <v/>
      </c>
      <c r="E545" s="11" t="str">
        <f t="shared" si="17"/>
        <v/>
      </c>
      <c r="F545" s="12">
        <f>IFERROR(INDEX('Production Matrix'!$B:$B,E545,0),0)</f>
        <v>0</v>
      </c>
    </row>
    <row r="546" spans="3:6">
      <c r="C546" s="11" t="e">
        <f>IF(1*('Production Matrix'!A:A="تكلفة انتاج الوحدة")*ROW('Production Matrix'!#REF!)=0,1/0,1*('Production Matrix'!A:A="تكلفة انتاج الوحدة")*ROW('Production Matrix'!#REF!))</f>
        <v>#REF!</v>
      </c>
      <c r="D546" s="11" t="str">
        <f>IFERROR(_xlfn.AGGREGATE(15,6,$C$3:$C$53,ROW('Production Matrix'!#REF!)),"")</f>
        <v/>
      </c>
      <c r="E546" s="11" t="str">
        <f t="shared" si="17"/>
        <v/>
      </c>
      <c r="F546" s="12">
        <f>IFERROR(INDEX('Production Matrix'!$B:$B,E546,0),0)</f>
        <v>0</v>
      </c>
    </row>
    <row r="547" spans="3:6">
      <c r="C547" s="11" t="e">
        <f>IF(1*('Production Matrix'!A:A="تكلفة انتاج الوحدة")*ROW('Production Matrix'!#REF!)=0,1/0,1*('Production Matrix'!A:A="تكلفة انتاج الوحدة")*ROW('Production Matrix'!#REF!))</f>
        <v>#REF!</v>
      </c>
      <c r="D547" s="11" t="str">
        <f>IFERROR(_xlfn.AGGREGATE(15,6,$C$3:$C$53,ROW('Production Matrix'!#REF!)),"")</f>
        <v/>
      </c>
      <c r="E547" s="11" t="str">
        <f t="shared" si="17"/>
        <v/>
      </c>
      <c r="F547" s="12">
        <f>IFERROR(INDEX('Production Matrix'!$B:$B,E547,0),0)</f>
        <v>0</v>
      </c>
    </row>
    <row r="548" spans="3:6">
      <c r="C548" s="11" t="e">
        <f>IF(1*('Production Matrix'!A:A="تكلفة انتاج الوحدة")*ROW('Production Matrix'!#REF!)=0,1/0,1*('Production Matrix'!A:A="تكلفة انتاج الوحدة")*ROW('Production Matrix'!#REF!))</f>
        <v>#REF!</v>
      </c>
      <c r="D548" s="11" t="str">
        <f>IFERROR(_xlfn.AGGREGATE(15,6,$C$3:$C$53,ROW('Production Matrix'!#REF!)),"")</f>
        <v/>
      </c>
      <c r="E548" s="11" t="str">
        <f t="shared" si="17"/>
        <v/>
      </c>
      <c r="F548" s="12">
        <f>IFERROR(INDEX('Production Matrix'!$B:$B,E548,0),0)</f>
        <v>0</v>
      </c>
    </row>
    <row r="549" spans="3:6">
      <c r="C549" s="11" t="e">
        <f>IF(1*('Production Matrix'!A:A="تكلفة انتاج الوحدة")*ROW('Production Matrix'!#REF!)=0,1/0,1*('Production Matrix'!A:A="تكلفة انتاج الوحدة")*ROW('Production Matrix'!#REF!))</f>
        <v>#REF!</v>
      </c>
      <c r="D549" s="11" t="str">
        <f>IFERROR(_xlfn.AGGREGATE(15,6,$C$3:$C$53,ROW('Production Matrix'!#REF!)),"")</f>
        <v/>
      </c>
      <c r="E549" s="11" t="str">
        <f t="shared" si="17"/>
        <v/>
      </c>
      <c r="F549" s="12">
        <f>IFERROR(INDEX('Production Matrix'!$B:$B,E549,0),0)</f>
        <v>0</v>
      </c>
    </row>
    <row r="550" spans="3:6">
      <c r="C550" s="11" t="e">
        <f>IF(1*('Production Matrix'!A:A="تكلفة انتاج الوحدة")*ROW('Production Matrix'!#REF!)=0,1/0,1*('Production Matrix'!A:A="تكلفة انتاج الوحدة")*ROW('Production Matrix'!#REF!))</f>
        <v>#REF!</v>
      </c>
      <c r="D550" s="11" t="str">
        <f>IFERROR(_xlfn.AGGREGATE(15,6,$C$3:$C$53,ROW('Production Matrix'!#REF!)),"")</f>
        <v/>
      </c>
      <c r="E550" s="11" t="str">
        <f t="shared" si="17"/>
        <v/>
      </c>
      <c r="F550" s="12">
        <f>IFERROR(INDEX('Production Matrix'!$B:$B,E550,0),0)</f>
        <v>0</v>
      </c>
    </row>
    <row r="551" spans="3:6">
      <c r="C551" s="11" t="e">
        <f>IF(1*('Production Matrix'!A:A="تكلفة انتاج الوحدة")*ROW('Production Matrix'!#REF!)=0,1/0,1*('Production Matrix'!A:A="تكلفة انتاج الوحدة")*ROW('Production Matrix'!#REF!))</f>
        <v>#REF!</v>
      </c>
      <c r="D551" s="11" t="str">
        <f>IFERROR(_xlfn.AGGREGATE(15,6,$C$3:$C$53,ROW('Production Matrix'!#REF!)),"")</f>
        <v/>
      </c>
      <c r="E551" s="11" t="str">
        <f t="shared" si="17"/>
        <v/>
      </c>
      <c r="F551" s="12">
        <f>IFERROR(INDEX('Production Matrix'!$B:$B,E551,0),0)</f>
        <v>0</v>
      </c>
    </row>
    <row r="552" spans="3:6">
      <c r="C552" s="11" t="e">
        <f>IF(1*('Production Matrix'!A:A="تكلفة انتاج الوحدة")*ROW('Production Matrix'!#REF!)=0,1/0,1*('Production Matrix'!A:A="تكلفة انتاج الوحدة")*ROW('Production Matrix'!#REF!))</f>
        <v>#REF!</v>
      </c>
      <c r="D552" s="11" t="str">
        <f>IFERROR(_xlfn.AGGREGATE(15,6,$C$3:$C$53,ROW('Production Matrix'!#REF!)),"")</f>
        <v/>
      </c>
      <c r="E552" s="11" t="str">
        <f t="shared" si="17"/>
        <v/>
      </c>
      <c r="F552" s="12">
        <f>IFERROR(INDEX('Production Matrix'!$B:$B,E552,0),0)</f>
        <v>0</v>
      </c>
    </row>
    <row r="553" spans="3:6">
      <c r="C553" s="11" t="e">
        <f>IF(1*('Production Matrix'!A:A="تكلفة انتاج الوحدة")*ROW('Production Matrix'!#REF!)=0,1/0,1*('Production Matrix'!A:A="تكلفة انتاج الوحدة")*ROW('Production Matrix'!#REF!))</f>
        <v>#REF!</v>
      </c>
      <c r="D553" s="11" t="str">
        <f>IFERROR(_xlfn.AGGREGATE(15,6,$C$3:$C$53,ROW('Production Matrix'!#REF!)),"")</f>
        <v/>
      </c>
      <c r="E553" s="11" t="str">
        <f t="shared" si="17"/>
        <v/>
      </c>
      <c r="F553" s="12">
        <f>IFERROR(INDEX('Production Matrix'!$B:$B,E553,0),0)</f>
        <v>0</v>
      </c>
    </row>
    <row r="554" spans="3:6">
      <c r="C554" s="11" t="e">
        <f>IF(1*('Production Matrix'!A:A="تكلفة انتاج الوحدة")*ROW('Production Matrix'!#REF!)=0,1/0,1*('Production Matrix'!A:A="تكلفة انتاج الوحدة")*ROW('Production Matrix'!#REF!))</f>
        <v>#REF!</v>
      </c>
      <c r="D554" s="11" t="str">
        <f>IFERROR(_xlfn.AGGREGATE(15,6,$C$3:$C$53,ROW('Production Matrix'!#REF!)),"")</f>
        <v/>
      </c>
      <c r="E554" s="11" t="str">
        <f t="shared" si="17"/>
        <v/>
      </c>
      <c r="F554" s="12">
        <f>IFERROR(INDEX('Production Matrix'!$B:$B,E554,0),0)</f>
        <v>0</v>
      </c>
    </row>
    <row r="555" spans="3:6">
      <c r="C555" s="11" t="e">
        <f>IF(1*('Production Matrix'!A:A="تكلفة انتاج الوحدة")*ROW('Production Matrix'!#REF!)=0,1/0,1*('Production Matrix'!A:A="تكلفة انتاج الوحدة")*ROW('Production Matrix'!#REF!))</f>
        <v>#REF!</v>
      </c>
      <c r="D555" s="11" t="str">
        <f>IFERROR(_xlfn.AGGREGATE(15,6,$C$3:$C$53,ROW('Production Matrix'!#REF!)),"")</f>
        <v/>
      </c>
      <c r="E555" s="11" t="str">
        <f t="shared" si="17"/>
        <v/>
      </c>
      <c r="F555" s="12">
        <f>IFERROR(INDEX('Production Matrix'!$B:$B,E555,0),0)</f>
        <v>0</v>
      </c>
    </row>
    <row r="556" spans="3:6">
      <c r="C556" s="11" t="e">
        <f>IF(1*('Production Matrix'!A:A="تكلفة انتاج الوحدة")*ROW('Production Matrix'!#REF!)=0,1/0,1*('Production Matrix'!A:A="تكلفة انتاج الوحدة")*ROW('Production Matrix'!#REF!))</f>
        <v>#REF!</v>
      </c>
      <c r="D556" s="11" t="str">
        <f>IFERROR(_xlfn.AGGREGATE(15,6,$C$3:$C$53,ROW('Production Matrix'!#REF!)),"")</f>
        <v/>
      </c>
      <c r="E556" s="11" t="str">
        <f t="shared" si="17"/>
        <v/>
      </c>
      <c r="F556" s="12">
        <f>IFERROR(INDEX('Production Matrix'!$B:$B,E556,0),0)</f>
        <v>0</v>
      </c>
    </row>
    <row r="557" spans="3:6">
      <c r="C557" s="11" t="e">
        <f>IF(1*('Production Matrix'!A:A="تكلفة انتاج الوحدة")*ROW('Production Matrix'!#REF!)=0,1/0,1*('Production Matrix'!A:A="تكلفة انتاج الوحدة")*ROW('Production Matrix'!#REF!))</f>
        <v>#REF!</v>
      </c>
      <c r="D557" s="11" t="str">
        <f>IFERROR(_xlfn.AGGREGATE(15,6,$C$3:$C$53,ROW('Production Matrix'!#REF!)),"")</f>
        <v/>
      </c>
      <c r="E557" s="11" t="str">
        <f t="shared" si="17"/>
        <v/>
      </c>
      <c r="F557" s="12">
        <f>IFERROR(INDEX('Production Matrix'!$B:$B,E557,0),0)</f>
        <v>0</v>
      </c>
    </row>
    <row r="558" spans="3:6">
      <c r="C558" s="11" t="e">
        <f>IF(1*('Production Matrix'!A:A="تكلفة انتاج الوحدة")*ROW('Production Matrix'!#REF!)=0,1/0,1*('Production Matrix'!A:A="تكلفة انتاج الوحدة")*ROW('Production Matrix'!#REF!))</f>
        <v>#REF!</v>
      </c>
      <c r="D558" s="11" t="str">
        <f>IFERROR(_xlfn.AGGREGATE(15,6,$C$3:$C$53,ROW('Production Matrix'!#REF!)),"")</f>
        <v/>
      </c>
      <c r="E558" s="11" t="str">
        <f t="shared" si="17"/>
        <v/>
      </c>
      <c r="F558" s="12">
        <f>IFERROR(INDEX('Production Matrix'!$B:$B,E558,0),0)</f>
        <v>0</v>
      </c>
    </row>
    <row r="559" spans="3:6">
      <c r="C559" s="11" t="e">
        <f>IF(1*('Production Matrix'!A:A="تكلفة انتاج الوحدة")*ROW('Production Matrix'!#REF!)=0,1/0,1*('Production Matrix'!A:A="تكلفة انتاج الوحدة")*ROW('Production Matrix'!#REF!))</f>
        <v>#REF!</v>
      </c>
      <c r="D559" s="11" t="str">
        <f>IFERROR(_xlfn.AGGREGATE(15,6,$C$3:$C$53,ROW('Production Matrix'!#REF!)),"")</f>
        <v/>
      </c>
      <c r="E559" s="11" t="str">
        <f t="shared" si="17"/>
        <v/>
      </c>
      <c r="F559" s="12">
        <f>IFERROR(INDEX('Production Matrix'!$B:$B,E559,0),0)</f>
        <v>0</v>
      </c>
    </row>
    <row r="560" spans="3:6">
      <c r="C560" s="11" t="e">
        <f>IF(1*('Production Matrix'!A:A="تكلفة انتاج الوحدة")*ROW('Production Matrix'!#REF!)=0,1/0,1*('Production Matrix'!A:A="تكلفة انتاج الوحدة")*ROW('Production Matrix'!#REF!))</f>
        <v>#REF!</v>
      </c>
      <c r="D560" s="11" t="str">
        <f>IFERROR(_xlfn.AGGREGATE(15,6,$C$3:$C$53,ROW('Production Matrix'!#REF!)),"")</f>
        <v/>
      </c>
      <c r="E560" s="11" t="str">
        <f t="shared" si="17"/>
        <v/>
      </c>
      <c r="F560" s="12">
        <f>IFERROR(INDEX('Production Matrix'!$B:$B,E560,0),0)</f>
        <v>0</v>
      </c>
    </row>
    <row r="561" spans="3:6">
      <c r="C561" s="11" t="e">
        <f>IF(1*('Production Matrix'!A:A="تكلفة انتاج الوحدة")*ROW('Production Matrix'!#REF!)=0,1/0,1*('Production Matrix'!A:A="تكلفة انتاج الوحدة")*ROW('Production Matrix'!#REF!))</f>
        <v>#REF!</v>
      </c>
      <c r="D561" s="11" t="str">
        <f>IFERROR(_xlfn.AGGREGATE(15,6,$C$3:$C$53,ROW('Production Matrix'!#REF!)),"")</f>
        <v/>
      </c>
      <c r="E561" s="11" t="str">
        <f t="shared" si="17"/>
        <v/>
      </c>
      <c r="F561" s="12">
        <f>IFERROR(INDEX('Production Matrix'!$B:$B,E561,0),0)</f>
        <v>0</v>
      </c>
    </row>
    <row r="562" spans="3:6">
      <c r="C562" s="11" t="e">
        <f>IF(1*('Production Matrix'!A:A="تكلفة انتاج الوحدة")*ROW('Production Matrix'!#REF!)=0,1/0,1*('Production Matrix'!A:A="تكلفة انتاج الوحدة")*ROW('Production Matrix'!#REF!))</f>
        <v>#REF!</v>
      </c>
      <c r="D562" s="11" t="str">
        <f>IFERROR(_xlfn.AGGREGATE(15,6,$C$3:$C$53,ROW('Production Matrix'!#REF!)),"")</f>
        <v/>
      </c>
      <c r="E562" s="11" t="str">
        <f t="shared" si="17"/>
        <v/>
      </c>
      <c r="F562" s="12">
        <f>IFERROR(INDEX('Production Matrix'!$B:$B,E562,0),0)</f>
        <v>0</v>
      </c>
    </row>
    <row r="563" spans="3:6">
      <c r="C563" s="11" t="e">
        <f>IF(1*('Production Matrix'!A:A="تكلفة انتاج الوحدة")*ROW('Production Matrix'!#REF!)=0,1/0,1*('Production Matrix'!A:A="تكلفة انتاج الوحدة")*ROW('Production Matrix'!#REF!))</f>
        <v>#REF!</v>
      </c>
      <c r="D563" s="11" t="str">
        <f>IFERROR(_xlfn.AGGREGATE(15,6,$C$3:$C$53,ROW('Production Matrix'!#REF!)),"")</f>
        <v/>
      </c>
      <c r="E563" s="11" t="str">
        <f t="shared" si="17"/>
        <v/>
      </c>
      <c r="F563" s="12">
        <f>IFERROR(INDEX('Production Matrix'!$B:$B,E563,0),0)</f>
        <v>0</v>
      </c>
    </row>
    <row r="564" spans="3:6">
      <c r="C564" s="11" t="e">
        <f>IF(1*('Production Matrix'!A:A="تكلفة انتاج الوحدة")*ROW('Production Matrix'!#REF!)=0,1/0,1*('Production Matrix'!A:A="تكلفة انتاج الوحدة")*ROW('Production Matrix'!#REF!))</f>
        <v>#REF!</v>
      </c>
      <c r="D564" s="11" t="str">
        <f>IFERROR(_xlfn.AGGREGATE(15,6,$C$3:$C$53,ROW('Production Matrix'!#REF!)),"")</f>
        <v/>
      </c>
      <c r="E564" s="11" t="str">
        <f t="shared" si="17"/>
        <v/>
      </c>
      <c r="F564" s="12">
        <f>IFERROR(INDEX('Production Matrix'!$B:$B,E564,0),0)</f>
        <v>0</v>
      </c>
    </row>
    <row r="565" spans="3:6">
      <c r="C565" s="11" t="e">
        <f>IF(1*('Production Matrix'!A:A="تكلفة انتاج الوحدة")*ROW('Production Matrix'!#REF!)=0,1/0,1*('Production Matrix'!A:A="تكلفة انتاج الوحدة")*ROW('Production Matrix'!#REF!))</f>
        <v>#REF!</v>
      </c>
      <c r="D565" s="11" t="str">
        <f>IFERROR(_xlfn.AGGREGATE(15,6,$C$3:$C$53,ROW('Production Matrix'!#REF!)),"")</f>
        <v/>
      </c>
      <c r="E565" s="11" t="str">
        <f t="shared" si="17"/>
        <v/>
      </c>
      <c r="F565" s="12">
        <f>IFERROR(INDEX('Production Matrix'!$B:$B,E565,0),0)</f>
        <v>0</v>
      </c>
    </row>
    <row r="566" spans="3:6">
      <c r="C566" s="11" t="e">
        <f>IF(1*('Production Matrix'!A:A="تكلفة انتاج الوحدة")*ROW('Production Matrix'!#REF!)=0,1/0,1*('Production Matrix'!A:A="تكلفة انتاج الوحدة")*ROW('Production Matrix'!#REF!))</f>
        <v>#REF!</v>
      </c>
      <c r="D566" s="11" t="str">
        <f>IFERROR(_xlfn.AGGREGATE(15,6,$C$3:$C$53,ROW('Production Matrix'!#REF!)),"")</f>
        <v/>
      </c>
      <c r="E566" s="11" t="str">
        <f t="shared" si="17"/>
        <v/>
      </c>
      <c r="F566" s="12">
        <f>IFERROR(INDEX('Production Matrix'!$B:$B,E566,0),0)</f>
        <v>0</v>
      </c>
    </row>
    <row r="567" spans="3:6">
      <c r="C567" s="11" t="e">
        <f>IF(1*('Production Matrix'!A:A="تكلفة انتاج الوحدة")*ROW('Production Matrix'!#REF!)=0,1/0,1*('Production Matrix'!A:A="تكلفة انتاج الوحدة")*ROW('Production Matrix'!#REF!))</f>
        <v>#REF!</v>
      </c>
      <c r="D567" s="11" t="str">
        <f>IFERROR(_xlfn.AGGREGATE(15,6,$C$3:$C$53,ROW('Production Matrix'!#REF!)),"")</f>
        <v/>
      </c>
      <c r="E567" s="11" t="str">
        <f t="shared" si="17"/>
        <v/>
      </c>
      <c r="F567" s="12">
        <f>IFERROR(INDEX('Production Matrix'!$B:$B,E567,0),0)</f>
        <v>0</v>
      </c>
    </row>
    <row r="568" spans="3:6">
      <c r="C568" s="11" t="e">
        <f>IF(1*('Production Matrix'!A:A="تكلفة انتاج الوحدة")*ROW('Production Matrix'!#REF!)=0,1/0,1*('Production Matrix'!A:A="تكلفة انتاج الوحدة")*ROW('Production Matrix'!#REF!))</f>
        <v>#REF!</v>
      </c>
      <c r="D568" s="11" t="str">
        <f>IFERROR(_xlfn.AGGREGATE(15,6,$C$3:$C$53,ROW('Production Matrix'!#REF!)),"")</f>
        <v/>
      </c>
      <c r="E568" s="11" t="str">
        <f t="shared" si="17"/>
        <v/>
      </c>
      <c r="F568" s="12">
        <f>IFERROR(INDEX('Production Matrix'!$B:$B,E568,0),0)</f>
        <v>0</v>
      </c>
    </row>
    <row r="569" spans="3:6">
      <c r="C569" s="11" t="e">
        <f>IF(1*('Production Matrix'!A:A="تكلفة انتاج الوحدة")*ROW('Production Matrix'!#REF!)=0,1/0,1*('Production Matrix'!A:A="تكلفة انتاج الوحدة")*ROW('Production Matrix'!#REF!))</f>
        <v>#REF!</v>
      </c>
      <c r="D569" s="11" t="str">
        <f>IFERROR(_xlfn.AGGREGATE(15,6,$C$3:$C$53,ROW('Production Matrix'!#REF!)),"")</f>
        <v/>
      </c>
      <c r="E569" s="11" t="str">
        <f t="shared" si="17"/>
        <v/>
      </c>
      <c r="F569" s="12">
        <f>IFERROR(INDEX('Production Matrix'!$B:$B,E569,0),0)</f>
        <v>0</v>
      </c>
    </row>
    <row r="570" spans="3:6">
      <c r="C570" s="11" t="e">
        <f>IF(1*('Production Matrix'!A:A="تكلفة انتاج الوحدة")*ROW('Production Matrix'!#REF!)=0,1/0,1*('Production Matrix'!A:A="تكلفة انتاج الوحدة")*ROW('Production Matrix'!#REF!))</f>
        <v>#REF!</v>
      </c>
      <c r="D570" s="11" t="str">
        <f>IFERROR(_xlfn.AGGREGATE(15,6,$C$3:$C$53,ROW('Production Matrix'!#REF!)),"")</f>
        <v/>
      </c>
      <c r="E570" s="11" t="str">
        <f t="shared" si="17"/>
        <v/>
      </c>
      <c r="F570" s="12">
        <f>IFERROR(INDEX('Production Matrix'!$B:$B,E570,0),0)</f>
        <v>0</v>
      </c>
    </row>
    <row r="571" spans="3:6">
      <c r="C571" s="11" t="e">
        <f>IF(1*('Production Matrix'!A:A="تكلفة انتاج الوحدة")*ROW('Production Matrix'!#REF!)=0,1/0,1*('Production Matrix'!A:A="تكلفة انتاج الوحدة")*ROW('Production Matrix'!#REF!))</f>
        <v>#REF!</v>
      </c>
      <c r="D571" s="11" t="str">
        <f>IFERROR(_xlfn.AGGREGATE(15,6,$C$3:$C$53,ROW('Production Matrix'!#REF!)),"")</f>
        <v/>
      </c>
      <c r="E571" s="11" t="str">
        <f t="shared" si="17"/>
        <v/>
      </c>
      <c r="F571" s="12">
        <f>IFERROR(INDEX('Production Matrix'!$B:$B,E571,0),0)</f>
        <v>0</v>
      </c>
    </row>
    <row r="572" spans="3:6">
      <c r="C572" s="11" t="e">
        <f>IF(1*('Production Matrix'!A:A="تكلفة انتاج الوحدة")*ROW('Production Matrix'!#REF!)=0,1/0,1*('Production Matrix'!A:A="تكلفة انتاج الوحدة")*ROW('Production Matrix'!#REF!))</f>
        <v>#REF!</v>
      </c>
      <c r="D572" s="11" t="str">
        <f>IFERROR(_xlfn.AGGREGATE(15,6,$C$3:$C$53,ROW('Production Matrix'!#REF!)),"")</f>
        <v/>
      </c>
      <c r="E572" s="11" t="str">
        <f t="shared" si="17"/>
        <v/>
      </c>
      <c r="F572" s="12">
        <f>IFERROR(INDEX('Production Matrix'!$B:$B,E572,0),0)</f>
        <v>0</v>
      </c>
    </row>
    <row r="573" spans="3:6">
      <c r="C573" s="11" t="e">
        <f>IF(1*('Production Matrix'!A:A="تكلفة انتاج الوحدة")*ROW('Production Matrix'!#REF!)=0,1/0,1*('Production Matrix'!A:A="تكلفة انتاج الوحدة")*ROW('Production Matrix'!#REF!))</f>
        <v>#REF!</v>
      </c>
      <c r="D573" s="11" t="str">
        <f>IFERROR(_xlfn.AGGREGATE(15,6,$C$3:$C$53,ROW('Production Matrix'!#REF!)),"")</f>
        <v/>
      </c>
      <c r="E573" s="11" t="str">
        <f t="shared" si="17"/>
        <v/>
      </c>
      <c r="F573" s="12">
        <f>IFERROR(INDEX('Production Matrix'!$B:$B,E573,0),0)</f>
        <v>0</v>
      </c>
    </row>
    <row r="574" spans="3:6">
      <c r="C574" s="11" t="e">
        <f>IF(1*('Production Matrix'!A:A="تكلفة انتاج الوحدة")*ROW('Production Matrix'!#REF!)=0,1/0,1*('Production Matrix'!A:A="تكلفة انتاج الوحدة")*ROW('Production Matrix'!#REF!))</f>
        <v>#REF!</v>
      </c>
      <c r="D574" s="11" t="str">
        <f>IFERROR(_xlfn.AGGREGATE(15,6,$C$3:$C$53,ROW('Production Matrix'!#REF!)),"")</f>
        <v/>
      </c>
      <c r="E574" s="11" t="str">
        <f t="shared" si="17"/>
        <v/>
      </c>
      <c r="F574" s="12">
        <f>IFERROR(INDEX('Production Matrix'!$B:$B,E574,0),0)</f>
        <v>0</v>
      </c>
    </row>
    <row r="575" spans="3:6">
      <c r="C575" s="11" t="e">
        <f>IF(1*('Production Matrix'!A:A="تكلفة انتاج الوحدة")*ROW('Production Matrix'!#REF!)=0,1/0,1*('Production Matrix'!A:A="تكلفة انتاج الوحدة")*ROW('Production Matrix'!#REF!))</f>
        <v>#REF!</v>
      </c>
      <c r="D575" s="11" t="str">
        <f>IFERROR(_xlfn.AGGREGATE(15,6,$C$3:$C$53,ROW('Production Matrix'!#REF!)),"")</f>
        <v/>
      </c>
      <c r="E575" s="11" t="str">
        <f t="shared" si="17"/>
        <v/>
      </c>
      <c r="F575" s="12">
        <f>IFERROR(INDEX('Production Matrix'!$B:$B,E575,0),0)</f>
        <v>0</v>
      </c>
    </row>
    <row r="576" spans="3:6">
      <c r="C576" s="11" t="e">
        <f>IF(1*('Production Matrix'!A:A="تكلفة انتاج الوحدة")*ROW('Production Matrix'!#REF!)=0,1/0,1*('Production Matrix'!A:A="تكلفة انتاج الوحدة")*ROW('Production Matrix'!#REF!))</f>
        <v>#REF!</v>
      </c>
      <c r="D576" s="11" t="str">
        <f>IFERROR(_xlfn.AGGREGATE(15,6,$C$3:$C$53,ROW('Production Matrix'!#REF!)),"")</f>
        <v/>
      </c>
      <c r="E576" s="11" t="str">
        <f t="shared" si="17"/>
        <v/>
      </c>
      <c r="F576" s="12">
        <f>IFERROR(INDEX('Production Matrix'!$B:$B,E576,0),0)</f>
        <v>0</v>
      </c>
    </row>
    <row r="577" spans="3:6">
      <c r="C577" s="11" t="e">
        <f>IF(1*('Production Matrix'!A:A="تكلفة انتاج الوحدة")*ROW('Production Matrix'!#REF!)=0,1/0,1*('Production Matrix'!A:A="تكلفة انتاج الوحدة")*ROW('Production Matrix'!#REF!))</f>
        <v>#REF!</v>
      </c>
      <c r="D577" s="11" t="str">
        <f>IFERROR(_xlfn.AGGREGATE(15,6,$C$3:$C$53,ROW('Production Matrix'!#REF!)),"")</f>
        <v/>
      </c>
      <c r="E577" s="11" t="str">
        <f t="shared" si="17"/>
        <v/>
      </c>
      <c r="F577" s="12">
        <f>IFERROR(INDEX('Production Matrix'!$B:$B,E577,0),0)</f>
        <v>0</v>
      </c>
    </row>
    <row r="578" spans="3:6">
      <c r="C578" s="11" t="e">
        <f>IF(1*('Production Matrix'!A:A="تكلفة انتاج الوحدة")*ROW('Production Matrix'!#REF!)=0,1/0,1*('Production Matrix'!A:A="تكلفة انتاج الوحدة")*ROW('Production Matrix'!#REF!))</f>
        <v>#REF!</v>
      </c>
      <c r="D578" s="11" t="str">
        <f>IFERROR(_xlfn.AGGREGATE(15,6,$C$3:$C$53,ROW('Production Matrix'!#REF!)),"")</f>
        <v/>
      </c>
      <c r="E578" s="11" t="str">
        <f t="shared" si="17"/>
        <v/>
      </c>
      <c r="F578" s="12">
        <f>IFERROR(INDEX('Production Matrix'!$B:$B,E578,0),0)</f>
        <v>0</v>
      </c>
    </row>
    <row r="579" spans="3:6">
      <c r="C579" s="11" t="e">
        <f>IF(1*('Production Matrix'!A:A="تكلفة انتاج الوحدة")*ROW('Production Matrix'!#REF!)=0,1/0,1*('Production Matrix'!A:A="تكلفة انتاج الوحدة")*ROW('Production Matrix'!#REF!))</f>
        <v>#REF!</v>
      </c>
      <c r="D579" s="11" t="str">
        <f>IFERROR(_xlfn.AGGREGATE(15,6,$C$3:$C$53,ROW('Production Matrix'!#REF!)),"")</f>
        <v/>
      </c>
      <c r="E579" s="11" t="str">
        <f t="shared" si="17"/>
        <v/>
      </c>
      <c r="F579" s="12">
        <f>IFERROR(INDEX('Production Matrix'!$B:$B,E579,0),0)</f>
        <v>0</v>
      </c>
    </row>
    <row r="580" spans="3:6">
      <c r="C580" s="11" t="e">
        <f>IF(1*('Production Matrix'!A:A="تكلفة انتاج الوحدة")*ROW('Production Matrix'!#REF!)=0,1/0,1*('Production Matrix'!A:A="تكلفة انتاج الوحدة")*ROW('Production Matrix'!#REF!))</f>
        <v>#REF!</v>
      </c>
      <c r="D580" s="11" t="str">
        <f>IFERROR(_xlfn.AGGREGATE(15,6,$C$3:$C$53,ROW('Production Matrix'!#REF!)),"")</f>
        <v/>
      </c>
      <c r="E580" s="11" t="str">
        <f t="shared" si="17"/>
        <v/>
      </c>
      <c r="F580" s="12">
        <f>IFERROR(INDEX('Production Matrix'!$B:$B,E580,0),0)</f>
        <v>0</v>
      </c>
    </row>
    <row r="581" spans="3:6">
      <c r="C581" s="11" t="e">
        <f>IF(1*('Production Matrix'!A:A="تكلفة انتاج الوحدة")*ROW('Production Matrix'!#REF!)=0,1/0,1*('Production Matrix'!A:A="تكلفة انتاج الوحدة")*ROW('Production Matrix'!#REF!))</f>
        <v>#REF!</v>
      </c>
      <c r="D581" s="11" t="str">
        <f>IFERROR(_xlfn.AGGREGATE(15,6,$C$3:$C$53,ROW('Production Matrix'!#REF!)),"")</f>
        <v/>
      </c>
      <c r="E581" s="11" t="str">
        <f t="shared" si="17"/>
        <v/>
      </c>
      <c r="F581" s="12">
        <f>IFERROR(INDEX('Production Matrix'!$B:$B,E581,0),0)</f>
        <v>0</v>
      </c>
    </row>
    <row r="582" spans="3:6">
      <c r="C582" s="11" t="e">
        <f>IF(1*('Production Matrix'!A:A="تكلفة انتاج الوحدة")*ROW('Production Matrix'!#REF!)=0,1/0,1*('Production Matrix'!A:A="تكلفة انتاج الوحدة")*ROW('Production Matrix'!#REF!))</f>
        <v>#REF!</v>
      </c>
      <c r="D582" s="11" t="str">
        <f>IFERROR(_xlfn.AGGREGATE(15,6,$C$3:$C$53,ROW('Production Matrix'!#REF!)),"")</f>
        <v/>
      </c>
      <c r="E582" s="11" t="str">
        <f t="shared" si="17"/>
        <v/>
      </c>
      <c r="F582" s="12">
        <f>IFERROR(INDEX('Production Matrix'!$B:$B,E582,0),0)</f>
        <v>0</v>
      </c>
    </row>
    <row r="583" spans="3:6">
      <c r="C583" s="11" t="e">
        <f>IF(1*('Production Matrix'!A:A="تكلفة انتاج الوحدة")*ROW('Production Matrix'!#REF!)=0,1/0,1*('Production Matrix'!A:A="تكلفة انتاج الوحدة")*ROW('Production Matrix'!#REF!))</f>
        <v>#REF!</v>
      </c>
      <c r="D583" s="11" t="str">
        <f>IFERROR(_xlfn.AGGREGATE(15,6,$C$3:$C$53,ROW('Production Matrix'!#REF!)),"")</f>
        <v/>
      </c>
      <c r="E583" s="11" t="str">
        <f t="shared" ref="E583:E646" si="18">IFERROR(D583+3,"")</f>
        <v/>
      </c>
      <c r="F583" s="12">
        <f>IFERROR(INDEX('Production Matrix'!$B:$B,E583,0),0)</f>
        <v>0</v>
      </c>
    </row>
    <row r="584" spans="3:6">
      <c r="C584" s="11" t="e">
        <f>IF(1*('Production Matrix'!A:A="تكلفة انتاج الوحدة")*ROW('Production Matrix'!#REF!)=0,1/0,1*('Production Matrix'!A:A="تكلفة انتاج الوحدة")*ROW('Production Matrix'!#REF!))</f>
        <v>#REF!</v>
      </c>
      <c r="D584" s="11" t="str">
        <f>IFERROR(_xlfn.AGGREGATE(15,6,$C$3:$C$53,ROW('Production Matrix'!#REF!)),"")</f>
        <v/>
      </c>
      <c r="E584" s="11" t="str">
        <f t="shared" si="18"/>
        <v/>
      </c>
      <c r="F584" s="12">
        <f>IFERROR(INDEX('Production Matrix'!$B:$B,E584,0),0)</f>
        <v>0</v>
      </c>
    </row>
    <row r="585" spans="3:6">
      <c r="C585" s="11" t="e">
        <f>IF(1*('Production Matrix'!A:A="تكلفة انتاج الوحدة")*ROW('Production Matrix'!#REF!)=0,1/0,1*('Production Matrix'!A:A="تكلفة انتاج الوحدة")*ROW('Production Matrix'!#REF!))</f>
        <v>#REF!</v>
      </c>
      <c r="D585" s="11" t="str">
        <f>IFERROR(_xlfn.AGGREGATE(15,6,$C$3:$C$53,ROW('Production Matrix'!#REF!)),"")</f>
        <v/>
      </c>
      <c r="E585" s="11" t="str">
        <f t="shared" si="18"/>
        <v/>
      </c>
      <c r="F585" s="12">
        <f>IFERROR(INDEX('Production Matrix'!$B:$B,E585,0),0)</f>
        <v>0</v>
      </c>
    </row>
    <row r="586" spans="3:6">
      <c r="C586" s="11" t="e">
        <f>IF(1*('Production Matrix'!A:A="تكلفة انتاج الوحدة")*ROW('Production Matrix'!#REF!)=0,1/0,1*('Production Matrix'!A:A="تكلفة انتاج الوحدة")*ROW('Production Matrix'!#REF!))</f>
        <v>#REF!</v>
      </c>
      <c r="D586" s="11" t="str">
        <f>IFERROR(_xlfn.AGGREGATE(15,6,$C$3:$C$53,ROW('Production Matrix'!#REF!)),"")</f>
        <v/>
      </c>
      <c r="E586" s="11" t="str">
        <f t="shared" si="18"/>
        <v/>
      </c>
      <c r="F586" s="12">
        <f>IFERROR(INDEX('Production Matrix'!$B:$B,E586,0),0)</f>
        <v>0</v>
      </c>
    </row>
    <row r="587" spans="3:6">
      <c r="C587" s="11" t="e">
        <f>IF(1*('Production Matrix'!A:A="تكلفة انتاج الوحدة")*ROW('Production Matrix'!#REF!)=0,1/0,1*('Production Matrix'!A:A="تكلفة انتاج الوحدة")*ROW('Production Matrix'!#REF!))</f>
        <v>#REF!</v>
      </c>
      <c r="D587" s="11" t="str">
        <f>IFERROR(_xlfn.AGGREGATE(15,6,$C$3:$C$53,ROW('Production Matrix'!#REF!)),"")</f>
        <v/>
      </c>
      <c r="E587" s="11" t="str">
        <f t="shared" si="18"/>
        <v/>
      </c>
      <c r="F587" s="12">
        <f>IFERROR(INDEX('Production Matrix'!$B:$B,E587,0),0)</f>
        <v>0</v>
      </c>
    </row>
    <row r="588" spans="3:6">
      <c r="C588" s="11" t="e">
        <f>IF(1*('Production Matrix'!A:A="تكلفة انتاج الوحدة")*ROW('Production Matrix'!#REF!)=0,1/0,1*('Production Matrix'!A:A="تكلفة انتاج الوحدة")*ROW('Production Matrix'!#REF!))</f>
        <v>#REF!</v>
      </c>
      <c r="D588" s="11" t="str">
        <f>IFERROR(_xlfn.AGGREGATE(15,6,$C$3:$C$53,ROW('Production Matrix'!#REF!)),"")</f>
        <v/>
      </c>
      <c r="E588" s="11" t="str">
        <f t="shared" si="18"/>
        <v/>
      </c>
      <c r="F588" s="12">
        <f>IFERROR(INDEX('Production Matrix'!$B:$B,E588,0),0)</f>
        <v>0</v>
      </c>
    </row>
    <row r="589" spans="3:6">
      <c r="C589" s="11" t="e">
        <f>IF(1*('Production Matrix'!A:A="تكلفة انتاج الوحدة")*ROW('Production Matrix'!#REF!)=0,1/0,1*('Production Matrix'!A:A="تكلفة انتاج الوحدة")*ROW('Production Matrix'!#REF!))</f>
        <v>#REF!</v>
      </c>
      <c r="D589" s="11" t="str">
        <f>IFERROR(_xlfn.AGGREGATE(15,6,$C$3:$C$53,ROW('Production Matrix'!#REF!)),"")</f>
        <v/>
      </c>
      <c r="E589" s="11" t="str">
        <f t="shared" si="18"/>
        <v/>
      </c>
      <c r="F589" s="12">
        <f>IFERROR(INDEX('Production Matrix'!$B:$B,E589,0),0)</f>
        <v>0</v>
      </c>
    </row>
    <row r="590" spans="3:6">
      <c r="C590" s="11" t="e">
        <f>IF(1*('Production Matrix'!A:A="تكلفة انتاج الوحدة")*ROW('Production Matrix'!#REF!)=0,1/0,1*('Production Matrix'!A:A="تكلفة انتاج الوحدة")*ROW('Production Matrix'!#REF!))</f>
        <v>#REF!</v>
      </c>
      <c r="D590" s="11" t="str">
        <f>IFERROR(_xlfn.AGGREGATE(15,6,$C$3:$C$53,ROW('Production Matrix'!#REF!)),"")</f>
        <v/>
      </c>
      <c r="E590" s="11" t="str">
        <f t="shared" si="18"/>
        <v/>
      </c>
      <c r="F590" s="12">
        <f>IFERROR(INDEX('Production Matrix'!$B:$B,E590,0),0)</f>
        <v>0</v>
      </c>
    </row>
    <row r="591" spans="3:6">
      <c r="C591" s="11" t="e">
        <f>IF(1*('Production Matrix'!A:A="تكلفة انتاج الوحدة")*ROW('Production Matrix'!#REF!)=0,1/0,1*('Production Matrix'!A:A="تكلفة انتاج الوحدة")*ROW('Production Matrix'!#REF!))</f>
        <v>#REF!</v>
      </c>
      <c r="D591" s="11" t="str">
        <f>IFERROR(_xlfn.AGGREGATE(15,6,$C$3:$C$53,ROW('Production Matrix'!#REF!)),"")</f>
        <v/>
      </c>
      <c r="E591" s="11" t="str">
        <f t="shared" si="18"/>
        <v/>
      </c>
      <c r="F591" s="12">
        <f>IFERROR(INDEX('Production Matrix'!$B:$B,E591,0),0)</f>
        <v>0</v>
      </c>
    </row>
    <row r="592" spans="3:6">
      <c r="C592" s="11" t="e">
        <f>IF(1*('Production Matrix'!A:A="تكلفة انتاج الوحدة")*ROW('Production Matrix'!#REF!)=0,1/0,1*('Production Matrix'!A:A="تكلفة انتاج الوحدة")*ROW('Production Matrix'!#REF!))</f>
        <v>#REF!</v>
      </c>
      <c r="D592" s="11" t="str">
        <f>IFERROR(_xlfn.AGGREGATE(15,6,$C$3:$C$53,ROW('Production Matrix'!#REF!)),"")</f>
        <v/>
      </c>
      <c r="E592" s="11" t="str">
        <f t="shared" si="18"/>
        <v/>
      </c>
      <c r="F592" s="12">
        <f>IFERROR(INDEX('Production Matrix'!$B:$B,E592,0),0)</f>
        <v>0</v>
      </c>
    </row>
    <row r="593" spans="3:6">
      <c r="C593" s="11" t="e">
        <f>IF(1*('Production Matrix'!A:A="تكلفة انتاج الوحدة")*ROW('Production Matrix'!#REF!)=0,1/0,1*('Production Matrix'!A:A="تكلفة انتاج الوحدة")*ROW('Production Matrix'!#REF!))</f>
        <v>#REF!</v>
      </c>
      <c r="D593" s="11" t="str">
        <f>IFERROR(_xlfn.AGGREGATE(15,6,$C$3:$C$53,ROW('Production Matrix'!#REF!)),"")</f>
        <v/>
      </c>
      <c r="E593" s="11" t="str">
        <f t="shared" si="18"/>
        <v/>
      </c>
      <c r="F593" s="12">
        <f>IFERROR(INDEX('Production Matrix'!$B:$B,E593,0),0)</f>
        <v>0</v>
      </c>
    </row>
    <row r="594" spans="3:6">
      <c r="C594" s="11" t="e">
        <f>IF(1*('Production Matrix'!A:A="تكلفة انتاج الوحدة")*ROW('Production Matrix'!#REF!)=0,1/0,1*('Production Matrix'!A:A="تكلفة انتاج الوحدة")*ROW('Production Matrix'!#REF!))</f>
        <v>#REF!</v>
      </c>
      <c r="D594" s="11" t="str">
        <f>IFERROR(_xlfn.AGGREGATE(15,6,$C$3:$C$53,ROW('Production Matrix'!#REF!)),"")</f>
        <v/>
      </c>
      <c r="E594" s="11" t="str">
        <f t="shared" si="18"/>
        <v/>
      </c>
      <c r="F594" s="12">
        <f>IFERROR(INDEX('Production Matrix'!$B:$B,E594,0),0)</f>
        <v>0</v>
      </c>
    </row>
    <row r="595" spans="3:6">
      <c r="C595" s="11" t="e">
        <f>IF(1*('Production Matrix'!A:A="تكلفة انتاج الوحدة")*ROW('Production Matrix'!#REF!)=0,1/0,1*('Production Matrix'!A:A="تكلفة انتاج الوحدة")*ROW('Production Matrix'!#REF!))</f>
        <v>#REF!</v>
      </c>
      <c r="D595" s="11" t="str">
        <f>IFERROR(_xlfn.AGGREGATE(15,6,$C$3:$C$53,ROW('Production Matrix'!#REF!)),"")</f>
        <v/>
      </c>
      <c r="E595" s="11" t="str">
        <f t="shared" si="18"/>
        <v/>
      </c>
      <c r="F595" s="12">
        <f>IFERROR(INDEX('Production Matrix'!$B:$B,E595,0),0)</f>
        <v>0</v>
      </c>
    </row>
    <row r="596" spans="3:6">
      <c r="C596" s="11" t="e">
        <f>IF(1*('Production Matrix'!A:A="تكلفة انتاج الوحدة")*ROW('Production Matrix'!#REF!)=0,1/0,1*('Production Matrix'!A:A="تكلفة انتاج الوحدة")*ROW('Production Matrix'!#REF!))</f>
        <v>#REF!</v>
      </c>
      <c r="D596" s="11" t="str">
        <f>IFERROR(_xlfn.AGGREGATE(15,6,$C$3:$C$53,ROW('Production Matrix'!#REF!)),"")</f>
        <v/>
      </c>
      <c r="E596" s="11" t="str">
        <f t="shared" si="18"/>
        <v/>
      </c>
      <c r="F596" s="12">
        <f>IFERROR(INDEX('Production Matrix'!$B:$B,E596,0),0)</f>
        <v>0</v>
      </c>
    </row>
    <row r="597" spans="3:6">
      <c r="C597" s="11" t="e">
        <f>IF(1*('Production Matrix'!A:A="تكلفة انتاج الوحدة")*ROW('Production Matrix'!#REF!)=0,1/0,1*('Production Matrix'!A:A="تكلفة انتاج الوحدة")*ROW('Production Matrix'!#REF!))</f>
        <v>#REF!</v>
      </c>
      <c r="D597" s="11" t="str">
        <f>IFERROR(_xlfn.AGGREGATE(15,6,$C$3:$C$53,ROW('Production Matrix'!#REF!)),"")</f>
        <v/>
      </c>
      <c r="E597" s="11" t="str">
        <f t="shared" si="18"/>
        <v/>
      </c>
      <c r="F597" s="12">
        <f>IFERROR(INDEX('Production Matrix'!$B:$B,E597,0),0)</f>
        <v>0</v>
      </c>
    </row>
    <row r="598" spans="3:6">
      <c r="C598" s="11" t="e">
        <f>IF(1*('Production Matrix'!A:A="تكلفة انتاج الوحدة")*ROW('Production Matrix'!#REF!)=0,1/0,1*('Production Matrix'!A:A="تكلفة انتاج الوحدة")*ROW('Production Matrix'!#REF!))</f>
        <v>#REF!</v>
      </c>
      <c r="D598" s="11" t="str">
        <f>IFERROR(_xlfn.AGGREGATE(15,6,$C$3:$C$53,ROW('Production Matrix'!#REF!)),"")</f>
        <v/>
      </c>
      <c r="E598" s="11" t="str">
        <f t="shared" si="18"/>
        <v/>
      </c>
      <c r="F598" s="12">
        <f>IFERROR(INDEX('Production Matrix'!$B:$B,E598,0),0)</f>
        <v>0</v>
      </c>
    </row>
    <row r="599" spans="3:6">
      <c r="C599" s="11" t="e">
        <f>IF(1*('Production Matrix'!A:A="تكلفة انتاج الوحدة")*ROW('Production Matrix'!#REF!)=0,1/0,1*('Production Matrix'!A:A="تكلفة انتاج الوحدة")*ROW('Production Matrix'!#REF!))</f>
        <v>#REF!</v>
      </c>
      <c r="D599" s="11" t="str">
        <f>IFERROR(_xlfn.AGGREGATE(15,6,$C$3:$C$53,ROW('Production Matrix'!#REF!)),"")</f>
        <v/>
      </c>
      <c r="E599" s="11" t="str">
        <f t="shared" si="18"/>
        <v/>
      </c>
      <c r="F599" s="12">
        <f>IFERROR(INDEX('Production Matrix'!$B:$B,E599,0),0)</f>
        <v>0</v>
      </c>
    </row>
    <row r="600" spans="3:6">
      <c r="C600" s="11" t="e">
        <f>IF(1*('Production Matrix'!A:A="تكلفة انتاج الوحدة")*ROW('Production Matrix'!#REF!)=0,1/0,1*('Production Matrix'!A:A="تكلفة انتاج الوحدة")*ROW('Production Matrix'!#REF!))</f>
        <v>#REF!</v>
      </c>
      <c r="D600" s="11" t="str">
        <f>IFERROR(_xlfn.AGGREGATE(15,6,$C$3:$C$53,ROW('Production Matrix'!#REF!)),"")</f>
        <v/>
      </c>
      <c r="E600" s="11" t="str">
        <f t="shared" si="18"/>
        <v/>
      </c>
      <c r="F600" s="12">
        <f>IFERROR(INDEX('Production Matrix'!$B:$B,E600,0),0)</f>
        <v>0</v>
      </c>
    </row>
    <row r="601" spans="3:6">
      <c r="C601" s="11" t="e">
        <f>IF(1*('Production Matrix'!A:A="تكلفة انتاج الوحدة")*ROW('Production Matrix'!#REF!)=0,1/0,1*('Production Matrix'!A:A="تكلفة انتاج الوحدة")*ROW('Production Matrix'!#REF!))</f>
        <v>#REF!</v>
      </c>
      <c r="D601" s="11" t="str">
        <f>IFERROR(_xlfn.AGGREGATE(15,6,$C$3:$C$53,ROW('Production Matrix'!#REF!)),"")</f>
        <v/>
      </c>
      <c r="E601" s="11" t="str">
        <f t="shared" si="18"/>
        <v/>
      </c>
      <c r="F601" s="12">
        <f>IFERROR(INDEX('Production Matrix'!$B:$B,E601,0),0)</f>
        <v>0</v>
      </c>
    </row>
    <row r="602" spans="3:6">
      <c r="C602" s="11" t="e">
        <f>IF(1*('Production Matrix'!A:A="تكلفة انتاج الوحدة")*ROW('Production Matrix'!#REF!)=0,1/0,1*('Production Matrix'!A:A="تكلفة انتاج الوحدة")*ROW('Production Matrix'!#REF!))</f>
        <v>#REF!</v>
      </c>
      <c r="D602" s="11" t="str">
        <f>IFERROR(_xlfn.AGGREGATE(15,6,$C$3:$C$53,ROW('Production Matrix'!#REF!)),"")</f>
        <v/>
      </c>
      <c r="E602" s="11" t="str">
        <f t="shared" si="18"/>
        <v/>
      </c>
      <c r="F602" s="12">
        <f>IFERROR(INDEX('Production Matrix'!$B:$B,E602,0),0)</f>
        <v>0</v>
      </c>
    </row>
    <row r="603" spans="3:6">
      <c r="C603" s="11" t="e">
        <f>IF(1*('Production Matrix'!A:A="تكلفة انتاج الوحدة")*ROW('Production Matrix'!#REF!)=0,1/0,1*('Production Matrix'!A:A="تكلفة انتاج الوحدة")*ROW('Production Matrix'!#REF!))</f>
        <v>#REF!</v>
      </c>
      <c r="D603" s="11" t="str">
        <f>IFERROR(_xlfn.AGGREGATE(15,6,$C$3:$C$53,ROW('Production Matrix'!#REF!)),"")</f>
        <v/>
      </c>
      <c r="E603" s="11" t="str">
        <f t="shared" si="18"/>
        <v/>
      </c>
      <c r="F603" s="12">
        <f>IFERROR(INDEX('Production Matrix'!$B:$B,E603,0),0)</f>
        <v>0</v>
      </c>
    </row>
    <row r="604" spans="3:6">
      <c r="C604" s="11" t="e">
        <f>IF(1*('Production Matrix'!A:A="تكلفة انتاج الوحدة")*ROW('Production Matrix'!#REF!)=0,1/0,1*('Production Matrix'!A:A="تكلفة انتاج الوحدة")*ROW('Production Matrix'!#REF!))</f>
        <v>#REF!</v>
      </c>
      <c r="D604" s="11" t="str">
        <f>IFERROR(_xlfn.AGGREGATE(15,6,$C$3:$C$53,ROW('Production Matrix'!#REF!)),"")</f>
        <v/>
      </c>
      <c r="E604" s="11" t="str">
        <f t="shared" si="18"/>
        <v/>
      </c>
      <c r="F604" s="12">
        <f>IFERROR(INDEX('Production Matrix'!$B:$B,E604,0),0)</f>
        <v>0</v>
      </c>
    </row>
    <row r="605" spans="3:6">
      <c r="C605" s="11" t="e">
        <f>IF(1*('Production Matrix'!A:A="تكلفة انتاج الوحدة")*ROW('Production Matrix'!#REF!)=0,1/0,1*('Production Matrix'!A:A="تكلفة انتاج الوحدة")*ROW('Production Matrix'!#REF!))</f>
        <v>#REF!</v>
      </c>
      <c r="D605" s="11" t="str">
        <f>IFERROR(_xlfn.AGGREGATE(15,6,$C$3:$C$53,ROW('Production Matrix'!#REF!)),"")</f>
        <v/>
      </c>
      <c r="E605" s="11" t="str">
        <f t="shared" si="18"/>
        <v/>
      </c>
      <c r="F605" s="12">
        <f>IFERROR(INDEX('Production Matrix'!$B:$B,E605,0),0)</f>
        <v>0</v>
      </c>
    </row>
    <row r="606" spans="3:6">
      <c r="C606" s="11" t="e">
        <f>IF(1*('Production Matrix'!A:A="تكلفة انتاج الوحدة")*ROW('Production Matrix'!#REF!)=0,1/0,1*('Production Matrix'!A:A="تكلفة انتاج الوحدة")*ROW('Production Matrix'!#REF!))</f>
        <v>#REF!</v>
      </c>
      <c r="D606" s="11" t="str">
        <f>IFERROR(_xlfn.AGGREGATE(15,6,$C$3:$C$53,ROW('Production Matrix'!#REF!)),"")</f>
        <v/>
      </c>
      <c r="E606" s="11" t="str">
        <f t="shared" si="18"/>
        <v/>
      </c>
      <c r="F606" s="12">
        <f>IFERROR(INDEX('Production Matrix'!$B:$B,E606,0),0)</f>
        <v>0</v>
      </c>
    </row>
    <row r="607" spans="3:6">
      <c r="C607" s="11" t="e">
        <f>IF(1*('Production Matrix'!A:A="تكلفة انتاج الوحدة")*ROW('Production Matrix'!#REF!)=0,1/0,1*('Production Matrix'!A:A="تكلفة انتاج الوحدة")*ROW('Production Matrix'!#REF!))</f>
        <v>#REF!</v>
      </c>
      <c r="D607" s="11" t="str">
        <f>IFERROR(_xlfn.AGGREGATE(15,6,$C$3:$C$53,ROW('Production Matrix'!#REF!)),"")</f>
        <v/>
      </c>
      <c r="E607" s="11" t="str">
        <f t="shared" si="18"/>
        <v/>
      </c>
      <c r="F607" s="12">
        <f>IFERROR(INDEX('Production Matrix'!$B:$B,E607,0),0)</f>
        <v>0</v>
      </c>
    </row>
    <row r="608" spans="3:6">
      <c r="C608" s="11" t="e">
        <f>IF(1*('Production Matrix'!A:A="تكلفة انتاج الوحدة")*ROW('Production Matrix'!#REF!)=0,1/0,1*('Production Matrix'!A:A="تكلفة انتاج الوحدة")*ROW('Production Matrix'!#REF!))</f>
        <v>#REF!</v>
      </c>
      <c r="D608" s="11" t="str">
        <f>IFERROR(_xlfn.AGGREGATE(15,6,$C$3:$C$53,ROW('Production Matrix'!#REF!)),"")</f>
        <v/>
      </c>
      <c r="E608" s="11" t="str">
        <f t="shared" si="18"/>
        <v/>
      </c>
      <c r="F608" s="12">
        <f>IFERROR(INDEX('Production Matrix'!$B:$B,E608,0),0)</f>
        <v>0</v>
      </c>
    </row>
    <row r="609" spans="3:6">
      <c r="C609" s="11" t="e">
        <f>IF(1*('Production Matrix'!A:A="تكلفة انتاج الوحدة")*ROW('Production Matrix'!#REF!)=0,1/0,1*('Production Matrix'!A:A="تكلفة انتاج الوحدة")*ROW('Production Matrix'!#REF!))</f>
        <v>#REF!</v>
      </c>
      <c r="D609" s="11" t="str">
        <f>IFERROR(_xlfn.AGGREGATE(15,6,$C$3:$C$53,ROW('Production Matrix'!#REF!)),"")</f>
        <v/>
      </c>
      <c r="E609" s="11" t="str">
        <f t="shared" si="18"/>
        <v/>
      </c>
      <c r="F609" s="12">
        <f>IFERROR(INDEX('Production Matrix'!$B:$B,E609,0),0)</f>
        <v>0</v>
      </c>
    </row>
    <row r="610" spans="3:6">
      <c r="C610" s="11" t="e">
        <f>IF(1*('Production Matrix'!A:A="تكلفة انتاج الوحدة")*ROW('Production Matrix'!#REF!)=0,1/0,1*('Production Matrix'!A:A="تكلفة انتاج الوحدة")*ROW('Production Matrix'!#REF!))</f>
        <v>#REF!</v>
      </c>
      <c r="D610" s="11" t="str">
        <f>IFERROR(_xlfn.AGGREGATE(15,6,$C$3:$C$53,ROW('Production Matrix'!#REF!)),"")</f>
        <v/>
      </c>
      <c r="E610" s="11" t="str">
        <f t="shared" si="18"/>
        <v/>
      </c>
      <c r="F610" s="12">
        <f>IFERROR(INDEX('Production Matrix'!$B:$B,E610,0),0)</f>
        <v>0</v>
      </c>
    </row>
    <row r="611" spans="3:6">
      <c r="C611" s="11" t="e">
        <f>IF(1*('Production Matrix'!A:A="تكلفة انتاج الوحدة")*ROW('Production Matrix'!#REF!)=0,1/0,1*('Production Matrix'!A:A="تكلفة انتاج الوحدة")*ROW('Production Matrix'!#REF!))</f>
        <v>#REF!</v>
      </c>
      <c r="D611" s="11" t="str">
        <f>IFERROR(_xlfn.AGGREGATE(15,6,$C$3:$C$53,ROW('Production Matrix'!#REF!)),"")</f>
        <v/>
      </c>
      <c r="E611" s="11" t="str">
        <f t="shared" si="18"/>
        <v/>
      </c>
      <c r="F611" s="12">
        <f>IFERROR(INDEX('Production Matrix'!$B:$B,E611,0),0)</f>
        <v>0</v>
      </c>
    </row>
    <row r="612" spans="3:6">
      <c r="C612" s="11" t="e">
        <f>IF(1*('Production Matrix'!A:A="تكلفة انتاج الوحدة")*ROW('Production Matrix'!#REF!)=0,1/0,1*('Production Matrix'!A:A="تكلفة انتاج الوحدة")*ROW('Production Matrix'!#REF!))</f>
        <v>#REF!</v>
      </c>
      <c r="D612" s="11" t="str">
        <f>IFERROR(_xlfn.AGGREGATE(15,6,$C$3:$C$53,ROW('Production Matrix'!#REF!)),"")</f>
        <v/>
      </c>
      <c r="E612" s="11" t="str">
        <f t="shared" si="18"/>
        <v/>
      </c>
      <c r="F612" s="12">
        <f>IFERROR(INDEX('Production Matrix'!$B:$B,E612,0),0)</f>
        <v>0</v>
      </c>
    </row>
    <row r="613" spans="3:6">
      <c r="C613" s="11" t="e">
        <f>IF(1*('Production Matrix'!A:A="تكلفة انتاج الوحدة")*ROW('Production Matrix'!#REF!)=0,1/0,1*('Production Matrix'!A:A="تكلفة انتاج الوحدة")*ROW('Production Matrix'!#REF!))</f>
        <v>#REF!</v>
      </c>
      <c r="D613" s="11" t="str">
        <f>IFERROR(_xlfn.AGGREGATE(15,6,$C$3:$C$53,ROW('Production Matrix'!#REF!)),"")</f>
        <v/>
      </c>
      <c r="E613" s="11" t="str">
        <f t="shared" si="18"/>
        <v/>
      </c>
      <c r="F613" s="12">
        <f>IFERROR(INDEX('Production Matrix'!$B:$B,E613,0),0)</f>
        <v>0</v>
      </c>
    </row>
    <row r="614" spans="3:6">
      <c r="C614" s="11" t="e">
        <f>IF(1*('Production Matrix'!A:A="تكلفة انتاج الوحدة")*ROW('Production Matrix'!#REF!)=0,1/0,1*('Production Matrix'!A:A="تكلفة انتاج الوحدة")*ROW('Production Matrix'!#REF!))</f>
        <v>#REF!</v>
      </c>
      <c r="D614" s="11" t="str">
        <f>IFERROR(_xlfn.AGGREGATE(15,6,$C$3:$C$53,ROW('Production Matrix'!#REF!)),"")</f>
        <v/>
      </c>
      <c r="E614" s="11" t="str">
        <f t="shared" si="18"/>
        <v/>
      </c>
      <c r="F614" s="12">
        <f>IFERROR(INDEX('Production Matrix'!$B:$B,E614,0),0)</f>
        <v>0</v>
      </c>
    </row>
    <row r="615" spans="3:6">
      <c r="C615" s="11" t="e">
        <f>IF(1*('Production Matrix'!A:A="تكلفة انتاج الوحدة")*ROW('Production Matrix'!#REF!)=0,1/0,1*('Production Matrix'!A:A="تكلفة انتاج الوحدة")*ROW('Production Matrix'!#REF!))</f>
        <v>#REF!</v>
      </c>
      <c r="D615" s="11" t="str">
        <f>IFERROR(_xlfn.AGGREGATE(15,6,$C$3:$C$53,ROW('Production Matrix'!#REF!)),"")</f>
        <v/>
      </c>
      <c r="E615" s="11" t="str">
        <f t="shared" si="18"/>
        <v/>
      </c>
      <c r="F615" s="12">
        <f>IFERROR(INDEX('Production Matrix'!$B:$B,E615,0),0)</f>
        <v>0</v>
      </c>
    </row>
    <row r="616" spans="3:6">
      <c r="C616" s="11" t="e">
        <f>IF(1*('Production Matrix'!A:A="تكلفة انتاج الوحدة")*ROW('Production Matrix'!#REF!)=0,1/0,1*('Production Matrix'!A:A="تكلفة انتاج الوحدة")*ROW('Production Matrix'!#REF!))</f>
        <v>#REF!</v>
      </c>
      <c r="D616" s="11" t="str">
        <f>IFERROR(_xlfn.AGGREGATE(15,6,$C$3:$C$53,ROW('Production Matrix'!#REF!)),"")</f>
        <v/>
      </c>
      <c r="E616" s="11" t="str">
        <f t="shared" si="18"/>
        <v/>
      </c>
      <c r="F616" s="12">
        <f>IFERROR(INDEX('Production Matrix'!$B:$B,E616,0),0)</f>
        <v>0</v>
      </c>
    </row>
    <row r="617" spans="3:6">
      <c r="C617" s="11" t="e">
        <f>IF(1*('Production Matrix'!A:A="تكلفة انتاج الوحدة")*ROW('Production Matrix'!#REF!)=0,1/0,1*('Production Matrix'!A:A="تكلفة انتاج الوحدة")*ROW('Production Matrix'!#REF!))</f>
        <v>#REF!</v>
      </c>
      <c r="D617" s="11" t="str">
        <f>IFERROR(_xlfn.AGGREGATE(15,6,$C$3:$C$53,ROW('Production Matrix'!#REF!)),"")</f>
        <v/>
      </c>
      <c r="E617" s="11" t="str">
        <f t="shared" si="18"/>
        <v/>
      </c>
      <c r="F617" s="12">
        <f>IFERROR(INDEX('Production Matrix'!$B:$B,E617,0),0)</f>
        <v>0</v>
      </c>
    </row>
    <row r="618" spans="3:6">
      <c r="C618" s="11" t="e">
        <f>IF(1*('Production Matrix'!A:A="تكلفة انتاج الوحدة")*ROW('Production Matrix'!#REF!)=0,1/0,1*('Production Matrix'!A:A="تكلفة انتاج الوحدة")*ROW('Production Matrix'!#REF!))</f>
        <v>#REF!</v>
      </c>
      <c r="D618" s="11" t="str">
        <f>IFERROR(_xlfn.AGGREGATE(15,6,$C$3:$C$53,ROW('Production Matrix'!#REF!)),"")</f>
        <v/>
      </c>
      <c r="E618" s="11" t="str">
        <f t="shared" si="18"/>
        <v/>
      </c>
      <c r="F618" s="12">
        <f>IFERROR(INDEX('Production Matrix'!$B:$B,E618,0),0)</f>
        <v>0</v>
      </c>
    </row>
    <row r="619" spans="3:6">
      <c r="C619" s="11" t="e">
        <f>IF(1*('Production Matrix'!A:A="تكلفة انتاج الوحدة")*ROW('Production Matrix'!#REF!)=0,1/0,1*('Production Matrix'!A:A="تكلفة انتاج الوحدة")*ROW('Production Matrix'!#REF!))</f>
        <v>#REF!</v>
      </c>
      <c r="D619" s="11" t="str">
        <f>IFERROR(_xlfn.AGGREGATE(15,6,$C$3:$C$53,ROW('Production Matrix'!#REF!)),"")</f>
        <v/>
      </c>
      <c r="E619" s="11" t="str">
        <f t="shared" si="18"/>
        <v/>
      </c>
      <c r="F619" s="12">
        <f>IFERROR(INDEX('Production Matrix'!$B:$B,E619,0),0)</f>
        <v>0</v>
      </c>
    </row>
    <row r="620" spans="3:6">
      <c r="C620" s="11" t="e">
        <f>IF(1*('Production Matrix'!A:A="تكلفة انتاج الوحدة")*ROW('Production Matrix'!#REF!)=0,1/0,1*('Production Matrix'!A:A="تكلفة انتاج الوحدة")*ROW('Production Matrix'!#REF!))</f>
        <v>#REF!</v>
      </c>
      <c r="D620" s="11" t="str">
        <f>IFERROR(_xlfn.AGGREGATE(15,6,$C$3:$C$53,ROW('Production Matrix'!#REF!)),"")</f>
        <v/>
      </c>
      <c r="E620" s="11" t="str">
        <f t="shared" si="18"/>
        <v/>
      </c>
      <c r="F620" s="12">
        <f>IFERROR(INDEX('Production Matrix'!$B:$B,E620,0),0)</f>
        <v>0</v>
      </c>
    </row>
    <row r="621" spans="3:6">
      <c r="C621" s="11" t="e">
        <f>IF(1*('Production Matrix'!A:A="تكلفة انتاج الوحدة")*ROW('Production Matrix'!#REF!)=0,1/0,1*('Production Matrix'!A:A="تكلفة انتاج الوحدة")*ROW('Production Matrix'!#REF!))</f>
        <v>#REF!</v>
      </c>
      <c r="D621" s="11" t="str">
        <f>IFERROR(_xlfn.AGGREGATE(15,6,$C$3:$C$53,ROW('Production Matrix'!#REF!)),"")</f>
        <v/>
      </c>
      <c r="E621" s="11" t="str">
        <f t="shared" si="18"/>
        <v/>
      </c>
      <c r="F621" s="12">
        <f>IFERROR(INDEX('Production Matrix'!$B:$B,E621,0),0)</f>
        <v>0</v>
      </c>
    </row>
    <row r="622" spans="3:6">
      <c r="C622" s="11" t="e">
        <f>IF(1*('Production Matrix'!A:A="تكلفة انتاج الوحدة")*ROW('Production Matrix'!#REF!)=0,1/0,1*('Production Matrix'!A:A="تكلفة انتاج الوحدة")*ROW('Production Matrix'!#REF!))</f>
        <v>#REF!</v>
      </c>
      <c r="D622" s="11" t="str">
        <f>IFERROR(_xlfn.AGGREGATE(15,6,$C$3:$C$53,ROW('Production Matrix'!#REF!)),"")</f>
        <v/>
      </c>
      <c r="E622" s="11" t="str">
        <f t="shared" si="18"/>
        <v/>
      </c>
      <c r="F622" s="12">
        <f>IFERROR(INDEX('Production Matrix'!$B:$B,E622,0),0)</f>
        <v>0</v>
      </c>
    </row>
    <row r="623" spans="3:6">
      <c r="C623" s="11" t="e">
        <f>IF(1*('Production Matrix'!A:A="تكلفة انتاج الوحدة")*ROW('Production Matrix'!#REF!)=0,1/0,1*('Production Matrix'!A:A="تكلفة انتاج الوحدة")*ROW('Production Matrix'!#REF!))</f>
        <v>#REF!</v>
      </c>
      <c r="D623" s="11" t="str">
        <f>IFERROR(_xlfn.AGGREGATE(15,6,$C$3:$C$53,ROW('Production Matrix'!#REF!)),"")</f>
        <v/>
      </c>
      <c r="E623" s="11" t="str">
        <f t="shared" si="18"/>
        <v/>
      </c>
      <c r="F623" s="12">
        <f>IFERROR(INDEX('Production Matrix'!$B:$B,E623,0),0)</f>
        <v>0</v>
      </c>
    </row>
    <row r="624" spans="3:6">
      <c r="C624" s="11" t="e">
        <f>IF(1*('Production Matrix'!A:A="تكلفة انتاج الوحدة")*ROW('Production Matrix'!#REF!)=0,1/0,1*('Production Matrix'!A:A="تكلفة انتاج الوحدة")*ROW('Production Matrix'!#REF!))</f>
        <v>#REF!</v>
      </c>
      <c r="D624" s="11" t="str">
        <f>IFERROR(_xlfn.AGGREGATE(15,6,$C$3:$C$53,ROW('Production Matrix'!#REF!)),"")</f>
        <v/>
      </c>
      <c r="E624" s="11" t="str">
        <f t="shared" si="18"/>
        <v/>
      </c>
      <c r="F624" s="12">
        <f>IFERROR(INDEX('Production Matrix'!$B:$B,E624,0),0)</f>
        <v>0</v>
      </c>
    </row>
    <row r="625" spans="3:6">
      <c r="C625" s="11" t="e">
        <f>IF(1*('Production Matrix'!A:A="تكلفة انتاج الوحدة")*ROW('Production Matrix'!#REF!)=0,1/0,1*('Production Matrix'!A:A="تكلفة انتاج الوحدة")*ROW('Production Matrix'!#REF!))</f>
        <v>#REF!</v>
      </c>
      <c r="D625" s="11" t="str">
        <f>IFERROR(_xlfn.AGGREGATE(15,6,$C$3:$C$53,ROW('Production Matrix'!#REF!)),"")</f>
        <v/>
      </c>
      <c r="E625" s="11" t="str">
        <f t="shared" si="18"/>
        <v/>
      </c>
      <c r="F625" s="12">
        <f>IFERROR(INDEX('Production Matrix'!$B:$B,E625,0),0)</f>
        <v>0</v>
      </c>
    </row>
    <row r="626" spans="3:6">
      <c r="C626" s="11" t="e">
        <f>IF(1*('Production Matrix'!A:A="تكلفة انتاج الوحدة")*ROW('Production Matrix'!#REF!)=0,1/0,1*('Production Matrix'!A:A="تكلفة انتاج الوحدة")*ROW('Production Matrix'!#REF!))</f>
        <v>#REF!</v>
      </c>
      <c r="D626" s="11" t="str">
        <f>IFERROR(_xlfn.AGGREGATE(15,6,$C$3:$C$53,ROW('Production Matrix'!#REF!)),"")</f>
        <v/>
      </c>
      <c r="E626" s="11" t="str">
        <f t="shared" si="18"/>
        <v/>
      </c>
      <c r="F626" s="12">
        <f>IFERROR(INDEX('Production Matrix'!$B:$B,E626,0),0)</f>
        <v>0</v>
      </c>
    </row>
    <row r="627" spans="3:6">
      <c r="C627" s="11" t="e">
        <f>IF(1*('Production Matrix'!A:A="تكلفة انتاج الوحدة")*ROW('Production Matrix'!#REF!)=0,1/0,1*('Production Matrix'!A:A="تكلفة انتاج الوحدة")*ROW('Production Matrix'!#REF!))</f>
        <v>#REF!</v>
      </c>
      <c r="D627" s="11" t="str">
        <f>IFERROR(_xlfn.AGGREGATE(15,6,$C$3:$C$53,ROW('Production Matrix'!#REF!)),"")</f>
        <v/>
      </c>
      <c r="E627" s="11" t="str">
        <f t="shared" si="18"/>
        <v/>
      </c>
      <c r="F627" s="12">
        <f>IFERROR(INDEX('Production Matrix'!$B:$B,E627,0),0)</f>
        <v>0</v>
      </c>
    </row>
    <row r="628" spans="3:6">
      <c r="C628" s="11" t="e">
        <f>IF(1*('Production Matrix'!A:A="تكلفة انتاج الوحدة")*ROW('Production Matrix'!#REF!)=0,1/0,1*('Production Matrix'!A:A="تكلفة انتاج الوحدة")*ROW('Production Matrix'!#REF!))</f>
        <v>#REF!</v>
      </c>
      <c r="D628" s="11" t="str">
        <f>IFERROR(_xlfn.AGGREGATE(15,6,$C$3:$C$53,ROW('Production Matrix'!#REF!)),"")</f>
        <v/>
      </c>
      <c r="E628" s="11" t="str">
        <f t="shared" si="18"/>
        <v/>
      </c>
      <c r="F628" s="12">
        <f>IFERROR(INDEX('Production Matrix'!$B:$B,E628,0),0)</f>
        <v>0</v>
      </c>
    </row>
    <row r="629" spans="3:6">
      <c r="C629" s="11" t="e">
        <f>IF(1*('Production Matrix'!A:A="تكلفة انتاج الوحدة")*ROW('Production Matrix'!#REF!)=0,1/0,1*('Production Matrix'!A:A="تكلفة انتاج الوحدة")*ROW('Production Matrix'!#REF!))</f>
        <v>#REF!</v>
      </c>
      <c r="D629" s="11" t="str">
        <f>IFERROR(_xlfn.AGGREGATE(15,6,$C$3:$C$53,ROW('Production Matrix'!#REF!)),"")</f>
        <v/>
      </c>
      <c r="E629" s="11" t="str">
        <f t="shared" si="18"/>
        <v/>
      </c>
      <c r="F629" s="12">
        <f>IFERROR(INDEX('Production Matrix'!$B:$B,E629,0),0)</f>
        <v>0</v>
      </c>
    </row>
    <row r="630" spans="3:6">
      <c r="C630" s="11" t="e">
        <f>IF(1*('Production Matrix'!A:A="تكلفة انتاج الوحدة")*ROW('Production Matrix'!#REF!)=0,1/0,1*('Production Matrix'!A:A="تكلفة انتاج الوحدة")*ROW('Production Matrix'!#REF!))</f>
        <v>#REF!</v>
      </c>
      <c r="D630" s="11" t="str">
        <f>IFERROR(_xlfn.AGGREGATE(15,6,$C$3:$C$53,ROW('Production Matrix'!#REF!)),"")</f>
        <v/>
      </c>
      <c r="E630" s="11" t="str">
        <f t="shared" si="18"/>
        <v/>
      </c>
      <c r="F630" s="12">
        <f>IFERROR(INDEX('Production Matrix'!$B:$B,E630,0),0)</f>
        <v>0</v>
      </c>
    </row>
    <row r="631" spans="3:6">
      <c r="C631" s="11" t="e">
        <f>IF(1*('Production Matrix'!A:A="تكلفة انتاج الوحدة")*ROW('Production Matrix'!#REF!)=0,1/0,1*('Production Matrix'!A:A="تكلفة انتاج الوحدة")*ROW('Production Matrix'!#REF!))</f>
        <v>#REF!</v>
      </c>
      <c r="D631" s="11" t="str">
        <f>IFERROR(_xlfn.AGGREGATE(15,6,$C$3:$C$53,ROW('Production Matrix'!#REF!)),"")</f>
        <v/>
      </c>
      <c r="E631" s="11" t="str">
        <f t="shared" si="18"/>
        <v/>
      </c>
      <c r="F631" s="12">
        <f>IFERROR(INDEX('Production Matrix'!$B:$B,E631,0),0)</f>
        <v>0</v>
      </c>
    </row>
    <row r="632" spans="3:6">
      <c r="C632" s="11" t="e">
        <f>IF(1*('Production Matrix'!A:A="تكلفة انتاج الوحدة")*ROW('Production Matrix'!#REF!)=0,1/0,1*('Production Matrix'!A:A="تكلفة انتاج الوحدة")*ROW('Production Matrix'!#REF!))</f>
        <v>#REF!</v>
      </c>
      <c r="D632" s="11" t="str">
        <f>IFERROR(_xlfn.AGGREGATE(15,6,$C$3:$C$53,ROW('Production Matrix'!#REF!)),"")</f>
        <v/>
      </c>
      <c r="E632" s="11" t="str">
        <f t="shared" si="18"/>
        <v/>
      </c>
      <c r="F632" s="12">
        <f>IFERROR(INDEX('Production Matrix'!$B:$B,E632,0),0)</f>
        <v>0</v>
      </c>
    </row>
    <row r="633" spans="3:6">
      <c r="C633" s="11" t="e">
        <f>IF(1*('Production Matrix'!A:A="تكلفة انتاج الوحدة")*ROW('Production Matrix'!#REF!)=0,1/0,1*('Production Matrix'!A:A="تكلفة انتاج الوحدة")*ROW('Production Matrix'!#REF!))</f>
        <v>#REF!</v>
      </c>
      <c r="D633" s="11" t="str">
        <f>IFERROR(_xlfn.AGGREGATE(15,6,$C$3:$C$53,ROW('Production Matrix'!#REF!)),"")</f>
        <v/>
      </c>
      <c r="E633" s="11" t="str">
        <f t="shared" si="18"/>
        <v/>
      </c>
      <c r="F633" s="12">
        <f>IFERROR(INDEX('Production Matrix'!$B:$B,E633,0),0)</f>
        <v>0</v>
      </c>
    </row>
    <row r="634" spans="3:6">
      <c r="C634" s="11" t="e">
        <f>IF(1*('Production Matrix'!A:A="تكلفة انتاج الوحدة")*ROW('Production Matrix'!#REF!)=0,1/0,1*('Production Matrix'!A:A="تكلفة انتاج الوحدة")*ROW('Production Matrix'!#REF!))</f>
        <v>#REF!</v>
      </c>
      <c r="D634" s="11" t="str">
        <f>IFERROR(_xlfn.AGGREGATE(15,6,$C$3:$C$53,ROW('Production Matrix'!#REF!)),"")</f>
        <v/>
      </c>
      <c r="E634" s="11" t="str">
        <f t="shared" si="18"/>
        <v/>
      </c>
      <c r="F634" s="12">
        <f>IFERROR(INDEX('Production Matrix'!$B:$B,E634,0),0)</f>
        <v>0</v>
      </c>
    </row>
    <row r="635" spans="3:6">
      <c r="C635" s="11" t="e">
        <f>IF(1*('Production Matrix'!A:A="تكلفة انتاج الوحدة")*ROW('Production Matrix'!#REF!)=0,1/0,1*('Production Matrix'!A:A="تكلفة انتاج الوحدة")*ROW('Production Matrix'!#REF!))</f>
        <v>#REF!</v>
      </c>
      <c r="D635" s="11" t="str">
        <f>IFERROR(_xlfn.AGGREGATE(15,6,$C$3:$C$53,ROW('Production Matrix'!#REF!)),"")</f>
        <v/>
      </c>
      <c r="E635" s="11" t="str">
        <f t="shared" si="18"/>
        <v/>
      </c>
      <c r="F635" s="12">
        <f>IFERROR(INDEX('Production Matrix'!$B:$B,E635,0),0)</f>
        <v>0</v>
      </c>
    </row>
    <row r="636" spans="3:6">
      <c r="C636" s="11" t="e">
        <f>IF(1*('Production Matrix'!A:A="تكلفة انتاج الوحدة")*ROW('Production Matrix'!#REF!)=0,1/0,1*('Production Matrix'!A:A="تكلفة انتاج الوحدة")*ROW('Production Matrix'!#REF!))</f>
        <v>#REF!</v>
      </c>
      <c r="D636" s="11" t="str">
        <f>IFERROR(_xlfn.AGGREGATE(15,6,$C$3:$C$53,ROW('Production Matrix'!#REF!)),"")</f>
        <v/>
      </c>
      <c r="E636" s="11" t="str">
        <f t="shared" si="18"/>
        <v/>
      </c>
      <c r="F636" s="12">
        <f>IFERROR(INDEX('Production Matrix'!$B:$B,E636,0),0)</f>
        <v>0</v>
      </c>
    </row>
    <row r="637" spans="3:6">
      <c r="C637" s="11" t="e">
        <f>IF(1*('Production Matrix'!A:A="تكلفة انتاج الوحدة")*ROW('Production Matrix'!#REF!)=0,1/0,1*('Production Matrix'!A:A="تكلفة انتاج الوحدة")*ROW('Production Matrix'!#REF!))</f>
        <v>#REF!</v>
      </c>
      <c r="D637" s="11" t="str">
        <f>IFERROR(_xlfn.AGGREGATE(15,6,$C$3:$C$53,ROW('Production Matrix'!#REF!)),"")</f>
        <v/>
      </c>
      <c r="E637" s="11" t="str">
        <f t="shared" si="18"/>
        <v/>
      </c>
      <c r="F637" s="12">
        <f>IFERROR(INDEX('Production Matrix'!$B:$B,E637,0),0)</f>
        <v>0</v>
      </c>
    </row>
    <row r="638" spans="3:6">
      <c r="C638" s="11" t="e">
        <f>IF(1*('Production Matrix'!A:A="تكلفة انتاج الوحدة")*ROW('Production Matrix'!#REF!)=0,1/0,1*('Production Matrix'!A:A="تكلفة انتاج الوحدة")*ROW('Production Matrix'!#REF!))</f>
        <v>#REF!</v>
      </c>
      <c r="D638" s="11" t="str">
        <f>IFERROR(_xlfn.AGGREGATE(15,6,$C$3:$C$53,ROW('Production Matrix'!#REF!)),"")</f>
        <v/>
      </c>
      <c r="E638" s="11" t="str">
        <f t="shared" si="18"/>
        <v/>
      </c>
      <c r="F638" s="12">
        <f>IFERROR(INDEX('Production Matrix'!$B:$B,E638,0),0)</f>
        <v>0</v>
      </c>
    </row>
    <row r="639" spans="3:6">
      <c r="C639" s="11" t="e">
        <f>IF(1*('Production Matrix'!A:A="تكلفة انتاج الوحدة")*ROW('Production Matrix'!#REF!)=0,1/0,1*('Production Matrix'!A:A="تكلفة انتاج الوحدة")*ROW('Production Matrix'!#REF!))</f>
        <v>#REF!</v>
      </c>
      <c r="D639" s="11" t="str">
        <f>IFERROR(_xlfn.AGGREGATE(15,6,$C$3:$C$53,ROW('Production Matrix'!#REF!)),"")</f>
        <v/>
      </c>
      <c r="E639" s="11" t="str">
        <f t="shared" si="18"/>
        <v/>
      </c>
      <c r="F639" s="12">
        <f>IFERROR(INDEX('Production Matrix'!$B:$B,E639,0),0)</f>
        <v>0</v>
      </c>
    </row>
    <row r="640" spans="3:6">
      <c r="C640" s="11" t="e">
        <f>IF(1*('Production Matrix'!A:A="تكلفة انتاج الوحدة")*ROW('Production Matrix'!#REF!)=0,1/0,1*('Production Matrix'!A:A="تكلفة انتاج الوحدة")*ROW('Production Matrix'!#REF!))</f>
        <v>#REF!</v>
      </c>
      <c r="D640" s="11" t="str">
        <f>IFERROR(_xlfn.AGGREGATE(15,6,$C$3:$C$53,ROW('Production Matrix'!#REF!)),"")</f>
        <v/>
      </c>
      <c r="E640" s="11" t="str">
        <f t="shared" si="18"/>
        <v/>
      </c>
      <c r="F640" s="12">
        <f>IFERROR(INDEX('Production Matrix'!$B:$B,E640,0),0)</f>
        <v>0</v>
      </c>
    </row>
    <row r="641" spans="3:6">
      <c r="C641" s="11" t="e">
        <f>IF(1*('Production Matrix'!A:A="تكلفة انتاج الوحدة")*ROW('Production Matrix'!#REF!)=0,1/0,1*('Production Matrix'!A:A="تكلفة انتاج الوحدة")*ROW('Production Matrix'!#REF!))</f>
        <v>#REF!</v>
      </c>
      <c r="D641" s="11" t="str">
        <f>IFERROR(_xlfn.AGGREGATE(15,6,$C$3:$C$53,ROW('Production Matrix'!#REF!)),"")</f>
        <v/>
      </c>
      <c r="E641" s="11" t="str">
        <f t="shared" si="18"/>
        <v/>
      </c>
      <c r="F641" s="12">
        <f>IFERROR(INDEX('Production Matrix'!$B:$B,E641,0),0)</f>
        <v>0</v>
      </c>
    </row>
    <row r="642" spans="3:6">
      <c r="C642" s="11" t="e">
        <f>IF(1*('Production Matrix'!A:A="تكلفة انتاج الوحدة")*ROW('Production Matrix'!#REF!)=0,1/0,1*('Production Matrix'!A:A="تكلفة انتاج الوحدة")*ROW('Production Matrix'!#REF!))</f>
        <v>#REF!</v>
      </c>
      <c r="D642" s="11" t="str">
        <f>IFERROR(_xlfn.AGGREGATE(15,6,$C$3:$C$53,ROW('Production Matrix'!#REF!)),"")</f>
        <v/>
      </c>
      <c r="E642" s="11" t="str">
        <f t="shared" si="18"/>
        <v/>
      </c>
      <c r="F642" s="12">
        <f>IFERROR(INDEX('Production Matrix'!$B:$B,E642,0),0)</f>
        <v>0</v>
      </c>
    </row>
    <row r="643" spans="3:6">
      <c r="C643" s="11" t="e">
        <f>IF(1*('Production Matrix'!A:A="تكلفة انتاج الوحدة")*ROW('Production Matrix'!#REF!)=0,1/0,1*('Production Matrix'!A:A="تكلفة انتاج الوحدة")*ROW('Production Matrix'!#REF!))</f>
        <v>#REF!</v>
      </c>
      <c r="D643" s="11" t="str">
        <f>IFERROR(_xlfn.AGGREGATE(15,6,$C$3:$C$53,ROW('Production Matrix'!#REF!)),"")</f>
        <v/>
      </c>
      <c r="E643" s="11" t="str">
        <f t="shared" si="18"/>
        <v/>
      </c>
      <c r="F643" s="12">
        <f>IFERROR(INDEX('Production Matrix'!$B:$B,E643,0),0)</f>
        <v>0</v>
      </c>
    </row>
    <row r="644" spans="3:6">
      <c r="C644" s="11" t="e">
        <f>IF(1*('Production Matrix'!A:A="تكلفة انتاج الوحدة")*ROW('Production Matrix'!#REF!)=0,1/0,1*('Production Matrix'!A:A="تكلفة انتاج الوحدة")*ROW('Production Matrix'!#REF!))</f>
        <v>#REF!</v>
      </c>
      <c r="D644" s="11" t="str">
        <f>IFERROR(_xlfn.AGGREGATE(15,6,$C$3:$C$53,ROW('Production Matrix'!#REF!)),"")</f>
        <v/>
      </c>
      <c r="E644" s="11" t="str">
        <f t="shared" si="18"/>
        <v/>
      </c>
      <c r="F644" s="12">
        <f>IFERROR(INDEX('Production Matrix'!$B:$B,E644,0),0)</f>
        <v>0</v>
      </c>
    </row>
    <row r="645" spans="3:6">
      <c r="C645" s="11" t="e">
        <f>IF(1*('Production Matrix'!A:A="تكلفة انتاج الوحدة")*ROW('Production Matrix'!#REF!)=0,1/0,1*('Production Matrix'!A:A="تكلفة انتاج الوحدة")*ROW('Production Matrix'!#REF!))</f>
        <v>#REF!</v>
      </c>
      <c r="D645" s="11" t="str">
        <f>IFERROR(_xlfn.AGGREGATE(15,6,$C$3:$C$53,ROW('Production Matrix'!#REF!)),"")</f>
        <v/>
      </c>
      <c r="E645" s="11" t="str">
        <f t="shared" si="18"/>
        <v/>
      </c>
      <c r="F645" s="12">
        <f>IFERROR(INDEX('Production Matrix'!$B:$B,E645,0),0)</f>
        <v>0</v>
      </c>
    </row>
    <row r="646" spans="3:6">
      <c r="C646" s="11" t="e">
        <f>IF(1*('Production Matrix'!A:A="تكلفة انتاج الوحدة")*ROW('Production Matrix'!#REF!)=0,1/0,1*('Production Matrix'!A:A="تكلفة انتاج الوحدة")*ROW('Production Matrix'!#REF!))</f>
        <v>#REF!</v>
      </c>
      <c r="D646" s="11" t="str">
        <f>IFERROR(_xlfn.AGGREGATE(15,6,$C$3:$C$53,ROW('Production Matrix'!#REF!)),"")</f>
        <v/>
      </c>
      <c r="E646" s="11" t="str">
        <f t="shared" si="18"/>
        <v/>
      </c>
      <c r="F646" s="12">
        <f>IFERROR(INDEX('Production Matrix'!$B:$B,E646,0),0)</f>
        <v>0</v>
      </c>
    </row>
    <row r="647" spans="3:6">
      <c r="C647" s="11" t="e">
        <f>IF(1*('Production Matrix'!A:A="تكلفة انتاج الوحدة")*ROW('Production Matrix'!#REF!)=0,1/0,1*('Production Matrix'!A:A="تكلفة انتاج الوحدة")*ROW('Production Matrix'!#REF!))</f>
        <v>#REF!</v>
      </c>
      <c r="D647" s="11" t="str">
        <f>IFERROR(_xlfn.AGGREGATE(15,6,$C$3:$C$53,ROW('Production Matrix'!#REF!)),"")</f>
        <v/>
      </c>
      <c r="E647" s="11" t="str">
        <f t="shared" ref="E647:E710" si="19">IFERROR(D647+3,"")</f>
        <v/>
      </c>
      <c r="F647" s="12">
        <f>IFERROR(INDEX('Production Matrix'!$B:$B,E647,0),0)</f>
        <v>0</v>
      </c>
    </row>
    <row r="648" spans="3:6">
      <c r="C648" s="11" t="e">
        <f>IF(1*('Production Matrix'!A:A="تكلفة انتاج الوحدة")*ROW('Production Matrix'!#REF!)=0,1/0,1*('Production Matrix'!A:A="تكلفة انتاج الوحدة")*ROW('Production Matrix'!#REF!))</f>
        <v>#REF!</v>
      </c>
      <c r="D648" s="11" t="str">
        <f>IFERROR(_xlfn.AGGREGATE(15,6,$C$3:$C$53,ROW('Production Matrix'!#REF!)),"")</f>
        <v/>
      </c>
      <c r="E648" s="11" t="str">
        <f t="shared" si="19"/>
        <v/>
      </c>
      <c r="F648" s="12">
        <f>IFERROR(INDEX('Production Matrix'!$B:$B,E648,0),0)</f>
        <v>0</v>
      </c>
    </row>
    <row r="649" spans="3:6">
      <c r="C649" s="11" t="e">
        <f>IF(1*('Production Matrix'!A:A="تكلفة انتاج الوحدة")*ROW('Production Matrix'!#REF!)=0,1/0,1*('Production Matrix'!A:A="تكلفة انتاج الوحدة")*ROW('Production Matrix'!#REF!))</f>
        <v>#REF!</v>
      </c>
      <c r="D649" s="11" t="str">
        <f>IFERROR(_xlfn.AGGREGATE(15,6,$C$3:$C$53,ROW('Production Matrix'!#REF!)),"")</f>
        <v/>
      </c>
      <c r="E649" s="11" t="str">
        <f t="shared" si="19"/>
        <v/>
      </c>
      <c r="F649" s="12">
        <f>IFERROR(INDEX('Production Matrix'!$B:$B,E649,0),0)</f>
        <v>0</v>
      </c>
    </row>
    <row r="650" spans="3:6">
      <c r="C650" s="11" t="e">
        <f>IF(1*('Production Matrix'!A:A="تكلفة انتاج الوحدة")*ROW('Production Matrix'!#REF!)=0,1/0,1*('Production Matrix'!A:A="تكلفة انتاج الوحدة")*ROW('Production Matrix'!#REF!))</f>
        <v>#REF!</v>
      </c>
      <c r="D650" s="11" t="str">
        <f>IFERROR(_xlfn.AGGREGATE(15,6,$C$3:$C$53,ROW('Production Matrix'!#REF!)),"")</f>
        <v/>
      </c>
      <c r="E650" s="11" t="str">
        <f t="shared" si="19"/>
        <v/>
      </c>
      <c r="F650" s="12">
        <f>IFERROR(INDEX('Production Matrix'!$B:$B,E650,0),0)</f>
        <v>0</v>
      </c>
    </row>
    <row r="651" spans="3:6">
      <c r="C651" s="11" t="e">
        <f>IF(1*('Production Matrix'!A:A="تكلفة انتاج الوحدة")*ROW('Production Matrix'!#REF!)=0,1/0,1*('Production Matrix'!A:A="تكلفة انتاج الوحدة")*ROW('Production Matrix'!#REF!))</f>
        <v>#REF!</v>
      </c>
      <c r="D651" s="11" t="str">
        <f>IFERROR(_xlfn.AGGREGATE(15,6,$C$3:$C$53,ROW('Production Matrix'!#REF!)),"")</f>
        <v/>
      </c>
      <c r="E651" s="11" t="str">
        <f t="shared" si="19"/>
        <v/>
      </c>
      <c r="F651" s="12">
        <f>IFERROR(INDEX('Production Matrix'!$B:$B,E651,0),0)</f>
        <v>0</v>
      </c>
    </row>
    <row r="652" spans="3:6">
      <c r="C652" s="11" t="e">
        <f>IF(1*('Production Matrix'!A:A="تكلفة انتاج الوحدة")*ROW('Production Matrix'!#REF!)=0,1/0,1*('Production Matrix'!A:A="تكلفة انتاج الوحدة")*ROW('Production Matrix'!#REF!))</f>
        <v>#REF!</v>
      </c>
      <c r="D652" s="11" t="str">
        <f>IFERROR(_xlfn.AGGREGATE(15,6,$C$3:$C$53,ROW('Production Matrix'!#REF!)),"")</f>
        <v/>
      </c>
      <c r="E652" s="11" t="str">
        <f t="shared" si="19"/>
        <v/>
      </c>
      <c r="F652" s="12">
        <f>IFERROR(INDEX('Production Matrix'!$B:$B,E652,0),0)</f>
        <v>0</v>
      </c>
    </row>
    <row r="653" spans="3:6">
      <c r="C653" s="11" t="e">
        <f>IF(1*('Production Matrix'!A:A="تكلفة انتاج الوحدة")*ROW('Production Matrix'!#REF!)=0,1/0,1*('Production Matrix'!A:A="تكلفة انتاج الوحدة")*ROW('Production Matrix'!#REF!))</f>
        <v>#REF!</v>
      </c>
      <c r="D653" s="11" t="str">
        <f>IFERROR(_xlfn.AGGREGATE(15,6,$C$3:$C$53,ROW('Production Matrix'!#REF!)),"")</f>
        <v/>
      </c>
      <c r="E653" s="11" t="str">
        <f t="shared" si="19"/>
        <v/>
      </c>
      <c r="F653" s="12">
        <f>IFERROR(INDEX('Production Matrix'!$B:$B,E653,0),0)</f>
        <v>0</v>
      </c>
    </row>
    <row r="654" spans="3:6">
      <c r="C654" s="11" t="e">
        <f>IF(1*('Production Matrix'!A:A="تكلفة انتاج الوحدة")*ROW('Production Matrix'!#REF!)=0,1/0,1*('Production Matrix'!A:A="تكلفة انتاج الوحدة")*ROW('Production Matrix'!#REF!))</f>
        <v>#REF!</v>
      </c>
      <c r="D654" s="11" t="str">
        <f>IFERROR(_xlfn.AGGREGATE(15,6,$C$3:$C$53,ROW('Production Matrix'!#REF!)),"")</f>
        <v/>
      </c>
      <c r="E654" s="11" t="str">
        <f t="shared" si="19"/>
        <v/>
      </c>
      <c r="F654" s="12">
        <f>IFERROR(INDEX('Production Matrix'!$B:$B,E654,0),0)</f>
        <v>0</v>
      </c>
    </row>
    <row r="655" spans="3:6">
      <c r="C655" s="11" t="e">
        <f>IF(1*('Production Matrix'!A:A="تكلفة انتاج الوحدة")*ROW('Production Matrix'!#REF!)=0,1/0,1*('Production Matrix'!A:A="تكلفة انتاج الوحدة")*ROW('Production Matrix'!#REF!))</f>
        <v>#REF!</v>
      </c>
      <c r="D655" s="11" t="str">
        <f>IFERROR(_xlfn.AGGREGATE(15,6,$C$3:$C$53,ROW('Production Matrix'!#REF!)),"")</f>
        <v/>
      </c>
      <c r="E655" s="11" t="str">
        <f t="shared" si="19"/>
        <v/>
      </c>
      <c r="F655" s="12">
        <f>IFERROR(INDEX('Production Matrix'!$B:$B,E655,0),0)</f>
        <v>0</v>
      </c>
    </row>
    <row r="656" spans="3:6">
      <c r="C656" s="11" t="e">
        <f>IF(1*('Production Matrix'!A:A="تكلفة انتاج الوحدة")*ROW('Production Matrix'!#REF!)=0,1/0,1*('Production Matrix'!A:A="تكلفة انتاج الوحدة")*ROW('Production Matrix'!#REF!))</f>
        <v>#REF!</v>
      </c>
      <c r="D656" s="11" t="str">
        <f>IFERROR(_xlfn.AGGREGATE(15,6,$C$3:$C$53,ROW('Production Matrix'!#REF!)),"")</f>
        <v/>
      </c>
      <c r="E656" s="11" t="str">
        <f t="shared" si="19"/>
        <v/>
      </c>
      <c r="F656" s="12">
        <f>IFERROR(INDEX('Production Matrix'!$B:$B,E656,0),0)</f>
        <v>0</v>
      </c>
    </row>
    <row r="657" spans="3:6">
      <c r="C657" s="11" t="e">
        <f>IF(1*('Production Matrix'!A:A="تكلفة انتاج الوحدة")*ROW('Production Matrix'!#REF!)=0,1/0,1*('Production Matrix'!A:A="تكلفة انتاج الوحدة")*ROW('Production Matrix'!#REF!))</f>
        <v>#REF!</v>
      </c>
      <c r="D657" s="11" t="str">
        <f>IFERROR(_xlfn.AGGREGATE(15,6,$C$3:$C$53,ROW('Production Matrix'!#REF!)),"")</f>
        <v/>
      </c>
      <c r="E657" s="11" t="str">
        <f t="shared" si="19"/>
        <v/>
      </c>
      <c r="F657" s="12">
        <f>IFERROR(INDEX('Production Matrix'!$B:$B,E657,0),0)</f>
        <v>0</v>
      </c>
    </row>
    <row r="658" spans="3:6">
      <c r="C658" s="11" t="e">
        <f>IF(1*('Production Matrix'!A:A="تكلفة انتاج الوحدة")*ROW('Production Matrix'!#REF!)=0,1/0,1*('Production Matrix'!A:A="تكلفة انتاج الوحدة")*ROW('Production Matrix'!#REF!))</f>
        <v>#REF!</v>
      </c>
      <c r="D658" s="11" t="str">
        <f>IFERROR(_xlfn.AGGREGATE(15,6,$C$3:$C$53,ROW('Production Matrix'!#REF!)),"")</f>
        <v/>
      </c>
      <c r="E658" s="11" t="str">
        <f t="shared" si="19"/>
        <v/>
      </c>
      <c r="F658" s="12">
        <f>IFERROR(INDEX('Production Matrix'!$B:$B,E658,0),0)</f>
        <v>0</v>
      </c>
    </row>
    <row r="659" spans="3:6">
      <c r="C659" s="11" t="e">
        <f>IF(1*('Production Matrix'!A:A="تكلفة انتاج الوحدة")*ROW('Production Matrix'!#REF!)=0,1/0,1*('Production Matrix'!A:A="تكلفة انتاج الوحدة")*ROW('Production Matrix'!#REF!))</f>
        <v>#REF!</v>
      </c>
      <c r="D659" s="11" t="str">
        <f>IFERROR(_xlfn.AGGREGATE(15,6,$C$3:$C$53,ROW('Production Matrix'!#REF!)),"")</f>
        <v/>
      </c>
      <c r="E659" s="11" t="str">
        <f t="shared" si="19"/>
        <v/>
      </c>
      <c r="F659" s="12">
        <f>IFERROR(INDEX('Production Matrix'!$B:$B,E659,0),0)</f>
        <v>0</v>
      </c>
    </row>
    <row r="660" spans="3:6">
      <c r="C660" s="11" t="e">
        <f>IF(1*('Production Matrix'!A:A="تكلفة انتاج الوحدة")*ROW('Production Matrix'!#REF!)=0,1/0,1*('Production Matrix'!A:A="تكلفة انتاج الوحدة")*ROW('Production Matrix'!#REF!))</f>
        <v>#REF!</v>
      </c>
      <c r="D660" s="11" t="str">
        <f>IFERROR(_xlfn.AGGREGATE(15,6,$C$3:$C$53,ROW('Production Matrix'!#REF!)),"")</f>
        <v/>
      </c>
      <c r="E660" s="11" t="str">
        <f t="shared" si="19"/>
        <v/>
      </c>
      <c r="F660" s="12">
        <f>IFERROR(INDEX('Production Matrix'!$B:$B,E660,0),0)</f>
        <v>0</v>
      </c>
    </row>
    <row r="661" spans="3:6">
      <c r="C661" s="11" t="e">
        <f>IF(1*('Production Matrix'!A:A="تكلفة انتاج الوحدة")*ROW('Production Matrix'!#REF!)=0,1/0,1*('Production Matrix'!A:A="تكلفة انتاج الوحدة")*ROW('Production Matrix'!#REF!))</f>
        <v>#REF!</v>
      </c>
      <c r="D661" s="11" t="str">
        <f>IFERROR(_xlfn.AGGREGATE(15,6,$C$3:$C$53,ROW('Production Matrix'!#REF!)),"")</f>
        <v/>
      </c>
      <c r="E661" s="11" t="str">
        <f t="shared" si="19"/>
        <v/>
      </c>
      <c r="F661" s="12">
        <f>IFERROR(INDEX('Production Matrix'!$B:$B,E661,0),0)</f>
        <v>0</v>
      </c>
    </row>
    <row r="662" spans="3:6">
      <c r="C662" s="11" t="e">
        <f>IF(1*('Production Matrix'!A:A="تكلفة انتاج الوحدة")*ROW('Production Matrix'!#REF!)=0,1/0,1*('Production Matrix'!A:A="تكلفة انتاج الوحدة")*ROW('Production Matrix'!#REF!))</f>
        <v>#REF!</v>
      </c>
      <c r="D662" s="11" t="str">
        <f>IFERROR(_xlfn.AGGREGATE(15,6,$C$3:$C$53,ROW('Production Matrix'!#REF!)),"")</f>
        <v/>
      </c>
      <c r="E662" s="11" t="str">
        <f t="shared" si="19"/>
        <v/>
      </c>
      <c r="F662" s="12">
        <f>IFERROR(INDEX('Production Matrix'!$B:$B,E662,0),0)</f>
        <v>0</v>
      </c>
    </row>
    <row r="663" spans="3:6">
      <c r="C663" s="11" t="e">
        <f>IF(1*('Production Matrix'!A:A="تكلفة انتاج الوحدة")*ROW('Production Matrix'!#REF!)=0,1/0,1*('Production Matrix'!A:A="تكلفة انتاج الوحدة")*ROW('Production Matrix'!#REF!))</f>
        <v>#REF!</v>
      </c>
      <c r="D663" s="11" t="str">
        <f>IFERROR(_xlfn.AGGREGATE(15,6,$C$3:$C$53,ROW('Production Matrix'!#REF!)),"")</f>
        <v/>
      </c>
      <c r="E663" s="11" t="str">
        <f t="shared" si="19"/>
        <v/>
      </c>
      <c r="F663" s="12">
        <f>IFERROR(INDEX('Production Matrix'!$B:$B,E663,0),0)</f>
        <v>0</v>
      </c>
    </row>
    <row r="664" spans="3:6">
      <c r="C664" s="11" t="e">
        <f>IF(1*('Production Matrix'!A:A="تكلفة انتاج الوحدة")*ROW('Production Matrix'!#REF!)=0,1/0,1*('Production Matrix'!A:A="تكلفة انتاج الوحدة")*ROW('Production Matrix'!#REF!))</f>
        <v>#REF!</v>
      </c>
      <c r="D664" s="11" t="str">
        <f>IFERROR(_xlfn.AGGREGATE(15,6,$C$3:$C$53,ROW('Production Matrix'!#REF!)),"")</f>
        <v/>
      </c>
      <c r="E664" s="11" t="str">
        <f t="shared" si="19"/>
        <v/>
      </c>
      <c r="F664" s="12">
        <f>IFERROR(INDEX('Production Matrix'!$B:$B,E664,0),0)</f>
        <v>0</v>
      </c>
    </row>
    <row r="665" spans="3:6">
      <c r="C665" s="11" t="e">
        <f>IF(1*('Production Matrix'!A:A="تكلفة انتاج الوحدة")*ROW('Production Matrix'!#REF!)=0,1/0,1*('Production Matrix'!A:A="تكلفة انتاج الوحدة")*ROW('Production Matrix'!#REF!))</f>
        <v>#REF!</v>
      </c>
      <c r="D665" s="11" t="str">
        <f>IFERROR(_xlfn.AGGREGATE(15,6,$C$3:$C$53,ROW('Production Matrix'!#REF!)),"")</f>
        <v/>
      </c>
      <c r="E665" s="11" t="str">
        <f t="shared" si="19"/>
        <v/>
      </c>
      <c r="F665" s="12">
        <f>IFERROR(INDEX('Production Matrix'!$B:$B,E665,0),0)</f>
        <v>0</v>
      </c>
    </row>
    <row r="666" spans="3:6">
      <c r="C666" s="11" t="e">
        <f>IF(1*('Production Matrix'!A:A="تكلفة انتاج الوحدة")*ROW('Production Matrix'!#REF!)=0,1/0,1*('Production Matrix'!A:A="تكلفة انتاج الوحدة")*ROW('Production Matrix'!#REF!))</f>
        <v>#REF!</v>
      </c>
      <c r="D666" s="11" t="str">
        <f>IFERROR(_xlfn.AGGREGATE(15,6,$C$3:$C$53,ROW('Production Matrix'!#REF!)),"")</f>
        <v/>
      </c>
      <c r="E666" s="11" t="str">
        <f t="shared" si="19"/>
        <v/>
      </c>
      <c r="F666" s="12">
        <f>IFERROR(INDEX('Production Matrix'!$B:$B,E666,0),0)</f>
        <v>0</v>
      </c>
    </row>
    <row r="667" spans="3:6">
      <c r="C667" s="11" t="e">
        <f>IF(1*('Production Matrix'!A:A="تكلفة انتاج الوحدة")*ROW('Production Matrix'!#REF!)=0,1/0,1*('Production Matrix'!A:A="تكلفة انتاج الوحدة")*ROW('Production Matrix'!#REF!))</f>
        <v>#REF!</v>
      </c>
      <c r="D667" s="11" t="str">
        <f>IFERROR(_xlfn.AGGREGATE(15,6,$C$3:$C$53,ROW('Production Matrix'!#REF!)),"")</f>
        <v/>
      </c>
      <c r="E667" s="11" t="str">
        <f t="shared" si="19"/>
        <v/>
      </c>
      <c r="F667" s="12">
        <f>IFERROR(INDEX('Production Matrix'!$B:$B,E667,0),0)</f>
        <v>0</v>
      </c>
    </row>
    <row r="668" spans="3:6">
      <c r="C668" s="11" t="e">
        <f>IF(1*('Production Matrix'!A:A="تكلفة انتاج الوحدة")*ROW('Production Matrix'!#REF!)=0,1/0,1*('Production Matrix'!A:A="تكلفة انتاج الوحدة")*ROW('Production Matrix'!#REF!))</f>
        <v>#REF!</v>
      </c>
      <c r="D668" s="11" t="str">
        <f>IFERROR(_xlfn.AGGREGATE(15,6,$C$3:$C$53,ROW('Production Matrix'!#REF!)),"")</f>
        <v/>
      </c>
      <c r="E668" s="11" t="str">
        <f t="shared" si="19"/>
        <v/>
      </c>
      <c r="F668" s="12">
        <f>IFERROR(INDEX('Production Matrix'!$B:$B,E668,0),0)</f>
        <v>0</v>
      </c>
    </row>
    <row r="669" spans="3:6">
      <c r="C669" s="11" t="e">
        <f>IF(1*('Production Matrix'!A:A="تكلفة انتاج الوحدة")*ROW('Production Matrix'!#REF!)=0,1/0,1*('Production Matrix'!A:A="تكلفة انتاج الوحدة")*ROW('Production Matrix'!#REF!))</f>
        <v>#REF!</v>
      </c>
      <c r="D669" s="11" t="str">
        <f>IFERROR(_xlfn.AGGREGATE(15,6,$C$3:$C$53,ROW('Production Matrix'!#REF!)),"")</f>
        <v/>
      </c>
      <c r="E669" s="11" t="str">
        <f t="shared" si="19"/>
        <v/>
      </c>
      <c r="F669" s="12">
        <f>IFERROR(INDEX('Production Matrix'!$B:$B,E669,0),0)</f>
        <v>0</v>
      </c>
    </row>
    <row r="670" spans="3:6">
      <c r="C670" s="11" t="e">
        <f>IF(1*('Production Matrix'!A:A="تكلفة انتاج الوحدة")*ROW('Production Matrix'!#REF!)=0,1/0,1*('Production Matrix'!A:A="تكلفة انتاج الوحدة")*ROW('Production Matrix'!#REF!))</f>
        <v>#REF!</v>
      </c>
      <c r="D670" s="11" t="str">
        <f>IFERROR(_xlfn.AGGREGATE(15,6,$C$3:$C$53,ROW('Production Matrix'!#REF!)),"")</f>
        <v/>
      </c>
      <c r="E670" s="11" t="str">
        <f t="shared" si="19"/>
        <v/>
      </c>
      <c r="F670" s="12">
        <f>IFERROR(INDEX('Production Matrix'!$B:$B,E670,0),0)</f>
        <v>0</v>
      </c>
    </row>
    <row r="671" spans="3:6">
      <c r="C671" s="11" t="e">
        <f>IF(1*('Production Matrix'!A:A="تكلفة انتاج الوحدة")*ROW('Production Matrix'!#REF!)=0,1/0,1*('Production Matrix'!A:A="تكلفة انتاج الوحدة")*ROW('Production Matrix'!#REF!))</f>
        <v>#REF!</v>
      </c>
      <c r="D671" s="11" t="str">
        <f>IFERROR(_xlfn.AGGREGATE(15,6,$C$3:$C$53,ROW('Production Matrix'!#REF!)),"")</f>
        <v/>
      </c>
      <c r="E671" s="11" t="str">
        <f t="shared" si="19"/>
        <v/>
      </c>
      <c r="F671" s="12">
        <f>IFERROR(INDEX('Production Matrix'!$B:$B,E671,0),0)</f>
        <v>0</v>
      </c>
    </row>
    <row r="672" spans="3:6">
      <c r="C672" s="11" t="e">
        <f>IF(1*('Production Matrix'!A:A="تكلفة انتاج الوحدة")*ROW('Production Matrix'!#REF!)=0,1/0,1*('Production Matrix'!A:A="تكلفة انتاج الوحدة")*ROW('Production Matrix'!#REF!))</f>
        <v>#REF!</v>
      </c>
      <c r="D672" s="11" t="str">
        <f>IFERROR(_xlfn.AGGREGATE(15,6,$C$3:$C$53,ROW('Production Matrix'!#REF!)),"")</f>
        <v/>
      </c>
      <c r="E672" s="11" t="str">
        <f t="shared" si="19"/>
        <v/>
      </c>
      <c r="F672" s="12">
        <f>IFERROR(INDEX('Production Matrix'!$B:$B,E672,0),0)</f>
        <v>0</v>
      </c>
    </row>
    <row r="673" spans="3:6">
      <c r="C673" s="11" t="e">
        <f>IF(1*('Production Matrix'!A:A="تكلفة انتاج الوحدة")*ROW('Production Matrix'!#REF!)=0,1/0,1*('Production Matrix'!A:A="تكلفة انتاج الوحدة")*ROW('Production Matrix'!#REF!))</f>
        <v>#REF!</v>
      </c>
      <c r="D673" s="11" t="str">
        <f>IFERROR(_xlfn.AGGREGATE(15,6,$C$3:$C$53,ROW('Production Matrix'!#REF!)),"")</f>
        <v/>
      </c>
      <c r="E673" s="11" t="str">
        <f t="shared" si="19"/>
        <v/>
      </c>
      <c r="F673" s="12">
        <f>IFERROR(INDEX('Production Matrix'!$B:$B,E673,0),0)</f>
        <v>0</v>
      </c>
    </row>
    <row r="674" spans="3:6">
      <c r="C674" s="11" t="e">
        <f>IF(1*('Production Matrix'!A:A="تكلفة انتاج الوحدة")*ROW('Production Matrix'!#REF!)=0,1/0,1*('Production Matrix'!A:A="تكلفة انتاج الوحدة")*ROW('Production Matrix'!#REF!))</f>
        <v>#REF!</v>
      </c>
      <c r="D674" s="11" t="str">
        <f>IFERROR(_xlfn.AGGREGATE(15,6,$C$3:$C$53,ROW('Production Matrix'!#REF!)),"")</f>
        <v/>
      </c>
      <c r="E674" s="11" t="str">
        <f t="shared" si="19"/>
        <v/>
      </c>
      <c r="F674" s="12">
        <f>IFERROR(INDEX('Production Matrix'!$B:$B,E674,0),0)</f>
        <v>0</v>
      </c>
    </row>
    <row r="675" spans="3:6">
      <c r="C675" s="11" t="e">
        <f>IF(1*('Production Matrix'!A:A="تكلفة انتاج الوحدة")*ROW('Production Matrix'!#REF!)=0,1/0,1*('Production Matrix'!A:A="تكلفة انتاج الوحدة")*ROW('Production Matrix'!#REF!))</f>
        <v>#REF!</v>
      </c>
      <c r="D675" s="11" t="str">
        <f>IFERROR(_xlfn.AGGREGATE(15,6,$C$3:$C$53,ROW('Production Matrix'!#REF!)),"")</f>
        <v/>
      </c>
      <c r="E675" s="11" t="str">
        <f t="shared" si="19"/>
        <v/>
      </c>
      <c r="F675" s="12">
        <f>IFERROR(INDEX('Production Matrix'!$B:$B,E675,0),0)</f>
        <v>0</v>
      </c>
    </row>
    <row r="676" spans="3:6">
      <c r="C676" s="11" t="e">
        <f>IF(1*('Production Matrix'!A:A="تكلفة انتاج الوحدة")*ROW('Production Matrix'!#REF!)=0,1/0,1*('Production Matrix'!A:A="تكلفة انتاج الوحدة")*ROW('Production Matrix'!#REF!))</f>
        <v>#REF!</v>
      </c>
      <c r="D676" s="11" t="str">
        <f>IFERROR(_xlfn.AGGREGATE(15,6,$C$3:$C$53,ROW('Production Matrix'!#REF!)),"")</f>
        <v/>
      </c>
      <c r="E676" s="11" t="str">
        <f t="shared" si="19"/>
        <v/>
      </c>
      <c r="F676" s="12">
        <f>IFERROR(INDEX('Production Matrix'!$B:$B,E676,0),0)</f>
        <v>0</v>
      </c>
    </row>
    <row r="677" spans="3:6">
      <c r="C677" s="11" t="e">
        <f>IF(1*('Production Matrix'!A:A="تكلفة انتاج الوحدة")*ROW('Production Matrix'!#REF!)=0,1/0,1*('Production Matrix'!A:A="تكلفة انتاج الوحدة")*ROW('Production Matrix'!#REF!))</f>
        <v>#REF!</v>
      </c>
      <c r="D677" s="11" t="str">
        <f>IFERROR(_xlfn.AGGREGATE(15,6,$C$3:$C$53,ROW('Production Matrix'!#REF!)),"")</f>
        <v/>
      </c>
      <c r="E677" s="11" t="str">
        <f t="shared" si="19"/>
        <v/>
      </c>
      <c r="F677" s="12">
        <f>IFERROR(INDEX('Production Matrix'!$B:$B,E677,0),0)</f>
        <v>0</v>
      </c>
    </row>
    <row r="678" spans="3:6">
      <c r="C678" s="11" t="e">
        <f>IF(1*('Production Matrix'!A:A="تكلفة انتاج الوحدة")*ROW('Production Matrix'!#REF!)=0,1/0,1*('Production Matrix'!A:A="تكلفة انتاج الوحدة")*ROW('Production Matrix'!#REF!))</f>
        <v>#REF!</v>
      </c>
      <c r="D678" s="11" t="str">
        <f>IFERROR(_xlfn.AGGREGATE(15,6,$C$3:$C$53,ROW('Production Matrix'!#REF!)),"")</f>
        <v/>
      </c>
      <c r="E678" s="11" t="str">
        <f t="shared" si="19"/>
        <v/>
      </c>
      <c r="F678" s="12">
        <f>IFERROR(INDEX('Production Matrix'!$B:$B,E678,0),0)</f>
        <v>0</v>
      </c>
    </row>
    <row r="679" spans="3:6">
      <c r="C679" s="11" t="e">
        <f>IF(1*('Production Matrix'!A:A="تكلفة انتاج الوحدة")*ROW('Production Matrix'!#REF!)=0,1/0,1*('Production Matrix'!A:A="تكلفة انتاج الوحدة")*ROW('Production Matrix'!#REF!))</f>
        <v>#REF!</v>
      </c>
      <c r="D679" s="11" t="str">
        <f>IFERROR(_xlfn.AGGREGATE(15,6,$C$3:$C$53,ROW('Production Matrix'!#REF!)),"")</f>
        <v/>
      </c>
      <c r="E679" s="11" t="str">
        <f t="shared" si="19"/>
        <v/>
      </c>
      <c r="F679" s="12">
        <f>IFERROR(INDEX('Production Matrix'!$B:$B,E679,0),0)</f>
        <v>0</v>
      </c>
    </row>
    <row r="680" spans="3:6">
      <c r="C680" s="11" t="e">
        <f>IF(1*('Production Matrix'!A:A="تكلفة انتاج الوحدة")*ROW('Production Matrix'!#REF!)=0,1/0,1*('Production Matrix'!A:A="تكلفة انتاج الوحدة")*ROW('Production Matrix'!#REF!))</f>
        <v>#REF!</v>
      </c>
      <c r="D680" s="11" t="str">
        <f>IFERROR(_xlfn.AGGREGATE(15,6,$C$3:$C$53,ROW('Production Matrix'!#REF!)),"")</f>
        <v/>
      </c>
      <c r="E680" s="11" t="str">
        <f t="shared" si="19"/>
        <v/>
      </c>
      <c r="F680" s="12">
        <f>IFERROR(INDEX('Production Matrix'!$B:$B,E680,0),0)</f>
        <v>0</v>
      </c>
    </row>
    <row r="681" spans="3:6">
      <c r="C681" s="11" t="e">
        <f>IF(1*('Production Matrix'!A:A="تكلفة انتاج الوحدة")*ROW('Production Matrix'!#REF!)=0,1/0,1*('Production Matrix'!A:A="تكلفة انتاج الوحدة")*ROW('Production Matrix'!#REF!))</f>
        <v>#REF!</v>
      </c>
      <c r="D681" s="11" t="str">
        <f>IFERROR(_xlfn.AGGREGATE(15,6,$C$3:$C$53,ROW('Production Matrix'!#REF!)),"")</f>
        <v/>
      </c>
      <c r="E681" s="11" t="str">
        <f t="shared" si="19"/>
        <v/>
      </c>
      <c r="F681" s="12">
        <f>IFERROR(INDEX('Production Matrix'!$B:$B,E681,0),0)</f>
        <v>0</v>
      </c>
    </row>
    <row r="682" spans="3:6">
      <c r="C682" s="11" t="e">
        <f>IF(1*('Production Matrix'!A:A="تكلفة انتاج الوحدة")*ROW('Production Matrix'!#REF!)=0,1/0,1*('Production Matrix'!A:A="تكلفة انتاج الوحدة")*ROW('Production Matrix'!#REF!))</f>
        <v>#REF!</v>
      </c>
      <c r="D682" s="11" t="str">
        <f>IFERROR(_xlfn.AGGREGATE(15,6,$C$3:$C$53,ROW('Production Matrix'!#REF!)),"")</f>
        <v/>
      </c>
      <c r="E682" s="11" t="str">
        <f t="shared" si="19"/>
        <v/>
      </c>
      <c r="F682" s="12">
        <f>IFERROR(INDEX('Production Matrix'!$B:$B,E682,0),0)</f>
        <v>0</v>
      </c>
    </row>
    <row r="683" spans="3:6">
      <c r="C683" s="11" t="e">
        <f>IF(1*('Production Matrix'!A:A="تكلفة انتاج الوحدة")*ROW('Production Matrix'!#REF!)=0,1/0,1*('Production Matrix'!A:A="تكلفة انتاج الوحدة")*ROW('Production Matrix'!#REF!))</f>
        <v>#REF!</v>
      </c>
      <c r="D683" s="11" t="str">
        <f>IFERROR(_xlfn.AGGREGATE(15,6,$C$3:$C$53,ROW('Production Matrix'!#REF!)),"")</f>
        <v/>
      </c>
      <c r="E683" s="11" t="str">
        <f t="shared" si="19"/>
        <v/>
      </c>
      <c r="F683" s="12">
        <f>IFERROR(INDEX('Production Matrix'!$B:$B,E683,0),0)</f>
        <v>0</v>
      </c>
    </row>
    <row r="684" spans="3:6">
      <c r="C684" s="11" t="e">
        <f>IF(1*('Production Matrix'!A:A="تكلفة انتاج الوحدة")*ROW('Production Matrix'!#REF!)=0,1/0,1*('Production Matrix'!A:A="تكلفة انتاج الوحدة")*ROW('Production Matrix'!#REF!))</f>
        <v>#REF!</v>
      </c>
      <c r="D684" s="11" t="str">
        <f>IFERROR(_xlfn.AGGREGATE(15,6,$C$3:$C$53,ROW('Production Matrix'!#REF!)),"")</f>
        <v/>
      </c>
      <c r="E684" s="11" t="str">
        <f t="shared" si="19"/>
        <v/>
      </c>
      <c r="F684" s="12">
        <f>IFERROR(INDEX('Production Matrix'!$B:$B,E684,0),0)</f>
        <v>0</v>
      </c>
    </row>
    <row r="685" spans="3:6">
      <c r="C685" s="11" t="e">
        <f>IF(1*('Production Matrix'!A:A="تكلفة انتاج الوحدة")*ROW('Production Matrix'!#REF!)=0,1/0,1*('Production Matrix'!A:A="تكلفة انتاج الوحدة")*ROW('Production Matrix'!#REF!))</f>
        <v>#REF!</v>
      </c>
      <c r="D685" s="11" t="str">
        <f>IFERROR(_xlfn.AGGREGATE(15,6,$C$3:$C$53,ROW('Production Matrix'!#REF!)),"")</f>
        <v/>
      </c>
      <c r="E685" s="11" t="str">
        <f t="shared" si="19"/>
        <v/>
      </c>
      <c r="F685" s="12">
        <f>IFERROR(INDEX('Production Matrix'!$B:$B,E685,0),0)</f>
        <v>0</v>
      </c>
    </row>
    <row r="686" spans="3:6">
      <c r="C686" s="11" t="e">
        <f>IF(1*('Production Matrix'!A:A="تكلفة انتاج الوحدة")*ROW('Production Matrix'!#REF!)=0,1/0,1*('Production Matrix'!A:A="تكلفة انتاج الوحدة")*ROW('Production Matrix'!#REF!))</f>
        <v>#REF!</v>
      </c>
      <c r="D686" s="11" t="str">
        <f>IFERROR(_xlfn.AGGREGATE(15,6,$C$3:$C$53,ROW('Production Matrix'!#REF!)),"")</f>
        <v/>
      </c>
      <c r="E686" s="11" t="str">
        <f t="shared" si="19"/>
        <v/>
      </c>
      <c r="F686" s="12">
        <f>IFERROR(INDEX('Production Matrix'!$B:$B,E686,0),0)</f>
        <v>0</v>
      </c>
    </row>
    <row r="687" spans="3:6">
      <c r="C687" s="11" t="e">
        <f>IF(1*('Production Matrix'!A:A="تكلفة انتاج الوحدة")*ROW('Production Matrix'!#REF!)=0,1/0,1*('Production Matrix'!A:A="تكلفة انتاج الوحدة")*ROW('Production Matrix'!#REF!))</f>
        <v>#REF!</v>
      </c>
      <c r="D687" s="11" t="str">
        <f>IFERROR(_xlfn.AGGREGATE(15,6,$C$3:$C$53,ROW('Production Matrix'!#REF!)),"")</f>
        <v/>
      </c>
      <c r="E687" s="11" t="str">
        <f t="shared" si="19"/>
        <v/>
      </c>
      <c r="F687" s="12">
        <f>IFERROR(INDEX('Production Matrix'!$B:$B,E687,0),0)</f>
        <v>0</v>
      </c>
    </row>
    <row r="688" spans="3:6">
      <c r="C688" s="11" t="e">
        <f>IF(1*('Production Matrix'!A:A="تكلفة انتاج الوحدة")*ROW('Production Matrix'!#REF!)=0,1/0,1*('Production Matrix'!A:A="تكلفة انتاج الوحدة")*ROW('Production Matrix'!#REF!))</f>
        <v>#REF!</v>
      </c>
      <c r="D688" s="11" t="str">
        <f>IFERROR(_xlfn.AGGREGATE(15,6,$C$3:$C$53,ROW('Production Matrix'!#REF!)),"")</f>
        <v/>
      </c>
      <c r="E688" s="11" t="str">
        <f t="shared" si="19"/>
        <v/>
      </c>
      <c r="F688" s="12">
        <f>IFERROR(INDEX('Production Matrix'!$B:$B,E688,0),0)</f>
        <v>0</v>
      </c>
    </row>
    <row r="689" spans="3:6">
      <c r="C689" s="11" t="e">
        <f>IF(1*('Production Matrix'!A:A="تكلفة انتاج الوحدة")*ROW('Production Matrix'!#REF!)=0,1/0,1*('Production Matrix'!A:A="تكلفة انتاج الوحدة")*ROW('Production Matrix'!#REF!))</f>
        <v>#REF!</v>
      </c>
      <c r="D689" s="11" t="str">
        <f>IFERROR(_xlfn.AGGREGATE(15,6,$C$3:$C$53,ROW('Production Matrix'!#REF!)),"")</f>
        <v/>
      </c>
      <c r="E689" s="11" t="str">
        <f t="shared" si="19"/>
        <v/>
      </c>
      <c r="F689" s="12">
        <f>IFERROR(INDEX('Production Matrix'!$B:$B,E689,0),0)</f>
        <v>0</v>
      </c>
    </row>
    <row r="690" spans="3:6">
      <c r="C690" s="11" t="e">
        <f>IF(1*('Production Matrix'!A:A="تكلفة انتاج الوحدة")*ROW('Production Matrix'!#REF!)=0,1/0,1*('Production Matrix'!A:A="تكلفة انتاج الوحدة")*ROW('Production Matrix'!#REF!))</f>
        <v>#REF!</v>
      </c>
      <c r="D690" s="11" t="str">
        <f>IFERROR(_xlfn.AGGREGATE(15,6,$C$3:$C$53,ROW('Production Matrix'!#REF!)),"")</f>
        <v/>
      </c>
      <c r="E690" s="11" t="str">
        <f t="shared" si="19"/>
        <v/>
      </c>
      <c r="F690" s="12">
        <f>IFERROR(INDEX('Production Matrix'!$B:$B,E690,0),0)</f>
        <v>0</v>
      </c>
    </row>
    <row r="691" spans="3:6">
      <c r="C691" s="11" t="e">
        <f>IF(1*('Production Matrix'!A:A="تكلفة انتاج الوحدة")*ROW('Production Matrix'!#REF!)=0,1/0,1*('Production Matrix'!A:A="تكلفة انتاج الوحدة")*ROW('Production Matrix'!#REF!))</f>
        <v>#REF!</v>
      </c>
      <c r="D691" s="11" t="str">
        <f>IFERROR(_xlfn.AGGREGATE(15,6,$C$3:$C$53,ROW('Production Matrix'!#REF!)),"")</f>
        <v/>
      </c>
      <c r="E691" s="11" t="str">
        <f t="shared" si="19"/>
        <v/>
      </c>
      <c r="F691" s="12">
        <f>IFERROR(INDEX('Production Matrix'!$B:$B,E691,0),0)</f>
        <v>0</v>
      </c>
    </row>
    <row r="692" spans="3:6">
      <c r="C692" s="11" t="e">
        <f>IF(1*('Production Matrix'!A:A="تكلفة انتاج الوحدة")*ROW('Production Matrix'!#REF!)=0,1/0,1*('Production Matrix'!A:A="تكلفة انتاج الوحدة")*ROW('Production Matrix'!#REF!))</f>
        <v>#REF!</v>
      </c>
      <c r="D692" s="11" t="str">
        <f>IFERROR(_xlfn.AGGREGATE(15,6,$C$3:$C$53,ROW('Production Matrix'!#REF!)),"")</f>
        <v/>
      </c>
      <c r="E692" s="11" t="str">
        <f t="shared" si="19"/>
        <v/>
      </c>
      <c r="F692" s="12">
        <f>IFERROR(INDEX('Production Matrix'!$B:$B,E692,0),0)</f>
        <v>0</v>
      </c>
    </row>
    <row r="693" spans="3:6">
      <c r="C693" s="11" t="e">
        <f>IF(1*('Production Matrix'!A:A="تكلفة انتاج الوحدة")*ROW('Production Matrix'!#REF!)=0,1/0,1*('Production Matrix'!A:A="تكلفة انتاج الوحدة")*ROW('Production Matrix'!#REF!))</f>
        <v>#REF!</v>
      </c>
      <c r="D693" s="11" t="str">
        <f>IFERROR(_xlfn.AGGREGATE(15,6,$C$3:$C$53,ROW('Production Matrix'!#REF!)),"")</f>
        <v/>
      </c>
      <c r="E693" s="11" t="str">
        <f t="shared" si="19"/>
        <v/>
      </c>
      <c r="F693" s="12">
        <f>IFERROR(INDEX('Production Matrix'!$B:$B,E693,0),0)</f>
        <v>0</v>
      </c>
    </row>
    <row r="694" spans="3:6">
      <c r="C694" s="11" t="e">
        <f>IF(1*('Production Matrix'!A:A="تكلفة انتاج الوحدة")*ROW('Production Matrix'!#REF!)=0,1/0,1*('Production Matrix'!A:A="تكلفة انتاج الوحدة")*ROW('Production Matrix'!#REF!))</f>
        <v>#REF!</v>
      </c>
      <c r="D694" s="11" t="str">
        <f>IFERROR(_xlfn.AGGREGATE(15,6,$C$3:$C$53,ROW('Production Matrix'!#REF!)),"")</f>
        <v/>
      </c>
      <c r="E694" s="11" t="str">
        <f t="shared" si="19"/>
        <v/>
      </c>
      <c r="F694" s="12">
        <f>IFERROR(INDEX('Production Matrix'!$B:$B,E694,0),0)</f>
        <v>0</v>
      </c>
    </row>
    <row r="695" spans="3:6">
      <c r="C695" s="11" t="e">
        <f>IF(1*('Production Matrix'!A:A="تكلفة انتاج الوحدة")*ROW('Production Matrix'!#REF!)=0,1/0,1*('Production Matrix'!A:A="تكلفة انتاج الوحدة")*ROW('Production Matrix'!#REF!))</f>
        <v>#REF!</v>
      </c>
      <c r="D695" s="11" t="str">
        <f>IFERROR(_xlfn.AGGREGATE(15,6,$C$3:$C$53,ROW('Production Matrix'!#REF!)),"")</f>
        <v/>
      </c>
      <c r="E695" s="11" t="str">
        <f t="shared" si="19"/>
        <v/>
      </c>
      <c r="F695" s="12">
        <f>IFERROR(INDEX('Production Matrix'!$B:$B,E695,0),0)</f>
        <v>0</v>
      </c>
    </row>
    <row r="696" spans="3:6">
      <c r="C696" s="11" t="e">
        <f>IF(1*('Production Matrix'!A:A="تكلفة انتاج الوحدة")*ROW('Production Matrix'!#REF!)=0,1/0,1*('Production Matrix'!A:A="تكلفة انتاج الوحدة")*ROW('Production Matrix'!#REF!))</f>
        <v>#REF!</v>
      </c>
      <c r="D696" s="11" t="str">
        <f>IFERROR(_xlfn.AGGREGATE(15,6,$C$3:$C$53,ROW('Production Matrix'!#REF!)),"")</f>
        <v/>
      </c>
      <c r="E696" s="11" t="str">
        <f t="shared" si="19"/>
        <v/>
      </c>
      <c r="F696" s="12">
        <f>IFERROR(INDEX('Production Matrix'!$B:$B,E696,0),0)</f>
        <v>0</v>
      </c>
    </row>
    <row r="697" spans="3:6">
      <c r="C697" s="11" t="e">
        <f>IF(1*('Production Matrix'!A:A="تكلفة انتاج الوحدة")*ROW('Production Matrix'!#REF!)=0,1/0,1*('Production Matrix'!A:A="تكلفة انتاج الوحدة")*ROW('Production Matrix'!#REF!))</f>
        <v>#REF!</v>
      </c>
      <c r="D697" s="11" t="str">
        <f>IFERROR(_xlfn.AGGREGATE(15,6,$C$3:$C$53,ROW('Production Matrix'!#REF!)),"")</f>
        <v/>
      </c>
      <c r="E697" s="11" t="str">
        <f t="shared" si="19"/>
        <v/>
      </c>
      <c r="F697" s="12">
        <f>IFERROR(INDEX('Production Matrix'!$B:$B,E697,0),0)</f>
        <v>0</v>
      </c>
    </row>
    <row r="698" spans="3:6">
      <c r="C698" s="11" t="e">
        <f>IF(1*('Production Matrix'!A:A="تكلفة انتاج الوحدة")*ROW('Production Matrix'!#REF!)=0,1/0,1*('Production Matrix'!A:A="تكلفة انتاج الوحدة")*ROW('Production Matrix'!#REF!))</f>
        <v>#REF!</v>
      </c>
      <c r="D698" s="11" t="str">
        <f>IFERROR(_xlfn.AGGREGATE(15,6,$C$3:$C$53,ROW('Production Matrix'!#REF!)),"")</f>
        <v/>
      </c>
      <c r="E698" s="11" t="str">
        <f t="shared" si="19"/>
        <v/>
      </c>
      <c r="F698" s="12">
        <f>IFERROR(INDEX('Production Matrix'!$B:$B,E698,0),0)</f>
        <v>0</v>
      </c>
    </row>
    <row r="699" spans="3:6">
      <c r="C699" s="11" t="e">
        <f>IF(1*('Production Matrix'!A:A="تكلفة انتاج الوحدة")*ROW('Production Matrix'!#REF!)=0,1/0,1*('Production Matrix'!A:A="تكلفة انتاج الوحدة")*ROW('Production Matrix'!#REF!))</f>
        <v>#REF!</v>
      </c>
      <c r="D699" s="11" t="str">
        <f>IFERROR(_xlfn.AGGREGATE(15,6,$C$3:$C$53,ROW('Production Matrix'!#REF!)),"")</f>
        <v/>
      </c>
      <c r="E699" s="11" t="str">
        <f t="shared" si="19"/>
        <v/>
      </c>
      <c r="F699" s="12">
        <f>IFERROR(INDEX('Production Matrix'!$B:$B,E699,0),0)</f>
        <v>0</v>
      </c>
    </row>
    <row r="700" spans="3:6">
      <c r="C700" s="11" t="e">
        <f>IF(1*('Production Matrix'!A:A="تكلفة انتاج الوحدة")*ROW('Production Matrix'!#REF!)=0,1/0,1*('Production Matrix'!A:A="تكلفة انتاج الوحدة")*ROW('Production Matrix'!#REF!))</f>
        <v>#REF!</v>
      </c>
      <c r="D700" s="11" t="str">
        <f>IFERROR(_xlfn.AGGREGATE(15,6,$C$3:$C$53,ROW('Production Matrix'!#REF!)),"")</f>
        <v/>
      </c>
      <c r="E700" s="11" t="str">
        <f t="shared" si="19"/>
        <v/>
      </c>
      <c r="F700" s="12">
        <f>IFERROR(INDEX('Production Matrix'!$B:$B,E700,0),0)</f>
        <v>0</v>
      </c>
    </row>
    <row r="701" spans="3:6">
      <c r="C701" s="11" t="e">
        <f>IF(1*('Production Matrix'!A:A="تكلفة انتاج الوحدة")*ROW('Production Matrix'!#REF!)=0,1/0,1*('Production Matrix'!A:A="تكلفة انتاج الوحدة")*ROW('Production Matrix'!#REF!))</f>
        <v>#REF!</v>
      </c>
      <c r="D701" s="11" t="str">
        <f>IFERROR(_xlfn.AGGREGATE(15,6,$C$3:$C$53,ROW('Production Matrix'!#REF!)),"")</f>
        <v/>
      </c>
      <c r="E701" s="11" t="str">
        <f t="shared" si="19"/>
        <v/>
      </c>
      <c r="F701" s="12">
        <f>IFERROR(INDEX('Production Matrix'!$B:$B,E701,0),0)</f>
        <v>0</v>
      </c>
    </row>
    <row r="702" spans="3:6">
      <c r="C702" s="11" t="e">
        <f>IF(1*('Production Matrix'!A:A="تكلفة انتاج الوحدة")*ROW('Production Matrix'!#REF!)=0,1/0,1*('Production Matrix'!A:A="تكلفة انتاج الوحدة")*ROW('Production Matrix'!#REF!))</f>
        <v>#REF!</v>
      </c>
      <c r="D702" s="11" t="str">
        <f>IFERROR(_xlfn.AGGREGATE(15,6,$C$3:$C$53,ROW('Production Matrix'!#REF!)),"")</f>
        <v/>
      </c>
      <c r="E702" s="11" t="str">
        <f t="shared" si="19"/>
        <v/>
      </c>
      <c r="F702" s="12">
        <f>IFERROR(INDEX('Production Matrix'!$B:$B,E702,0),0)</f>
        <v>0</v>
      </c>
    </row>
    <row r="703" spans="3:6">
      <c r="C703" s="11" t="e">
        <f>IF(1*('Production Matrix'!A:A="تكلفة انتاج الوحدة")*ROW('Production Matrix'!#REF!)=0,1/0,1*('Production Matrix'!A:A="تكلفة انتاج الوحدة")*ROW('Production Matrix'!#REF!))</f>
        <v>#REF!</v>
      </c>
      <c r="D703" s="11" t="str">
        <f>IFERROR(_xlfn.AGGREGATE(15,6,$C$3:$C$53,ROW('Production Matrix'!#REF!)),"")</f>
        <v/>
      </c>
      <c r="E703" s="11" t="str">
        <f t="shared" si="19"/>
        <v/>
      </c>
      <c r="F703" s="12">
        <f>IFERROR(INDEX('Production Matrix'!$B:$B,E703,0),0)</f>
        <v>0</v>
      </c>
    </row>
    <row r="704" spans="3:6">
      <c r="C704" s="11" t="e">
        <f>IF(1*('Production Matrix'!A:A="تكلفة انتاج الوحدة")*ROW('Production Matrix'!#REF!)=0,1/0,1*('Production Matrix'!A:A="تكلفة انتاج الوحدة")*ROW('Production Matrix'!#REF!))</f>
        <v>#REF!</v>
      </c>
      <c r="D704" s="11" t="str">
        <f>IFERROR(_xlfn.AGGREGATE(15,6,$C$3:$C$53,ROW('Production Matrix'!#REF!)),"")</f>
        <v/>
      </c>
      <c r="E704" s="11" t="str">
        <f t="shared" si="19"/>
        <v/>
      </c>
      <c r="F704" s="12">
        <f>IFERROR(INDEX('Production Matrix'!$B:$B,E704,0),0)</f>
        <v>0</v>
      </c>
    </row>
    <row r="705" spans="3:6">
      <c r="C705" s="11" t="e">
        <f>IF(1*('Production Matrix'!A:A="تكلفة انتاج الوحدة")*ROW('Production Matrix'!#REF!)=0,1/0,1*('Production Matrix'!A:A="تكلفة انتاج الوحدة")*ROW('Production Matrix'!#REF!))</f>
        <v>#REF!</v>
      </c>
      <c r="D705" s="11" t="str">
        <f>IFERROR(_xlfn.AGGREGATE(15,6,$C$3:$C$53,ROW('Production Matrix'!#REF!)),"")</f>
        <v/>
      </c>
      <c r="E705" s="11" t="str">
        <f t="shared" si="19"/>
        <v/>
      </c>
      <c r="F705" s="12">
        <f>IFERROR(INDEX('Production Matrix'!$B:$B,E705,0),0)</f>
        <v>0</v>
      </c>
    </row>
    <row r="706" spans="3:6">
      <c r="C706" s="11" t="e">
        <f>IF(1*('Production Matrix'!A:A="تكلفة انتاج الوحدة")*ROW('Production Matrix'!#REF!)=0,1/0,1*('Production Matrix'!A:A="تكلفة انتاج الوحدة")*ROW('Production Matrix'!#REF!))</f>
        <v>#REF!</v>
      </c>
      <c r="D706" s="11" t="str">
        <f>IFERROR(_xlfn.AGGREGATE(15,6,$C$3:$C$53,ROW('Production Matrix'!#REF!)),"")</f>
        <v/>
      </c>
      <c r="E706" s="11" t="str">
        <f t="shared" si="19"/>
        <v/>
      </c>
      <c r="F706" s="12">
        <f>IFERROR(INDEX('Production Matrix'!$B:$B,E706,0),0)</f>
        <v>0</v>
      </c>
    </row>
    <row r="707" spans="3:6">
      <c r="C707" s="11" t="e">
        <f>IF(1*('Production Matrix'!A:A="تكلفة انتاج الوحدة")*ROW('Production Matrix'!#REF!)=0,1/0,1*('Production Matrix'!A:A="تكلفة انتاج الوحدة")*ROW('Production Matrix'!#REF!))</f>
        <v>#REF!</v>
      </c>
      <c r="D707" s="11" t="str">
        <f>IFERROR(_xlfn.AGGREGATE(15,6,$C$3:$C$53,ROW('Production Matrix'!#REF!)),"")</f>
        <v/>
      </c>
      <c r="E707" s="11" t="str">
        <f t="shared" si="19"/>
        <v/>
      </c>
      <c r="F707" s="12">
        <f>IFERROR(INDEX('Production Matrix'!$B:$B,E707,0),0)</f>
        <v>0</v>
      </c>
    </row>
    <row r="708" spans="3:6">
      <c r="C708" s="11" t="e">
        <f>IF(1*('Production Matrix'!A:A="تكلفة انتاج الوحدة")*ROW('Production Matrix'!#REF!)=0,1/0,1*('Production Matrix'!A:A="تكلفة انتاج الوحدة")*ROW('Production Matrix'!#REF!))</f>
        <v>#REF!</v>
      </c>
      <c r="D708" s="11" t="str">
        <f>IFERROR(_xlfn.AGGREGATE(15,6,$C$3:$C$53,ROW('Production Matrix'!#REF!)),"")</f>
        <v/>
      </c>
      <c r="E708" s="11" t="str">
        <f t="shared" si="19"/>
        <v/>
      </c>
      <c r="F708" s="12">
        <f>IFERROR(INDEX('Production Matrix'!$B:$B,E708,0),0)</f>
        <v>0</v>
      </c>
    </row>
    <row r="709" spans="3:6">
      <c r="C709" s="11" t="e">
        <f>IF(1*('Production Matrix'!A:A="تكلفة انتاج الوحدة")*ROW('Production Matrix'!#REF!)=0,1/0,1*('Production Matrix'!A:A="تكلفة انتاج الوحدة")*ROW('Production Matrix'!#REF!))</f>
        <v>#REF!</v>
      </c>
      <c r="D709" s="11" t="str">
        <f>IFERROR(_xlfn.AGGREGATE(15,6,$C$3:$C$53,ROW('Production Matrix'!#REF!)),"")</f>
        <v/>
      </c>
      <c r="E709" s="11" t="str">
        <f t="shared" si="19"/>
        <v/>
      </c>
      <c r="F709" s="12">
        <f>IFERROR(INDEX('Production Matrix'!$B:$B,E709,0),0)</f>
        <v>0</v>
      </c>
    </row>
    <row r="710" spans="3:6">
      <c r="C710" s="11" t="e">
        <f>IF(1*('Production Matrix'!A:A="تكلفة انتاج الوحدة")*ROW('Production Matrix'!#REF!)=0,1/0,1*('Production Matrix'!A:A="تكلفة انتاج الوحدة")*ROW('Production Matrix'!#REF!))</f>
        <v>#REF!</v>
      </c>
      <c r="D710" s="11" t="str">
        <f>IFERROR(_xlfn.AGGREGATE(15,6,$C$3:$C$53,ROW('Production Matrix'!#REF!)),"")</f>
        <v/>
      </c>
      <c r="E710" s="11" t="str">
        <f t="shared" si="19"/>
        <v/>
      </c>
      <c r="F710" s="12">
        <f>IFERROR(INDEX('Production Matrix'!$B:$B,E710,0),0)</f>
        <v>0</v>
      </c>
    </row>
    <row r="711" spans="3:6">
      <c r="C711" s="11" t="e">
        <f>IF(1*('Production Matrix'!A:A="تكلفة انتاج الوحدة")*ROW('Production Matrix'!#REF!)=0,1/0,1*('Production Matrix'!A:A="تكلفة انتاج الوحدة")*ROW('Production Matrix'!#REF!))</f>
        <v>#REF!</v>
      </c>
      <c r="D711" s="11" t="str">
        <f>IFERROR(_xlfn.AGGREGATE(15,6,$C$3:$C$53,ROW('Production Matrix'!#REF!)),"")</f>
        <v/>
      </c>
      <c r="E711" s="11" t="str">
        <f t="shared" ref="E711:E774" si="20">IFERROR(D711+3,"")</f>
        <v/>
      </c>
      <c r="F711" s="12">
        <f>IFERROR(INDEX('Production Matrix'!$B:$B,E711,0),0)</f>
        <v>0</v>
      </c>
    </row>
    <row r="712" spans="3:6">
      <c r="C712" s="11" t="e">
        <f>IF(1*('Production Matrix'!A:A="تكلفة انتاج الوحدة")*ROW('Production Matrix'!#REF!)=0,1/0,1*('Production Matrix'!A:A="تكلفة انتاج الوحدة")*ROW('Production Matrix'!#REF!))</f>
        <v>#REF!</v>
      </c>
      <c r="D712" s="11" t="str">
        <f>IFERROR(_xlfn.AGGREGATE(15,6,$C$3:$C$53,ROW('Production Matrix'!#REF!)),"")</f>
        <v/>
      </c>
      <c r="E712" s="11" t="str">
        <f t="shared" si="20"/>
        <v/>
      </c>
      <c r="F712" s="12">
        <f>IFERROR(INDEX('Production Matrix'!$B:$B,E712,0),0)</f>
        <v>0</v>
      </c>
    </row>
    <row r="713" spans="3:6">
      <c r="C713" s="11" t="e">
        <f>IF(1*('Production Matrix'!A:A="تكلفة انتاج الوحدة")*ROW('Production Matrix'!#REF!)=0,1/0,1*('Production Matrix'!A:A="تكلفة انتاج الوحدة")*ROW('Production Matrix'!#REF!))</f>
        <v>#REF!</v>
      </c>
      <c r="D713" s="11" t="str">
        <f>IFERROR(_xlfn.AGGREGATE(15,6,$C$3:$C$53,ROW('Production Matrix'!#REF!)),"")</f>
        <v/>
      </c>
      <c r="E713" s="11" t="str">
        <f t="shared" si="20"/>
        <v/>
      </c>
      <c r="F713" s="12">
        <f>IFERROR(INDEX('Production Matrix'!$B:$B,E713,0),0)</f>
        <v>0</v>
      </c>
    </row>
    <row r="714" spans="3:6">
      <c r="C714" s="11" t="e">
        <f>IF(1*('Production Matrix'!A:A="تكلفة انتاج الوحدة")*ROW('Production Matrix'!#REF!)=0,1/0,1*('Production Matrix'!A:A="تكلفة انتاج الوحدة")*ROW('Production Matrix'!#REF!))</f>
        <v>#REF!</v>
      </c>
      <c r="D714" s="11" t="str">
        <f>IFERROR(_xlfn.AGGREGATE(15,6,$C$3:$C$53,ROW('Production Matrix'!#REF!)),"")</f>
        <v/>
      </c>
      <c r="E714" s="11" t="str">
        <f t="shared" si="20"/>
        <v/>
      </c>
      <c r="F714" s="12">
        <f>IFERROR(INDEX('Production Matrix'!$B:$B,E714,0),0)</f>
        <v>0</v>
      </c>
    </row>
    <row r="715" spans="3:6">
      <c r="C715" s="11" t="e">
        <f>IF(1*('Production Matrix'!A:A="تكلفة انتاج الوحدة")*ROW('Production Matrix'!#REF!)=0,1/0,1*('Production Matrix'!A:A="تكلفة انتاج الوحدة")*ROW('Production Matrix'!#REF!))</f>
        <v>#REF!</v>
      </c>
      <c r="D715" s="11" t="str">
        <f>IFERROR(_xlfn.AGGREGATE(15,6,$C$3:$C$53,ROW('Production Matrix'!#REF!)),"")</f>
        <v/>
      </c>
      <c r="E715" s="11" t="str">
        <f t="shared" si="20"/>
        <v/>
      </c>
      <c r="F715" s="12">
        <f>IFERROR(INDEX('Production Matrix'!$B:$B,E715,0),0)</f>
        <v>0</v>
      </c>
    </row>
    <row r="716" spans="3:6">
      <c r="C716" s="11" t="e">
        <f>IF(1*('Production Matrix'!A:A="تكلفة انتاج الوحدة")*ROW('Production Matrix'!#REF!)=0,1/0,1*('Production Matrix'!A:A="تكلفة انتاج الوحدة")*ROW('Production Matrix'!#REF!))</f>
        <v>#REF!</v>
      </c>
      <c r="D716" s="11" t="str">
        <f>IFERROR(_xlfn.AGGREGATE(15,6,$C$3:$C$53,ROW('Production Matrix'!#REF!)),"")</f>
        <v/>
      </c>
      <c r="E716" s="11" t="str">
        <f t="shared" si="20"/>
        <v/>
      </c>
      <c r="F716" s="12">
        <f>IFERROR(INDEX('Production Matrix'!$B:$B,E716,0),0)</f>
        <v>0</v>
      </c>
    </row>
    <row r="717" spans="3:6">
      <c r="C717" s="11" t="e">
        <f>IF(1*('Production Matrix'!A:A="تكلفة انتاج الوحدة")*ROW('Production Matrix'!#REF!)=0,1/0,1*('Production Matrix'!A:A="تكلفة انتاج الوحدة")*ROW('Production Matrix'!#REF!))</f>
        <v>#REF!</v>
      </c>
      <c r="D717" s="11" t="str">
        <f>IFERROR(_xlfn.AGGREGATE(15,6,$C$3:$C$53,ROW('Production Matrix'!#REF!)),"")</f>
        <v/>
      </c>
      <c r="E717" s="11" t="str">
        <f t="shared" si="20"/>
        <v/>
      </c>
      <c r="F717" s="12">
        <f>IFERROR(INDEX('Production Matrix'!$B:$B,E717,0),0)</f>
        <v>0</v>
      </c>
    </row>
    <row r="718" spans="3:6">
      <c r="C718" s="11" t="e">
        <f>IF(1*('Production Matrix'!A:A="تكلفة انتاج الوحدة")*ROW('Production Matrix'!#REF!)=0,1/0,1*('Production Matrix'!A:A="تكلفة انتاج الوحدة")*ROW('Production Matrix'!#REF!))</f>
        <v>#REF!</v>
      </c>
      <c r="D718" s="11" t="str">
        <f>IFERROR(_xlfn.AGGREGATE(15,6,$C$3:$C$53,ROW('Production Matrix'!#REF!)),"")</f>
        <v/>
      </c>
      <c r="E718" s="11" t="str">
        <f t="shared" si="20"/>
        <v/>
      </c>
      <c r="F718" s="12">
        <f>IFERROR(INDEX('Production Matrix'!$B:$B,E718,0),0)</f>
        <v>0</v>
      </c>
    </row>
    <row r="719" spans="3:6">
      <c r="C719" s="11" t="e">
        <f>IF(1*('Production Matrix'!A:A="تكلفة انتاج الوحدة")*ROW('Production Matrix'!#REF!)=0,1/0,1*('Production Matrix'!A:A="تكلفة انتاج الوحدة")*ROW('Production Matrix'!#REF!))</f>
        <v>#REF!</v>
      </c>
      <c r="D719" s="11" t="str">
        <f>IFERROR(_xlfn.AGGREGATE(15,6,$C$3:$C$53,ROW('Production Matrix'!#REF!)),"")</f>
        <v/>
      </c>
      <c r="E719" s="11" t="str">
        <f t="shared" si="20"/>
        <v/>
      </c>
      <c r="F719" s="12">
        <f>IFERROR(INDEX('Production Matrix'!$B:$B,E719,0),0)</f>
        <v>0</v>
      </c>
    </row>
    <row r="720" spans="3:6">
      <c r="C720" s="11" t="e">
        <f>IF(1*('Production Matrix'!A:A="تكلفة انتاج الوحدة")*ROW('Production Matrix'!#REF!)=0,1/0,1*('Production Matrix'!A:A="تكلفة انتاج الوحدة")*ROW('Production Matrix'!#REF!))</f>
        <v>#REF!</v>
      </c>
      <c r="D720" s="11" t="str">
        <f>IFERROR(_xlfn.AGGREGATE(15,6,$C$3:$C$53,ROW('Production Matrix'!#REF!)),"")</f>
        <v/>
      </c>
      <c r="E720" s="11" t="str">
        <f t="shared" si="20"/>
        <v/>
      </c>
      <c r="F720" s="12">
        <f>IFERROR(INDEX('Production Matrix'!$B:$B,E720,0),0)</f>
        <v>0</v>
      </c>
    </row>
    <row r="721" spans="3:6">
      <c r="C721" s="11" t="e">
        <f>IF(1*('Production Matrix'!A:A="تكلفة انتاج الوحدة")*ROW('Production Matrix'!#REF!)=0,1/0,1*('Production Matrix'!A:A="تكلفة انتاج الوحدة")*ROW('Production Matrix'!#REF!))</f>
        <v>#REF!</v>
      </c>
      <c r="D721" s="11" t="str">
        <f>IFERROR(_xlfn.AGGREGATE(15,6,$C$3:$C$53,ROW('Production Matrix'!#REF!)),"")</f>
        <v/>
      </c>
      <c r="E721" s="11" t="str">
        <f t="shared" si="20"/>
        <v/>
      </c>
      <c r="F721" s="12">
        <f>IFERROR(INDEX('Production Matrix'!$B:$B,E721,0),0)</f>
        <v>0</v>
      </c>
    </row>
    <row r="722" spans="3:6">
      <c r="C722" s="11" t="e">
        <f>IF(1*('Production Matrix'!A:A="تكلفة انتاج الوحدة")*ROW('Production Matrix'!#REF!)=0,1/0,1*('Production Matrix'!A:A="تكلفة انتاج الوحدة")*ROW('Production Matrix'!#REF!))</f>
        <v>#REF!</v>
      </c>
      <c r="D722" s="11" t="str">
        <f>IFERROR(_xlfn.AGGREGATE(15,6,$C$3:$C$53,ROW('Production Matrix'!#REF!)),"")</f>
        <v/>
      </c>
      <c r="E722" s="11" t="str">
        <f t="shared" si="20"/>
        <v/>
      </c>
      <c r="F722" s="12">
        <f>IFERROR(INDEX('Production Matrix'!$B:$B,E722,0),0)</f>
        <v>0</v>
      </c>
    </row>
    <row r="723" spans="3:6">
      <c r="C723" s="11" t="e">
        <f>IF(1*('Production Matrix'!A:A="تكلفة انتاج الوحدة")*ROW('Production Matrix'!#REF!)=0,1/0,1*('Production Matrix'!A:A="تكلفة انتاج الوحدة")*ROW('Production Matrix'!#REF!))</f>
        <v>#REF!</v>
      </c>
      <c r="D723" s="11" t="str">
        <f>IFERROR(_xlfn.AGGREGATE(15,6,$C$3:$C$53,ROW('Production Matrix'!#REF!)),"")</f>
        <v/>
      </c>
      <c r="E723" s="11" t="str">
        <f t="shared" si="20"/>
        <v/>
      </c>
      <c r="F723" s="12">
        <f>IFERROR(INDEX('Production Matrix'!$B:$B,E723,0),0)</f>
        <v>0</v>
      </c>
    </row>
    <row r="724" spans="3:6">
      <c r="C724" s="11" t="e">
        <f>IF(1*('Production Matrix'!A:A="تكلفة انتاج الوحدة")*ROW('Production Matrix'!#REF!)=0,1/0,1*('Production Matrix'!A:A="تكلفة انتاج الوحدة")*ROW('Production Matrix'!#REF!))</f>
        <v>#REF!</v>
      </c>
      <c r="D724" s="11" t="str">
        <f>IFERROR(_xlfn.AGGREGATE(15,6,$C$3:$C$53,ROW('Production Matrix'!#REF!)),"")</f>
        <v/>
      </c>
      <c r="E724" s="11" t="str">
        <f t="shared" si="20"/>
        <v/>
      </c>
      <c r="F724" s="12">
        <f>IFERROR(INDEX('Production Matrix'!$B:$B,E724,0),0)</f>
        <v>0</v>
      </c>
    </row>
    <row r="725" spans="3:6">
      <c r="C725" s="11" t="e">
        <f>IF(1*('Production Matrix'!A:A="تكلفة انتاج الوحدة")*ROW('Production Matrix'!#REF!)=0,1/0,1*('Production Matrix'!A:A="تكلفة انتاج الوحدة")*ROW('Production Matrix'!#REF!))</f>
        <v>#REF!</v>
      </c>
      <c r="D725" s="11" t="str">
        <f>IFERROR(_xlfn.AGGREGATE(15,6,$C$3:$C$53,ROW('Production Matrix'!#REF!)),"")</f>
        <v/>
      </c>
      <c r="E725" s="11" t="str">
        <f t="shared" si="20"/>
        <v/>
      </c>
      <c r="F725" s="12">
        <f>IFERROR(INDEX('Production Matrix'!$B:$B,E725,0),0)</f>
        <v>0</v>
      </c>
    </row>
    <row r="726" spans="3:6">
      <c r="C726" s="11" t="e">
        <f>IF(1*('Production Matrix'!A:A="تكلفة انتاج الوحدة")*ROW('Production Matrix'!#REF!)=0,1/0,1*('Production Matrix'!A:A="تكلفة انتاج الوحدة")*ROW('Production Matrix'!#REF!))</f>
        <v>#REF!</v>
      </c>
      <c r="D726" s="11" t="str">
        <f>IFERROR(_xlfn.AGGREGATE(15,6,$C$3:$C$53,ROW('Production Matrix'!#REF!)),"")</f>
        <v/>
      </c>
      <c r="E726" s="11" t="str">
        <f t="shared" si="20"/>
        <v/>
      </c>
      <c r="F726" s="12">
        <f>IFERROR(INDEX('Production Matrix'!$B:$B,E726,0),0)</f>
        <v>0</v>
      </c>
    </row>
    <row r="727" spans="3:6">
      <c r="C727" s="11" t="e">
        <f>IF(1*('Production Matrix'!A:A="تكلفة انتاج الوحدة")*ROW('Production Matrix'!#REF!)=0,1/0,1*('Production Matrix'!A:A="تكلفة انتاج الوحدة")*ROW('Production Matrix'!#REF!))</f>
        <v>#REF!</v>
      </c>
      <c r="D727" s="11" t="str">
        <f>IFERROR(_xlfn.AGGREGATE(15,6,$C$3:$C$53,ROW('Production Matrix'!#REF!)),"")</f>
        <v/>
      </c>
      <c r="E727" s="11" t="str">
        <f t="shared" si="20"/>
        <v/>
      </c>
      <c r="F727" s="12">
        <f>IFERROR(INDEX('Production Matrix'!$B:$B,E727,0),0)</f>
        <v>0</v>
      </c>
    </row>
    <row r="728" spans="3:6">
      <c r="C728" s="11" t="e">
        <f>IF(1*('Production Matrix'!A:A="تكلفة انتاج الوحدة")*ROW('Production Matrix'!#REF!)=0,1/0,1*('Production Matrix'!A:A="تكلفة انتاج الوحدة")*ROW('Production Matrix'!#REF!))</f>
        <v>#REF!</v>
      </c>
      <c r="D728" s="11" t="str">
        <f>IFERROR(_xlfn.AGGREGATE(15,6,$C$3:$C$53,ROW('Production Matrix'!#REF!)),"")</f>
        <v/>
      </c>
      <c r="E728" s="11" t="str">
        <f t="shared" si="20"/>
        <v/>
      </c>
      <c r="F728" s="12">
        <f>IFERROR(INDEX('Production Matrix'!$B:$B,E728,0),0)</f>
        <v>0</v>
      </c>
    </row>
    <row r="729" spans="3:6">
      <c r="C729" s="11" t="e">
        <f>IF(1*('Production Matrix'!A:A="تكلفة انتاج الوحدة")*ROW('Production Matrix'!#REF!)=0,1/0,1*('Production Matrix'!A:A="تكلفة انتاج الوحدة")*ROW('Production Matrix'!#REF!))</f>
        <v>#REF!</v>
      </c>
      <c r="D729" s="11" t="str">
        <f>IFERROR(_xlfn.AGGREGATE(15,6,$C$3:$C$53,ROW('Production Matrix'!#REF!)),"")</f>
        <v/>
      </c>
      <c r="E729" s="11" t="str">
        <f t="shared" si="20"/>
        <v/>
      </c>
      <c r="F729" s="12">
        <f>IFERROR(INDEX('Production Matrix'!$B:$B,E729,0),0)</f>
        <v>0</v>
      </c>
    </row>
    <row r="730" spans="3:6">
      <c r="C730" s="11" t="e">
        <f>IF(1*('Production Matrix'!A:A="تكلفة انتاج الوحدة")*ROW('Production Matrix'!#REF!)=0,1/0,1*('Production Matrix'!A:A="تكلفة انتاج الوحدة")*ROW('Production Matrix'!#REF!))</f>
        <v>#REF!</v>
      </c>
      <c r="D730" s="11" t="str">
        <f>IFERROR(_xlfn.AGGREGATE(15,6,$C$3:$C$53,ROW('Production Matrix'!#REF!)),"")</f>
        <v/>
      </c>
      <c r="E730" s="11" t="str">
        <f t="shared" si="20"/>
        <v/>
      </c>
      <c r="F730" s="12">
        <f>IFERROR(INDEX('Production Matrix'!$B:$B,E730,0),0)</f>
        <v>0</v>
      </c>
    </row>
    <row r="731" spans="3:6">
      <c r="C731" s="11" t="e">
        <f>IF(1*('Production Matrix'!A:A="تكلفة انتاج الوحدة")*ROW('Production Matrix'!#REF!)=0,1/0,1*('Production Matrix'!A:A="تكلفة انتاج الوحدة")*ROW('Production Matrix'!#REF!))</f>
        <v>#REF!</v>
      </c>
      <c r="D731" s="11" t="str">
        <f>IFERROR(_xlfn.AGGREGATE(15,6,$C$3:$C$53,ROW('Production Matrix'!#REF!)),"")</f>
        <v/>
      </c>
      <c r="E731" s="11" t="str">
        <f t="shared" si="20"/>
        <v/>
      </c>
      <c r="F731" s="12">
        <f>IFERROR(INDEX('Production Matrix'!$B:$B,E731,0),0)</f>
        <v>0</v>
      </c>
    </row>
    <row r="732" spans="3:6">
      <c r="C732" s="11" t="e">
        <f>IF(1*('Production Matrix'!A:A="تكلفة انتاج الوحدة")*ROW('Production Matrix'!#REF!)=0,1/0,1*('Production Matrix'!A:A="تكلفة انتاج الوحدة")*ROW('Production Matrix'!#REF!))</f>
        <v>#REF!</v>
      </c>
      <c r="D732" s="11" t="str">
        <f>IFERROR(_xlfn.AGGREGATE(15,6,$C$3:$C$53,ROW('Production Matrix'!#REF!)),"")</f>
        <v/>
      </c>
      <c r="E732" s="11" t="str">
        <f t="shared" si="20"/>
        <v/>
      </c>
      <c r="F732" s="12">
        <f>IFERROR(INDEX('Production Matrix'!$B:$B,E732,0),0)</f>
        <v>0</v>
      </c>
    </row>
    <row r="733" spans="3:6">
      <c r="C733" s="11" t="e">
        <f>IF(1*('Production Matrix'!A:A="تكلفة انتاج الوحدة")*ROW('Production Matrix'!#REF!)=0,1/0,1*('Production Matrix'!A:A="تكلفة انتاج الوحدة")*ROW('Production Matrix'!#REF!))</f>
        <v>#REF!</v>
      </c>
      <c r="D733" s="11" t="str">
        <f>IFERROR(_xlfn.AGGREGATE(15,6,$C$3:$C$53,ROW('Production Matrix'!#REF!)),"")</f>
        <v/>
      </c>
      <c r="E733" s="11" t="str">
        <f t="shared" si="20"/>
        <v/>
      </c>
      <c r="F733" s="12">
        <f>IFERROR(INDEX('Production Matrix'!$B:$B,E733,0),0)</f>
        <v>0</v>
      </c>
    </row>
    <row r="734" spans="3:6">
      <c r="C734" s="11" t="e">
        <f>IF(1*('Production Matrix'!A:A="تكلفة انتاج الوحدة")*ROW('Production Matrix'!#REF!)=0,1/0,1*('Production Matrix'!A:A="تكلفة انتاج الوحدة")*ROW('Production Matrix'!#REF!))</f>
        <v>#REF!</v>
      </c>
      <c r="D734" s="11" t="str">
        <f>IFERROR(_xlfn.AGGREGATE(15,6,$C$3:$C$53,ROW('Production Matrix'!#REF!)),"")</f>
        <v/>
      </c>
      <c r="E734" s="11" t="str">
        <f t="shared" si="20"/>
        <v/>
      </c>
      <c r="F734" s="12">
        <f>IFERROR(INDEX('Production Matrix'!$B:$B,E734,0),0)</f>
        <v>0</v>
      </c>
    </row>
    <row r="735" spans="3:6">
      <c r="C735" s="11" t="e">
        <f>IF(1*('Production Matrix'!A:A="تكلفة انتاج الوحدة")*ROW('Production Matrix'!#REF!)=0,1/0,1*('Production Matrix'!A:A="تكلفة انتاج الوحدة")*ROW('Production Matrix'!#REF!))</f>
        <v>#REF!</v>
      </c>
      <c r="D735" s="11" t="str">
        <f>IFERROR(_xlfn.AGGREGATE(15,6,$C$3:$C$53,ROW('Production Matrix'!#REF!)),"")</f>
        <v/>
      </c>
      <c r="E735" s="11" t="str">
        <f t="shared" si="20"/>
        <v/>
      </c>
      <c r="F735" s="12">
        <f>IFERROR(INDEX('Production Matrix'!$B:$B,E735,0),0)</f>
        <v>0</v>
      </c>
    </row>
    <row r="736" spans="3:6">
      <c r="C736" s="11" t="e">
        <f>IF(1*('Production Matrix'!A:A="تكلفة انتاج الوحدة")*ROW('Production Matrix'!#REF!)=0,1/0,1*('Production Matrix'!A:A="تكلفة انتاج الوحدة")*ROW('Production Matrix'!#REF!))</f>
        <v>#REF!</v>
      </c>
      <c r="D736" s="11" t="str">
        <f>IFERROR(_xlfn.AGGREGATE(15,6,$C$3:$C$53,ROW('Production Matrix'!#REF!)),"")</f>
        <v/>
      </c>
      <c r="E736" s="11" t="str">
        <f t="shared" si="20"/>
        <v/>
      </c>
      <c r="F736" s="12">
        <f>IFERROR(INDEX('Production Matrix'!$B:$B,E736,0),0)</f>
        <v>0</v>
      </c>
    </row>
    <row r="737" spans="3:6">
      <c r="C737" s="11" t="e">
        <f>IF(1*('Production Matrix'!A:A="تكلفة انتاج الوحدة")*ROW('Production Matrix'!#REF!)=0,1/0,1*('Production Matrix'!A:A="تكلفة انتاج الوحدة")*ROW('Production Matrix'!#REF!))</f>
        <v>#REF!</v>
      </c>
      <c r="D737" s="11" t="str">
        <f>IFERROR(_xlfn.AGGREGATE(15,6,$C$3:$C$53,ROW('Production Matrix'!#REF!)),"")</f>
        <v/>
      </c>
      <c r="E737" s="11" t="str">
        <f t="shared" si="20"/>
        <v/>
      </c>
      <c r="F737" s="12">
        <f>IFERROR(INDEX('Production Matrix'!$B:$B,E737,0),0)</f>
        <v>0</v>
      </c>
    </row>
    <row r="738" spans="3:6">
      <c r="C738" s="11" t="e">
        <f>IF(1*('Production Matrix'!A:A="تكلفة انتاج الوحدة")*ROW('Production Matrix'!#REF!)=0,1/0,1*('Production Matrix'!A:A="تكلفة انتاج الوحدة")*ROW('Production Matrix'!#REF!))</f>
        <v>#REF!</v>
      </c>
      <c r="D738" s="11" t="str">
        <f>IFERROR(_xlfn.AGGREGATE(15,6,$C$3:$C$53,ROW('Production Matrix'!#REF!)),"")</f>
        <v/>
      </c>
      <c r="E738" s="11" t="str">
        <f t="shared" si="20"/>
        <v/>
      </c>
      <c r="F738" s="12">
        <f>IFERROR(INDEX('Production Matrix'!$B:$B,E738,0),0)</f>
        <v>0</v>
      </c>
    </row>
    <row r="739" spans="3:6">
      <c r="C739" s="11" t="e">
        <f>IF(1*('Production Matrix'!A:A="تكلفة انتاج الوحدة")*ROW('Production Matrix'!#REF!)=0,1/0,1*('Production Matrix'!A:A="تكلفة انتاج الوحدة")*ROW('Production Matrix'!#REF!))</f>
        <v>#REF!</v>
      </c>
      <c r="D739" s="11" t="str">
        <f>IFERROR(_xlfn.AGGREGATE(15,6,$C$3:$C$53,ROW('Production Matrix'!#REF!)),"")</f>
        <v/>
      </c>
      <c r="E739" s="11" t="str">
        <f t="shared" si="20"/>
        <v/>
      </c>
      <c r="F739" s="12">
        <f>IFERROR(INDEX('Production Matrix'!$B:$B,E739,0),0)</f>
        <v>0</v>
      </c>
    </row>
    <row r="740" spans="3:6">
      <c r="C740" s="11" t="e">
        <f>IF(1*('Production Matrix'!A:A="تكلفة انتاج الوحدة")*ROW('Production Matrix'!#REF!)=0,1/0,1*('Production Matrix'!A:A="تكلفة انتاج الوحدة")*ROW('Production Matrix'!#REF!))</f>
        <v>#REF!</v>
      </c>
      <c r="D740" s="11" t="str">
        <f>IFERROR(_xlfn.AGGREGATE(15,6,$C$3:$C$53,ROW('Production Matrix'!#REF!)),"")</f>
        <v/>
      </c>
      <c r="E740" s="11" t="str">
        <f t="shared" si="20"/>
        <v/>
      </c>
      <c r="F740" s="12">
        <f>IFERROR(INDEX('Production Matrix'!$B:$B,E740,0),0)</f>
        <v>0</v>
      </c>
    </row>
    <row r="741" spans="3:6">
      <c r="C741" s="11" t="e">
        <f>IF(1*('Production Matrix'!A:A="تكلفة انتاج الوحدة")*ROW('Production Matrix'!#REF!)=0,1/0,1*('Production Matrix'!A:A="تكلفة انتاج الوحدة")*ROW('Production Matrix'!#REF!))</f>
        <v>#REF!</v>
      </c>
      <c r="D741" s="11" t="str">
        <f>IFERROR(_xlfn.AGGREGATE(15,6,$C$3:$C$53,ROW('Production Matrix'!#REF!)),"")</f>
        <v/>
      </c>
      <c r="E741" s="11" t="str">
        <f t="shared" si="20"/>
        <v/>
      </c>
      <c r="F741" s="12">
        <f>IFERROR(INDEX('Production Matrix'!$B:$B,E741,0),0)</f>
        <v>0</v>
      </c>
    </row>
    <row r="742" spans="3:6">
      <c r="C742" s="11" t="e">
        <f>IF(1*('Production Matrix'!A:A="تكلفة انتاج الوحدة")*ROW('Production Matrix'!#REF!)=0,1/0,1*('Production Matrix'!A:A="تكلفة انتاج الوحدة")*ROW('Production Matrix'!#REF!))</f>
        <v>#REF!</v>
      </c>
      <c r="D742" s="11" t="str">
        <f>IFERROR(_xlfn.AGGREGATE(15,6,$C$3:$C$53,ROW('Production Matrix'!#REF!)),"")</f>
        <v/>
      </c>
      <c r="E742" s="11" t="str">
        <f t="shared" si="20"/>
        <v/>
      </c>
      <c r="F742" s="12">
        <f>IFERROR(INDEX('Production Matrix'!$B:$B,E742,0),0)</f>
        <v>0</v>
      </c>
    </row>
    <row r="743" spans="3:6">
      <c r="C743" s="11" t="e">
        <f>IF(1*('Production Matrix'!A:A="تكلفة انتاج الوحدة")*ROW('Production Matrix'!#REF!)=0,1/0,1*('Production Matrix'!A:A="تكلفة انتاج الوحدة")*ROW('Production Matrix'!#REF!))</f>
        <v>#REF!</v>
      </c>
      <c r="D743" s="11" t="str">
        <f>IFERROR(_xlfn.AGGREGATE(15,6,$C$3:$C$53,ROW('Production Matrix'!#REF!)),"")</f>
        <v/>
      </c>
      <c r="E743" s="11" t="str">
        <f t="shared" si="20"/>
        <v/>
      </c>
      <c r="F743" s="12">
        <f>IFERROR(INDEX('Production Matrix'!$B:$B,E743,0),0)</f>
        <v>0</v>
      </c>
    </row>
    <row r="744" spans="3:6">
      <c r="C744" s="11" t="e">
        <f>IF(1*('Production Matrix'!A:A="تكلفة انتاج الوحدة")*ROW('Production Matrix'!#REF!)=0,1/0,1*('Production Matrix'!A:A="تكلفة انتاج الوحدة")*ROW('Production Matrix'!#REF!))</f>
        <v>#REF!</v>
      </c>
      <c r="D744" s="11" t="str">
        <f>IFERROR(_xlfn.AGGREGATE(15,6,$C$3:$C$53,ROW('Production Matrix'!#REF!)),"")</f>
        <v/>
      </c>
      <c r="E744" s="11" t="str">
        <f t="shared" si="20"/>
        <v/>
      </c>
      <c r="F744" s="12">
        <f>IFERROR(INDEX('Production Matrix'!$B:$B,E744,0),0)</f>
        <v>0</v>
      </c>
    </row>
    <row r="745" spans="3:6">
      <c r="C745" s="11" t="e">
        <f>IF(1*('Production Matrix'!A:A="تكلفة انتاج الوحدة")*ROW('Production Matrix'!#REF!)=0,1/0,1*('Production Matrix'!A:A="تكلفة انتاج الوحدة")*ROW('Production Matrix'!#REF!))</f>
        <v>#REF!</v>
      </c>
      <c r="D745" s="11" t="str">
        <f>IFERROR(_xlfn.AGGREGATE(15,6,$C$3:$C$53,ROW('Production Matrix'!#REF!)),"")</f>
        <v/>
      </c>
      <c r="E745" s="11" t="str">
        <f t="shared" si="20"/>
        <v/>
      </c>
      <c r="F745" s="12">
        <f>IFERROR(INDEX('Production Matrix'!$B:$B,E745,0),0)</f>
        <v>0</v>
      </c>
    </row>
    <row r="746" spans="3:6">
      <c r="C746" s="11" t="e">
        <f>IF(1*('Production Matrix'!A:A="تكلفة انتاج الوحدة")*ROW('Production Matrix'!#REF!)=0,1/0,1*('Production Matrix'!A:A="تكلفة انتاج الوحدة")*ROW('Production Matrix'!#REF!))</f>
        <v>#REF!</v>
      </c>
      <c r="D746" s="11" t="str">
        <f>IFERROR(_xlfn.AGGREGATE(15,6,$C$3:$C$53,ROW('Production Matrix'!#REF!)),"")</f>
        <v/>
      </c>
      <c r="E746" s="11" t="str">
        <f t="shared" si="20"/>
        <v/>
      </c>
      <c r="F746" s="12">
        <f>IFERROR(INDEX('Production Matrix'!$B:$B,E746,0),0)</f>
        <v>0</v>
      </c>
    </row>
    <row r="747" spans="3:6">
      <c r="C747" s="11" t="e">
        <f>IF(1*('Production Matrix'!A:A="تكلفة انتاج الوحدة")*ROW('Production Matrix'!#REF!)=0,1/0,1*('Production Matrix'!A:A="تكلفة انتاج الوحدة")*ROW('Production Matrix'!#REF!))</f>
        <v>#REF!</v>
      </c>
      <c r="D747" s="11" t="str">
        <f>IFERROR(_xlfn.AGGREGATE(15,6,$C$3:$C$53,ROW('Production Matrix'!#REF!)),"")</f>
        <v/>
      </c>
      <c r="E747" s="11" t="str">
        <f t="shared" si="20"/>
        <v/>
      </c>
      <c r="F747" s="12">
        <f>IFERROR(INDEX('Production Matrix'!$B:$B,E747,0),0)</f>
        <v>0</v>
      </c>
    </row>
    <row r="748" spans="3:6">
      <c r="C748" s="11" t="e">
        <f>IF(1*('Production Matrix'!A:A="تكلفة انتاج الوحدة")*ROW('Production Matrix'!#REF!)=0,1/0,1*('Production Matrix'!A:A="تكلفة انتاج الوحدة")*ROW('Production Matrix'!#REF!))</f>
        <v>#REF!</v>
      </c>
      <c r="D748" s="11" t="str">
        <f>IFERROR(_xlfn.AGGREGATE(15,6,$C$3:$C$53,ROW('Production Matrix'!#REF!)),"")</f>
        <v/>
      </c>
      <c r="E748" s="11" t="str">
        <f t="shared" si="20"/>
        <v/>
      </c>
      <c r="F748" s="12">
        <f>IFERROR(INDEX('Production Matrix'!$B:$B,E748,0),0)</f>
        <v>0</v>
      </c>
    </row>
    <row r="749" spans="3:6">
      <c r="C749" s="11" t="e">
        <f>IF(1*('Production Matrix'!A:A="تكلفة انتاج الوحدة")*ROW('Production Matrix'!#REF!)=0,1/0,1*('Production Matrix'!A:A="تكلفة انتاج الوحدة")*ROW('Production Matrix'!#REF!))</f>
        <v>#REF!</v>
      </c>
      <c r="D749" s="11" t="str">
        <f>IFERROR(_xlfn.AGGREGATE(15,6,$C$3:$C$53,ROW('Production Matrix'!#REF!)),"")</f>
        <v/>
      </c>
      <c r="E749" s="11" t="str">
        <f t="shared" si="20"/>
        <v/>
      </c>
      <c r="F749" s="12">
        <f>IFERROR(INDEX('Production Matrix'!$B:$B,E749,0),0)</f>
        <v>0</v>
      </c>
    </row>
    <row r="750" spans="3:6">
      <c r="C750" s="11" t="e">
        <f>IF(1*('Production Matrix'!A:A="تكلفة انتاج الوحدة")*ROW('Production Matrix'!#REF!)=0,1/0,1*('Production Matrix'!A:A="تكلفة انتاج الوحدة")*ROW('Production Matrix'!#REF!))</f>
        <v>#REF!</v>
      </c>
      <c r="D750" s="11" t="str">
        <f>IFERROR(_xlfn.AGGREGATE(15,6,$C$3:$C$53,ROW('Production Matrix'!#REF!)),"")</f>
        <v/>
      </c>
      <c r="E750" s="11" t="str">
        <f t="shared" si="20"/>
        <v/>
      </c>
      <c r="F750" s="12">
        <f>IFERROR(INDEX('Production Matrix'!$B:$B,E750,0),0)</f>
        <v>0</v>
      </c>
    </row>
    <row r="751" spans="3:6">
      <c r="C751" s="11" t="e">
        <f>IF(1*('Production Matrix'!A:A="تكلفة انتاج الوحدة")*ROW('Production Matrix'!#REF!)=0,1/0,1*('Production Matrix'!A:A="تكلفة انتاج الوحدة")*ROW('Production Matrix'!#REF!))</f>
        <v>#REF!</v>
      </c>
      <c r="D751" s="11" t="str">
        <f>IFERROR(_xlfn.AGGREGATE(15,6,$C$3:$C$53,ROW('Production Matrix'!#REF!)),"")</f>
        <v/>
      </c>
      <c r="E751" s="11" t="str">
        <f t="shared" si="20"/>
        <v/>
      </c>
      <c r="F751" s="12">
        <f>IFERROR(INDEX('Production Matrix'!$B:$B,E751,0),0)</f>
        <v>0</v>
      </c>
    </row>
    <row r="752" spans="3:6">
      <c r="C752" s="11" t="e">
        <f>IF(1*('Production Matrix'!A:A="تكلفة انتاج الوحدة")*ROW('Production Matrix'!#REF!)=0,1/0,1*('Production Matrix'!A:A="تكلفة انتاج الوحدة")*ROW('Production Matrix'!#REF!))</f>
        <v>#REF!</v>
      </c>
      <c r="D752" s="11" t="str">
        <f>IFERROR(_xlfn.AGGREGATE(15,6,$C$3:$C$53,ROW('Production Matrix'!#REF!)),"")</f>
        <v/>
      </c>
      <c r="E752" s="11" t="str">
        <f t="shared" si="20"/>
        <v/>
      </c>
      <c r="F752" s="12">
        <f>IFERROR(INDEX('Production Matrix'!$B:$B,E752,0),0)</f>
        <v>0</v>
      </c>
    </row>
    <row r="753" spans="3:6">
      <c r="C753" s="11" t="e">
        <f>IF(1*('Production Matrix'!A:A="تكلفة انتاج الوحدة")*ROW('Production Matrix'!#REF!)=0,1/0,1*('Production Matrix'!A:A="تكلفة انتاج الوحدة")*ROW('Production Matrix'!#REF!))</f>
        <v>#REF!</v>
      </c>
      <c r="D753" s="11" t="str">
        <f>IFERROR(_xlfn.AGGREGATE(15,6,$C$3:$C$53,ROW('Production Matrix'!#REF!)),"")</f>
        <v/>
      </c>
      <c r="E753" s="11" t="str">
        <f t="shared" si="20"/>
        <v/>
      </c>
      <c r="F753" s="12">
        <f>IFERROR(INDEX('Production Matrix'!$B:$B,E753,0),0)</f>
        <v>0</v>
      </c>
    </row>
    <row r="754" spans="3:6">
      <c r="C754" s="11" t="e">
        <f>IF(1*('Production Matrix'!A:A="تكلفة انتاج الوحدة")*ROW('Production Matrix'!#REF!)=0,1/0,1*('Production Matrix'!A:A="تكلفة انتاج الوحدة")*ROW('Production Matrix'!#REF!))</f>
        <v>#REF!</v>
      </c>
      <c r="D754" s="11" t="str">
        <f>IFERROR(_xlfn.AGGREGATE(15,6,$C$3:$C$53,ROW('Production Matrix'!#REF!)),"")</f>
        <v/>
      </c>
      <c r="E754" s="11" t="str">
        <f t="shared" si="20"/>
        <v/>
      </c>
      <c r="F754" s="12">
        <f>IFERROR(INDEX('Production Matrix'!$B:$B,E754,0),0)</f>
        <v>0</v>
      </c>
    </row>
    <row r="755" spans="3:6">
      <c r="C755" s="11" t="e">
        <f>IF(1*('Production Matrix'!A:A="تكلفة انتاج الوحدة")*ROW('Production Matrix'!#REF!)=0,1/0,1*('Production Matrix'!A:A="تكلفة انتاج الوحدة")*ROW('Production Matrix'!#REF!))</f>
        <v>#REF!</v>
      </c>
      <c r="D755" s="11" t="str">
        <f>IFERROR(_xlfn.AGGREGATE(15,6,$C$3:$C$53,ROW('Production Matrix'!#REF!)),"")</f>
        <v/>
      </c>
      <c r="E755" s="11" t="str">
        <f t="shared" si="20"/>
        <v/>
      </c>
      <c r="F755" s="12">
        <f>IFERROR(INDEX('Production Matrix'!$B:$B,E755,0),0)</f>
        <v>0</v>
      </c>
    </row>
    <row r="756" spans="3:6">
      <c r="C756" s="11" t="e">
        <f>IF(1*('Production Matrix'!A:A="تكلفة انتاج الوحدة")*ROW('Production Matrix'!#REF!)=0,1/0,1*('Production Matrix'!A:A="تكلفة انتاج الوحدة")*ROW('Production Matrix'!#REF!))</f>
        <v>#REF!</v>
      </c>
      <c r="D756" s="11" t="str">
        <f>IFERROR(_xlfn.AGGREGATE(15,6,$C$3:$C$53,ROW('Production Matrix'!#REF!)),"")</f>
        <v/>
      </c>
      <c r="E756" s="11" t="str">
        <f t="shared" si="20"/>
        <v/>
      </c>
      <c r="F756" s="12">
        <f>IFERROR(INDEX('Production Matrix'!$B:$B,E756,0),0)</f>
        <v>0</v>
      </c>
    </row>
    <row r="757" spans="3:6">
      <c r="C757" s="11" t="e">
        <f>IF(1*('Production Matrix'!A:A="تكلفة انتاج الوحدة")*ROW('Production Matrix'!#REF!)=0,1/0,1*('Production Matrix'!A:A="تكلفة انتاج الوحدة")*ROW('Production Matrix'!#REF!))</f>
        <v>#REF!</v>
      </c>
      <c r="D757" s="11" t="str">
        <f>IFERROR(_xlfn.AGGREGATE(15,6,$C$3:$C$53,ROW('Production Matrix'!#REF!)),"")</f>
        <v/>
      </c>
      <c r="E757" s="11" t="str">
        <f t="shared" si="20"/>
        <v/>
      </c>
      <c r="F757" s="12">
        <f>IFERROR(INDEX('Production Matrix'!$B:$B,E757,0),0)</f>
        <v>0</v>
      </c>
    </row>
    <row r="758" spans="3:6">
      <c r="C758" s="11" t="e">
        <f>IF(1*('Production Matrix'!A:A="تكلفة انتاج الوحدة")*ROW('Production Matrix'!#REF!)=0,1/0,1*('Production Matrix'!A:A="تكلفة انتاج الوحدة")*ROW('Production Matrix'!#REF!))</f>
        <v>#REF!</v>
      </c>
      <c r="D758" s="11" t="str">
        <f>IFERROR(_xlfn.AGGREGATE(15,6,$C$3:$C$53,ROW('Production Matrix'!#REF!)),"")</f>
        <v/>
      </c>
      <c r="E758" s="11" t="str">
        <f t="shared" si="20"/>
        <v/>
      </c>
      <c r="F758" s="12">
        <f>IFERROR(INDEX('Production Matrix'!$B:$B,E758,0),0)</f>
        <v>0</v>
      </c>
    </row>
    <row r="759" spans="3:6">
      <c r="C759" s="11" t="e">
        <f>IF(1*('Production Matrix'!A:A="تكلفة انتاج الوحدة")*ROW('Production Matrix'!#REF!)=0,1/0,1*('Production Matrix'!A:A="تكلفة انتاج الوحدة")*ROW('Production Matrix'!#REF!))</f>
        <v>#REF!</v>
      </c>
      <c r="D759" s="11" t="str">
        <f>IFERROR(_xlfn.AGGREGATE(15,6,$C$3:$C$53,ROW('Production Matrix'!#REF!)),"")</f>
        <v/>
      </c>
      <c r="E759" s="11" t="str">
        <f t="shared" si="20"/>
        <v/>
      </c>
      <c r="F759" s="12">
        <f>IFERROR(INDEX('Production Matrix'!$B:$B,E759,0),0)</f>
        <v>0</v>
      </c>
    </row>
    <row r="760" spans="3:6">
      <c r="C760" s="11" t="e">
        <f>IF(1*('Production Matrix'!A:A="تكلفة انتاج الوحدة")*ROW('Production Matrix'!#REF!)=0,1/0,1*('Production Matrix'!A:A="تكلفة انتاج الوحدة")*ROW('Production Matrix'!#REF!))</f>
        <v>#REF!</v>
      </c>
      <c r="D760" s="11" t="str">
        <f>IFERROR(_xlfn.AGGREGATE(15,6,$C$3:$C$53,ROW('Production Matrix'!#REF!)),"")</f>
        <v/>
      </c>
      <c r="E760" s="11" t="str">
        <f t="shared" si="20"/>
        <v/>
      </c>
      <c r="F760" s="12">
        <f>IFERROR(INDEX('Production Matrix'!$B:$B,E760,0),0)</f>
        <v>0</v>
      </c>
    </row>
    <row r="761" spans="3:6">
      <c r="C761" s="11" t="e">
        <f>IF(1*('Production Matrix'!A:A="تكلفة انتاج الوحدة")*ROW('Production Matrix'!#REF!)=0,1/0,1*('Production Matrix'!A:A="تكلفة انتاج الوحدة")*ROW('Production Matrix'!#REF!))</f>
        <v>#REF!</v>
      </c>
      <c r="D761" s="11" t="str">
        <f>IFERROR(_xlfn.AGGREGATE(15,6,$C$3:$C$53,ROW('Production Matrix'!#REF!)),"")</f>
        <v/>
      </c>
      <c r="E761" s="11" t="str">
        <f t="shared" si="20"/>
        <v/>
      </c>
      <c r="F761" s="12">
        <f>IFERROR(INDEX('Production Matrix'!$B:$B,E761,0),0)</f>
        <v>0</v>
      </c>
    </row>
    <row r="762" spans="3:6">
      <c r="C762" s="11" t="e">
        <f>IF(1*('Production Matrix'!A:A="تكلفة انتاج الوحدة")*ROW('Production Matrix'!#REF!)=0,1/0,1*('Production Matrix'!A:A="تكلفة انتاج الوحدة")*ROW('Production Matrix'!#REF!))</f>
        <v>#REF!</v>
      </c>
      <c r="D762" s="11" t="str">
        <f>IFERROR(_xlfn.AGGREGATE(15,6,$C$3:$C$53,ROW('Production Matrix'!#REF!)),"")</f>
        <v/>
      </c>
      <c r="E762" s="11" t="str">
        <f t="shared" si="20"/>
        <v/>
      </c>
      <c r="F762" s="12">
        <f>IFERROR(INDEX('Production Matrix'!$B:$B,E762,0),0)</f>
        <v>0</v>
      </c>
    </row>
    <row r="763" spans="3:6">
      <c r="C763" s="11" t="e">
        <f>IF(1*('Production Matrix'!A:A="تكلفة انتاج الوحدة")*ROW('Production Matrix'!#REF!)=0,1/0,1*('Production Matrix'!A:A="تكلفة انتاج الوحدة")*ROW('Production Matrix'!#REF!))</f>
        <v>#REF!</v>
      </c>
      <c r="D763" s="11" t="str">
        <f>IFERROR(_xlfn.AGGREGATE(15,6,$C$3:$C$53,ROW('Production Matrix'!#REF!)),"")</f>
        <v/>
      </c>
      <c r="E763" s="11" t="str">
        <f t="shared" si="20"/>
        <v/>
      </c>
      <c r="F763" s="12">
        <f>IFERROR(INDEX('Production Matrix'!$B:$B,E763,0),0)</f>
        <v>0</v>
      </c>
    </row>
    <row r="764" spans="3:6">
      <c r="C764" s="11" t="e">
        <f>IF(1*('Production Matrix'!A:A="تكلفة انتاج الوحدة")*ROW('Production Matrix'!#REF!)=0,1/0,1*('Production Matrix'!A:A="تكلفة انتاج الوحدة")*ROW('Production Matrix'!#REF!))</f>
        <v>#REF!</v>
      </c>
      <c r="D764" s="11" t="str">
        <f>IFERROR(_xlfn.AGGREGATE(15,6,$C$3:$C$53,ROW('Production Matrix'!#REF!)),"")</f>
        <v/>
      </c>
      <c r="E764" s="11" t="str">
        <f t="shared" si="20"/>
        <v/>
      </c>
      <c r="F764" s="12">
        <f>IFERROR(INDEX('Production Matrix'!$B:$B,E764,0),0)</f>
        <v>0</v>
      </c>
    </row>
    <row r="765" spans="3:6">
      <c r="C765" s="11" t="e">
        <f>IF(1*('Production Matrix'!A:A="تكلفة انتاج الوحدة")*ROW('Production Matrix'!#REF!)=0,1/0,1*('Production Matrix'!A:A="تكلفة انتاج الوحدة")*ROW('Production Matrix'!#REF!))</f>
        <v>#REF!</v>
      </c>
      <c r="D765" s="11" t="str">
        <f>IFERROR(_xlfn.AGGREGATE(15,6,$C$3:$C$53,ROW('Production Matrix'!#REF!)),"")</f>
        <v/>
      </c>
      <c r="E765" s="11" t="str">
        <f t="shared" si="20"/>
        <v/>
      </c>
      <c r="F765" s="12">
        <f>IFERROR(INDEX('Production Matrix'!$B:$B,E765,0),0)</f>
        <v>0</v>
      </c>
    </row>
    <row r="766" spans="3:6">
      <c r="C766" s="11" t="e">
        <f>IF(1*('Production Matrix'!A:A="تكلفة انتاج الوحدة")*ROW('Production Matrix'!#REF!)=0,1/0,1*('Production Matrix'!A:A="تكلفة انتاج الوحدة")*ROW('Production Matrix'!#REF!))</f>
        <v>#REF!</v>
      </c>
      <c r="D766" s="11" t="str">
        <f>IFERROR(_xlfn.AGGREGATE(15,6,$C$3:$C$53,ROW('Production Matrix'!#REF!)),"")</f>
        <v/>
      </c>
      <c r="E766" s="11" t="str">
        <f t="shared" si="20"/>
        <v/>
      </c>
      <c r="F766" s="12">
        <f>IFERROR(INDEX('Production Matrix'!$B:$B,E766,0),0)</f>
        <v>0</v>
      </c>
    </row>
    <row r="767" spans="3:6">
      <c r="C767" s="11" t="e">
        <f>IF(1*('Production Matrix'!A:A="تكلفة انتاج الوحدة")*ROW('Production Matrix'!#REF!)=0,1/0,1*('Production Matrix'!A:A="تكلفة انتاج الوحدة")*ROW('Production Matrix'!#REF!))</f>
        <v>#REF!</v>
      </c>
      <c r="D767" s="11" t="str">
        <f>IFERROR(_xlfn.AGGREGATE(15,6,$C$3:$C$53,ROW('Production Matrix'!#REF!)),"")</f>
        <v/>
      </c>
      <c r="E767" s="11" t="str">
        <f t="shared" si="20"/>
        <v/>
      </c>
      <c r="F767" s="12">
        <f>IFERROR(INDEX('Production Matrix'!$B:$B,E767,0),0)</f>
        <v>0</v>
      </c>
    </row>
    <row r="768" spans="3:6">
      <c r="C768" s="11" t="e">
        <f>IF(1*('Production Matrix'!A:A="تكلفة انتاج الوحدة")*ROW('Production Matrix'!#REF!)=0,1/0,1*('Production Matrix'!A:A="تكلفة انتاج الوحدة")*ROW('Production Matrix'!#REF!))</f>
        <v>#REF!</v>
      </c>
      <c r="D768" s="11" t="str">
        <f>IFERROR(_xlfn.AGGREGATE(15,6,$C$3:$C$53,ROW('Production Matrix'!#REF!)),"")</f>
        <v/>
      </c>
      <c r="E768" s="11" t="str">
        <f t="shared" si="20"/>
        <v/>
      </c>
      <c r="F768" s="12">
        <f>IFERROR(INDEX('Production Matrix'!$B:$B,E768,0),0)</f>
        <v>0</v>
      </c>
    </row>
    <row r="769" spans="3:6">
      <c r="C769" s="11" t="e">
        <f>IF(1*('Production Matrix'!A:A="تكلفة انتاج الوحدة")*ROW('Production Matrix'!#REF!)=0,1/0,1*('Production Matrix'!A:A="تكلفة انتاج الوحدة")*ROW('Production Matrix'!#REF!))</f>
        <v>#REF!</v>
      </c>
      <c r="D769" s="11" t="str">
        <f>IFERROR(_xlfn.AGGREGATE(15,6,$C$3:$C$53,ROW('Production Matrix'!#REF!)),"")</f>
        <v/>
      </c>
      <c r="E769" s="11" t="str">
        <f t="shared" si="20"/>
        <v/>
      </c>
      <c r="F769" s="12">
        <f>IFERROR(INDEX('Production Matrix'!$B:$B,E769,0),0)</f>
        <v>0</v>
      </c>
    </row>
    <row r="770" spans="3:6">
      <c r="C770" s="11" t="e">
        <f>IF(1*('Production Matrix'!A:A="تكلفة انتاج الوحدة")*ROW('Production Matrix'!#REF!)=0,1/0,1*('Production Matrix'!A:A="تكلفة انتاج الوحدة")*ROW('Production Matrix'!#REF!))</f>
        <v>#REF!</v>
      </c>
      <c r="D770" s="11" t="str">
        <f>IFERROR(_xlfn.AGGREGATE(15,6,$C$3:$C$53,ROW('Production Matrix'!#REF!)),"")</f>
        <v/>
      </c>
      <c r="E770" s="11" t="str">
        <f t="shared" si="20"/>
        <v/>
      </c>
      <c r="F770" s="12">
        <f>IFERROR(INDEX('Production Matrix'!$B:$B,E770,0),0)</f>
        <v>0</v>
      </c>
    </row>
    <row r="771" spans="3:6">
      <c r="C771" s="11" t="e">
        <f>IF(1*('Production Matrix'!A:A="تكلفة انتاج الوحدة")*ROW('Production Matrix'!#REF!)=0,1/0,1*('Production Matrix'!A:A="تكلفة انتاج الوحدة")*ROW('Production Matrix'!#REF!))</f>
        <v>#REF!</v>
      </c>
      <c r="D771" s="11" t="str">
        <f>IFERROR(_xlfn.AGGREGATE(15,6,$C$3:$C$53,ROW('Production Matrix'!#REF!)),"")</f>
        <v/>
      </c>
      <c r="E771" s="11" t="str">
        <f t="shared" si="20"/>
        <v/>
      </c>
      <c r="F771" s="12">
        <f>IFERROR(INDEX('Production Matrix'!$B:$B,E771,0),0)</f>
        <v>0</v>
      </c>
    </row>
    <row r="772" spans="3:6">
      <c r="C772" s="11" t="e">
        <f>IF(1*('Production Matrix'!A:A="تكلفة انتاج الوحدة")*ROW('Production Matrix'!#REF!)=0,1/0,1*('Production Matrix'!A:A="تكلفة انتاج الوحدة")*ROW('Production Matrix'!#REF!))</f>
        <v>#REF!</v>
      </c>
      <c r="D772" s="11" t="str">
        <f>IFERROR(_xlfn.AGGREGATE(15,6,$C$3:$C$53,ROW('Production Matrix'!#REF!)),"")</f>
        <v/>
      </c>
      <c r="E772" s="11" t="str">
        <f t="shared" si="20"/>
        <v/>
      </c>
      <c r="F772" s="12">
        <f>IFERROR(INDEX('Production Matrix'!$B:$B,E772,0),0)</f>
        <v>0</v>
      </c>
    </row>
    <row r="773" spans="3:6">
      <c r="C773" s="11" t="e">
        <f>IF(1*('Production Matrix'!A:A="تكلفة انتاج الوحدة")*ROW('Production Matrix'!#REF!)=0,1/0,1*('Production Matrix'!A:A="تكلفة انتاج الوحدة")*ROW('Production Matrix'!#REF!))</f>
        <v>#REF!</v>
      </c>
      <c r="D773" s="11" t="str">
        <f>IFERROR(_xlfn.AGGREGATE(15,6,$C$3:$C$53,ROW('Production Matrix'!#REF!)),"")</f>
        <v/>
      </c>
      <c r="E773" s="11" t="str">
        <f t="shared" si="20"/>
        <v/>
      </c>
      <c r="F773" s="12">
        <f>IFERROR(INDEX('Production Matrix'!$B:$B,E773,0),0)</f>
        <v>0</v>
      </c>
    </row>
    <row r="774" spans="3:6">
      <c r="C774" s="11" t="e">
        <f>IF(1*('Production Matrix'!A:A="تكلفة انتاج الوحدة")*ROW('Production Matrix'!#REF!)=0,1/0,1*('Production Matrix'!A:A="تكلفة انتاج الوحدة")*ROW('Production Matrix'!#REF!))</f>
        <v>#REF!</v>
      </c>
      <c r="D774" s="11" t="str">
        <f>IFERROR(_xlfn.AGGREGATE(15,6,$C$3:$C$53,ROW('Production Matrix'!#REF!)),"")</f>
        <v/>
      </c>
      <c r="E774" s="11" t="str">
        <f t="shared" si="20"/>
        <v/>
      </c>
      <c r="F774" s="12">
        <f>IFERROR(INDEX('Production Matrix'!$B:$B,E774,0),0)</f>
        <v>0</v>
      </c>
    </row>
    <row r="775" spans="3:6">
      <c r="C775" s="11" t="e">
        <f>IF(1*('Production Matrix'!A:A="تكلفة انتاج الوحدة")*ROW('Production Matrix'!#REF!)=0,1/0,1*('Production Matrix'!A:A="تكلفة انتاج الوحدة")*ROW('Production Matrix'!#REF!))</f>
        <v>#REF!</v>
      </c>
      <c r="D775" s="11" t="str">
        <f>IFERROR(_xlfn.AGGREGATE(15,6,$C$3:$C$53,ROW('Production Matrix'!#REF!)),"")</f>
        <v/>
      </c>
      <c r="E775" s="11" t="str">
        <f t="shared" ref="E775:E838" si="21">IFERROR(D775+3,"")</f>
        <v/>
      </c>
      <c r="F775" s="12">
        <f>IFERROR(INDEX('Production Matrix'!$B:$B,E775,0),0)</f>
        <v>0</v>
      </c>
    </row>
    <row r="776" spans="3:6">
      <c r="C776" s="11" t="e">
        <f>IF(1*('Production Matrix'!A:A="تكلفة انتاج الوحدة")*ROW('Production Matrix'!#REF!)=0,1/0,1*('Production Matrix'!A:A="تكلفة انتاج الوحدة")*ROW('Production Matrix'!#REF!))</f>
        <v>#REF!</v>
      </c>
      <c r="D776" s="11" t="str">
        <f>IFERROR(_xlfn.AGGREGATE(15,6,$C$3:$C$53,ROW('Production Matrix'!#REF!)),"")</f>
        <v/>
      </c>
      <c r="E776" s="11" t="str">
        <f t="shared" si="21"/>
        <v/>
      </c>
      <c r="F776" s="12">
        <f>IFERROR(INDEX('Production Matrix'!$B:$B,E776,0),0)</f>
        <v>0</v>
      </c>
    </row>
    <row r="777" spans="3:6">
      <c r="C777" s="11" t="e">
        <f>IF(1*('Production Matrix'!A:A="تكلفة انتاج الوحدة")*ROW('Production Matrix'!#REF!)=0,1/0,1*('Production Matrix'!A:A="تكلفة انتاج الوحدة")*ROW('Production Matrix'!#REF!))</f>
        <v>#REF!</v>
      </c>
      <c r="D777" s="11" t="str">
        <f>IFERROR(_xlfn.AGGREGATE(15,6,$C$3:$C$53,ROW('Production Matrix'!#REF!)),"")</f>
        <v/>
      </c>
      <c r="E777" s="11" t="str">
        <f t="shared" si="21"/>
        <v/>
      </c>
      <c r="F777" s="12">
        <f>IFERROR(INDEX('Production Matrix'!$B:$B,E777,0),0)</f>
        <v>0</v>
      </c>
    </row>
    <row r="778" spans="3:6">
      <c r="C778" s="11" t="e">
        <f>IF(1*('Production Matrix'!A:A="تكلفة انتاج الوحدة")*ROW('Production Matrix'!#REF!)=0,1/0,1*('Production Matrix'!A:A="تكلفة انتاج الوحدة")*ROW('Production Matrix'!#REF!))</f>
        <v>#REF!</v>
      </c>
      <c r="D778" s="11" t="str">
        <f>IFERROR(_xlfn.AGGREGATE(15,6,$C$3:$C$53,ROW('Production Matrix'!#REF!)),"")</f>
        <v/>
      </c>
      <c r="E778" s="11" t="str">
        <f t="shared" si="21"/>
        <v/>
      </c>
      <c r="F778" s="12">
        <f>IFERROR(INDEX('Production Matrix'!$B:$B,E778,0),0)</f>
        <v>0</v>
      </c>
    </row>
    <row r="779" spans="3:6">
      <c r="C779" s="11" t="e">
        <f>IF(1*('Production Matrix'!A:A="تكلفة انتاج الوحدة")*ROW('Production Matrix'!#REF!)=0,1/0,1*('Production Matrix'!A:A="تكلفة انتاج الوحدة")*ROW('Production Matrix'!#REF!))</f>
        <v>#REF!</v>
      </c>
      <c r="D779" s="11" t="str">
        <f>IFERROR(_xlfn.AGGREGATE(15,6,$C$3:$C$53,ROW('Production Matrix'!#REF!)),"")</f>
        <v/>
      </c>
      <c r="E779" s="11" t="str">
        <f t="shared" si="21"/>
        <v/>
      </c>
      <c r="F779" s="12">
        <f>IFERROR(INDEX('Production Matrix'!$B:$B,E779,0),0)</f>
        <v>0</v>
      </c>
    </row>
    <row r="780" spans="3:6">
      <c r="C780" s="11" t="e">
        <f>IF(1*('Production Matrix'!A:A="تكلفة انتاج الوحدة")*ROW('Production Matrix'!#REF!)=0,1/0,1*('Production Matrix'!A:A="تكلفة انتاج الوحدة")*ROW('Production Matrix'!#REF!))</f>
        <v>#REF!</v>
      </c>
      <c r="D780" s="11" t="str">
        <f>IFERROR(_xlfn.AGGREGATE(15,6,$C$3:$C$53,ROW('Production Matrix'!#REF!)),"")</f>
        <v/>
      </c>
      <c r="E780" s="11" t="str">
        <f t="shared" si="21"/>
        <v/>
      </c>
      <c r="F780" s="12">
        <f>IFERROR(INDEX('Production Matrix'!$B:$B,E780,0),0)</f>
        <v>0</v>
      </c>
    </row>
    <row r="781" spans="3:6">
      <c r="C781" s="11" t="e">
        <f>IF(1*('Production Matrix'!A:A="تكلفة انتاج الوحدة")*ROW('Production Matrix'!#REF!)=0,1/0,1*('Production Matrix'!A:A="تكلفة انتاج الوحدة")*ROW('Production Matrix'!#REF!))</f>
        <v>#REF!</v>
      </c>
      <c r="D781" s="11" t="str">
        <f>IFERROR(_xlfn.AGGREGATE(15,6,$C$3:$C$53,ROW('Production Matrix'!#REF!)),"")</f>
        <v/>
      </c>
      <c r="E781" s="11" t="str">
        <f t="shared" si="21"/>
        <v/>
      </c>
      <c r="F781" s="12">
        <f>IFERROR(INDEX('Production Matrix'!$B:$B,E781,0),0)</f>
        <v>0</v>
      </c>
    </row>
    <row r="782" spans="3:6">
      <c r="C782" s="11" t="e">
        <f>IF(1*('Production Matrix'!A:A="تكلفة انتاج الوحدة")*ROW('Production Matrix'!#REF!)=0,1/0,1*('Production Matrix'!A:A="تكلفة انتاج الوحدة")*ROW('Production Matrix'!#REF!))</f>
        <v>#REF!</v>
      </c>
      <c r="D782" s="11" t="str">
        <f>IFERROR(_xlfn.AGGREGATE(15,6,$C$3:$C$53,ROW('Production Matrix'!#REF!)),"")</f>
        <v/>
      </c>
      <c r="E782" s="11" t="str">
        <f t="shared" si="21"/>
        <v/>
      </c>
      <c r="F782" s="12">
        <f>IFERROR(INDEX('Production Matrix'!$B:$B,E782,0),0)</f>
        <v>0</v>
      </c>
    </row>
    <row r="783" spans="3:6">
      <c r="C783" s="11" t="e">
        <f>IF(1*('Production Matrix'!A:A="تكلفة انتاج الوحدة")*ROW('Production Matrix'!#REF!)=0,1/0,1*('Production Matrix'!A:A="تكلفة انتاج الوحدة")*ROW('Production Matrix'!#REF!))</f>
        <v>#REF!</v>
      </c>
      <c r="D783" s="11" t="str">
        <f>IFERROR(_xlfn.AGGREGATE(15,6,$C$3:$C$53,ROW('Production Matrix'!#REF!)),"")</f>
        <v/>
      </c>
      <c r="E783" s="11" t="str">
        <f t="shared" si="21"/>
        <v/>
      </c>
      <c r="F783" s="12">
        <f>IFERROR(INDEX('Production Matrix'!$B:$B,E783,0),0)</f>
        <v>0</v>
      </c>
    </row>
    <row r="784" spans="3:6">
      <c r="C784" s="11" t="e">
        <f>IF(1*('Production Matrix'!A:A="تكلفة انتاج الوحدة")*ROW('Production Matrix'!#REF!)=0,1/0,1*('Production Matrix'!A:A="تكلفة انتاج الوحدة")*ROW('Production Matrix'!#REF!))</f>
        <v>#REF!</v>
      </c>
      <c r="D784" s="11" t="str">
        <f>IFERROR(_xlfn.AGGREGATE(15,6,$C$3:$C$53,ROW('Production Matrix'!#REF!)),"")</f>
        <v/>
      </c>
      <c r="E784" s="11" t="str">
        <f t="shared" si="21"/>
        <v/>
      </c>
      <c r="F784" s="12">
        <f>IFERROR(INDEX('Production Matrix'!$B:$B,E784,0),0)</f>
        <v>0</v>
      </c>
    </row>
    <row r="785" spans="3:6">
      <c r="C785" s="11" t="e">
        <f>IF(1*('Production Matrix'!A:A="تكلفة انتاج الوحدة")*ROW('Production Matrix'!#REF!)=0,1/0,1*('Production Matrix'!A:A="تكلفة انتاج الوحدة")*ROW('Production Matrix'!#REF!))</f>
        <v>#REF!</v>
      </c>
      <c r="D785" s="11" t="str">
        <f>IFERROR(_xlfn.AGGREGATE(15,6,$C$3:$C$53,ROW('Production Matrix'!#REF!)),"")</f>
        <v/>
      </c>
      <c r="E785" s="11" t="str">
        <f t="shared" si="21"/>
        <v/>
      </c>
      <c r="F785" s="12">
        <f>IFERROR(INDEX('Production Matrix'!$B:$B,E785,0),0)</f>
        <v>0</v>
      </c>
    </row>
    <row r="786" spans="3:6">
      <c r="C786" s="11" t="e">
        <f>IF(1*('Production Matrix'!A:A="تكلفة انتاج الوحدة")*ROW('Production Matrix'!#REF!)=0,1/0,1*('Production Matrix'!A:A="تكلفة انتاج الوحدة")*ROW('Production Matrix'!#REF!))</f>
        <v>#REF!</v>
      </c>
      <c r="D786" s="11" t="str">
        <f>IFERROR(_xlfn.AGGREGATE(15,6,$C$3:$C$53,ROW('Production Matrix'!#REF!)),"")</f>
        <v/>
      </c>
      <c r="E786" s="11" t="str">
        <f t="shared" si="21"/>
        <v/>
      </c>
      <c r="F786" s="12">
        <f>IFERROR(INDEX('Production Matrix'!$B:$B,E786,0),0)</f>
        <v>0</v>
      </c>
    </row>
    <row r="787" spans="3:6">
      <c r="C787" s="11" t="e">
        <f>IF(1*('Production Matrix'!A:A="تكلفة انتاج الوحدة")*ROW('Production Matrix'!#REF!)=0,1/0,1*('Production Matrix'!A:A="تكلفة انتاج الوحدة")*ROW('Production Matrix'!#REF!))</f>
        <v>#REF!</v>
      </c>
      <c r="D787" s="11" t="str">
        <f>IFERROR(_xlfn.AGGREGATE(15,6,$C$3:$C$53,ROW('Production Matrix'!#REF!)),"")</f>
        <v/>
      </c>
      <c r="E787" s="11" t="str">
        <f t="shared" si="21"/>
        <v/>
      </c>
      <c r="F787" s="12">
        <f>IFERROR(INDEX('Production Matrix'!$B:$B,E787,0),0)</f>
        <v>0</v>
      </c>
    </row>
    <row r="788" spans="3:6">
      <c r="C788" s="11" t="e">
        <f>IF(1*('Production Matrix'!A:A="تكلفة انتاج الوحدة")*ROW('Production Matrix'!#REF!)=0,1/0,1*('Production Matrix'!A:A="تكلفة انتاج الوحدة")*ROW('Production Matrix'!#REF!))</f>
        <v>#REF!</v>
      </c>
      <c r="D788" s="11" t="str">
        <f>IFERROR(_xlfn.AGGREGATE(15,6,$C$3:$C$53,ROW('Production Matrix'!#REF!)),"")</f>
        <v/>
      </c>
      <c r="E788" s="11" t="str">
        <f t="shared" si="21"/>
        <v/>
      </c>
      <c r="F788" s="12">
        <f>IFERROR(INDEX('Production Matrix'!$B:$B,E788,0),0)</f>
        <v>0</v>
      </c>
    </row>
    <row r="789" spans="3:6">
      <c r="C789" s="11" t="e">
        <f>IF(1*('Production Matrix'!A:A="تكلفة انتاج الوحدة")*ROW('Production Matrix'!#REF!)=0,1/0,1*('Production Matrix'!A:A="تكلفة انتاج الوحدة")*ROW('Production Matrix'!#REF!))</f>
        <v>#REF!</v>
      </c>
      <c r="D789" s="11" t="str">
        <f>IFERROR(_xlfn.AGGREGATE(15,6,$C$3:$C$53,ROW('Production Matrix'!#REF!)),"")</f>
        <v/>
      </c>
      <c r="E789" s="11" t="str">
        <f t="shared" si="21"/>
        <v/>
      </c>
      <c r="F789" s="12">
        <f>IFERROR(INDEX('Production Matrix'!$B:$B,E789,0),0)</f>
        <v>0</v>
      </c>
    </row>
    <row r="790" spans="3:6">
      <c r="C790" s="11" t="e">
        <f>IF(1*('Production Matrix'!A:A="تكلفة انتاج الوحدة")*ROW('Production Matrix'!#REF!)=0,1/0,1*('Production Matrix'!A:A="تكلفة انتاج الوحدة")*ROW('Production Matrix'!#REF!))</f>
        <v>#REF!</v>
      </c>
      <c r="D790" s="11" t="str">
        <f>IFERROR(_xlfn.AGGREGATE(15,6,$C$3:$C$53,ROW('Production Matrix'!#REF!)),"")</f>
        <v/>
      </c>
      <c r="E790" s="11" t="str">
        <f t="shared" si="21"/>
        <v/>
      </c>
      <c r="F790" s="12">
        <f>IFERROR(INDEX('Production Matrix'!$B:$B,E790,0),0)</f>
        <v>0</v>
      </c>
    </row>
    <row r="791" spans="3:6">
      <c r="C791" s="11" t="e">
        <f>IF(1*('Production Matrix'!A:A="تكلفة انتاج الوحدة")*ROW('Production Matrix'!#REF!)=0,1/0,1*('Production Matrix'!A:A="تكلفة انتاج الوحدة")*ROW('Production Matrix'!#REF!))</f>
        <v>#REF!</v>
      </c>
      <c r="D791" s="11" t="str">
        <f>IFERROR(_xlfn.AGGREGATE(15,6,$C$3:$C$53,ROW('Production Matrix'!#REF!)),"")</f>
        <v/>
      </c>
      <c r="E791" s="11" t="str">
        <f t="shared" si="21"/>
        <v/>
      </c>
      <c r="F791" s="12">
        <f>IFERROR(INDEX('Production Matrix'!$B:$B,E791,0),0)</f>
        <v>0</v>
      </c>
    </row>
    <row r="792" spans="3:6">
      <c r="C792" s="11" t="e">
        <f>IF(1*('Production Matrix'!A:A="تكلفة انتاج الوحدة")*ROW('Production Matrix'!#REF!)=0,1/0,1*('Production Matrix'!A:A="تكلفة انتاج الوحدة")*ROW('Production Matrix'!#REF!))</f>
        <v>#REF!</v>
      </c>
      <c r="D792" s="11" t="str">
        <f>IFERROR(_xlfn.AGGREGATE(15,6,$C$3:$C$53,ROW('Production Matrix'!#REF!)),"")</f>
        <v/>
      </c>
      <c r="E792" s="11" t="str">
        <f t="shared" si="21"/>
        <v/>
      </c>
      <c r="F792" s="12">
        <f>IFERROR(INDEX('Production Matrix'!$B:$B,E792,0),0)</f>
        <v>0</v>
      </c>
    </row>
    <row r="793" spans="3:6">
      <c r="C793" s="11" t="e">
        <f>IF(1*('Production Matrix'!A:A="تكلفة انتاج الوحدة")*ROW('Production Matrix'!#REF!)=0,1/0,1*('Production Matrix'!A:A="تكلفة انتاج الوحدة")*ROW('Production Matrix'!#REF!))</f>
        <v>#REF!</v>
      </c>
      <c r="D793" s="11" t="str">
        <f>IFERROR(_xlfn.AGGREGATE(15,6,$C$3:$C$53,ROW('Production Matrix'!#REF!)),"")</f>
        <v/>
      </c>
      <c r="E793" s="11" t="str">
        <f t="shared" si="21"/>
        <v/>
      </c>
      <c r="F793" s="12">
        <f>IFERROR(INDEX('Production Matrix'!$B:$B,E793,0),0)</f>
        <v>0</v>
      </c>
    </row>
    <row r="794" spans="3:6">
      <c r="C794" s="11" t="e">
        <f>IF(1*('Production Matrix'!A:A="تكلفة انتاج الوحدة")*ROW('Production Matrix'!#REF!)=0,1/0,1*('Production Matrix'!A:A="تكلفة انتاج الوحدة")*ROW('Production Matrix'!#REF!))</f>
        <v>#REF!</v>
      </c>
      <c r="D794" s="11" t="str">
        <f>IFERROR(_xlfn.AGGREGATE(15,6,$C$3:$C$53,ROW('Production Matrix'!#REF!)),"")</f>
        <v/>
      </c>
      <c r="E794" s="11" t="str">
        <f t="shared" si="21"/>
        <v/>
      </c>
      <c r="F794" s="12">
        <f>IFERROR(INDEX('Production Matrix'!$B:$B,E794,0),0)</f>
        <v>0</v>
      </c>
    </row>
    <row r="795" spans="3:6">
      <c r="C795" s="11" t="e">
        <f>IF(1*('Production Matrix'!A:A="تكلفة انتاج الوحدة")*ROW('Production Matrix'!#REF!)=0,1/0,1*('Production Matrix'!A:A="تكلفة انتاج الوحدة")*ROW('Production Matrix'!#REF!))</f>
        <v>#REF!</v>
      </c>
      <c r="D795" s="11" t="str">
        <f>IFERROR(_xlfn.AGGREGATE(15,6,$C$3:$C$53,ROW('Production Matrix'!#REF!)),"")</f>
        <v/>
      </c>
      <c r="E795" s="11" t="str">
        <f t="shared" si="21"/>
        <v/>
      </c>
      <c r="F795" s="12">
        <f>IFERROR(INDEX('Production Matrix'!$B:$B,E795,0),0)</f>
        <v>0</v>
      </c>
    </row>
    <row r="796" spans="3:6">
      <c r="C796" s="11" t="e">
        <f>IF(1*('Production Matrix'!A:A="تكلفة انتاج الوحدة")*ROW('Production Matrix'!#REF!)=0,1/0,1*('Production Matrix'!A:A="تكلفة انتاج الوحدة")*ROW('Production Matrix'!#REF!))</f>
        <v>#REF!</v>
      </c>
      <c r="D796" s="11" t="str">
        <f>IFERROR(_xlfn.AGGREGATE(15,6,$C$3:$C$53,ROW('Production Matrix'!#REF!)),"")</f>
        <v/>
      </c>
      <c r="E796" s="11" t="str">
        <f t="shared" si="21"/>
        <v/>
      </c>
      <c r="F796" s="12">
        <f>IFERROR(INDEX('Production Matrix'!$B:$B,E796,0),0)</f>
        <v>0</v>
      </c>
    </row>
    <row r="797" spans="3:6">
      <c r="C797" s="11" t="e">
        <f>IF(1*('Production Matrix'!A:A="تكلفة انتاج الوحدة")*ROW('Production Matrix'!#REF!)=0,1/0,1*('Production Matrix'!A:A="تكلفة انتاج الوحدة")*ROW('Production Matrix'!#REF!))</f>
        <v>#REF!</v>
      </c>
      <c r="D797" s="11" t="str">
        <f>IFERROR(_xlfn.AGGREGATE(15,6,$C$3:$C$53,ROW('Production Matrix'!#REF!)),"")</f>
        <v/>
      </c>
      <c r="E797" s="11" t="str">
        <f t="shared" si="21"/>
        <v/>
      </c>
      <c r="F797" s="12">
        <f>IFERROR(INDEX('Production Matrix'!$B:$B,E797,0),0)</f>
        <v>0</v>
      </c>
    </row>
    <row r="798" spans="3:6">
      <c r="C798" s="11" t="e">
        <f>IF(1*('Production Matrix'!A:A="تكلفة انتاج الوحدة")*ROW('Production Matrix'!#REF!)=0,1/0,1*('Production Matrix'!A:A="تكلفة انتاج الوحدة")*ROW('Production Matrix'!#REF!))</f>
        <v>#REF!</v>
      </c>
      <c r="D798" s="11" t="str">
        <f>IFERROR(_xlfn.AGGREGATE(15,6,$C$3:$C$53,ROW('Production Matrix'!#REF!)),"")</f>
        <v/>
      </c>
      <c r="E798" s="11" t="str">
        <f t="shared" si="21"/>
        <v/>
      </c>
      <c r="F798" s="12">
        <f>IFERROR(INDEX('Production Matrix'!$B:$B,E798,0),0)</f>
        <v>0</v>
      </c>
    </row>
    <row r="799" spans="3:6">
      <c r="C799" s="11" t="e">
        <f>IF(1*('Production Matrix'!A:A="تكلفة انتاج الوحدة")*ROW('Production Matrix'!#REF!)=0,1/0,1*('Production Matrix'!A:A="تكلفة انتاج الوحدة")*ROW('Production Matrix'!#REF!))</f>
        <v>#REF!</v>
      </c>
      <c r="D799" s="11" t="str">
        <f>IFERROR(_xlfn.AGGREGATE(15,6,$C$3:$C$53,ROW('Production Matrix'!#REF!)),"")</f>
        <v/>
      </c>
      <c r="E799" s="11" t="str">
        <f t="shared" si="21"/>
        <v/>
      </c>
      <c r="F799" s="12">
        <f>IFERROR(INDEX('Production Matrix'!$B:$B,E799,0),0)</f>
        <v>0</v>
      </c>
    </row>
    <row r="800" spans="3:6">
      <c r="C800" s="11" t="e">
        <f>IF(1*('Production Matrix'!A:A="تكلفة انتاج الوحدة")*ROW('Production Matrix'!#REF!)=0,1/0,1*('Production Matrix'!A:A="تكلفة انتاج الوحدة")*ROW('Production Matrix'!#REF!))</f>
        <v>#REF!</v>
      </c>
      <c r="D800" s="11" t="str">
        <f>IFERROR(_xlfn.AGGREGATE(15,6,$C$3:$C$53,ROW('Production Matrix'!#REF!)),"")</f>
        <v/>
      </c>
      <c r="E800" s="11" t="str">
        <f t="shared" si="21"/>
        <v/>
      </c>
      <c r="F800" s="12">
        <f>IFERROR(INDEX('Production Matrix'!$B:$B,E800,0),0)</f>
        <v>0</v>
      </c>
    </row>
    <row r="801" spans="3:6">
      <c r="C801" s="11" t="e">
        <f>IF(1*('Production Matrix'!A:A="تكلفة انتاج الوحدة")*ROW('Production Matrix'!#REF!)=0,1/0,1*('Production Matrix'!A:A="تكلفة انتاج الوحدة")*ROW('Production Matrix'!#REF!))</f>
        <v>#REF!</v>
      </c>
      <c r="D801" s="11" t="str">
        <f>IFERROR(_xlfn.AGGREGATE(15,6,$C$3:$C$53,ROW('Production Matrix'!#REF!)),"")</f>
        <v/>
      </c>
      <c r="E801" s="11" t="str">
        <f t="shared" si="21"/>
        <v/>
      </c>
      <c r="F801" s="12">
        <f>IFERROR(INDEX('Production Matrix'!$B:$B,E801,0),0)</f>
        <v>0</v>
      </c>
    </row>
    <row r="802" spans="3:6">
      <c r="C802" s="11" t="e">
        <f>IF(1*('Production Matrix'!A:A="تكلفة انتاج الوحدة")*ROW('Production Matrix'!#REF!)=0,1/0,1*('Production Matrix'!A:A="تكلفة انتاج الوحدة")*ROW('Production Matrix'!#REF!))</f>
        <v>#REF!</v>
      </c>
      <c r="D802" s="11" t="str">
        <f>IFERROR(_xlfn.AGGREGATE(15,6,$C$3:$C$53,ROW('Production Matrix'!#REF!)),"")</f>
        <v/>
      </c>
      <c r="E802" s="11" t="str">
        <f t="shared" si="21"/>
        <v/>
      </c>
      <c r="F802" s="12">
        <f>IFERROR(INDEX('Production Matrix'!$B:$B,E802,0),0)</f>
        <v>0</v>
      </c>
    </row>
    <row r="803" spans="3:6">
      <c r="C803" s="11" t="e">
        <f>IF(1*('Production Matrix'!A:A="تكلفة انتاج الوحدة")*ROW('Production Matrix'!#REF!)=0,1/0,1*('Production Matrix'!A:A="تكلفة انتاج الوحدة")*ROW('Production Matrix'!#REF!))</f>
        <v>#REF!</v>
      </c>
      <c r="D803" s="11" t="str">
        <f>IFERROR(_xlfn.AGGREGATE(15,6,$C$3:$C$53,ROW('Production Matrix'!#REF!)),"")</f>
        <v/>
      </c>
      <c r="E803" s="11" t="str">
        <f t="shared" si="21"/>
        <v/>
      </c>
      <c r="F803" s="12">
        <f>IFERROR(INDEX('Production Matrix'!$B:$B,E803,0),0)</f>
        <v>0</v>
      </c>
    </row>
    <row r="804" spans="3:6">
      <c r="C804" s="11" t="e">
        <f>IF(1*('Production Matrix'!A:A="تكلفة انتاج الوحدة")*ROW('Production Matrix'!#REF!)=0,1/0,1*('Production Matrix'!A:A="تكلفة انتاج الوحدة")*ROW('Production Matrix'!#REF!))</f>
        <v>#REF!</v>
      </c>
      <c r="D804" s="11" t="str">
        <f>IFERROR(_xlfn.AGGREGATE(15,6,$C$3:$C$53,ROW('Production Matrix'!#REF!)),"")</f>
        <v/>
      </c>
      <c r="E804" s="11" t="str">
        <f t="shared" si="21"/>
        <v/>
      </c>
      <c r="F804" s="12">
        <f>IFERROR(INDEX('Production Matrix'!$B:$B,E804,0),0)</f>
        <v>0</v>
      </c>
    </row>
    <row r="805" spans="3:6">
      <c r="C805" s="11" t="e">
        <f>IF(1*('Production Matrix'!A:A="تكلفة انتاج الوحدة")*ROW('Production Matrix'!#REF!)=0,1/0,1*('Production Matrix'!A:A="تكلفة انتاج الوحدة")*ROW('Production Matrix'!#REF!))</f>
        <v>#REF!</v>
      </c>
      <c r="D805" s="11" t="str">
        <f>IFERROR(_xlfn.AGGREGATE(15,6,$C$3:$C$53,ROW('Production Matrix'!#REF!)),"")</f>
        <v/>
      </c>
      <c r="E805" s="11" t="str">
        <f t="shared" si="21"/>
        <v/>
      </c>
      <c r="F805" s="12">
        <f>IFERROR(INDEX('Production Matrix'!$B:$B,E805,0),0)</f>
        <v>0</v>
      </c>
    </row>
    <row r="806" spans="3:6">
      <c r="C806" s="11" t="e">
        <f>IF(1*('Production Matrix'!A:A="تكلفة انتاج الوحدة")*ROW('Production Matrix'!#REF!)=0,1/0,1*('Production Matrix'!A:A="تكلفة انتاج الوحدة")*ROW('Production Matrix'!#REF!))</f>
        <v>#REF!</v>
      </c>
      <c r="D806" s="11" t="str">
        <f>IFERROR(_xlfn.AGGREGATE(15,6,$C$3:$C$53,ROW('Production Matrix'!#REF!)),"")</f>
        <v/>
      </c>
      <c r="E806" s="11" t="str">
        <f t="shared" si="21"/>
        <v/>
      </c>
      <c r="F806" s="12">
        <f>IFERROR(INDEX('Production Matrix'!$B:$B,E806,0),0)</f>
        <v>0</v>
      </c>
    </row>
    <row r="807" spans="3:6">
      <c r="C807" s="11" t="e">
        <f>IF(1*('Production Matrix'!A:A="تكلفة انتاج الوحدة")*ROW('Production Matrix'!#REF!)=0,1/0,1*('Production Matrix'!A:A="تكلفة انتاج الوحدة")*ROW('Production Matrix'!#REF!))</f>
        <v>#REF!</v>
      </c>
      <c r="D807" s="11" t="str">
        <f>IFERROR(_xlfn.AGGREGATE(15,6,$C$3:$C$53,ROW('Production Matrix'!#REF!)),"")</f>
        <v/>
      </c>
      <c r="E807" s="11" t="str">
        <f t="shared" si="21"/>
        <v/>
      </c>
      <c r="F807" s="12">
        <f>IFERROR(INDEX('Production Matrix'!$B:$B,E807,0),0)</f>
        <v>0</v>
      </c>
    </row>
    <row r="808" spans="3:6">
      <c r="C808" s="11" t="e">
        <f>IF(1*('Production Matrix'!A:A="تكلفة انتاج الوحدة")*ROW('Production Matrix'!#REF!)=0,1/0,1*('Production Matrix'!A:A="تكلفة انتاج الوحدة")*ROW('Production Matrix'!#REF!))</f>
        <v>#REF!</v>
      </c>
      <c r="D808" s="11" t="str">
        <f>IFERROR(_xlfn.AGGREGATE(15,6,$C$3:$C$53,ROW('Production Matrix'!#REF!)),"")</f>
        <v/>
      </c>
      <c r="E808" s="11" t="str">
        <f t="shared" si="21"/>
        <v/>
      </c>
      <c r="F808" s="12">
        <f>IFERROR(INDEX('Production Matrix'!$B:$B,E808,0),0)</f>
        <v>0</v>
      </c>
    </row>
    <row r="809" spans="3:6">
      <c r="C809" s="11" t="e">
        <f>IF(1*('Production Matrix'!A:A="تكلفة انتاج الوحدة")*ROW('Production Matrix'!#REF!)=0,1/0,1*('Production Matrix'!A:A="تكلفة انتاج الوحدة")*ROW('Production Matrix'!#REF!))</f>
        <v>#REF!</v>
      </c>
      <c r="D809" s="11" t="str">
        <f>IFERROR(_xlfn.AGGREGATE(15,6,$C$3:$C$53,ROW('Production Matrix'!#REF!)),"")</f>
        <v/>
      </c>
      <c r="E809" s="11" t="str">
        <f t="shared" si="21"/>
        <v/>
      </c>
      <c r="F809" s="12">
        <f>IFERROR(INDEX('Production Matrix'!$B:$B,E809,0),0)</f>
        <v>0</v>
      </c>
    </row>
    <row r="810" spans="3:6">
      <c r="C810" s="11" t="e">
        <f>IF(1*('Production Matrix'!A:A="تكلفة انتاج الوحدة")*ROW('Production Matrix'!#REF!)=0,1/0,1*('Production Matrix'!A:A="تكلفة انتاج الوحدة")*ROW('Production Matrix'!#REF!))</f>
        <v>#REF!</v>
      </c>
      <c r="D810" s="11" t="str">
        <f>IFERROR(_xlfn.AGGREGATE(15,6,$C$3:$C$53,ROW('Production Matrix'!#REF!)),"")</f>
        <v/>
      </c>
      <c r="E810" s="11" t="str">
        <f t="shared" si="21"/>
        <v/>
      </c>
      <c r="F810" s="12">
        <f>IFERROR(INDEX('Production Matrix'!$B:$B,E810,0),0)</f>
        <v>0</v>
      </c>
    </row>
    <row r="811" spans="3:6">
      <c r="C811" s="11" t="e">
        <f>IF(1*('Production Matrix'!A:A="تكلفة انتاج الوحدة")*ROW('Production Matrix'!#REF!)=0,1/0,1*('Production Matrix'!A:A="تكلفة انتاج الوحدة")*ROW('Production Matrix'!#REF!))</f>
        <v>#REF!</v>
      </c>
      <c r="D811" s="11" t="str">
        <f>IFERROR(_xlfn.AGGREGATE(15,6,$C$3:$C$53,ROW('Production Matrix'!#REF!)),"")</f>
        <v/>
      </c>
      <c r="E811" s="11" t="str">
        <f t="shared" si="21"/>
        <v/>
      </c>
      <c r="F811" s="12">
        <f>IFERROR(INDEX('Production Matrix'!$B:$B,E811,0),0)</f>
        <v>0</v>
      </c>
    </row>
    <row r="812" spans="3:6">
      <c r="C812" s="11" t="e">
        <f>IF(1*('Production Matrix'!A:A="تكلفة انتاج الوحدة")*ROW('Production Matrix'!#REF!)=0,1/0,1*('Production Matrix'!A:A="تكلفة انتاج الوحدة")*ROW('Production Matrix'!#REF!))</f>
        <v>#REF!</v>
      </c>
      <c r="D812" s="11" t="str">
        <f>IFERROR(_xlfn.AGGREGATE(15,6,$C$3:$C$53,ROW('Production Matrix'!#REF!)),"")</f>
        <v/>
      </c>
      <c r="E812" s="11" t="str">
        <f t="shared" si="21"/>
        <v/>
      </c>
      <c r="F812" s="12">
        <f>IFERROR(INDEX('Production Matrix'!$B:$B,E812,0),0)</f>
        <v>0</v>
      </c>
    </row>
    <row r="813" spans="3:6">
      <c r="C813" s="11" t="e">
        <f>IF(1*('Production Matrix'!A:A="تكلفة انتاج الوحدة")*ROW('Production Matrix'!#REF!)=0,1/0,1*('Production Matrix'!A:A="تكلفة انتاج الوحدة")*ROW('Production Matrix'!#REF!))</f>
        <v>#REF!</v>
      </c>
      <c r="D813" s="11" t="str">
        <f>IFERROR(_xlfn.AGGREGATE(15,6,$C$3:$C$53,ROW('Production Matrix'!#REF!)),"")</f>
        <v/>
      </c>
      <c r="E813" s="11" t="str">
        <f t="shared" si="21"/>
        <v/>
      </c>
      <c r="F813" s="12">
        <f>IFERROR(INDEX('Production Matrix'!$B:$B,E813,0),0)</f>
        <v>0</v>
      </c>
    </row>
    <row r="814" spans="3:6">
      <c r="C814" s="11" t="e">
        <f>IF(1*('Production Matrix'!A:A="تكلفة انتاج الوحدة")*ROW('Production Matrix'!#REF!)=0,1/0,1*('Production Matrix'!A:A="تكلفة انتاج الوحدة")*ROW('Production Matrix'!#REF!))</f>
        <v>#REF!</v>
      </c>
      <c r="D814" s="11" t="str">
        <f>IFERROR(_xlfn.AGGREGATE(15,6,$C$3:$C$53,ROW('Production Matrix'!#REF!)),"")</f>
        <v/>
      </c>
      <c r="E814" s="11" t="str">
        <f t="shared" si="21"/>
        <v/>
      </c>
      <c r="F814" s="12">
        <f>IFERROR(INDEX('Production Matrix'!$B:$B,E814,0),0)</f>
        <v>0</v>
      </c>
    </row>
    <row r="815" spans="3:6">
      <c r="C815" s="11" t="e">
        <f>IF(1*('Production Matrix'!A:A="تكلفة انتاج الوحدة")*ROW('Production Matrix'!#REF!)=0,1/0,1*('Production Matrix'!A:A="تكلفة انتاج الوحدة")*ROW('Production Matrix'!#REF!))</f>
        <v>#REF!</v>
      </c>
      <c r="D815" s="11" t="str">
        <f>IFERROR(_xlfn.AGGREGATE(15,6,$C$3:$C$53,ROW('Production Matrix'!#REF!)),"")</f>
        <v/>
      </c>
      <c r="E815" s="11" t="str">
        <f t="shared" si="21"/>
        <v/>
      </c>
      <c r="F815" s="12">
        <f>IFERROR(INDEX('Production Matrix'!$B:$B,E815,0),0)</f>
        <v>0</v>
      </c>
    </row>
    <row r="816" spans="3:6">
      <c r="C816" s="11" t="e">
        <f>IF(1*('Production Matrix'!A:A="تكلفة انتاج الوحدة")*ROW('Production Matrix'!#REF!)=0,1/0,1*('Production Matrix'!A:A="تكلفة انتاج الوحدة")*ROW('Production Matrix'!#REF!))</f>
        <v>#REF!</v>
      </c>
      <c r="D816" s="11" t="str">
        <f>IFERROR(_xlfn.AGGREGATE(15,6,$C$3:$C$53,ROW('Production Matrix'!#REF!)),"")</f>
        <v/>
      </c>
      <c r="E816" s="11" t="str">
        <f t="shared" si="21"/>
        <v/>
      </c>
      <c r="F816" s="12">
        <f>IFERROR(INDEX('Production Matrix'!$B:$B,E816,0),0)</f>
        <v>0</v>
      </c>
    </row>
    <row r="817" spans="3:6">
      <c r="C817" s="11" t="e">
        <f>IF(1*('Production Matrix'!A:A="تكلفة انتاج الوحدة")*ROW('Production Matrix'!#REF!)=0,1/0,1*('Production Matrix'!A:A="تكلفة انتاج الوحدة")*ROW('Production Matrix'!#REF!))</f>
        <v>#REF!</v>
      </c>
      <c r="D817" s="11" t="str">
        <f>IFERROR(_xlfn.AGGREGATE(15,6,$C$3:$C$53,ROW('Production Matrix'!#REF!)),"")</f>
        <v/>
      </c>
      <c r="E817" s="11" t="str">
        <f t="shared" si="21"/>
        <v/>
      </c>
      <c r="F817" s="12">
        <f>IFERROR(INDEX('Production Matrix'!$B:$B,E817,0),0)</f>
        <v>0</v>
      </c>
    </row>
    <row r="818" spans="3:6">
      <c r="C818" s="11" t="e">
        <f>IF(1*('Production Matrix'!A:A="تكلفة انتاج الوحدة")*ROW('Production Matrix'!#REF!)=0,1/0,1*('Production Matrix'!A:A="تكلفة انتاج الوحدة")*ROW('Production Matrix'!#REF!))</f>
        <v>#REF!</v>
      </c>
      <c r="D818" s="11" t="str">
        <f>IFERROR(_xlfn.AGGREGATE(15,6,$C$3:$C$53,ROW('Production Matrix'!#REF!)),"")</f>
        <v/>
      </c>
      <c r="E818" s="11" t="str">
        <f t="shared" si="21"/>
        <v/>
      </c>
      <c r="F818" s="12">
        <f>IFERROR(INDEX('Production Matrix'!$B:$B,E818,0),0)</f>
        <v>0</v>
      </c>
    </row>
    <row r="819" spans="3:6">
      <c r="C819" s="11" t="e">
        <f>IF(1*('Production Matrix'!A:A="تكلفة انتاج الوحدة")*ROW('Production Matrix'!#REF!)=0,1/0,1*('Production Matrix'!A:A="تكلفة انتاج الوحدة")*ROW('Production Matrix'!#REF!))</f>
        <v>#REF!</v>
      </c>
      <c r="D819" s="11" t="str">
        <f>IFERROR(_xlfn.AGGREGATE(15,6,$C$3:$C$53,ROW('Production Matrix'!#REF!)),"")</f>
        <v/>
      </c>
      <c r="E819" s="11" t="str">
        <f t="shared" si="21"/>
        <v/>
      </c>
      <c r="F819" s="12">
        <f>IFERROR(INDEX('Production Matrix'!$B:$B,E819,0),0)</f>
        <v>0</v>
      </c>
    </row>
    <row r="820" spans="3:6">
      <c r="C820" s="11" t="e">
        <f>IF(1*('Production Matrix'!A:A="تكلفة انتاج الوحدة")*ROW('Production Matrix'!#REF!)=0,1/0,1*('Production Matrix'!A:A="تكلفة انتاج الوحدة")*ROW('Production Matrix'!#REF!))</f>
        <v>#REF!</v>
      </c>
      <c r="D820" s="11" t="str">
        <f>IFERROR(_xlfn.AGGREGATE(15,6,$C$3:$C$53,ROW('Production Matrix'!#REF!)),"")</f>
        <v/>
      </c>
      <c r="E820" s="11" t="str">
        <f t="shared" si="21"/>
        <v/>
      </c>
      <c r="F820" s="12">
        <f>IFERROR(INDEX('Production Matrix'!$B:$B,E820,0),0)</f>
        <v>0</v>
      </c>
    </row>
    <row r="821" spans="3:6">
      <c r="C821" s="11" t="e">
        <f>IF(1*('Production Matrix'!A:A="تكلفة انتاج الوحدة")*ROW('Production Matrix'!#REF!)=0,1/0,1*('Production Matrix'!A:A="تكلفة انتاج الوحدة")*ROW('Production Matrix'!#REF!))</f>
        <v>#REF!</v>
      </c>
      <c r="D821" s="11" t="str">
        <f>IFERROR(_xlfn.AGGREGATE(15,6,$C$3:$C$53,ROW('Production Matrix'!#REF!)),"")</f>
        <v/>
      </c>
      <c r="E821" s="11" t="str">
        <f t="shared" si="21"/>
        <v/>
      </c>
      <c r="F821" s="12">
        <f>IFERROR(INDEX('Production Matrix'!$B:$B,E821,0),0)</f>
        <v>0</v>
      </c>
    </row>
    <row r="822" spans="3:6">
      <c r="C822" s="11" t="e">
        <f>IF(1*('Production Matrix'!A:A="تكلفة انتاج الوحدة")*ROW('Production Matrix'!#REF!)=0,1/0,1*('Production Matrix'!A:A="تكلفة انتاج الوحدة")*ROW('Production Matrix'!#REF!))</f>
        <v>#REF!</v>
      </c>
      <c r="D822" s="11" t="str">
        <f>IFERROR(_xlfn.AGGREGATE(15,6,$C$3:$C$53,ROW('Production Matrix'!#REF!)),"")</f>
        <v/>
      </c>
      <c r="E822" s="11" t="str">
        <f t="shared" si="21"/>
        <v/>
      </c>
      <c r="F822" s="12">
        <f>IFERROR(INDEX('Production Matrix'!$B:$B,E822,0),0)</f>
        <v>0</v>
      </c>
    </row>
    <row r="823" spans="3:6">
      <c r="C823" s="11" t="e">
        <f>IF(1*('Production Matrix'!A:A="تكلفة انتاج الوحدة")*ROW('Production Matrix'!#REF!)=0,1/0,1*('Production Matrix'!A:A="تكلفة انتاج الوحدة")*ROW('Production Matrix'!#REF!))</f>
        <v>#REF!</v>
      </c>
      <c r="D823" s="11" t="str">
        <f>IFERROR(_xlfn.AGGREGATE(15,6,$C$3:$C$53,ROW('Production Matrix'!#REF!)),"")</f>
        <v/>
      </c>
      <c r="E823" s="11" t="str">
        <f t="shared" si="21"/>
        <v/>
      </c>
      <c r="F823" s="12">
        <f>IFERROR(INDEX('Production Matrix'!$B:$B,E823,0),0)</f>
        <v>0</v>
      </c>
    </row>
    <row r="824" spans="3:6">
      <c r="C824" s="11" t="e">
        <f>IF(1*('Production Matrix'!A:A="تكلفة انتاج الوحدة")*ROW('Production Matrix'!#REF!)=0,1/0,1*('Production Matrix'!A:A="تكلفة انتاج الوحدة")*ROW('Production Matrix'!#REF!))</f>
        <v>#REF!</v>
      </c>
      <c r="D824" s="11" t="str">
        <f>IFERROR(_xlfn.AGGREGATE(15,6,$C$3:$C$53,ROW('Production Matrix'!#REF!)),"")</f>
        <v/>
      </c>
      <c r="E824" s="11" t="str">
        <f t="shared" si="21"/>
        <v/>
      </c>
      <c r="F824" s="12">
        <f>IFERROR(INDEX('Production Matrix'!$B:$B,E824,0),0)</f>
        <v>0</v>
      </c>
    </row>
    <row r="825" spans="3:6">
      <c r="C825" s="11" t="e">
        <f>IF(1*('Production Matrix'!A:A="تكلفة انتاج الوحدة")*ROW('Production Matrix'!#REF!)=0,1/0,1*('Production Matrix'!A:A="تكلفة انتاج الوحدة")*ROW('Production Matrix'!#REF!))</f>
        <v>#REF!</v>
      </c>
      <c r="D825" s="11" t="str">
        <f>IFERROR(_xlfn.AGGREGATE(15,6,$C$3:$C$53,ROW('Production Matrix'!#REF!)),"")</f>
        <v/>
      </c>
      <c r="E825" s="11" t="str">
        <f t="shared" si="21"/>
        <v/>
      </c>
      <c r="F825" s="12">
        <f>IFERROR(INDEX('Production Matrix'!$B:$B,E825,0),0)</f>
        <v>0</v>
      </c>
    </row>
    <row r="826" spans="3:6">
      <c r="C826" s="11" t="e">
        <f>IF(1*('Production Matrix'!A:A="تكلفة انتاج الوحدة")*ROW('Production Matrix'!#REF!)=0,1/0,1*('Production Matrix'!A:A="تكلفة انتاج الوحدة")*ROW('Production Matrix'!#REF!))</f>
        <v>#REF!</v>
      </c>
      <c r="D826" s="11" t="str">
        <f>IFERROR(_xlfn.AGGREGATE(15,6,$C$3:$C$53,ROW('Production Matrix'!#REF!)),"")</f>
        <v/>
      </c>
      <c r="E826" s="11" t="str">
        <f t="shared" si="21"/>
        <v/>
      </c>
      <c r="F826" s="12">
        <f>IFERROR(INDEX('Production Matrix'!$B:$B,E826,0),0)</f>
        <v>0</v>
      </c>
    </row>
    <row r="827" spans="3:6">
      <c r="C827" s="11" t="e">
        <f>IF(1*('Production Matrix'!A:A="تكلفة انتاج الوحدة")*ROW('Production Matrix'!#REF!)=0,1/0,1*('Production Matrix'!A:A="تكلفة انتاج الوحدة")*ROW('Production Matrix'!#REF!))</f>
        <v>#REF!</v>
      </c>
      <c r="D827" s="11" t="str">
        <f>IFERROR(_xlfn.AGGREGATE(15,6,$C$3:$C$53,ROW('Production Matrix'!#REF!)),"")</f>
        <v/>
      </c>
      <c r="E827" s="11" t="str">
        <f t="shared" si="21"/>
        <v/>
      </c>
      <c r="F827" s="12">
        <f>IFERROR(INDEX('Production Matrix'!$B:$B,E827,0),0)</f>
        <v>0</v>
      </c>
    </row>
    <row r="828" spans="3:6">
      <c r="C828" s="11" t="e">
        <f>IF(1*('Production Matrix'!A:A="تكلفة انتاج الوحدة")*ROW('Production Matrix'!#REF!)=0,1/0,1*('Production Matrix'!A:A="تكلفة انتاج الوحدة")*ROW('Production Matrix'!#REF!))</f>
        <v>#REF!</v>
      </c>
      <c r="D828" s="11" t="str">
        <f>IFERROR(_xlfn.AGGREGATE(15,6,$C$3:$C$53,ROW('Production Matrix'!#REF!)),"")</f>
        <v/>
      </c>
      <c r="E828" s="11" t="str">
        <f t="shared" si="21"/>
        <v/>
      </c>
      <c r="F828" s="12">
        <f>IFERROR(INDEX('Production Matrix'!$B:$B,E828,0),0)</f>
        <v>0</v>
      </c>
    </row>
    <row r="829" spans="3:6">
      <c r="C829" s="11" t="e">
        <f>IF(1*('Production Matrix'!A:A="تكلفة انتاج الوحدة")*ROW('Production Matrix'!#REF!)=0,1/0,1*('Production Matrix'!A:A="تكلفة انتاج الوحدة")*ROW('Production Matrix'!#REF!))</f>
        <v>#REF!</v>
      </c>
      <c r="D829" s="11" t="str">
        <f>IFERROR(_xlfn.AGGREGATE(15,6,$C$3:$C$53,ROW('Production Matrix'!#REF!)),"")</f>
        <v/>
      </c>
      <c r="E829" s="11" t="str">
        <f t="shared" si="21"/>
        <v/>
      </c>
      <c r="F829" s="12">
        <f>IFERROR(INDEX('Production Matrix'!$B:$B,E829,0),0)</f>
        <v>0</v>
      </c>
    </row>
    <row r="830" spans="3:6">
      <c r="C830" s="11" t="e">
        <f>IF(1*('Production Matrix'!A:A="تكلفة انتاج الوحدة")*ROW('Production Matrix'!#REF!)=0,1/0,1*('Production Matrix'!A:A="تكلفة انتاج الوحدة")*ROW('Production Matrix'!#REF!))</f>
        <v>#REF!</v>
      </c>
      <c r="D830" s="11" t="str">
        <f>IFERROR(_xlfn.AGGREGATE(15,6,$C$3:$C$53,ROW('Production Matrix'!#REF!)),"")</f>
        <v/>
      </c>
      <c r="E830" s="11" t="str">
        <f t="shared" si="21"/>
        <v/>
      </c>
      <c r="F830" s="12">
        <f>IFERROR(INDEX('Production Matrix'!$B:$B,E830,0),0)</f>
        <v>0</v>
      </c>
    </row>
    <row r="831" spans="3:6">
      <c r="C831" s="11" t="e">
        <f>IF(1*('Production Matrix'!A:A="تكلفة انتاج الوحدة")*ROW('Production Matrix'!#REF!)=0,1/0,1*('Production Matrix'!A:A="تكلفة انتاج الوحدة")*ROW('Production Matrix'!#REF!))</f>
        <v>#REF!</v>
      </c>
      <c r="D831" s="11" t="str">
        <f>IFERROR(_xlfn.AGGREGATE(15,6,$C$3:$C$53,ROW('Production Matrix'!#REF!)),"")</f>
        <v/>
      </c>
      <c r="E831" s="11" t="str">
        <f t="shared" si="21"/>
        <v/>
      </c>
      <c r="F831" s="12">
        <f>IFERROR(INDEX('Production Matrix'!$B:$B,E831,0),0)</f>
        <v>0</v>
      </c>
    </row>
    <row r="832" spans="3:6">
      <c r="C832" s="11" t="e">
        <f>IF(1*('Production Matrix'!A:A="تكلفة انتاج الوحدة")*ROW('Production Matrix'!#REF!)=0,1/0,1*('Production Matrix'!A:A="تكلفة انتاج الوحدة")*ROW('Production Matrix'!#REF!))</f>
        <v>#REF!</v>
      </c>
      <c r="D832" s="11" t="str">
        <f>IFERROR(_xlfn.AGGREGATE(15,6,$C$3:$C$53,ROW('Production Matrix'!#REF!)),"")</f>
        <v/>
      </c>
      <c r="E832" s="11" t="str">
        <f t="shared" si="21"/>
        <v/>
      </c>
      <c r="F832" s="12">
        <f>IFERROR(INDEX('Production Matrix'!$B:$B,E832,0),0)</f>
        <v>0</v>
      </c>
    </row>
    <row r="833" spans="3:6">
      <c r="C833" s="11" t="e">
        <f>IF(1*('Production Matrix'!A:A="تكلفة انتاج الوحدة")*ROW('Production Matrix'!#REF!)=0,1/0,1*('Production Matrix'!A:A="تكلفة انتاج الوحدة")*ROW('Production Matrix'!#REF!))</f>
        <v>#REF!</v>
      </c>
      <c r="D833" s="11" t="str">
        <f>IFERROR(_xlfn.AGGREGATE(15,6,$C$3:$C$53,ROW('Production Matrix'!#REF!)),"")</f>
        <v/>
      </c>
      <c r="E833" s="11" t="str">
        <f t="shared" si="21"/>
        <v/>
      </c>
      <c r="F833" s="12">
        <f>IFERROR(INDEX('Production Matrix'!$B:$B,E833,0),0)</f>
        <v>0</v>
      </c>
    </row>
    <row r="834" spans="3:6">
      <c r="C834" s="11" t="e">
        <f>IF(1*('Production Matrix'!A:A="تكلفة انتاج الوحدة")*ROW('Production Matrix'!#REF!)=0,1/0,1*('Production Matrix'!A:A="تكلفة انتاج الوحدة")*ROW('Production Matrix'!#REF!))</f>
        <v>#REF!</v>
      </c>
      <c r="D834" s="11" t="str">
        <f>IFERROR(_xlfn.AGGREGATE(15,6,$C$3:$C$53,ROW('Production Matrix'!#REF!)),"")</f>
        <v/>
      </c>
      <c r="E834" s="11" t="str">
        <f t="shared" si="21"/>
        <v/>
      </c>
      <c r="F834" s="12">
        <f>IFERROR(INDEX('Production Matrix'!$B:$B,E834,0),0)</f>
        <v>0</v>
      </c>
    </row>
    <row r="835" spans="3:6">
      <c r="C835" s="11" t="e">
        <f>IF(1*('Production Matrix'!A:A="تكلفة انتاج الوحدة")*ROW('Production Matrix'!#REF!)=0,1/0,1*('Production Matrix'!A:A="تكلفة انتاج الوحدة")*ROW('Production Matrix'!#REF!))</f>
        <v>#REF!</v>
      </c>
      <c r="D835" s="11" t="str">
        <f>IFERROR(_xlfn.AGGREGATE(15,6,$C$3:$C$53,ROW('Production Matrix'!#REF!)),"")</f>
        <v/>
      </c>
      <c r="E835" s="11" t="str">
        <f t="shared" si="21"/>
        <v/>
      </c>
      <c r="F835" s="12">
        <f>IFERROR(INDEX('Production Matrix'!$B:$B,E835,0),0)</f>
        <v>0</v>
      </c>
    </row>
    <row r="836" spans="3:6">
      <c r="C836" s="11" t="e">
        <f>IF(1*('Production Matrix'!A:A="تكلفة انتاج الوحدة")*ROW('Production Matrix'!#REF!)=0,1/0,1*('Production Matrix'!A:A="تكلفة انتاج الوحدة")*ROW('Production Matrix'!#REF!))</f>
        <v>#REF!</v>
      </c>
      <c r="D836" s="11" t="str">
        <f>IFERROR(_xlfn.AGGREGATE(15,6,$C$3:$C$53,ROW('Production Matrix'!#REF!)),"")</f>
        <v/>
      </c>
      <c r="E836" s="11" t="str">
        <f t="shared" si="21"/>
        <v/>
      </c>
      <c r="F836" s="12">
        <f>IFERROR(INDEX('Production Matrix'!$B:$B,E836,0),0)</f>
        <v>0</v>
      </c>
    </row>
    <row r="837" spans="3:6">
      <c r="C837" s="11" t="e">
        <f>IF(1*('Production Matrix'!A:A="تكلفة انتاج الوحدة")*ROW('Production Matrix'!#REF!)=0,1/0,1*('Production Matrix'!A:A="تكلفة انتاج الوحدة")*ROW('Production Matrix'!#REF!))</f>
        <v>#REF!</v>
      </c>
      <c r="D837" s="11" t="str">
        <f>IFERROR(_xlfn.AGGREGATE(15,6,$C$3:$C$53,ROW('Production Matrix'!#REF!)),"")</f>
        <v/>
      </c>
      <c r="E837" s="11" t="str">
        <f t="shared" si="21"/>
        <v/>
      </c>
      <c r="F837" s="12">
        <f>IFERROR(INDEX('Production Matrix'!$B:$B,E837,0),0)</f>
        <v>0</v>
      </c>
    </row>
    <row r="838" spans="3:6">
      <c r="C838" s="11" t="e">
        <f>IF(1*('Production Matrix'!A:A="تكلفة انتاج الوحدة")*ROW('Production Matrix'!#REF!)=0,1/0,1*('Production Matrix'!A:A="تكلفة انتاج الوحدة")*ROW('Production Matrix'!#REF!))</f>
        <v>#REF!</v>
      </c>
      <c r="D838" s="11" t="str">
        <f>IFERROR(_xlfn.AGGREGATE(15,6,$C$3:$C$53,ROW('Production Matrix'!#REF!)),"")</f>
        <v/>
      </c>
      <c r="E838" s="11" t="str">
        <f t="shared" si="21"/>
        <v/>
      </c>
      <c r="F838" s="12">
        <f>IFERROR(INDEX('Production Matrix'!$B:$B,E838,0),0)</f>
        <v>0</v>
      </c>
    </row>
    <row r="839" spans="3:6">
      <c r="C839" s="11" t="e">
        <f>IF(1*('Production Matrix'!A:A="تكلفة انتاج الوحدة")*ROW('Production Matrix'!#REF!)=0,1/0,1*('Production Matrix'!A:A="تكلفة انتاج الوحدة")*ROW('Production Matrix'!#REF!))</f>
        <v>#REF!</v>
      </c>
      <c r="D839" s="11" t="str">
        <f>IFERROR(_xlfn.AGGREGATE(15,6,$C$3:$C$53,ROW('Production Matrix'!#REF!)),"")</f>
        <v/>
      </c>
      <c r="E839" s="11" t="str">
        <f t="shared" ref="E839:E902" si="22">IFERROR(D839+3,"")</f>
        <v/>
      </c>
      <c r="F839" s="12">
        <f>IFERROR(INDEX('Production Matrix'!$B:$B,E839,0),0)</f>
        <v>0</v>
      </c>
    </row>
    <row r="840" spans="3:6">
      <c r="C840" s="11" t="e">
        <f>IF(1*('Production Matrix'!A:A="تكلفة انتاج الوحدة")*ROW('Production Matrix'!#REF!)=0,1/0,1*('Production Matrix'!A:A="تكلفة انتاج الوحدة")*ROW('Production Matrix'!#REF!))</f>
        <v>#REF!</v>
      </c>
      <c r="D840" s="11" t="str">
        <f>IFERROR(_xlfn.AGGREGATE(15,6,$C$3:$C$53,ROW('Production Matrix'!#REF!)),"")</f>
        <v/>
      </c>
      <c r="E840" s="11" t="str">
        <f t="shared" si="22"/>
        <v/>
      </c>
      <c r="F840" s="12">
        <f>IFERROR(INDEX('Production Matrix'!$B:$B,E840,0),0)</f>
        <v>0</v>
      </c>
    </row>
    <row r="841" spans="3:6">
      <c r="C841" s="11" t="e">
        <f>IF(1*('Production Matrix'!A:A="تكلفة انتاج الوحدة")*ROW('Production Matrix'!#REF!)=0,1/0,1*('Production Matrix'!A:A="تكلفة انتاج الوحدة")*ROW('Production Matrix'!#REF!))</f>
        <v>#REF!</v>
      </c>
      <c r="D841" s="11" t="str">
        <f>IFERROR(_xlfn.AGGREGATE(15,6,$C$3:$C$53,ROW('Production Matrix'!#REF!)),"")</f>
        <v/>
      </c>
      <c r="E841" s="11" t="str">
        <f t="shared" si="22"/>
        <v/>
      </c>
      <c r="F841" s="12">
        <f>IFERROR(INDEX('Production Matrix'!$B:$B,E841,0),0)</f>
        <v>0</v>
      </c>
    </row>
    <row r="842" spans="3:6">
      <c r="C842" s="11" t="e">
        <f>IF(1*('Production Matrix'!A:A="تكلفة انتاج الوحدة")*ROW('Production Matrix'!#REF!)=0,1/0,1*('Production Matrix'!A:A="تكلفة انتاج الوحدة")*ROW('Production Matrix'!#REF!))</f>
        <v>#REF!</v>
      </c>
      <c r="D842" s="11" t="str">
        <f>IFERROR(_xlfn.AGGREGATE(15,6,$C$3:$C$53,ROW('Production Matrix'!#REF!)),"")</f>
        <v/>
      </c>
      <c r="E842" s="11" t="str">
        <f t="shared" si="22"/>
        <v/>
      </c>
      <c r="F842" s="12">
        <f>IFERROR(INDEX('Production Matrix'!$B:$B,E842,0),0)</f>
        <v>0</v>
      </c>
    </row>
    <row r="843" spans="3:6">
      <c r="C843" s="11" t="e">
        <f>IF(1*('Production Matrix'!A:A="تكلفة انتاج الوحدة")*ROW('Production Matrix'!#REF!)=0,1/0,1*('Production Matrix'!A:A="تكلفة انتاج الوحدة")*ROW('Production Matrix'!#REF!))</f>
        <v>#REF!</v>
      </c>
      <c r="D843" s="11" t="str">
        <f>IFERROR(_xlfn.AGGREGATE(15,6,$C$3:$C$53,ROW('Production Matrix'!#REF!)),"")</f>
        <v/>
      </c>
      <c r="E843" s="11" t="str">
        <f t="shared" si="22"/>
        <v/>
      </c>
      <c r="F843" s="12">
        <f>IFERROR(INDEX('Production Matrix'!$B:$B,E843,0),0)</f>
        <v>0</v>
      </c>
    </row>
    <row r="844" spans="3:6">
      <c r="C844" s="11" t="e">
        <f>IF(1*('Production Matrix'!A:A="تكلفة انتاج الوحدة")*ROW('Production Matrix'!#REF!)=0,1/0,1*('Production Matrix'!A:A="تكلفة انتاج الوحدة")*ROW('Production Matrix'!#REF!))</f>
        <v>#REF!</v>
      </c>
      <c r="D844" s="11" t="str">
        <f>IFERROR(_xlfn.AGGREGATE(15,6,$C$3:$C$53,ROW('Production Matrix'!#REF!)),"")</f>
        <v/>
      </c>
      <c r="E844" s="11" t="str">
        <f t="shared" si="22"/>
        <v/>
      </c>
      <c r="F844" s="12">
        <f>IFERROR(INDEX('Production Matrix'!$B:$B,E844,0),0)</f>
        <v>0</v>
      </c>
    </row>
    <row r="845" spans="3:6">
      <c r="C845" s="11" t="e">
        <f>IF(1*('Production Matrix'!A:A="تكلفة انتاج الوحدة")*ROW('Production Matrix'!#REF!)=0,1/0,1*('Production Matrix'!A:A="تكلفة انتاج الوحدة")*ROW('Production Matrix'!#REF!))</f>
        <v>#REF!</v>
      </c>
      <c r="D845" s="11" t="str">
        <f>IFERROR(_xlfn.AGGREGATE(15,6,$C$3:$C$53,ROW('Production Matrix'!#REF!)),"")</f>
        <v/>
      </c>
      <c r="E845" s="11" t="str">
        <f t="shared" si="22"/>
        <v/>
      </c>
      <c r="F845" s="12">
        <f>IFERROR(INDEX('Production Matrix'!$B:$B,E845,0),0)</f>
        <v>0</v>
      </c>
    </row>
    <row r="846" spans="3:6">
      <c r="C846" s="11" t="e">
        <f>IF(1*('Production Matrix'!A:A="تكلفة انتاج الوحدة")*ROW('Production Matrix'!#REF!)=0,1/0,1*('Production Matrix'!A:A="تكلفة انتاج الوحدة")*ROW('Production Matrix'!#REF!))</f>
        <v>#REF!</v>
      </c>
      <c r="D846" s="11" t="str">
        <f>IFERROR(_xlfn.AGGREGATE(15,6,$C$3:$C$53,ROW('Production Matrix'!#REF!)),"")</f>
        <v/>
      </c>
      <c r="E846" s="11" t="str">
        <f t="shared" si="22"/>
        <v/>
      </c>
      <c r="F846" s="12">
        <f>IFERROR(INDEX('Production Matrix'!$B:$B,E846,0),0)</f>
        <v>0</v>
      </c>
    </row>
    <row r="847" spans="3:6">
      <c r="C847" s="11" t="e">
        <f>IF(1*('Production Matrix'!A:A="تكلفة انتاج الوحدة")*ROW('Production Matrix'!#REF!)=0,1/0,1*('Production Matrix'!A:A="تكلفة انتاج الوحدة")*ROW('Production Matrix'!#REF!))</f>
        <v>#REF!</v>
      </c>
      <c r="D847" s="11" t="str">
        <f>IFERROR(_xlfn.AGGREGATE(15,6,$C$3:$C$53,ROW('Production Matrix'!#REF!)),"")</f>
        <v/>
      </c>
      <c r="E847" s="11" t="str">
        <f t="shared" si="22"/>
        <v/>
      </c>
      <c r="F847" s="12">
        <f>IFERROR(INDEX('Production Matrix'!$B:$B,E847,0),0)</f>
        <v>0</v>
      </c>
    </row>
    <row r="848" spans="3:6">
      <c r="C848" s="11" t="e">
        <f>IF(1*('Production Matrix'!A:A="تكلفة انتاج الوحدة")*ROW('Production Matrix'!#REF!)=0,1/0,1*('Production Matrix'!A:A="تكلفة انتاج الوحدة")*ROW('Production Matrix'!#REF!))</f>
        <v>#REF!</v>
      </c>
      <c r="D848" s="11" t="str">
        <f>IFERROR(_xlfn.AGGREGATE(15,6,$C$3:$C$53,ROW('Production Matrix'!#REF!)),"")</f>
        <v/>
      </c>
      <c r="E848" s="11" t="str">
        <f t="shared" si="22"/>
        <v/>
      </c>
      <c r="F848" s="12">
        <f>IFERROR(INDEX('Production Matrix'!$B:$B,E848,0),0)</f>
        <v>0</v>
      </c>
    </row>
    <row r="849" spans="3:6">
      <c r="C849" s="11" t="e">
        <f>IF(1*('Production Matrix'!A:A="تكلفة انتاج الوحدة")*ROW('Production Matrix'!#REF!)=0,1/0,1*('Production Matrix'!A:A="تكلفة انتاج الوحدة")*ROW('Production Matrix'!#REF!))</f>
        <v>#REF!</v>
      </c>
      <c r="D849" s="11" t="str">
        <f>IFERROR(_xlfn.AGGREGATE(15,6,$C$3:$C$53,ROW('Production Matrix'!#REF!)),"")</f>
        <v/>
      </c>
      <c r="E849" s="11" t="str">
        <f t="shared" si="22"/>
        <v/>
      </c>
      <c r="F849" s="12">
        <f>IFERROR(INDEX('Production Matrix'!$B:$B,E849,0),0)</f>
        <v>0</v>
      </c>
    </row>
    <row r="850" spans="3:6">
      <c r="C850" s="11" t="e">
        <f>IF(1*('Production Matrix'!A:A="تكلفة انتاج الوحدة")*ROW('Production Matrix'!#REF!)=0,1/0,1*('Production Matrix'!A:A="تكلفة انتاج الوحدة")*ROW('Production Matrix'!#REF!))</f>
        <v>#REF!</v>
      </c>
      <c r="D850" s="11" t="str">
        <f>IFERROR(_xlfn.AGGREGATE(15,6,$C$3:$C$53,ROW('Production Matrix'!#REF!)),"")</f>
        <v/>
      </c>
      <c r="E850" s="11" t="str">
        <f t="shared" si="22"/>
        <v/>
      </c>
      <c r="F850" s="12">
        <f>IFERROR(INDEX('Production Matrix'!$B:$B,E850,0),0)</f>
        <v>0</v>
      </c>
    </row>
    <row r="851" spans="3:6">
      <c r="C851" s="11" t="e">
        <f>IF(1*('Production Matrix'!A:A="تكلفة انتاج الوحدة")*ROW('Production Matrix'!#REF!)=0,1/0,1*('Production Matrix'!A:A="تكلفة انتاج الوحدة")*ROW('Production Matrix'!#REF!))</f>
        <v>#REF!</v>
      </c>
      <c r="D851" s="11" t="str">
        <f>IFERROR(_xlfn.AGGREGATE(15,6,$C$3:$C$53,ROW('Production Matrix'!#REF!)),"")</f>
        <v/>
      </c>
      <c r="E851" s="11" t="str">
        <f t="shared" si="22"/>
        <v/>
      </c>
      <c r="F851" s="12">
        <f>IFERROR(INDEX('Production Matrix'!$B:$B,E851,0),0)</f>
        <v>0</v>
      </c>
    </row>
    <row r="852" spans="3:6">
      <c r="C852" s="11" t="e">
        <f>IF(1*('Production Matrix'!A:A="تكلفة انتاج الوحدة")*ROW('Production Matrix'!#REF!)=0,1/0,1*('Production Matrix'!A:A="تكلفة انتاج الوحدة")*ROW('Production Matrix'!#REF!))</f>
        <v>#REF!</v>
      </c>
      <c r="D852" s="11" t="str">
        <f>IFERROR(_xlfn.AGGREGATE(15,6,$C$3:$C$53,ROW('Production Matrix'!#REF!)),"")</f>
        <v/>
      </c>
      <c r="E852" s="11" t="str">
        <f t="shared" si="22"/>
        <v/>
      </c>
      <c r="F852" s="12">
        <f>IFERROR(INDEX('Production Matrix'!$B:$B,E852,0),0)</f>
        <v>0</v>
      </c>
    </row>
    <row r="853" spans="3:6">
      <c r="C853" s="11" t="e">
        <f>IF(1*('Production Matrix'!A:A="تكلفة انتاج الوحدة")*ROW('Production Matrix'!#REF!)=0,1/0,1*('Production Matrix'!A:A="تكلفة انتاج الوحدة")*ROW('Production Matrix'!#REF!))</f>
        <v>#REF!</v>
      </c>
      <c r="D853" s="11" t="str">
        <f>IFERROR(_xlfn.AGGREGATE(15,6,$C$3:$C$53,ROW('Production Matrix'!#REF!)),"")</f>
        <v/>
      </c>
      <c r="E853" s="11" t="str">
        <f t="shared" si="22"/>
        <v/>
      </c>
      <c r="F853" s="12">
        <f>IFERROR(INDEX('Production Matrix'!$B:$B,E853,0),0)</f>
        <v>0</v>
      </c>
    </row>
    <row r="854" spans="3:6">
      <c r="C854" s="11" t="e">
        <f>IF(1*('Production Matrix'!A:A="تكلفة انتاج الوحدة")*ROW('Production Matrix'!#REF!)=0,1/0,1*('Production Matrix'!A:A="تكلفة انتاج الوحدة")*ROW('Production Matrix'!#REF!))</f>
        <v>#REF!</v>
      </c>
      <c r="D854" s="11" t="str">
        <f>IFERROR(_xlfn.AGGREGATE(15,6,$C$3:$C$53,ROW('Production Matrix'!#REF!)),"")</f>
        <v/>
      </c>
      <c r="E854" s="11" t="str">
        <f t="shared" si="22"/>
        <v/>
      </c>
      <c r="F854" s="12">
        <f>IFERROR(INDEX('Production Matrix'!$B:$B,E854,0),0)</f>
        <v>0</v>
      </c>
    </row>
    <row r="855" spans="3:6">
      <c r="C855" s="11" t="e">
        <f>IF(1*('Production Matrix'!A:A="تكلفة انتاج الوحدة")*ROW('Production Matrix'!#REF!)=0,1/0,1*('Production Matrix'!A:A="تكلفة انتاج الوحدة")*ROW('Production Matrix'!#REF!))</f>
        <v>#REF!</v>
      </c>
      <c r="D855" s="11" t="str">
        <f>IFERROR(_xlfn.AGGREGATE(15,6,$C$3:$C$53,ROW('Production Matrix'!#REF!)),"")</f>
        <v/>
      </c>
      <c r="E855" s="11" t="str">
        <f t="shared" si="22"/>
        <v/>
      </c>
      <c r="F855" s="12">
        <f>IFERROR(INDEX('Production Matrix'!$B:$B,E855,0),0)</f>
        <v>0</v>
      </c>
    </row>
    <row r="856" spans="3:6">
      <c r="C856" s="11" t="e">
        <f>IF(1*('Production Matrix'!A:A="تكلفة انتاج الوحدة")*ROW('Production Matrix'!#REF!)=0,1/0,1*('Production Matrix'!A:A="تكلفة انتاج الوحدة")*ROW('Production Matrix'!#REF!))</f>
        <v>#REF!</v>
      </c>
      <c r="D856" s="11" t="str">
        <f>IFERROR(_xlfn.AGGREGATE(15,6,$C$3:$C$53,ROW('Production Matrix'!#REF!)),"")</f>
        <v/>
      </c>
      <c r="E856" s="11" t="str">
        <f t="shared" si="22"/>
        <v/>
      </c>
      <c r="F856" s="12">
        <f>IFERROR(INDEX('Production Matrix'!$B:$B,E856,0),0)</f>
        <v>0</v>
      </c>
    </row>
    <row r="857" spans="3:6">
      <c r="C857" s="11" t="e">
        <f>IF(1*('Production Matrix'!A:A="تكلفة انتاج الوحدة")*ROW('Production Matrix'!#REF!)=0,1/0,1*('Production Matrix'!A:A="تكلفة انتاج الوحدة")*ROW('Production Matrix'!#REF!))</f>
        <v>#REF!</v>
      </c>
      <c r="D857" s="11" t="str">
        <f>IFERROR(_xlfn.AGGREGATE(15,6,$C$3:$C$53,ROW('Production Matrix'!#REF!)),"")</f>
        <v/>
      </c>
      <c r="E857" s="11" t="str">
        <f t="shared" si="22"/>
        <v/>
      </c>
      <c r="F857" s="12">
        <f>IFERROR(INDEX('Production Matrix'!$B:$B,E857,0),0)</f>
        <v>0</v>
      </c>
    </row>
    <row r="858" spans="3:6">
      <c r="C858" s="11" t="e">
        <f>IF(1*('Production Matrix'!A:A="تكلفة انتاج الوحدة")*ROW('Production Matrix'!#REF!)=0,1/0,1*('Production Matrix'!A:A="تكلفة انتاج الوحدة")*ROW('Production Matrix'!#REF!))</f>
        <v>#REF!</v>
      </c>
      <c r="D858" s="11" t="str">
        <f>IFERROR(_xlfn.AGGREGATE(15,6,$C$3:$C$53,ROW('Production Matrix'!#REF!)),"")</f>
        <v/>
      </c>
      <c r="E858" s="11" t="str">
        <f t="shared" si="22"/>
        <v/>
      </c>
      <c r="F858" s="12">
        <f>IFERROR(INDEX('Production Matrix'!$B:$B,E858,0),0)</f>
        <v>0</v>
      </c>
    </row>
    <row r="859" spans="3:6">
      <c r="C859" s="11" t="e">
        <f>IF(1*('Production Matrix'!A:A="تكلفة انتاج الوحدة")*ROW('Production Matrix'!#REF!)=0,1/0,1*('Production Matrix'!A:A="تكلفة انتاج الوحدة")*ROW('Production Matrix'!#REF!))</f>
        <v>#REF!</v>
      </c>
      <c r="D859" s="11" t="str">
        <f>IFERROR(_xlfn.AGGREGATE(15,6,$C$3:$C$53,ROW('Production Matrix'!#REF!)),"")</f>
        <v/>
      </c>
      <c r="E859" s="11" t="str">
        <f t="shared" si="22"/>
        <v/>
      </c>
      <c r="F859" s="12">
        <f>IFERROR(INDEX('Production Matrix'!$B:$B,E859,0),0)</f>
        <v>0</v>
      </c>
    </row>
    <row r="860" spans="3:6">
      <c r="C860" s="11" t="e">
        <f>IF(1*('Production Matrix'!A:A="تكلفة انتاج الوحدة")*ROW('Production Matrix'!#REF!)=0,1/0,1*('Production Matrix'!A:A="تكلفة انتاج الوحدة")*ROW('Production Matrix'!#REF!))</f>
        <v>#REF!</v>
      </c>
      <c r="D860" s="11" t="str">
        <f>IFERROR(_xlfn.AGGREGATE(15,6,$C$3:$C$53,ROW('Production Matrix'!#REF!)),"")</f>
        <v/>
      </c>
      <c r="E860" s="11" t="str">
        <f t="shared" si="22"/>
        <v/>
      </c>
      <c r="F860" s="12">
        <f>IFERROR(INDEX('Production Matrix'!$B:$B,E860,0),0)</f>
        <v>0</v>
      </c>
    </row>
    <row r="861" spans="3:6">
      <c r="C861" s="11" t="e">
        <f>IF(1*('Production Matrix'!A:A="تكلفة انتاج الوحدة")*ROW('Production Matrix'!#REF!)=0,1/0,1*('Production Matrix'!A:A="تكلفة انتاج الوحدة")*ROW('Production Matrix'!#REF!))</f>
        <v>#REF!</v>
      </c>
      <c r="D861" s="11" t="str">
        <f>IFERROR(_xlfn.AGGREGATE(15,6,$C$3:$C$53,ROW('Production Matrix'!#REF!)),"")</f>
        <v/>
      </c>
      <c r="E861" s="11" t="str">
        <f t="shared" si="22"/>
        <v/>
      </c>
      <c r="F861" s="12">
        <f>IFERROR(INDEX('Production Matrix'!$B:$B,E861,0),0)</f>
        <v>0</v>
      </c>
    </row>
    <row r="862" spans="3:6">
      <c r="C862" s="11" t="e">
        <f>IF(1*('Production Matrix'!A:A="تكلفة انتاج الوحدة")*ROW('Production Matrix'!#REF!)=0,1/0,1*('Production Matrix'!A:A="تكلفة انتاج الوحدة")*ROW('Production Matrix'!#REF!))</f>
        <v>#REF!</v>
      </c>
      <c r="D862" s="11" t="str">
        <f>IFERROR(_xlfn.AGGREGATE(15,6,$C$3:$C$53,ROW('Production Matrix'!#REF!)),"")</f>
        <v/>
      </c>
      <c r="E862" s="11" t="str">
        <f t="shared" si="22"/>
        <v/>
      </c>
      <c r="F862" s="12">
        <f>IFERROR(INDEX('Production Matrix'!$B:$B,E862,0),0)</f>
        <v>0</v>
      </c>
    </row>
    <row r="863" spans="3:6">
      <c r="C863" s="11" t="e">
        <f>IF(1*('Production Matrix'!A:A="تكلفة انتاج الوحدة")*ROW('Production Matrix'!#REF!)=0,1/0,1*('Production Matrix'!A:A="تكلفة انتاج الوحدة")*ROW('Production Matrix'!#REF!))</f>
        <v>#REF!</v>
      </c>
      <c r="D863" s="11" t="str">
        <f>IFERROR(_xlfn.AGGREGATE(15,6,$C$3:$C$53,ROW('Production Matrix'!#REF!)),"")</f>
        <v/>
      </c>
      <c r="E863" s="11" t="str">
        <f t="shared" si="22"/>
        <v/>
      </c>
      <c r="F863" s="12">
        <f>IFERROR(INDEX('Production Matrix'!$B:$B,E863,0),0)</f>
        <v>0</v>
      </c>
    </row>
    <row r="864" spans="3:6">
      <c r="C864" s="11" t="e">
        <f>IF(1*('Production Matrix'!A:A="تكلفة انتاج الوحدة")*ROW('Production Matrix'!#REF!)=0,1/0,1*('Production Matrix'!A:A="تكلفة انتاج الوحدة")*ROW('Production Matrix'!#REF!))</f>
        <v>#REF!</v>
      </c>
      <c r="D864" s="11" t="str">
        <f>IFERROR(_xlfn.AGGREGATE(15,6,$C$3:$C$53,ROW('Production Matrix'!#REF!)),"")</f>
        <v/>
      </c>
      <c r="E864" s="11" t="str">
        <f t="shared" si="22"/>
        <v/>
      </c>
      <c r="F864" s="12">
        <f>IFERROR(INDEX('Production Matrix'!$B:$B,E864,0),0)</f>
        <v>0</v>
      </c>
    </row>
    <row r="865" spans="3:6">
      <c r="C865" s="11" t="e">
        <f>IF(1*('Production Matrix'!A:A="تكلفة انتاج الوحدة")*ROW('Production Matrix'!#REF!)=0,1/0,1*('Production Matrix'!A:A="تكلفة انتاج الوحدة")*ROW('Production Matrix'!#REF!))</f>
        <v>#REF!</v>
      </c>
      <c r="D865" s="11" t="str">
        <f>IFERROR(_xlfn.AGGREGATE(15,6,$C$3:$C$53,ROW('Production Matrix'!#REF!)),"")</f>
        <v/>
      </c>
      <c r="E865" s="11" t="str">
        <f t="shared" si="22"/>
        <v/>
      </c>
      <c r="F865" s="12">
        <f>IFERROR(INDEX('Production Matrix'!$B:$B,E865,0),0)</f>
        <v>0</v>
      </c>
    </row>
    <row r="866" spans="3:6">
      <c r="C866" s="11" t="e">
        <f>IF(1*('Production Matrix'!A:A="تكلفة انتاج الوحدة")*ROW('Production Matrix'!#REF!)=0,1/0,1*('Production Matrix'!A:A="تكلفة انتاج الوحدة")*ROW('Production Matrix'!#REF!))</f>
        <v>#REF!</v>
      </c>
      <c r="D866" s="11" t="str">
        <f>IFERROR(_xlfn.AGGREGATE(15,6,$C$3:$C$53,ROW('Production Matrix'!#REF!)),"")</f>
        <v/>
      </c>
      <c r="E866" s="11" t="str">
        <f t="shared" si="22"/>
        <v/>
      </c>
      <c r="F866" s="12">
        <f>IFERROR(INDEX('Production Matrix'!$B:$B,E866,0),0)</f>
        <v>0</v>
      </c>
    </row>
    <row r="867" spans="3:6">
      <c r="C867" s="11" t="e">
        <f>IF(1*('Production Matrix'!A:A="تكلفة انتاج الوحدة")*ROW('Production Matrix'!#REF!)=0,1/0,1*('Production Matrix'!A:A="تكلفة انتاج الوحدة")*ROW('Production Matrix'!#REF!))</f>
        <v>#REF!</v>
      </c>
      <c r="D867" s="11" t="str">
        <f>IFERROR(_xlfn.AGGREGATE(15,6,$C$3:$C$53,ROW('Production Matrix'!#REF!)),"")</f>
        <v/>
      </c>
      <c r="E867" s="11" t="str">
        <f t="shared" si="22"/>
        <v/>
      </c>
      <c r="F867" s="12">
        <f>IFERROR(INDEX('Production Matrix'!$B:$B,E867,0),0)</f>
        <v>0</v>
      </c>
    </row>
    <row r="868" spans="3:6">
      <c r="C868" s="11" t="e">
        <f>IF(1*('Production Matrix'!A:A="تكلفة انتاج الوحدة")*ROW('Production Matrix'!#REF!)=0,1/0,1*('Production Matrix'!A:A="تكلفة انتاج الوحدة")*ROW('Production Matrix'!#REF!))</f>
        <v>#REF!</v>
      </c>
      <c r="D868" s="11" t="str">
        <f>IFERROR(_xlfn.AGGREGATE(15,6,$C$3:$C$53,ROW('Production Matrix'!#REF!)),"")</f>
        <v/>
      </c>
      <c r="E868" s="11" t="str">
        <f t="shared" si="22"/>
        <v/>
      </c>
      <c r="F868" s="12">
        <f>IFERROR(INDEX('Production Matrix'!$B:$B,E868,0),0)</f>
        <v>0</v>
      </c>
    </row>
    <row r="869" spans="3:6">
      <c r="C869" s="11" t="e">
        <f>IF(1*('Production Matrix'!A:A="تكلفة انتاج الوحدة")*ROW('Production Matrix'!#REF!)=0,1/0,1*('Production Matrix'!A:A="تكلفة انتاج الوحدة")*ROW('Production Matrix'!#REF!))</f>
        <v>#REF!</v>
      </c>
      <c r="D869" s="11" t="str">
        <f>IFERROR(_xlfn.AGGREGATE(15,6,$C$3:$C$53,ROW('Production Matrix'!#REF!)),"")</f>
        <v/>
      </c>
      <c r="E869" s="11" t="str">
        <f t="shared" si="22"/>
        <v/>
      </c>
      <c r="F869" s="12">
        <f>IFERROR(INDEX('Production Matrix'!$B:$B,E869,0),0)</f>
        <v>0</v>
      </c>
    </row>
    <row r="870" spans="3:6">
      <c r="C870" s="11" t="e">
        <f>IF(1*('Production Matrix'!A:A="تكلفة انتاج الوحدة")*ROW('Production Matrix'!#REF!)=0,1/0,1*('Production Matrix'!A:A="تكلفة انتاج الوحدة")*ROW('Production Matrix'!#REF!))</f>
        <v>#REF!</v>
      </c>
      <c r="D870" s="11" t="str">
        <f>IFERROR(_xlfn.AGGREGATE(15,6,$C$3:$C$53,ROW('Production Matrix'!#REF!)),"")</f>
        <v/>
      </c>
      <c r="E870" s="11" t="str">
        <f t="shared" si="22"/>
        <v/>
      </c>
      <c r="F870" s="12">
        <f>IFERROR(INDEX('Production Matrix'!$B:$B,E870,0),0)</f>
        <v>0</v>
      </c>
    </row>
    <row r="871" spans="3:6">
      <c r="C871" s="11" t="e">
        <f>IF(1*('Production Matrix'!A:A="تكلفة انتاج الوحدة")*ROW('Production Matrix'!#REF!)=0,1/0,1*('Production Matrix'!A:A="تكلفة انتاج الوحدة")*ROW('Production Matrix'!#REF!))</f>
        <v>#REF!</v>
      </c>
      <c r="D871" s="11" t="str">
        <f>IFERROR(_xlfn.AGGREGATE(15,6,$C$3:$C$53,ROW('Production Matrix'!#REF!)),"")</f>
        <v/>
      </c>
      <c r="E871" s="11" t="str">
        <f t="shared" si="22"/>
        <v/>
      </c>
      <c r="F871" s="12">
        <f>IFERROR(INDEX('Production Matrix'!$B:$B,E871,0),0)</f>
        <v>0</v>
      </c>
    </row>
    <row r="872" spans="3:6">
      <c r="C872" s="11" t="e">
        <f>IF(1*('Production Matrix'!A:A="تكلفة انتاج الوحدة")*ROW('Production Matrix'!#REF!)=0,1/0,1*('Production Matrix'!A:A="تكلفة انتاج الوحدة")*ROW('Production Matrix'!#REF!))</f>
        <v>#REF!</v>
      </c>
      <c r="D872" s="11" t="str">
        <f>IFERROR(_xlfn.AGGREGATE(15,6,$C$3:$C$53,ROW('Production Matrix'!#REF!)),"")</f>
        <v/>
      </c>
      <c r="E872" s="11" t="str">
        <f t="shared" si="22"/>
        <v/>
      </c>
      <c r="F872" s="12">
        <f>IFERROR(INDEX('Production Matrix'!$B:$B,E872,0),0)</f>
        <v>0</v>
      </c>
    </row>
    <row r="873" spans="3:6">
      <c r="C873" s="11" t="e">
        <f>IF(1*('Production Matrix'!A:A="تكلفة انتاج الوحدة")*ROW('Production Matrix'!#REF!)=0,1/0,1*('Production Matrix'!A:A="تكلفة انتاج الوحدة")*ROW('Production Matrix'!#REF!))</f>
        <v>#REF!</v>
      </c>
      <c r="D873" s="11" t="str">
        <f>IFERROR(_xlfn.AGGREGATE(15,6,$C$3:$C$53,ROW('Production Matrix'!#REF!)),"")</f>
        <v/>
      </c>
      <c r="E873" s="11" t="str">
        <f t="shared" si="22"/>
        <v/>
      </c>
      <c r="F873" s="12">
        <f>IFERROR(INDEX('Production Matrix'!$B:$B,E873,0),0)</f>
        <v>0</v>
      </c>
    </row>
    <row r="874" spans="3:6">
      <c r="C874" s="11" t="e">
        <f>IF(1*('Production Matrix'!A:A="تكلفة انتاج الوحدة")*ROW('Production Matrix'!#REF!)=0,1/0,1*('Production Matrix'!A:A="تكلفة انتاج الوحدة")*ROW('Production Matrix'!#REF!))</f>
        <v>#REF!</v>
      </c>
      <c r="D874" s="11" t="str">
        <f>IFERROR(_xlfn.AGGREGATE(15,6,$C$3:$C$53,ROW('Production Matrix'!#REF!)),"")</f>
        <v/>
      </c>
      <c r="E874" s="11" t="str">
        <f t="shared" si="22"/>
        <v/>
      </c>
      <c r="F874" s="12">
        <f>IFERROR(INDEX('Production Matrix'!$B:$B,E874,0),0)</f>
        <v>0</v>
      </c>
    </row>
    <row r="875" spans="3:6">
      <c r="C875" s="11" t="e">
        <f>IF(1*('Production Matrix'!A:A="تكلفة انتاج الوحدة")*ROW('Production Matrix'!#REF!)=0,1/0,1*('Production Matrix'!A:A="تكلفة انتاج الوحدة")*ROW('Production Matrix'!#REF!))</f>
        <v>#REF!</v>
      </c>
      <c r="D875" s="11" t="str">
        <f>IFERROR(_xlfn.AGGREGATE(15,6,$C$3:$C$53,ROW('Production Matrix'!#REF!)),"")</f>
        <v/>
      </c>
      <c r="E875" s="11" t="str">
        <f t="shared" si="22"/>
        <v/>
      </c>
      <c r="F875" s="12">
        <f>IFERROR(INDEX('Production Matrix'!$B:$B,E875,0),0)</f>
        <v>0</v>
      </c>
    </row>
    <row r="876" spans="3:6">
      <c r="C876" s="11" t="e">
        <f>IF(1*('Production Matrix'!A:A="تكلفة انتاج الوحدة")*ROW('Production Matrix'!#REF!)=0,1/0,1*('Production Matrix'!A:A="تكلفة انتاج الوحدة")*ROW('Production Matrix'!#REF!))</f>
        <v>#REF!</v>
      </c>
      <c r="D876" s="11" t="str">
        <f>IFERROR(_xlfn.AGGREGATE(15,6,$C$3:$C$53,ROW('Production Matrix'!#REF!)),"")</f>
        <v/>
      </c>
      <c r="E876" s="11" t="str">
        <f t="shared" si="22"/>
        <v/>
      </c>
      <c r="F876" s="12">
        <f>IFERROR(INDEX('Production Matrix'!$B:$B,E876,0),0)</f>
        <v>0</v>
      </c>
    </row>
    <row r="877" spans="3:6">
      <c r="C877" s="11" t="e">
        <f>IF(1*('Production Matrix'!A:A="تكلفة انتاج الوحدة")*ROW('Production Matrix'!#REF!)=0,1/0,1*('Production Matrix'!A:A="تكلفة انتاج الوحدة")*ROW('Production Matrix'!#REF!))</f>
        <v>#REF!</v>
      </c>
      <c r="D877" s="11" t="str">
        <f>IFERROR(_xlfn.AGGREGATE(15,6,$C$3:$C$53,ROW('Production Matrix'!#REF!)),"")</f>
        <v/>
      </c>
      <c r="E877" s="11" t="str">
        <f t="shared" si="22"/>
        <v/>
      </c>
      <c r="F877" s="12">
        <f>IFERROR(INDEX('Production Matrix'!$B:$B,E877,0),0)</f>
        <v>0</v>
      </c>
    </row>
    <row r="878" spans="3:6">
      <c r="C878" s="11" t="e">
        <f>IF(1*('Production Matrix'!A:A="تكلفة انتاج الوحدة")*ROW('Production Matrix'!#REF!)=0,1/0,1*('Production Matrix'!A:A="تكلفة انتاج الوحدة")*ROW('Production Matrix'!#REF!))</f>
        <v>#REF!</v>
      </c>
      <c r="D878" s="11" t="str">
        <f>IFERROR(_xlfn.AGGREGATE(15,6,$C$3:$C$53,ROW('Production Matrix'!#REF!)),"")</f>
        <v/>
      </c>
      <c r="E878" s="11" t="str">
        <f t="shared" si="22"/>
        <v/>
      </c>
      <c r="F878" s="12">
        <f>IFERROR(INDEX('Production Matrix'!$B:$B,E878,0),0)</f>
        <v>0</v>
      </c>
    </row>
    <row r="879" spans="3:6">
      <c r="C879" s="11" t="e">
        <f>IF(1*('Production Matrix'!A:A="تكلفة انتاج الوحدة")*ROW('Production Matrix'!#REF!)=0,1/0,1*('Production Matrix'!A:A="تكلفة انتاج الوحدة")*ROW('Production Matrix'!#REF!))</f>
        <v>#REF!</v>
      </c>
      <c r="D879" s="11" t="str">
        <f>IFERROR(_xlfn.AGGREGATE(15,6,$C$3:$C$53,ROW('Production Matrix'!#REF!)),"")</f>
        <v/>
      </c>
      <c r="E879" s="11" t="str">
        <f t="shared" si="22"/>
        <v/>
      </c>
      <c r="F879" s="12">
        <f>IFERROR(INDEX('Production Matrix'!$B:$B,E879,0),0)</f>
        <v>0</v>
      </c>
    </row>
    <row r="880" spans="3:6">
      <c r="C880" s="11" t="e">
        <f>IF(1*('Production Matrix'!A:A="تكلفة انتاج الوحدة")*ROW('Production Matrix'!#REF!)=0,1/0,1*('Production Matrix'!A:A="تكلفة انتاج الوحدة")*ROW('Production Matrix'!#REF!))</f>
        <v>#REF!</v>
      </c>
      <c r="D880" s="11" t="str">
        <f>IFERROR(_xlfn.AGGREGATE(15,6,$C$3:$C$53,ROW('Production Matrix'!#REF!)),"")</f>
        <v/>
      </c>
      <c r="E880" s="11" t="str">
        <f t="shared" si="22"/>
        <v/>
      </c>
      <c r="F880" s="12">
        <f>IFERROR(INDEX('Production Matrix'!$B:$B,E880,0),0)</f>
        <v>0</v>
      </c>
    </row>
    <row r="881" spans="3:6">
      <c r="C881" s="11" t="e">
        <f>IF(1*('Production Matrix'!A:A="تكلفة انتاج الوحدة")*ROW('Production Matrix'!#REF!)=0,1/0,1*('Production Matrix'!A:A="تكلفة انتاج الوحدة")*ROW('Production Matrix'!#REF!))</f>
        <v>#REF!</v>
      </c>
      <c r="D881" s="11" t="str">
        <f>IFERROR(_xlfn.AGGREGATE(15,6,$C$3:$C$53,ROW('Production Matrix'!#REF!)),"")</f>
        <v/>
      </c>
      <c r="E881" s="11" t="str">
        <f t="shared" si="22"/>
        <v/>
      </c>
      <c r="F881" s="12">
        <f>IFERROR(INDEX('Production Matrix'!$B:$B,E881,0),0)</f>
        <v>0</v>
      </c>
    </row>
    <row r="882" spans="3:6">
      <c r="C882" s="11" t="e">
        <f>IF(1*('Production Matrix'!A:A="تكلفة انتاج الوحدة")*ROW('Production Matrix'!#REF!)=0,1/0,1*('Production Matrix'!A:A="تكلفة انتاج الوحدة")*ROW('Production Matrix'!#REF!))</f>
        <v>#REF!</v>
      </c>
      <c r="D882" s="11" t="str">
        <f>IFERROR(_xlfn.AGGREGATE(15,6,$C$3:$C$53,ROW('Production Matrix'!#REF!)),"")</f>
        <v/>
      </c>
      <c r="E882" s="11" t="str">
        <f t="shared" si="22"/>
        <v/>
      </c>
      <c r="F882" s="12">
        <f>IFERROR(INDEX('Production Matrix'!$B:$B,E882,0),0)</f>
        <v>0</v>
      </c>
    </row>
    <row r="883" spans="3:6">
      <c r="C883" s="11" t="e">
        <f>IF(1*('Production Matrix'!A:A="تكلفة انتاج الوحدة")*ROW('Production Matrix'!#REF!)=0,1/0,1*('Production Matrix'!A:A="تكلفة انتاج الوحدة")*ROW('Production Matrix'!#REF!))</f>
        <v>#REF!</v>
      </c>
      <c r="D883" s="11" t="str">
        <f>IFERROR(_xlfn.AGGREGATE(15,6,$C$3:$C$53,ROW('Production Matrix'!#REF!)),"")</f>
        <v/>
      </c>
      <c r="E883" s="11" t="str">
        <f t="shared" si="22"/>
        <v/>
      </c>
      <c r="F883" s="12">
        <f>IFERROR(INDEX('Production Matrix'!$B:$B,E883,0),0)</f>
        <v>0</v>
      </c>
    </row>
    <row r="884" spans="3:6">
      <c r="C884" s="11" t="e">
        <f>IF(1*('Production Matrix'!A:A="تكلفة انتاج الوحدة")*ROW('Production Matrix'!#REF!)=0,1/0,1*('Production Matrix'!A:A="تكلفة انتاج الوحدة")*ROW('Production Matrix'!#REF!))</f>
        <v>#REF!</v>
      </c>
      <c r="D884" s="11" t="str">
        <f>IFERROR(_xlfn.AGGREGATE(15,6,$C$3:$C$53,ROW('Production Matrix'!#REF!)),"")</f>
        <v/>
      </c>
      <c r="E884" s="11" t="str">
        <f t="shared" si="22"/>
        <v/>
      </c>
      <c r="F884" s="12">
        <f>IFERROR(INDEX('Production Matrix'!$B:$B,E884,0),0)</f>
        <v>0</v>
      </c>
    </row>
    <row r="885" spans="3:6">
      <c r="C885" s="11" t="e">
        <f>IF(1*('Production Matrix'!A:A="تكلفة انتاج الوحدة")*ROW('Production Matrix'!#REF!)=0,1/0,1*('Production Matrix'!A:A="تكلفة انتاج الوحدة")*ROW('Production Matrix'!#REF!))</f>
        <v>#REF!</v>
      </c>
      <c r="D885" s="11" t="str">
        <f>IFERROR(_xlfn.AGGREGATE(15,6,$C$3:$C$53,ROW('Production Matrix'!#REF!)),"")</f>
        <v/>
      </c>
      <c r="E885" s="11" t="str">
        <f t="shared" si="22"/>
        <v/>
      </c>
      <c r="F885" s="12">
        <f>IFERROR(INDEX('Production Matrix'!$B:$B,E885,0),0)</f>
        <v>0</v>
      </c>
    </row>
    <row r="886" spans="3:6">
      <c r="C886" s="11" t="e">
        <f>IF(1*('Production Matrix'!A:A="تكلفة انتاج الوحدة")*ROW('Production Matrix'!#REF!)=0,1/0,1*('Production Matrix'!A:A="تكلفة انتاج الوحدة")*ROW('Production Matrix'!#REF!))</f>
        <v>#REF!</v>
      </c>
      <c r="D886" s="11" t="str">
        <f>IFERROR(_xlfn.AGGREGATE(15,6,$C$3:$C$53,ROW('Production Matrix'!#REF!)),"")</f>
        <v/>
      </c>
      <c r="E886" s="11" t="str">
        <f t="shared" si="22"/>
        <v/>
      </c>
      <c r="F886" s="12">
        <f>IFERROR(INDEX('Production Matrix'!$B:$B,E886,0),0)</f>
        <v>0</v>
      </c>
    </row>
    <row r="887" spans="3:6">
      <c r="C887" s="11" t="e">
        <f>IF(1*('Production Matrix'!A:A="تكلفة انتاج الوحدة")*ROW('Production Matrix'!#REF!)=0,1/0,1*('Production Matrix'!A:A="تكلفة انتاج الوحدة")*ROW('Production Matrix'!#REF!))</f>
        <v>#REF!</v>
      </c>
      <c r="D887" s="11" t="str">
        <f>IFERROR(_xlfn.AGGREGATE(15,6,$C$3:$C$53,ROW('Production Matrix'!#REF!)),"")</f>
        <v/>
      </c>
      <c r="E887" s="11" t="str">
        <f t="shared" si="22"/>
        <v/>
      </c>
      <c r="F887" s="12">
        <f>IFERROR(INDEX('Production Matrix'!$B:$B,E887,0),0)</f>
        <v>0</v>
      </c>
    </row>
    <row r="888" spans="3:6">
      <c r="C888" s="11" t="e">
        <f>IF(1*('Production Matrix'!A:A="تكلفة انتاج الوحدة")*ROW('Production Matrix'!#REF!)=0,1/0,1*('Production Matrix'!A:A="تكلفة انتاج الوحدة")*ROW('Production Matrix'!#REF!))</f>
        <v>#REF!</v>
      </c>
      <c r="D888" s="11" t="str">
        <f>IFERROR(_xlfn.AGGREGATE(15,6,$C$3:$C$53,ROW('Production Matrix'!#REF!)),"")</f>
        <v/>
      </c>
      <c r="E888" s="11" t="str">
        <f t="shared" si="22"/>
        <v/>
      </c>
      <c r="F888" s="12">
        <f>IFERROR(INDEX('Production Matrix'!$B:$B,E888,0),0)</f>
        <v>0</v>
      </c>
    </row>
    <row r="889" spans="3:6">
      <c r="C889" s="11" t="e">
        <f>IF(1*('Production Matrix'!A:A="تكلفة انتاج الوحدة")*ROW('Production Matrix'!#REF!)=0,1/0,1*('Production Matrix'!A:A="تكلفة انتاج الوحدة")*ROW('Production Matrix'!#REF!))</f>
        <v>#REF!</v>
      </c>
      <c r="D889" s="11" t="str">
        <f>IFERROR(_xlfn.AGGREGATE(15,6,$C$3:$C$53,ROW('Production Matrix'!#REF!)),"")</f>
        <v/>
      </c>
      <c r="E889" s="11" t="str">
        <f t="shared" si="22"/>
        <v/>
      </c>
      <c r="F889" s="12">
        <f>IFERROR(INDEX('Production Matrix'!$B:$B,E889,0),0)</f>
        <v>0</v>
      </c>
    </row>
    <row r="890" spans="3:6">
      <c r="C890" s="11" t="e">
        <f>IF(1*('Production Matrix'!A:A="تكلفة انتاج الوحدة")*ROW('Production Matrix'!#REF!)=0,1/0,1*('Production Matrix'!A:A="تكلفة انتاج الوحدة")*ROW('Production Matrix'!#REF!))</f>
        <v>#REF!</v>
      </c>
      <c r="D890" s="11" t="str">
        <f>IFERROR(_xlfn.AGGREGATE(15,6,$C$3:$C$53,ROW('Production Matrix'!#REF!)),"")</f>
        <v/>
      </c>
      <c r="E890" s="11" t="str">
        <f t="shared" si="22"/>
        <v/>
      </c>
      <c r="F890" s="12">
        <f>IFERROR(INDEX('Production Matrix'!$B:$B,E890,0),0)</f>
        <v>0</v>
      </c>
    </row>
    <row r="891" spans="3:6">
      <c r="C891" s="11" t="e">
        <f>IF(1*('Production Matrix'!A:A="تكلفة انتاج الوحدة")*ROW('Production Matrix'!#REF!)=0,1/0,1*('Production Matrix'!A:A="تكلفة انتاج الوحدة")*ROW('Production Matrix'!#REF!))</f>
        <v>#REF!</v>
      </c>
      <c r="D891" s="11" t="str">
        <f>IFERROR(_xlfn.AGGREGATE(15,6,$C$3:$C$53,ROW('Production Matrix'!#REF!)),"")</f>
        <v/>
      </c>
      <c r="E891" s="11" t="str">
        <f t="shared" si="22"/>
        <v/>
      </c>
      <c r="F891" s="12">
        <f>IFERROR(INDEX('Production Matrix'!$B:$B,E891,0),0)</f>
        <v>0</v>
      </c>
    </row>
    <row r="892" spans="3:6">
      <c r="C892" s="11" t="e">
        <f>IF(1*('Production Matrix'!A:A="تكلفة انتاج الوحدة")*ROW('Production Matrix'!#REF!)=0,1/0,1*('Production Matrix'!A:A="تكلفة انتاج الوحدة")*ROW('Production Matrix'!#REF!))</f>
        <v>#REF!</v>
      </c>
      <c r="D892" s="11" t="str">
        <f>IFERROR(_xlfn.AGGREGATE(15,6,$C$3:$C$53,ROW('Production Matrix'!#REF!)),"")</f>
        <v/>
      </c>
      <c r="E892" s="11" t="str">
        <f t="shared" si="22"/>
        <v/>
      </c>
      <c r="F892" s="12">
        <f>IFERROR(INDEX('Production Matrix'!$B:$B,E892,0),0)</f>
        <v>0</v>
      </c>
    </row>
    <row r="893" spans="3:6">
      <c r="C893" s="11" t="e">
        <f>IF(1*('Production Matrix'!A:A="تكلفة انتاج الوحدة")*ROW('Production Matrix'!#REF!)=0,1/0,1*('Production Matrix'!A:A="تكلفة انتاج الوحدة")*ROW('Production Matrix'!#REF!))</f>
        <v>#REF!</v>
      </c>
      <c r="D893" s="11" t="str">
        <f>IFERROR(_xlfn.AGGREGATE(15,6,$C$3:$C$53,ROW('Production Matrix'!#REF!)),"")</f>
        <v/>
      </c>
      <c r="E893" s="11" t="str">
        <f t="shared" si="22"/>
        <v/>
      </c>
      <c r="F893" s="12">
        <f>IFERROR(INDEX('Production Matrix'!$B:$B,E893,0),0)</f>
        <v>0</v>
      </c>
    </row>
    <row r="894" spans="3:6">
      <c r="C894" s="11" t="e">
        <f>IF(1*('Production Matrix'!A:A="تكلفة انتاج الوحدة")*ROW('Production Matrix'!#REF!)=0,1/0,1*('Production Matrix'!A:A="تكلفة انتاج الوحدة")*ROW('Production Matrix'!#REF!))</f>
        <v>#REF!</v>
      </c>
      <c r="D894" s="11" t="str">
        <f>IFERROR(_xlfn.AGGREGATE(15,6,$C$3:$C$53,ROW('Production Matrix'!#REF!)),"")</f>
        <v/>
      </c>
      <c r="E894" s="11" t="str">
        <f t="shared" si="22"/>
        <v/>
      </c>
      <c r="F894" s="12">
        <f>IFERROR(INDEX('Production Matrix'!$B:$B,E894,0),0)</f>
        <v>0</v>
      </c>
    </row>
    <row r="895" spans="3:6">
      <c r="C895" s="11" t="e">
        <f>IF(1*('Production Matrix'!A:A="تكلفة انتاج الوحدة")*ROW('Production Matrix'!#REF!)=0,1/0,1*('Production Matrix'!A:A="تكلفة انتاج الوحدة")*ROW('Production Matrix'!#REF!))</f>
        <v>#REF!</v>
      </c>
      <c r="D895" s="11" t="str">
        <f>IFERROR(_xlfn.AGGREGATE(15,6,$C$3:$C$53,ROW('Production Matrix'!#REF!)),"")</f>
        <v/>
      </c>
      <c r="E895" s="11" t="str">
        <f t="shared" si="22"/>
        <v/>
      </c>
      <c r="F895" s="12">
        <f>IFERROR(INDEX('Production Matrix'!$B:$B,E895,0),0)</f>
        <v>0</v>
      </c>
    </row>
    <row r="896" spans="3:6">
      <c r="C896" s="11" t="e">
        <f>IF(1*('Production Matrix'!A:A="تكلفة انتاج الوحدة")*ROW('Production Matrix'!#REF!)=0,1/0,1*('Production Matrix'!A:A="تكلفة انتاج الوحدة")*ROW('Production Matrix'!#REF!))</f>
        <v>#REF!</v>
      </c>
      <c r="D896" s="11" t="str">
        <f>IFERROR(_xlfn.AGGREGATE(15,6,$C$3:$C$53,ROW('Production Matrix'!#REF!)),"")</f>
        <v/>
      </c>
      <c r="E896" s="11" t="str">
        <f t="shared" si="22"/>
        <v/>
      </c>
      <c r="F896" s="12">
        <f>IFERROR(INDEX('Production Matrix'!$B:$B,E896,0),0)</f>
        <v>0</v>
      </c>
    </row>
    <row r="897" spans="3:6">
      <c r="C897" s="11" t="e">
        <f>IF(1*('Production Matrix'!A:A="تكلفة انتاج الوحدة")*ROW('Production Matrix'!#REF!)=0,1/0,1*('Production Matrix'!A:A="تكلفة انتاج الوحدة")*ROW('Production Matrix'!#REF!))</f>
        <v>#REF!</v>
      </c>
      <c r="D897" s="11" t="str">
        <f>IFERROR(_xlfn.AGGREGATE(15,6,$C$3:$C$53,ROW('Production Matrix'!#REF!)),"")</f>
        <v/>
      </c>
      <c r="E897" s="11" t="str">
        <f t="shared" si="22"/>
        <v/>
      </c>
      <c r="F897" s="12">
        <f>IFERROR(INDEX('Production Matrix'!$B:$B,E897,0),0)</f>
        <v>0</v>
      </c>
    </row>
    <row r="898" spans="3:6">
      <c r="C898" s="11" t="e">
        <f>IF(1*('Production Matrix'!A:A="تكلفة انتاج الوحدة")*ROW('Production Matrix'!#REF!)=0,1/0,1*('Production Matrix'!A:A="تكلفة انتاج الوحدة")*ROW('Production Matrix'!#REF!))</f>
        <v>#REF!</v>
      </c>
      <c r="D898" s="11" t="str">
        <f>IFERROR(_xlfn.AGGREGATE(15,6,$C$3:$C$53,ROW('Production Matrix'!#REF!)),"")</f>
        <v/>
      </c>
      <c r="E898" s="11" t="str">
        <f t="shared" si="22"/>
        <v/>
      </c>
      <c r="F898" s="12">
        <f>IFERROR(INDEX('Production Matrix'!$B:$B,E898,0),0)</f>
        <v>0</v>
      </c>
    </row>
    <row r="899" spans="3:6">
      <c r="C899" s="11" t="e">
        <f>IF(1*('Production Matrix'!A:A="تكلفة انتاج الوحدة")*ROW('Production Matrix'!#REF!)=0,1/0,1*('Production Matrix'!A:A="تكلفة انتاج الوحدة")*ROW('Production Matrix'!#REF!))</f>
        <v>#REF!</v>
      </c>
      <c r="D899" s="11" t="str">
        <f>IFERROR(_xlfn.AGGREGATE(15,6,$C$3:$C$53,ROW('Production Matrix'!#REF!)),"")</f>
        <v/>
      </c>
      <c r="E899" s="11" t="str">
        <f t="shared" si="22"/>
        <v/>
      </c>
      <c r="F899" s="12">
        <f>IFERROR(INDEX('Production Matrix'!$B:$B,E899,0),0)</f>
        <v>0</v>
      </c>
    </row>
    <row r="900" spans="3:6">
      <c r="C900" s="11" t="e">
        <f>IF(1*('Production Matrix'!A:A="تكلفة انتاج الوحدة")*ROW('Production Matrix'!#REF!)=0,1/0,1*('Production Matrix'!A:A="تكلفة انتاج الوحدة")*ROW('Production Matrix'!#REF!))</f>
        <v>#REF!</v>
      </c>
      <c r="D900" s="11" t="str">
        <f>IFERROR(_xlfn.AGGREGATE(15,6,$C$3:$C$53,ROW('Production Matrix'!#REF!)),"")</f>
        <v/>
      </c>
      <c r="E900" s="11" t="str">
        <f t="shared" si="22"/>
        <v/>
      </c>
      <c r="F900" s="12">
        <f>IFERROR(INDEX('Production Matrix'!$B:$B,E900,0),0)</f>
        <v>0</v>
      </c>
    </row>
    <row r="901" spans="3:6">
      <c r="C901" s="11" t="e">
        <f>IF(1*('Production Matrix'!A:A="تكلفة انتاج الوحدة")*ROW('Production Matrix'!#REF!)=0,1/0,1*('Production Matrix'!A:A="تكلفة انتاج الوحدة")*ROW('Production Matrix'!#REF!))</f>
        <v>#REF!</v>
      </c>
      <c r="D901" s="11" t="str">
        <f>IFERROR(_xlfn.AGGREGATE(15,6,$C$3:$C$53,ROW('Production Matrix'!#REF!)),"")</f>
        <v/>
      </c>
      <c r="E901" s="11" t="str">
        <f t="shared" si="22"/>
        <v/>
      </c>
      <c r="F901" s="12">
        <f>IFERROR(INDEX('Production Matrix'!$B:$B,E901,0),0)</f>
        <v>0</v>
      </c>
    </row>
    <row r="902" spans="3:6">
      <c r="C902" s="11" t="e">
        <f>IF(1*('Production Matrix'!A:A="تكلفة انتاج الوحدة")*ROW('Production Matrix'!#REF!)=0,1/0,1*('Production Matrix'!A:A="تكلفة انتاج الوحدة")*ROW('Production Matrix'!#REF!))</f>
        <v>#REF!</v>
      </c>
      <c r="D902" s="11" t="str">
        <f>IFERROR(_xlfn.AGGREGATE(15,6,$C$3:$C$53,ROW('Production Matrix'!#REF!)),"")</f>
        <v/>
      </c>
      <c r="E902" s="11" t="str">
        <f t="shared" si="22"/>
        <v/>
      </c>
      <c r="F902" s="12">
        <f>IFERROR(INDEX('Production Matrix'!$B:$B,E902,0),0)</f>
        <v>0</v>
      </c>
    </row>
    <row r="903" spans="3:6">
      <c r="C903" s="11" t="e">
        <f>IF(1*('Production Matrix'!A:A="تكلفة انتاج الوحدة")*ROW('Production Matrix'!#REF!)=0,1/0,1*('Production Matrix'!A:A="تكلفة انتاج الوحدة")*ROW('Production Matrix'!#REF!))</f>
        <v>#REF!</v>
      </c>
      <c r="D903" s="11" t="str">
        <f>IFERROR(_xlfn.AGGREGATE(15,6,$C$3:$C$53,ROW('Production Matrix'!#REF!)),"")</f>
        <v/>
      </c>
      <c r="E903" s="11" t="str">
        <f t="shared" ref="E903:E966" si="23">IFERROR(D903+3,"")</f>
        <v/>
      </c>
      <c r="F903" s="12">
        <f>IFERROR(INDEX('Production Matrix'!$B:$B,E903,0),0)</f>
        <v>0</v>
      </c>
    </row>
    <row r="904" spans="3:6">
      <c r="C904" s="11" t="e">
        <f>IF(1*('Production Matrix'!A:A="تكلفة انتاج الوحدة")*ROW('Production Matrix'!#REF!)=0,1/0,1*('Production Matrix'!A:A="تكلفة انتاج الوحدة")*ROW('Production Matrix'!#REF!))</f>
        <v>#REF!</v>
      </c>
      <c r="D904" s="11" t="str">
        <f>IFERROR(_xlfn.AGGREGATE(15,6,$C$3:$C$53,ROW('Production Matrix'!#REF!)),"")</f>
        <v/>
      </c>
      <c r="E904" s="11" t="str">
        <f t="shared" si="23"/>
        <v/>
      </c>
      <c r="F904" s="12">
        <f>IFERROR(INDEX('Production Matrix'!$B:$B,E904,0),0)</f>
        <v>0</v>
      </c>
    </row>
    <row r="905" spans="3:6">
      <c r="C905" s="11" t="e">
        <f>IF(1*('Production Matrix'!A:A="تكلفة انتاج الوحدة")*ROW('Production Matrix'!#REF!)=0,1/0,1*('Production Matrix'!A:A="تكلفة انتاج الوحدة")*ROW('Production Matrix'!#REF!))</f>
        <v>#REF!</v>
      </c>
      <c r="D905" s="11" t="str">
        <f>IFERROR(_xlfn.AGGREGATE(15,6,$C$3:$C$53,ROW('Production Matrix'!#REF!)),"")</f>
        <v/>
      </c>
      <c r="E905" s="11" t="str">
        <f t="shared" si="23"/>
        <v/>
      </c>
      <c r="F905" s="12">
        <f>IFERROR(INDEX('Production Matrix'!$B:$B,E905,0),0)</f>
        <v>0</v>
      </c>
    </row>
    <row r="906" spans="3:6">
      <c r="C906" s="11" t="e">
        <f>IF(1*('Production Matrix'!A:A="تكلفة انتاج الوحدة")*ROW('Production Matrix'!#REF!)=0,1/0,1*('Production Matrix'!A:A="تكلفة انتاج الوحدة")*ROW('Production Matrix'!#REF!))</f>
        <v>#REF!</v>
      </c>
      <c r="D906" s="11" t="str">
        <f>IFERROR(_xlfn.AGGREGATE(15,6,$C$3:$C$53,ROW('Production Matrix'!#REF!)),"")</f>
        <v/>
      </c>
      <c r="E906" s="11" t="str">
        <f t="shared" si="23"/>
        <v/>
      </c>
      <c r="F906" s="12">
        <f>IFERROR(INDEX('Production Matrix'!$B:$B,E906,0),0)</f>
        <v>0</v>
      </c>
    </row>
    <row r="907" spans="3:6">
      <c r="C907" s="11" t="e">
        <f>IF(1*('Production Matrix'!A:A="تكلفة انتاج الوحدة")*ROW('Production Matrix'!#REF!)=0,1/0,1*('Production Matrix'!A:A="تكلفة انتاج الوحدة")*ROW('Production Matrix'!#REF!))</f>
        <v>#REF!</v>
      </c>
      <c r="D907" s="11" t="str">
        <f>IFERROR(_xlfn.AGGREGATE(15,6,$C$3:$C$53,ROW('Production Matrix'!#REF!)),"")</f>
        <v/>
      </c>
      <c r="E907" s="11" t="str">
        <f t="shared" si="23"/>
        <v/>
      </c>
      <c r="F907" s="12">
        <f>IFERROR(INDEX('Production Matrix'!$B:$B,E907,0),0)</f>
        <v>0</v>
      </c>
    </row>
    <row r="908" spans="3:6">
      <c r="C908" s="11" t="e">
        <f>IF(1*('Production Matrix'!A:A="تكلفة انتاج الوحدة")*ROW('Production Matrix'!#REF!)=0,1/0,1*('Production Matrix'!A:A="تكلفة انتاج الوحدة")*ROW('Production Matrix'!#REF!))</f>
        <v>#REF!</v>
      </c>
      <c r="D908" s="11" t="str">
        <f>IFERROR(_xlfn.AGGREGATE(15,6,$C$3:$C$53,ROW('Production Matrix'!#REF!)),"")</f>
        <v/>
      </c>
      <c r="E908" s="11" t="str">
        <f t="shared" si="23"/>
        <v/>
      </c>
      <c r="F908" s="12">
        <f>IFERROR(INDEX('Production Matrix'!$B:$B,E908,0),0)</f>
        <v>0</v>
      </c>
    </row>
    <row r="909" spans="3:6">
      <c r="C909" s="11" t="e">
        <f>IF(1*('Production Matrix'!A:A="تكلفة انتاج الوحدة")*ROW('Production Matrix'!#REF!)=0,1/0,1*('Production Matrix'!A:A="تكلفة انتاج الوحدة")*ROW('Production Matrix'!#REF!))</f>
        <v>#REF!</v>
      </c>
      <c r="D909" s="11" t="str">
        <f>IFERROR(_xlfn.AGGREGATE(15,6,$C$3:$C$53,ROW('Production Matrix'!#REF!)),"")</f>
        <v/>
      </c>
      <c r="E909" s="11" t="str">
        <f t="shared" si="23"/>
        <v/>
      </c>
      <c r="F909" s="12">
        <f>IFERROR(INDEX('Production Matrix'!$B:$B,E909,0),0)</f>
        <v>0</v>
      </c>
    </row>
    <row r="910" spans="3:6">
      <c r="C910" s="11" t="e">
        <f>IF(1*('Production Matrix'!A:A="تكلفة انتاج الوحدة")*ROW('Production Matrix'!#REF!)=0,1/0,1*('Production Matrix'!A:A="تكلفة انتاج الوحدة")*ROW('Production Matrix'!#REF!))</f>
        <v>#REF!</v>
      </c>
      <c r="D910" s="11" t="str">
        <f>IFERROR(_xlfn.AGGREGATE(15,6,$C$3:$C$53,ROW('Production Matrix'!#REF!)),"")</f>
        <v/>
      </c>
      <c r="E910" s="11" t="str">
        <f t="shared" si="23"/>
        <v/>
      </c>
      <c r="F910" s="12">
        <f>IFERROR(INDEX('Production Matrix'!$B:$B,E910,0),0)</f>
        <v>0</v>
      </c>
    </row>
    <row r="911" spans="3:6">
      <c r="C911" s="11" t="e">
        <f>IF(1*('Production Matrix'!A:A="تكلفة انتاج الوحدة")*ROW('Production Matrix'!#REF!)=0,1/0,1*('Production Matrix'!A:A="تكلفة انتاج الوحدة")*ROW('Production Matrix'!#REF!))</f>
        <v>#REF!</v>
      </c>
      <c r="D911" s="11" t="str">
        <f>IFERROR(_xlfn.AGGREGATE(15,6,$C$3:$C$53,ROW('Production Matrix'!#REF!)),"")</f>
        <v/>
      </c>
      <c r="E911" s="11" t="str">
        <f t="shared" si="23"/>
        <v/>
      </c>
      <c r="F911" s="12">
        <f>IFERROR(INDEX('Production Matrix'!$B:$B,E911,0),0)</f>
        <v>0</v>
      </c>
    </row>
    <row r="912" spans="3:6">
      <c r="C912" s="11" t="e">
        <f>IF(1*('Production Matrix'!A:A="تكلفة انتاج الوحدة")*ROW('Production Matrix'!#REF!)=0,1/0,1*('Production Matrix'!A:A="تكلفة انتاج الوحدة")*ROW('Production Matrix'!#REF!))</f>
        <v>#REF!</v>
      </c>
      <c r="D912" s="11" t="str">
        <f>IFERROR(_xlfn.AGGREGATE(15,6,$C$3:$C$53,ROW('Production Matrix'!#REF!)),"")</f>
        <v/>
      </c>
      <c r="E912" s="11" t="str">
        <f t="shared" si="23"/>
        <v/>
      </c>
      <c r="F912" s="12">
        <f>IFERROR(INDEX('Production Matrix'!$B:$B,E912,0),0)</f>
        <v>0</v>
      </c>
    </row>
    <row r="913" spans="3:6">
      <c r="C913" s="11" t="e">
        <f>IF(1*('Production Matrix'!A:A="تكلفة انتاج الوحدة")*ROW('Production Matrix'!#REF!)=0,1/0,1*('Production Matrix'!A:A="تكلفة انتاج الوحدة")*ROW('Production Matrix'!#REF!))</f>
        <v>#REF!</v>
      </c>
      <c r="D913" s="11" t="str">
        <f>IFERROR(_xlfn.AGGREGATE(15,6,$C$3:$C$53,ROW('Production Matrix'!#REF!)),"")</f>
        <v/>
      </c>
      <c r="E913" s="11" t="str">
        <f t="shared" si="23"/>
        <v/>
      </c>
      <c r="F913" s="12">
        <f>IFERROR(INDEX('Production Matrix'!$B:$B,E913,0),0)</f>
        <v>0</v>
      </c>
    </row>
    <row r="914" spans="3:6">
      <c r="C914" s="11" t="e">
        <f>IF(1*('Production Matrix'!A:A="تكلفة انتاج الوحدة")*ROW('Production Matrix'!#REF!)=0,1/0,1*('Production Matrix'!A:A="تكلفة انتاج الوحدة")*ROW('Production Matrix'!#REF!))</f>
        <v>#REF!</v>
      </c>
      <c r="D914" s="11" t="str">
        <f>IFERROR(_xlfn.AGGREGATE(15,6,$C$3:$C$53,ROW('Production Matrix'!#REF!)),"")</f>
        <v/>
      </c>
      <c r="E914" s="11" t="str">
        <f t="shared" si="23"/>
        <v/>
      </c>
      <c r="F914" s="12">
        <f>IFERROR(INDEX('Production Matrix'!$B:$B,E914,0),0)</f>
        <v>0</v>
      </c>
    </row>
    <row r="915" spans="3:6">
      <c r="C915" s="11" t="e">
        <f>IF(1*('Production Matrix'!A:A="تكلفة انتاج الوحدة")*ROW('Production Matrix'!#REF!)=0,1/0,1*('Production Matrix'!A:A="تكلفة انتاج الوحدة")*ROW('Production Matrix'!#REF!))</f>
        <v>#REF!</v>
      </c>
      <c r="D915" s="11" t="str">
        <f>IFERROR(_xlfn.AGGREGATE(15,6,$C$3:$C$53,ROW('Production Matrix'!#REF!)),"")</f>
        <v/>
      </c>
      <c r="E915" s="11" t="str">
        <f t="shared" si="23"/>
        <v/>
      </c>
      <c r="F915" s="12">
        <f>IFERROR(INDEX('Production Matrix'!$B:$B,E915,0),0)</f>
        <v>0</v>
      </c>
    </row>
    <row r="916" spans="3:6">
      <c r="C916" s="11" t="e">
        <f>IF(1*('Production Matrix'!A:A="تكلفة انتاج الوحدة")*ROW('Production Matrix'!#REF!)=0,1/0,1*('Production Matrix'!A:A="تكلفة انتاج الوحدة")*ROW('Production Matrix'!#REF!))</f>
        <v>#REF!</v>
      </c>
      <c r="D916" s="11" t="str">
        <f>IFERROR(_xlfn.AGGREGATE(15,6,$C$3:$C$53,ROW('Production Matrix'!#REF!)),"")</f>
        <v/>
      </c>
      <c r="E916" s="11" t="str">
        <f t="shared" si="23"/>
        <v/>
      </c>
      <c r="F916" s="12">
        <f>IFERROR(INDEX('Production Matrix'!$B:$B,E916,0),0)</f>
        <v>0</v>
      </c>
    </row>
    <row r="917" spans="3:6">
      <c r="C917" s="11" t="e">
        <f>IF(1*('Production Matrix'!A:A="تكلفة انتاج الوحدة")*ROW('Production Matrix'!#REF!)=0,1/0,1*('Production Matrix'!A:A="تكلفة انتاج الوحدة")*ROW('Production Matrix'!#REF!))</f>
        <v>#REF!</v>
      </c>
      <c r="D917" s="11" t="str">
        <f>IFERROR(_xlfn.AGGREGATE(15,6,$C$3:$C$53,ROW('Production Matrix'!#REF!)),"")</f>
        <v/>
      </c>
      <c r="E917" s="11" t="str">
        <f t="shared" si="23"/>
        <v/>
      </c>
      <c r="F917" s="12">
        <f>IFERROR(INDEX('Production Matrix'!$B:$B,E917,0),0)</f>
        <v>0</v>
      </c>
    </row>
    <row r="918" spans="3:6">
      <c r="C918" s="11" t="e">
        <f>IF(1*('Production Matrix'!A:A="تكلفة انتاج الوحدة")*ROW('Production Matrix'!#REF!)=0,1/0,1*('Production Matrix'!A:A="تكلفة انتاج الوحدة")*ROW('Production Matrix'!#REF!))</f>
        <v>#REF!</v>
      </c>
      <c r="D918" s="11" t="str">
        <f>IFERROR(_xlfn.AGGREGATE(15,6,$C$3:$C$53,ROW('Production Matrix'!#REF!)),"")</f>
        <v/>
      </c>
      <c r="E918" s="11" t="str">
        <f t="shared" si="23"/>
        <v/>
      </c>
      <c r="F918" s="12">
        <f>IFERROR(INDEX('Production Matrix'!$B:$B,E918,0),0)</f>
        <v>0</v>
      </c>
    </row>
    <row r="919" spans="3:6">
      <c r="C919" s="11" t="e">
        <f>IF(1*('Production Matrix'!A:A="تكلفة انتاج الوحدة")*ROW('Production Matrix'!#REF!)=0,1/0,1*('Production Matrix'!A:A="تكلفة انتاج الوحدة")*ROW('Production Matrix'!#REF!))</f>
        <v>#REF!</v>
      </c>
      <c r="D919" s="11" t="str">
        <f>IFERROR(_xlfn.AGGREGATE(15,6,$C$3:$C$53,ROW('Production Matrix'!#REF!)),"")</f>
        <v/>
      </c>
      <c r="E919" s="11" t="str">
        <f t="shared" si="23"/>
        <v/>
      </c>
      <c r="F919" s="12">
        <f>IFERROR(INDEX('Production Matrix'!$B:$B,E919,0),0)</f>
        <v>0</v>
      </c>
    </row>
    <row r="920" spans="3:6">
      <c r="C920" s="11" t="e">
        <f>IF(1*('Production Matrix'!A:A="تكلفة انتاج الوحدة")*ROW('Production Matrix'!#REF!)=0,1/0,1*('Production Matrix'!A:A="تكلفة انتاج الوحدة")*ROW('Production Matrix'!#REF!))</f>
        <v>#REF!</v>
      </c>
      <c r="D920" s="11" t="str">
        <f>IFERROR(_xlfn.AGGREGATE(15,6,$C$3:$C$53,ROW('Production Matrix'!#REF!)),"")</f>
        <v/>
      </c>
      <c r="E920" s="11" t="str">
        <f t="shared" si="23"/>
        <v/>
      </c>
      <c r="F920" s="12">
        <f>IFERROR(INDEX('Production Matrix'!$B:$B,E920,0),0)</f>
        <v>0</v>
      </c>
    </row>
    <row r="921" spans="3:6">
      <c r="C921" s="11" t="e">
        <f>IF(1*('Production Matrix'!A:A="تكلفة انتاج الوحدة")*ROW('Production Matrix'!#REF!)=0,1/0,1*('Production Matrix'!A:A="تكلفة انتاج الوحدة")*ROW('Production Matrix'!#REF!))</f>
        <v>#REF!</v>
      </c>
      <c r="D921" s="11" t="str">
        <f>IFERROR(_xlfn.AGGREGATE(15,6,$C$3:$C$53,ROW('Production Matrix'!#REF!)),"")</f>
        <v/>
      </c>
      <c r="E921" s="11" t="str">
        <f t="shared" si="23"/>
        <v/>
      </c>
      <c r="F921" s="12">
        <f>IFERROR(INDEX('Production Matrix'!$B:$B,E921,0),0)</f>
        <v>0</v>
      </c>
    </row>
    <row r="922" spans="3:6">
      <c r="C922" s="11" t="e">
        <f>IF(1*('Production Matrix'!A:A="تكلفة انتاج الوحدة")*ROW('Production Matrix'!#REF!)=0,1/0,1*('Production Matrix'!A:A="تكلفة انتاج الوحدة")*ROW('Production Matrix'!#REF!))</f>
        <v>#REF!</v>
      </c>
      <c r="D922" s="11" t="str">
        <f>IFERROR(_xlfn.AGGREGATE(15,6,$C$3:$C$53,ROW('Production Matrix'!#REF!)),"")</f>
        <v/>
      </c>
      <c r="E922" s="11" t="str">
        <f t="shared" si="23"/>
        <v/>
      </c>
      <c r="F922" s="12">
        <f>IFERROR(INDEX('Production Matrix'!$B:$B,E922,0),0)</f>
        <v>0</v>
      </c>
    </row>
    <row r="923" spans="3:6">
      <c r="C923" s="11" t="e">
        <f>IF(1*('Production Matrix'!A:A="تكلفة انتاج الوحدة")*ROW('Production Matrix'!#REF!)=0,1/0,1*('Production Matrix'!A:A="تكلفة انتاج الوحدة")*ROW('Production Matrix'!#REF!))</f>
        <v>#REF!</v>
      </c>
      <c r="D923" s="11" t="str">
        <f>IFERROR(_xlfn.AGGREGATE(15,6,$C$3:$C$53,ROW('Production Matrix'!#REF!)),"")</f>
        <v/>
      </c>
      <c r="E923" s="11" t="str">
        <f t="shared" si="23"/>
        <v/>
      </c>
      <c r="F923" s="12">
        <f>IFERROR(INDEX('Production Matrix'!$B:$B,E923,0),0)</f>
        <v>0</v>
      </c>
    </row>
    <row r="924" spans="3:6">
      <c r="C924" s="11" t="e">
        <f>IF(1*('Production Matrix'!A:A="تكلفة انتاج الوحدة")*ROW('Production Matrix'!#REF!)=0,1/0,1*('Production Matrix'!A:A="تكلفة انتاج الوحدة")*ROW('Production Matrix'!#REF!))</f>
        <v>#REF!</v>
      </c>
      <c r="D924" s="11" t="str">
        <f>IFERROR(_xlfn.AGGREGATE(15,6,$C$3:$C$53,ROW('Production Matrix'!#REF!)),"")</f>
        <v/>
      </c>
      <c r="E924" s="11" t="str">
        <f t="shared" si="23"/>
        <v/>
      </c>
      <c r="F924" s="12">
        <f>IFERROR(INDEX('Production Matrix'!$B:$B,E924,0),0)</f>
        <v>0</v>
      </c>
    </row>
    <row r="925" spans="3:6">
      <c r="C925" s="11" t="e">
        <f>IF(1*('Production Matrix'!A:A="تكلفة انتاج الوحدة")*ROW('Production Matrix'!#REF!)=0,1/0,1*('Production Matrix'!A:A="تكلفة انتاج الوحدة")*ROW('Production Matrix'!#REF!))</f>
        <v>#REF!</v>
      </c>
      <c r="D925" s="11" t="str">
        <f>IFERROR(_xlfn.AGGREGATE(15,6,$C$3:$C$53,ROW('Production Matrix'!#REF!)),"")</f>
        <v/>
      </c>
      <c r="E925" s="11" t="str">
        <f t="shared" si="23"/>
        <v/>
      </c>
      <c r="F925" s="12">
        <f>IFERROR(INDEX('Production Matrix'!$B:$B,E925,0),0)</f>
        <v>0</v>
      </c>
    </row>
    <row r="926" spans="3:6">
      <c r="C926" s="11" t="e">
        <f>IF(1*('Production Matrix'!A:A="تكلفة انتاج الوحدة")*ROW('Production Matrix'!#REF!)=0,1/0,1*('Production Matrix'!A:A="تكلفة انتاج الوحدة")*ROW('Production Matrix'!#REF!))</f>
        <v>#REF!</v>
      </c>
      <c r="D926" s="11" t="str">
        <f>IFERROR(_xlfn.AGGREGATE(15,6,$C$3:$C$53,ROW('Production Matrix'!#REF!)),"")</f>
        <v/>
      </c>
      <c r="E926" s="11" t="str">
        <f t="shared" si="23"/>
        <v/>
      </c>
      <c r="F926" s="12">
        <f>IFERROR(INDEX('Production Matrix'!$B:$B,E926,0),0)</f>
        <v>0</v>
      </c>
    </row>
    <row r="927" spans="3:6">
      <c r="C927" s="11" t="e">
        <f>IF(1*('Production Matrix'!A:A="تكلفة انتاج الوحدة")*ROW('Production Matrix'!#REF!)=0,1/0,1*('Production Matrix'!A:A="تكلفة انتاج الوحدة")*ROW('Production Matrix'!#REF!))</f>
        <v>#REF!</v>
      </c>
      <c r="D927" s="11" t="str">
        <f>IFERROR(_xlfn.AGGREGATE(15,6,$C$3:$C$53,ROW('Production Matrix'!#REF!)),"")</f>
        <v/>
      </c>
      <c r="E927" s="11" t="str">
        <f t="shared" si="23"/>
        <v/>
      </c>
      <c r="F927" s="12">
        <f>IFERROR(INDEX('Production Matrix'!$B:$B,E927,0),0)</f>
        <v>0</v>
      </c>
    </row>
    <row r="928" spans="3:6">
      <c r="C928" s="11" t="e">
        <f>IF(1*('Production Matrix'!A:A="تكلفة انتاج الوحدة")*ROW('Production Matrix'!#REF!)=0,1/0,1*('Production Matrix'!A:A="تكلفة انتاج الوحدة")*ROW('Production Matrix'!#REF!))</f>
        <v>#REF!</v>
      </c>
      <c r="D928" s="11" t="str">
        <f>IFERROR(_xlfn.AGGREGATE(15,6,$C$3:$C$53,ROW('Production Matrix'!#REF!)),"")</f>
        <v/>
      </c>
      <c r="E928" s="11" t="str">
        <f t="shared" si="23"/>
        <v/>
      </c>
      <c r="F928" s="12">
        <f>IFERROR(INDEX('Production Matrix'!$B:$B,E928,0),0)</f>
        <v>0</v>
      </c>
    </row>
    <row r="929" spans="3:6">
      <c r="C929" s="11" t="e">
        <f>IF(1*('Production Matrix'!A:A="تكلفة انتاج الوحدة")*ROW('Production Matrix'!#REF!)=0,1/0,1*('Production Matrix'!A:A="تكلفة انتاج الوحدة")*ROW('Production Matrix'!#REF!))</f>
        <v>#REF!</v>
      </c>
      <c r="D929" s="11" t="str">
        <f>IFERROR(_xlfn.AGGREGATE(15,6,$C$3:$C$53,ROW('Production Matrix'!#REF!)),"")</f>
        <v/>
      </c>
      <c r="E929" s="11" t="str">
        <f t="shared" si="23"/>
        <v/>
      </c>
      <c r="F929" s="12">
        <f>IFERROR(INDEX('Production Matrix'!$B:$B,E929,0),0)</f>
        <v>0</v>
      </c>
    </row>
    <row r="930" spans="3:6">
      <c r="C930" s="11" t="e">
        <f>IF(1*('Production Matrix'!A:A="تكلفة انتاج الوحدة")*ROW('Production Matrix'!#REF!)=0,1/0,1*('Production Matrix'!A:A="تكلفة انتاج الوحدة")*ROW('Production Matrix'!#REF!))</f>
        <v>#REF!</v>
      </c>
      <c r="D930" s="11" t="str">
        <f>IFERROR(_xlfn.AGGREGATE(15,6,$C$3:$C$53,ROW('Production Matrix'!#REF!)),"")</f>
        <v/>
      </c>
      <c r="E930" s="11" t="str">
        <f t="shared" si="23"/>
        <v/>
      </c>
      <c r="F930" s="12">
        <f>IFERROR(INDEX('Production Matrix'!$B:$B,E930,0),0)</f>
        <v>0</v>
      </c>
    </row>
    <row r="931" spans="3:6">
      <c r="C931" s="11" t="e">
        <f>IF(1*('Production Matrix'!A:A="تكلفة انتاج الوحدة")*ROW('Production Matrix'!#REF!)=0,1/0,1*('Production Matrix'!A:A="تكلفة انتاج الوحدة")*ROW('Production Matrix'!#REF!))</f>
        <v>#REF!</v>
      </c>
      <c r="D931" s="11" t="str">
        <f>IFERROR(_xlfn.AGGREGATE(15,6,$C$3:$C$53,ROW('Production Matrix'!#REF!)),"")</f>
        <v/>
      </c>
      <c r="E931" s="11" t="str">
        <f t="shared" si="23"/>
        <v/>
      </c>
      <c r="F931" s="12">
        <f>IFERROR(INDEX('Production Matrix'!$B:$B,E931,0),0)</f>
        <v>0</v>
      </c>
    </row>
    <row r="932" spans="3:6">
      <c r="C932" s="11" t="e">
        <f>IF(1*('Production Matrix'!A:A="تكلفة انتاج الوحدة")*ROW('Production Matrix'!#REF!)=0,1/0,1*('Production Matrix'!A:A="تكلفة انتاج الوحدة")*ROW('Production Matrix'!#REF!))</f>
        <v>#REF!</v>
      </c>
      <c r="D932" s="11" t="str">
        <f>IFERROR(_xlfn.AGGREGATE(15,6,$C$3:$C$53,ROW('Production Matrix'!#REF!)),"")</f>
        <v/>
      </c>
      <c r="E932" s="11" t="str">
        <f t="shared" si="23"/>
        <v/>
      </c>
      <c r="F932" s="12">
        <f>IFERROR(INDEX('Production Matrix'!$B:$B,E932,0),0)</f>
        <v>0</v>
      </c>
    </row>
    <row r="933" spans="3:6">
      <c r="C933" s="11" t="e">
        <f>IF(1*('Production Matrix'!A:A="تكلفة انتاج الوحدة")*ROW('Production Matrix'!#REF!)=0,1/0,1*('Production Matrix'!A:A="تكلفة انتاج الوحدة")*ROW('Production Matrix'!#REF!))</f>
        <v>#REF!</v>
      </c>
      <c r="D933" s="11" t="str">
        <f>IFERROR(_xlfn.AGGREGATE(15,6,$C$3:$C$53,ROW('Production Matrix'!#REF!)),"")</f>
        <v/>
      </c>
      <c r="E933" s="11" t="str">
        <f t="shared" si="23"/>
        <v/>
      </c>
      <c r="F933" s="12">
        <f>IFERROR(INDEX('Production Matrix'!$B:$B,E933,0),0)</f>
        <v>0</v>
      </c>
    </row>
    <row r="934" spans="3:6">
      <c r="C934" s="11" t="e">
        <f>IF(1*('Production Matrix'!A:A="تكلفة انتاج الوحدة")*ROW('Production Matrix'!#REF!)=0,1/0,1*('Production Matrix'!A:A="تكلفة انتاج الوحدة")*ROW('Production Matrix'!#REF!))</f>
        <v>#REF!</v>
      </c>
      <c r="D934" s="11" t="str">
        <f>IFERROR(_xlfn.AGGREGATE(15,6,$C$3:$C$53,ROW('Production Matrix'!#REF!)),"")</f>
        <v/>
      </c>
      <c r="E934" s="11" t="str">
        <f t="shared" si="23"/>
        <v/>
      </c>
      <c r="F934" s="12">
        <f>IFERROR(INDEX('Production Matrix'!$B:$B,E934,0),0)</f>
        <v>0</v>
      </c>
    </row>
    <row r="935" spans="3:6">
      <c r="C935" s="11" t="e">
        <f>IF(1*('Production Matrix'!A:A="تكلفة انتاج الوحدة")*ROW('Production Matrix'!#REF!)=0,1/0,1*('Production Matrix'!A:A="تكلفة انتاج الوحدة")*ROW('Production Matrix'!#REF!))</f>
        <v>#REF!</v>
      </c>
      <c r="D935" s="11" t="str">
        <f>IFERROR(_xlfn.AGGREGATE(15,6,$C$3:$C$53,ROW('Production Matrix'!#REF!)),"")</f>
        <v/>
      </c>
      <c r="E935" s="11" t="str">
        <f t="shared" si="23"/>
        <v/>
      </c>
      <c r="F935" s="12">
        <f>IFERROR(INDEX('Production Matrix'!$B:$B,E935,0),0)</f>
        <v>0</v>
      </c>
    </row>
    <row r="936" spans="3:6">
      <c r="C936" s="11" t="e">
        <f>IF(1*('Production Matrix'!A:A="تكلفة انتاج الوحدة")*ROW('Production Matrix'!#REF!)=0,1/0,1*('Production Matrix'!A:A="تكلفة انتاج الوحدة")*ROW('Production Matrix'!#REF!))</f>
        <v>#REF!</v>
      </c>
      <c r="D936" s="11" t="str">
        <f>IFERROR(_xlfn.AGGREGATE(15,6,$C$3:$C$53,ROW('Production Matrix'!#REF!)),"")</f>
        <v/>
      </c>
      <c r="E936" s="11" t="str">
        <f t="shared" si="23"/>
        <v/>
      </c>
      <c r="F936" s="12">
        <f>IFERROR(INDEX('Production Matrix'!$B:$B,E936,0),0)</f>
        <v>0</v>
      </c>
    </row>
    <row r="937" spans="3:6">
      <c r="C937" s="11" t="e">
        <f>IF(1*('Production Matrix'!A:A="تكلفة انتاج الوحدة")*ROW('Production Matrix'!#REF!)=0,1/0,1*('Production Matrix'!A:A="تكلفة انتاج الوحدة")*ROW('Production Matrix'!#REF!))</f>
        <v>#REF!</v>
      </c>
      <c r="D937" s="11" t="str">
        <f>IFERROR(_xlfn.AGGREGATE(15,6,$C$3:$C$53,ROW('Production Matrix'!#REF!)),"")</f>
        <v/>
      </c>
      <c r="E937" s="11" t="str">
        <f t="shared" si="23"/>
        <v/>
      </c>
      <c r="F937" s="12">
        <f>IFERROR(INDEX('Production Matrix'!$B:$B,E937,0),0)</f>
        <v>0</v>
      </c>
    </row>
    <row r="938" spans="3:6">
      <c r="C938" s="11" t="e">
        <f>IF(1*('Production Matrix'!A:A="تكلفة انتاج الوحدة")*ROW('Production Matrix'!#REF!)=0,1/0,1*('Production Matrix'!A:A="تكلفة انتاج الوحدة")*ROW('Production Matrix'!#REF!))</f>
        <v>#REF!</v>
      </c>
      <c r="D938" s="11" t="str">
        <f>IFERROR(_xlfn.AGGREGATE(15,6,$C$3:$C$53,ROW('Production Matrix'!#REF!)),"")</f>
        <v/>
      </c>
      <c r="E938" s="11" t="str">
        <f t="shared" si="23"/>
        <v/>
      </c>
      <c r="F938" s="12">
        <f>IFERROR(INDEX('Production Matrix'!$B:$B,E938,0),0)</f>
        <v>0</v>
      </c>
    </row>
    <row r="939" spans="3:6">
      <c r="C939" s="11" t="e">
        <f>IF(1*('Production Matrix'!A:A="تكلفة انتاج الوحدة")*ROW('Production Matrix'!#REF!)=0,1/0,1*('Production Matrix'!A:A="تكلفة انتاج الوحدة")*ROW('Production Matrix'!#REF!))</f>
        <v>#REF!</v>
      </c>
      <c r="D939" s="11" t="str">
        <f>IFERROR(_xlfn.AGGREGATE(15,6,$C$3:$C$53,ROW('Production Matrix'!#REF!)),"")</f>
        <v/>
      </c>
      <c r="E939" s="11" t="str">
        <f t="shared" si="23"/>
        <v/>
      </c>
      <c r="F939" s="12">
        <f>IFERROR(INDEX('Production Matrix'!$B:$B,E939,0),0)</f>
        <v>0</v>
      </c>
    </row>
    <row r="940" spans="3:6">
      <c r="C940" s="11" t="e">
        <f>IF(1*('Production Matrix'!A:A="تكلفة انتاج الوحدة")*ROW('Production Matrix'!#REF!)=0,1/0,1*('Production Matrix'!A:A="تكلفة انتاج الوحدة")*ROW('Production Matrix'!#REF!))</f>
        <v>#REF!</v>
      </c>
      <c r="D940" s="11" t="str">
        <f>IFERROR(_xlfn.AGGREGATE(15,6,$C$3:$C$53,ROW('Production Matrix'!#REF!)),"")</f>
        <v/>
      </c>
      <c r="E940" s="11" t="str">
        <f t="shared" si="23"/>
        <v/>
      </c>
      <c r="F940" s="12">
        <f>IFERROR(INDEX('Production Matrix'!$B:$B,E940,0),0)</f>
        <v>0</v>
      </c>
    </row>
    <row r="941" spans="3:6">
      <c r="C941" s="11" t="e">
        <f>IF(1*('Production Matrix'!A:A="تكلفة انتاج الوحدة")*ROW('Production Matrix'!#REF!)=0,1/0,1*('Production Matrix'!A:A="تكلفة انتاج الوحدة")*ROW('Production Matrix'!#REF!))</f>
        <v>#REF!</v>
      </c>
      <c r="D941" s="11" t="str">
        <f>IFERROR(_xlfn.AGGREGATE(15,6,$C$3:$C$53,ROW('Production Matrix'!#REF!)),"")</f>
        <v/>
      </c>
      <c r="E941" s="11" t="str">
        <f t="shared" si="23"/>
        <v/>
      </c>
      <c r="F941" s="12">
        <f>IFERROR(INDEX('Production Matrix'!$B:$B,E941,0),0)</f>
        <v>0</v>
      </c>
    </row>
    <row r="942" spans="3:6">
      <c r="C942" s="11" t="e">
        <f>IF(1*('Production Matrix'!A:A="تكلفة انتاج الوحدة")*ROW('Production Matrix'!#REF!)=0,1/0,1*('Production Matrix'!A:A="تكلفة انتاج الوحدة")*ROW('Production Matrix'!#REF!))</f>
        <v>#REF!</v>
      </c>
      <c r="D942" s="11" t="str">
        <f>IFERROR(_xlfn.AGGREGATE(15,6,$C$3:$C$53,ROW('Production Matrix'!#REF!)),"")</f>
        <v/>
      </c>
      <c r="E942" s="11" t="str">
        <f t="shared" si="23"/>
        <v/>
      </c>
      <c r="F942" s="12">
        <f>IFERROR(INDEX('Production Matrix'!$B:$B,E942,0),0)</f>
        <v>0</v>
      </c>
    </row>
    <row r="943" spans="3:6">
      <c r="C943" s="11" t="e">
        <f>IF(1*('Production Matrix'!A:A="تكلفة انتاج الوحدة")*ROW('Production Matrix'!#REF!)=0,1/0,1*('Production Matrix'!A:A="تكلفة انتاج الوحدة")*ROW('Production Matrix'!#REF!))</f>
        <v>#REF!</v>
      </c>
      <c r="D943" s="11" t="str">
        <f>IFERROR(_xlfn.AGGREGATE(15,6,$C$3:$C$53,ROW('Production Matrix'!#REF!)),"")</f>
        <v/>
      </c>
      <c r="E943" s="11" t="str">
        <f t="shared" si="23"/>
        <v/>
      </c>
      <c r="F943" s="12">
        <f>IFERROR(INDEX('Production Matrix'!$B:$B,E943,0),0)</f>
        <v>0</v>
      </c>
    </row>
    <row r="944" spans="3:6">
      <c r="C944" s="11" t="e">
        <f>IF(1*('Production Matrix'!A:A="تكلفة انتاج الوحدة")*ROW('Production Matrix'!#REF!)=0,1/0,1*('Production Matrix'!A:A="تكلفة انتاج الوحدة")*ROW('Production Matrix'!#REF!))</f>
        <v>#REF!</v>
      </c>
      <c r="D944" s="11" t="str">
        <f>IFERROR(_xlfn.AGGREGATE(15,6,$C$3:$C$53,ROW('Production Matrix'!#REF!)),"")</f>
        <v/>
      </c>
      <c r="E944" s="11" t="str">
        <f t="shared" si="23"/>
        <v/>
      </c>
      <c r="F944" s="12">
        <f>IFERROR(INDEX('Production Matrix'!$B:$B,E944,0),0)</f>
        <v>0</v>
      </c>
    </row>
    <row r="945" spans="3:6">
      <c r="C945" s="11" t="e">
        <f>IF(1*('Production Matrix'!A:A="تكلفة انتاج الوحدة")*ROW('Production Matrix'!#REF!)=0,1/0,1*('Production Matrix'!A:A="تكلفة انتاج الوحدة")*ROW('Production Matrix'!#REF!))</f>
        <v>#REF!</v>
      </c>
      <c r="D945" s="11" t="str">
        <f>IFERROR(_xlfn.AGGREGATE(15,6,$C$3:$C$53,ROW('Production Matrix'!#REF!)),"")</f>
        <v/>
      </c>
      <c r="E945" s="11" t="str">
        <f t="shared" si="23"/>
        <v/>
      </c>
      <c r="F945" s="12">
        <f>IFERROR(INDEX('Production Matrix'!$B:$B,E945,0),0)</f>
        <v>0</v>
      </c>
    </row>
    <row r="946" spans="3:6">
      <c r="C946" s="11" t="e">
        <f>IF(1*('Production Matrix'!A:A="تكلفة انتاج الوحدة")*ROW('Production Matrix'!#REF!)=0,1/0,1*('Production Matrix'!A:A="تكلفة انتاج الوحدة")*ROW('Production Matrix'!#REF!))</f>
        <v>#REF!</v>
      </c>
      <c r="D946" s="11" t="str">
        <f>IFERROR(_xlfn.AGGREGATE(15,6,$C$3:$C$53,ROW('Production Matrix'!#REF!)),"")</f>
        <v/>
      </c>
      <c r="E946" s="11" t="str">
        <f t="shared" si="23"/>
        <v/>
      </c>
      <c r="F946" s="12">
        <f>IFERROR(INDEX('Production Matrix'!$B:$B,E946,0),0)</f>
        <v>0</v>
      </c>
    </row>
    <row r="947" spans="3:6">
      <c r="C947" s="11" t="e">
        <f>IF(1*('Production Matrix'!A:A="تكلفة انتاج الوحدة")*ROW('Production Matrix'!#REF!)=0,1/0,1*('Production Matrix'!A:A="تكلفة انتاج الوحدة")*ROW('Production Matrix'!#REF!))</f>
        <v>#REF!</v>
      </c>
      <c r="D947" s="11" t="str">
        <f>IFERROR(_xlfn.AGGREGATE(15,6,$C$3:$C$53,ROW('Production Matrix'!#REF!)),"")</f>
        <v/>
      </c>
      <c r="E947" s="11" t="str">
        <f t="shared" si="23"/>
        <v/>
      </c>
      <c r="F947" s="12">
        <f>IFERROR(INDEX('Production Matrix'!$B:$B,E947,0),0)</f>
        <v>0</v>
      </c>
    </row>
    <row r="948" spans="3:6">
      <c r="C948" s="11" t="e">
        <f>IF(1*('Production Matrix'!A:A="تكلفة انتاج الوحدة")*ROW('Production Matrix'!#REF!)=0,1/0,1*('Production Matrix'!A:A="تكلفة انتاج الوحدة")*ROW('Production Matrix'!#REF!))</f>
        <v>#REF!</v>
      </c>
      <c r="D948" s="11" t="str">
        <f>IFERROR(_xlfn.AGGREGATE(15,6,$C$3:$C$53,ROW('Production Matrix'!#REF!)),"")</f>
        <v/>
      </c>
      <c r="E948" s="11" t="str">
        <f t="shared" si="23"/>
        <v/>
      </c>
      <c r="F948" s="12">
        <f>IFERROR(INDEX('Production Matrix'!$B:$B,E948,0),0)</f>
        <v>0</v>
      </c>
    </row>
    <row r="949" spans="3:6">
      <c r="C949" s="11" t="e">
        <f>IF(1*('Production Matrix'!A:A="تكلفة انتاج الوحدة")*ROW('Production Matrix'!#REF!)=0,1/0,1*('Production Matrix'!A:A="تكلفة انتاج الوحدة")*ROW('Production Matrix'!#REF!))</f>
        <v>#REF!</v>
      </c>
      <c r="D949" s="11" t="str">
        <f>IFERROR(_xlfn.AGGREGATE(15,6,$C$3:$C$53,ROW('Production Matrix'!#REF!)),"")</f>
        <v/>
      </c>
      <c r="E949" s="11" t="str">
        <f t="shared" si="23"/>
        <v/>
      </c>
      <c r="F949" s="12">
        <f>IFERROR(INDEX('Production Matrix'!$B:$B,E949,0),0)</f>
        <v>0</v>
      </c>
    </row>
    <row r="950" spans="3:6">
      <c r="C950" s="11" t="e">
        <f>IF(1*('Production Matrix'!A:A="تكلفة انتاج الوحدة")*ROW('Production Matrix'!#REF!)=0,1/0,1*('Production Matrix'!A:A="تكلفة انتاج الوحدة")*ROW('Production Matrix'!#REF!))</f>
        <v>#REF!</v>
      </c>
      <c r="D950" s="11" t="str">
        <f>IFERROR(_xlfn.AGGREGATE(15,6,$C$3:$C$53,ROW('Production Matrix'!#REF!)),"")</f>
        <v/>
      </c>
      <c r="E950" s="11" t="str">
        <f t="shared" si="23"/>
        <v/>
      </c>
      <c r="F950" s="12">
        <f>IFERROR(INDEX('Production Matrix'!$B:$B,E950,0),0)</f>
        <v>0</v>
      </c>
    </row>
    <row r="951" spans="3:6">
      <c r="C951" s="11" t="e">
        <f>IF(1*('Production Matrix'!A:A="تكلفة انتاج الوحدة")*ROW('Production Matrix'!#REF!)=0,1/0,1*('Production Matrix'!A:A="تكلفة انتاج الوحدة")*ROW('Production Matrix'!#REF!))</f>
        <v>#REF!</v>
      </c>
      <c r="D951" s="11" t="str">
        <f>IFERROR(_xlfn.AGGREGATE(15,6,$C$3:$C$53,ROW('Production Matrix'!#REF!)),"")</f>
        <v/>
      </c>
      <c r="E951" s="11" t="str">
        <f t="shared" si="23"/>
        <v/>
      </c>
      <c r="F951" s="12">
        <f>IFERROR(INDEX('Production Matrix'!$B:$B,E951,0),0)</f>
        <v>0</v>
      </c>
    </row>
    <row r="952" spans="3:6">
      <c r="C952" s="11" t="e">
        <f>IF(1*('Production Matrix'!A:A="تكلفة انتاج الوحدة")*ROW('Production Matrix'!#REF!)=0,1/0,1*('Production Matrix'!A:A="تكلفة انتاج الوحدة")*ROW('Production Matrix'!#REF!))</f>
        <v>#REF!</v>
      </c>
      <c r="D952" s="11" t="str">
        <f>IFERROR(_xlfn.AGGREGATE(15,6,$C$3:$C$53,ROW('Production Matrix'!#REF!)),"")</f>
        <v/>
      </c>
      <c r="E952" s="11" t="str">
        <f t="shared" si="23"/>
        <v/>
      </c>
      <c r="F952" s="12">
        <f>IFERROR(INDEX('Production Matrix'!$B:$B,E952,0),0)</f>
        <v>0</v>
      </c>
    </row>
    <row r="953" spans="3:6">
      <c r="C953" s="11" t="e">
        <f>IF(1*('Production Matrix'!A:A="تكلفة انتاج الوحدة")*ROW('Production Matrix'!#REF!)=0,1/0,1*('Production Matrix'!A:A="تكلفة انتاج الوحدة")*ROW('Production Matrix'!#REF!))</f>
        <v>#REF!</v>
      </c>
      <c r="D953" s="11" t="str">
        <f>IFERROR(_xlfn.AGGREGATE(15,6,$C$3:$C$53,ROW('Production Matrix'!#REF!)),"")</f>
        <v/>
      </c>
      <c r="E953" s="11" t="str">
        <f t="shared" si="23"/>
        <v/>
      </c>
      <c r="F953" s="12">
        <f>IFERROR(INDEX('Production Matrix'!$B:$B,E953,0),0)</f>
        <v>0</v>
      </c>
    </row>
    <row r="954" spans="3:6">
      <c r="C954" s="11" t="e">
        <f>IF(1*('Production Matrix'!A:A="تكلفة انتاج الوحدة")*ROW('Production Matrix'!#REF!)=0,1/0,1*('Production Matrix'!A:A="تكلفة انتاج الوحدة")*ROW('Production Matrix'!#REF!))</f>
        <v>#REF!</v>
      </c>
      <c r="D954" s="11" t="str">
        <f>IFERROR(_xlfn.AGGREGATE(15,6,$C$3:$C$53,ROW('Production Matrix'!#REF!)),"")</f>
        <v/>
      </c>
      <c r="E954" s="11" t="str">
        <f t="shared" si="23"/>
        <v/>
      </c>
      <c r="F954" s="12">
        <f>IFERROR(INDEX('Production Matrix'!$B:$B,E954,0),0)</f>
        <v>0</v>
      </c>
    </row>
    <row r="955" spans="3:6">
      <c r="C955" s="11" t="e">
        <f>IF(1*('Production Matrix'!A:A="تكلفة انتاج الوحدة")*ROW('Production Matrix'!#REF!)=0,1/0,1*('Production Matrix'!A:A="تكلفة انتاج الوحدة")*ROW('Production Matrix'!#REF!))</f>
        <v>#REF!</v>
      </c>
      <c r="D955" s="11" t="str">
        <f>IFERROR(_xlfn.AGGREGATE(15,6,$C$3:$C$53,ROW('Production Matrix'!#REF!)),"")</f>
        <v/>
      </c>
      <c r="E955" s="11" t="str">
        <f t="shared" si="23"/>
        <v/>
      </c>
      <c r="F955" s="12">
        <f>IFERROR(INDEX('Production Matrix'!$B:$B,E955,0),0)</f>
        <v>0</v>
      </c>
    </row>
    <row r="956" spans="3:6">
      <c r="C956" s="11" t="e">
        <f>IF(1*('Production Matrix'!A:A="تكلفة انتاج الوحدة")*ROW('Production Matrix'!#REF!)=0,1/0,1*('Production Matrix'!A:A="تكلفة انتاج الوحدة")*ROW('Production Matrix'!#REF!))</f>
        <v>#REF!</v>
      </c>
      <c r="D956" s="11" t="str">
        <f>IFERROR(_xlfn.AGGREGATE(15,6,$C$3:$C$53,ROW('Production Matrix'!#REF!)),"")</f>
        <v/>
      </c>
      <c r="E956" s="11" t="str">
        <f t="shared" si="23"/>
        <v/>
      </c>
      <c r="F956" s="12">
        <f>IFERROR(INDEX('Production Matrix'!$B:$B,E956,0),0)</f>
        <v>0</v>
      </c>
    </row>
    <row r="957" spans="3:6">
      <c r="C957" s="11" t="e">
        <f>IF(1*('Production Matrix'!A:A="تكلفة انتاج الوحدة")*ROW('Production Matrix'!#REF!)=0,1/0,1*('Production Matrix'!A:A="تكلفة انتاج الوحدة")*ROW('Production Matrix'!#REF!))</f>
        <v>#REF!</v>
      </c>
      <c r="D957" s="11" t="str">
        <f>IFERROR(_xlfn.AGGREGATE(15,6,$C$3:$C$53,ROW('Production Matrix'!#REF!)),"")</f>
        <v/>
      </c>
      <c r="E957" s="11" t="str">
        <f t="shared" si="23"/>
        <v/>
      </c>
      <c r="F957" s="12">
        <f>IFERROR(INDEX('Production Matrix'!$B:$B,E957,0),0)</f>
        <v>0</v>
      </c>
    </row>
    <row r="958" spans="3:6">
      <c r="C958" s="11" t="e">
        <f>IF(1*('Production Matrix'!A:A="تكلفة انتاج الوحدة")*ROW('Production Matrix'!#REF!)=0,1/0,1*('Production Matrix'!A:A="تكلفة انتاج الوحدة")*ROW('Production Matrix'!#REF!))</f>
        <v>#REF!</v>
      </c>
      <c r="D958" s="11" t="str">
        <f>IFERROR(_xlfn.AGGREGATE(15,6,$C$3:$C$53,ROW('Production Matrix'!#REF!)),"")</f>
        <v/>
      </c>
      <c r="E958" s="11" t="str">
        <f t="shared" si="23"/>
        <v/>
      </c>
      <c r="F958" s="12">
        <f>IFERROR(INDEX('Production Matrix'!$B:$B,E958,0),0)</f>
        <v>0</v>
      </c>
    </row>
    <row r="959" spans="3:6">
      <c r="C959" s="11" t="e">
        <f>IF(1*('Production Matrix'!A:A="تكلفة انتاج الوحدة")*ROW('Production Matrix'!#REF!)=0,1/0,1*('Production Matrix'!A:A="تكلفة انتاج الوحدة")*ROW('Production Matrix'!#REF!))</f>
        <v>#REF!</v>
      </c>
      <c r="D959" s="11" t="str">
        <f>IFERROR(_xlfn.AGGREGATE(15,6,$C$3:$C$53,ROW('Production Matrix'!#REF!)),"")</f>
        <v/>
      </c>
      <c r="E959" s="11" t="str">
        <f t="shared" si="23"/>
        <v/>
      </c>
      <c r="F959" s="12">
        <f>IFERROR(INDEX('Production Matrix'!$B:$B,E959,0),0)</f>
        <v>0</v>
      </c>
    </row>
    <row r="960" spans="3:6">
      <c r="C960" s="11" t="e">
        <f>IF(1*('Production Matrix'!A:A="تكلفة انتاج الوحدة")*ROW('Production Matrix'!#REF!)=0,1/0,1*('Production Matrix'!A:A="تكلفة انتاج الوحدة")*ROW('Production Matrix'!#REF!))</f>
        <v>#REF!</v>
      </c>
      <c r="D960" s="11" t="str">
        <f>IFERROR(_xlfn.AGGREGATE(15,6,$C$3:$C$53,ROW('Production Matrix'!#REF!)),"")</f>
        <v/>
      </c>
      <c r="E960" s="11" t="str">
        <f t="shared" si="23"/>
        <v/>
      </c>
      <c r="F960" s="12">
        <f>IFERROR(INDEX('Production Matrix'!$B:$B,E960,0),0)</f>
        <v>0</v>
      </c>
    </row>
    <row r="961" spans="3:6">
      <c r="C961" s="11" t="e">
        <f>IF(1*('Production Matrix'!A:A="تكلفة انتاج الوحدة")*ROW('Production Matrix'!#REF!)=0,1/0,1*('Production Matrix'!A:A="تكلفة انتاج الوحدة")*ROW('Production Matrix'!#REF!))</f>
        <v>#REF!</v>
      </c>
      <c r="D961" s="11" t="str">
        <f>IFERROR(_xlfn.AGGREGATE(15,6,$C$3:$C$53,ROW('Production Matrix'!#REF!)),"")</f>
        <v/>
      </c>
      <c r="E961" s="11" t="str">
        <f t="shared" si="23"/>
        <v/>
      </c>
      <c r="F961" s="12">
        <f>IFERROR(INDEX('Production Matrix'!$B:$B,E961,0),0)</f>
        <v>0</v>
      </c>
    </row>
    <row r="962" spans="3:6">
      <c r="C962" s="11" t="e">
        <f>IF(1*('Production Matrix'!A:A="تكلفة انتاج الوحدة")*ROW('Production Matrix'!#REF!)=0,1/0,1*('Production Matrix'!A:A="تكلفة انتاج الوحدة")*ROW('Production Matrix'!#REF!))</f>
        <v>#REF!</v>
      </c>
      <c r="D962" s="11" t="str">
        <f>IFERROR(_xlfn.AGGREGATE(15,6,$C$3:$C$53,ROW('Production Matrix'!#REF!)),"")</f>
        <v/>
      </c>
      <c r="E962" s="11" t="str">
        <f t="shared" si="23"/>
        <v/>
      </c>
      <c r="F962" s="12">
        <f>IFERROR(INDEX('Production Matrix'!$B:$B,E962,0),0)</f>
        <v>0</v>
      </c>
    </row>
    <row r="963" spans="3:6">
      <c r="C963" s="11" t="e">
        <f>IF(1*('Production Matrix'!A:A="تكلفة انتاج الوحدة")*ROW('Production Matrix'!#REF!)=0,1/0,1*('Production Matrix'!A:A="تكلفة انتاج الوحدة")*ROW('Production Matrix'!#REF!))</f>
        <v>#REF!</v>
      </c>
      <c r="D963" s="11" t="str">
        <f>IFERROR(_xlfn.AGGREGATE(15,6,$C$3:$C$53,ROW('Production Matrix'!#REF!)),"")</f>
        <v/>
      </c>
      <c r="E963" s="11" t="str">
        <f t="shared" si="23"/>
        <v/>
      </c>
      <c r="F963" s="12">
        <f>IFERROR(INDEX('Production Matrix'!$B:$B,E963,0),0)</f>
        <v>0</v>
      </c>
    </row>
    <row r="964" spans="3:6">
      <c r="C964" s="11" t="e">
        <f>IF(1*('Production Matrix'!A:A="تكلفة انتاج الوحدة")*ROW('Production Matrix'!#REF!)=0,1/0,1*('Production Matrix'!A:A="تكلفة انتاج الوحدة")*ROW('Production Matrix'!#REF!))</f>
        <v>#REF!</v>
      </c>
      <c r="D964" s="11" t="str">
        <f>IFERROR(_xlfn.AGGREGATE(15,6,$C$3:$C$53,ROW('Production Matrix'!#REF!)),"")</f>
        <v/>
      </c>
      <c r="E964" s="11" t="str">
        <f t="shared" si="23"/>
        <v/>
      </c>
      <c r="F964" s="12">
        <f>IFERROR(INDEX('Production Matrix'!$B:$B,E964,0),0)</f>
        <v>0</v>
      </c>
    </row>
    <row r="965" spans="3:6">
      <c r="C965" s="11" t="e">
        <f>IF(1*('Production Matrix'!A:A="تكلفة انتاج الوحدة")*ROW('Production Matrix'!#REF!)=0,1/0,1*('Production Matrix'!A:A="تكلفة انتاج الوحدة")*ROW('Production Matrix'!#REF!))</f>
        <v>#REF!</v>
      </c>
      <c r="D965" s="11" t="str">
        <f>IFERROR(_xlfn.AGGREGATE(15,6,$C$3:$C$53,ROW('Production Matrix'!#REF!)),"")</f>
        <v/>
      </c>
      <c r="E965" s="11" t="str">
        <f t="shared" si="23"/>
        <v/>
      </c>
      <c r="F965" s="12">
        <f>IFERROR(INDEX('Production Matrix'!$B:$B,E965,0),0)</f>
        <v>0</v>
      </c>
    </row>
    <row r="966" spans="3:6">
      <c r="C966" s="11" t="e">
        <f>IF(1*('Production Matrix'!A:A="تكلفة انتاج الوحدة")*ROW('Production Matrix'!#REF!)=0,1/0,1*('Production Matrix'!A:A="تكلفة انتاج الوحدة")*ROW('Production Matrix'!#REF!))</f>
        <v>#REF!</v>
      </c>
      <c r="D966" s="11" t="str">
        <f>IFERROR(_xlfn.AGGREGATE(15,6,$C$3:$C$53,ROW('Production Matrix'!#REF!)),"")</f>
        <v/>
      </c>
      <c r="E966" s="11" t="str">
        <f t="shared" si="23"/>
        <v/>
      </c>
      <c r="F966" s="12">
        <f>IFERROR(INDEX('Production Matrix'!$B:$B,E966,0),0)</f>
        <v>0</v>
      </c>
    </row>
    <row r="967" spans="3:6">
      <c r="C967" s="11" t="e">
        <f>IF(1*('Production Matrix'!A:A="تكلفة انتاج الوحدة")*ROW('Production Matrix'!#REF!)=0,1/0,1*('Production Matrix'!A:A="تكلفة انتاج الوحدة")*ROW('Production Matrix'!#REF!))</f>
        <v>#REF!</v>
      </c>
      <c r="D967" s="11" t="str">
        <f>IFERROR(_xlfn.AGGREGATE(15,6,$C$3:$C$53,ROW('Production Matrix'!#REF!)),"")</f>
        <v/>
      </c>
      <c r="E967" s="11" t="str">
        <f t="shared" ref="E967:E1030" si="24">IFERROR(D967+3,"")</f>
        <v/>
      </c>
      <c r="F967" s="12">
        <f>IFERROR(INDEX('Production Matrix'!$B:$B,E967,0),0)</f>
        <v>0</v>
      </c>
    </row>
    <row r="968" spans="3:6">
      <c r="C968" s="11" t="e">
        <f>IF(1*('Production Matrix'!A:A="تكلفة انتاج الوحدة")*ROW('Production Matrix'!#REF!)=0,1/0,1*('Production Matrix'!A:A="تكلفة انتاج الوحدة")*ROW('Production Matrix'!#REF!))</f>
        <v>#REF!</v>
      </c>
      <c r="D968" s="11" t="str">
        <f>IFERROR(_xlfn.AGGREGATE(15,6,$C$3:$C$53,ROW('Production Matrix'!#REF!)),"")</f>
        <v/>
      </c>
      <c r="E968" s="11" t="str">
        <f t="shared" si="24"/>
        <v/>
      </c>
      <c r="F968" s="12">
        <f>IFERROR(INDEX('Production Matrix'!$B:$B,E968,0),0)</f>
        <v>0</v>
      </c>
    </row>
    <row r="969" spans="3:6">
      <c r="C969" s="11" t="e">
        <f>IF(1*('Production Matrix'!A:A="تكلفة انتاج الوحدة")*ROW('Production Matrix'!#REF!)=0,1/0,1*('Production Matrix'!A:A="تكلفة انتاج الوحدة")*ROW('Production Matrix'!#REF!))</f>
        <v>#REF!</v>
      </c>
      <c r="D969" s="11" t="str">
        <f>IFERROR(_xlfn.AGGREGATE(15,6,$C$3:$C$53,ROW('Production Matrix'!#REF!)),"")</f>
        <v/>
      </c>
      <c r="E969" s="11" t="str">
        <f t="shared" si="24"/>
        <v/>
      </c>
      <c r="F969" s="12">
        <f>IFERROR(INDEX('Production Matrix'!$B:$B,E969,0),0)</f>
        <v>0</v>
      </c>
    </row>
    <row r="970" spans="3:6">
      <c r="C970" s="11" t="e">
        <f>IF(1*('Production Matrix'!A:A="تكلفة انتاج الوحدة")*ROW('Production Matrix'!#REF!)=0,1/0,1*('Production Matrix'!A:A="تكلفة انتاج الوحدة")*ROW('Production Matrix'!#REF!))</f>
        <v>#REF!</v>
      </c>
      <c r="D970" s="11" t="str">
        <f>IFERROR(_xlfn.AGGREGATE(15,6,$C$3:$C$53,ROW('Production Matrix'!#REF!)),"")</f>
        <v/>
      </c>
      <c r="E970" s="11" t="str">
        <f t="shared" si="24"/>
        <v/>
      </c>
      <c r="F970" s="12">
        <f>IFERROR(INDEX('Production Matrix'!$B:$B,E970,0),0)</f>
        <v>0</v>
      </c>
    </row>
    <row r="971" spans="3:6">
      <c r="C971" s="11" t="e">
        <f>IF(1*('Production Matrix'!A:A="تكلفة انتاج الوحدة")*ROW('Production Matrix'!#REF!)=0,1/0,1*('Production Matrix'!A:A="تكلفة انتاج الوحدة")*ROW('Production Matrix'!#REF!))</f>
        <v>#REF!</v>
      </c>
      <c r="D971" s="11" t="str">
        <f>IFERROR(_xlfn.AGGREGATE(15,6,$C$3:$C$53,ROW('Production Matrix'!#REF!)),"")</f>
        <v/>
      </c>
      <c r="E971" s="11" t="str">
        <f t="shared" si="24"/>
        <v/>
      </c>
      <c r="F971" s="12">
        <f>IFERROR(INDEX('Production Matrix'!$B:$B,E971,0),0)</f>
        <v>0</v>
      </c>
    </row>
    <row r="972" spans="3:6">
      <c r="C972" s="11" t="e">
        <f>IF(1*('Production Matrix'!A:A="تكلفة انتاج الوحدة")*ROW('Production Matrix'!#REF!)=0,1/0,1*('Production Matrix'!A:A="تكلفة انتاج الوحدة")*ROW('Production Matrix'!#REF!))</f>
        <v>#REF!</v>
      </c>
      <c r="D972" s="11" t="str">
        <f>IFERROR(_xlfn.AGGREGATE(15,6,$C$3:$C$53,ROW('Production Matrix'!#REF!)),"")</f>
        <v/>
      </c>
      <c r="E972" s="11" t="str">
        <f t="shared" si="24"/>
        <v/>
      </c>
      <c r="F972" s="12">
        <f>IFERROR(INDEX('Production Matrix'!$B:$B,E972,0),0)</f>
        <v>0</v>
      </c>
    </row>
    <row r="973" spans="3:6">
      <c r="C973" s="11" t="e">
        <f>IF(1*('Production Matrix'!A:A="تكلفة انتاج الوحدة")*ROW('Production Matrix'!#REF!)=0,1/0,1*('Production Matrix'!A:A="تكلفة انتاج الوحدة")*ROW('Production Matrix'!#REF!))</f>
        <v>#REF!</v>
      </c>
      <c r="D973" s="11" t="str">
        <f>IFERROR(_xlfn.AGGREGATE(15,6,$C$3:$C$53,ROW('Production Matrix'!#REF!)),"")</f>
        <v/>
      </c>
      <c r="E973" s="11" t="str">
        <f t="shared" si="24"/>
        <v/>
      </c>
      <c r="F973" s="12">
        <f>IFERROR(INDEX('Production Matrix'!$B:$B,E973,0),0)</f>
        <v>0</v>
      </c>
    </row>
    <row r="974" spans="3:6">
      <c r="C974" s="11" t="e">
        <f>IF(1*('Production Matrix'!A:A="تكلفة انتاج الوحدة")*ROW('Production Matrix'!#REF!)=0,1/0,1*('Production Matrix'!A:A="تكلفة انتاج الوحدة")*ROW('Production Matrix'!#REF!))</f>
        <v>#REF!</v>
      </c>
      <c r="D974" s="11" t="str">
        <f>IFERROR(_xlfn.AGGREGATE(15,6,$C$3:$C$53,ROW('Production Matrix'!#REF!)),"")</f>
        <v/>
      </c>
      <c r="E974" s="11" t="str">
        <f t="shared" si="24"/>
        <v/>
      </c>
      <c r="F974" s="12">
        <f>IFERROR(INDEX('Production Matrix'!$B:$B,E974,0),0)</f>
        <v>0</v>
      </c>
    </row>
    <row r="975" spans="3:6">
      <c r="C975" s="11" t="e">
        <f>IF(1*('Production Matrix'!A:A="تكلفة انتاج الوحدة")*ROW('Production Matrix'!#REF!)=0,1/0,1*('Production Matrix'!A:A="تكلفة انتاج الوحدة")*ROW('Production Matrix'!#REF!))</f>
        <v>#REF!</v>
      </c>
      <c r="D975" s="11" t="str">
        <f>IFERROR(_xlfn.AGGREGATE(15,6,$C$3:$C$53,ROW('Production Matrix'!#REF!)),"")</f>
        <v/>
      </c>
      <c r="E975" s="11" t="str">
        <f t="shared" si="24"/>
        <v/>
      </c>
      <c r="F975" s="12">
        <f>IFERROR(INDEX('Production Matrix'!$B:$B,E975,0),0)</f>
        <v>0</v>
      </c>
    </row>
    <row r="976" spans="3:6">
      <c r="C976" s="11" t="e">
        <f>IF(1*('Production Matrix'!A:A="تكلفة انتاج الوحدة")*ROW('Production Matrix'!#REF!)=0,1/0,1*('Production Matrix'!A:A="تكلفة انتاج الوحدة")*ROW('Production Matrix'!#REF!))</f>
        <v>#REF!</v>
      </c>
      <c r="D976" s="11" t="str">
        <f>IFERROR(_xlfn.AGGREGATE(15,6,$C$3:$C$53,ROW('Production Matrix'!#REF!)),"")</f>
        <v/>
      </c>
      <c r="E976" s="11" t="str">
        <f t="shared" si="24"/>
        <v/>
      </c>
      <c r="F976" s="12">
        <f>IFERROR(INDEX('Production Matrix'!$B:$B,E976,0),0)</f>
        <v>0</v>
      </c>
    </row>
    <row r="977" spans="3:6">
      <c r="C977" s="11" t="e">
        <f>IF(1*('Production Matrix'!A:A="تكلفة انتاج الوحدة")*ROW('Production Matrix'!#REF!)=0,1/0,1*('Production Matrix'!A:A="تكلفة انتاج الوحدة")*ROW('Production Matrix'!#REF!))</f>
        <v>#REF!</v>
      </c>
      <c r="D977" s="11" t="str">
        <f>IFERROR(_xlfn.AGGREGATE(15,6,$C$3:$C$53,ROW('Production Matrix'!#REF!)),"")</f>
        <v/>
      </c>
      <c r="E977" s="11" t="str">
        <f t="shared" si="24"/>
        <v/>
      </c>
      <c r="F977" s="12">
        <f>IFERROR(INDEX('Production Matrix'!$B:$B,E977,0),0)</f>
        <v>0</v>
      </c>
    </row>
    <row r="978" spans="3:6">
      <c r="C978" s="11" t="e">
        <f>IF(1*('Production Matrix'!A:A="تكلفة انتاج الوحدة")*ROW('Production Matrix'!#REF!)=0,1/0,1*('Production Matrix'!A:A="تكلفة انتاج الوحدة")*ROW('Production Matrix'!#REF!))</f>
        <v>#REF!</v>
      </c>
      <c r="D978" s="11" t="str">
        <f>IFERROR(_xlfn.AGGREGATE(15,6,$C$3:$C$53,ROW('Production Matrix'!#REF!)),"")</f>
        <v/>
      </c>
      <c r="E978" s="11" t="str">
        <f t="shared" si="24"/>
        <v/>
      </c>
      <c r="F978" s="12">
        <f>IFERROR(INDEX('Production Matrix'!$B:$B,E978,0),0)</f>
        <v>0</v>
      </c>
    </row>
    <row r="979" spans="3:6">
      <c r="C979" s="11" t="e">
        <f>IF(1*('Production Matrix'!A:A="تكلفة انتاج الوحدة")*ROW('Production Matrix'!#REF!)=0,1/0,1*('Production Matrix'!A:A="تكلفة انتاج الوحدة")*ROW('Production Matrix'!#REF!))</f>
        <v>#REF!</v>
      </c>
      <c r="D979" s="11" t="str">
        <f>IFERROR(_xlfn.AGGREGATE(15,6,$C$3:$C$53,ROW('Production Matrix'!#REF!)),"")</f>
        <v/>
      </c>
      <c r="E979" s="11" t="str">
        <f t="shared" si="24"/>
        <v/>
      </c>
      <c r="F979" s="12">
        <f>IFERROR(INDEX('Production Matrix'!$B:$B,E979,0),0)</f>
        <v>0</v>
      </c>
    </row>
    <row r="980" spans="3:6">
      <c r="C980" s="11" t="e">
        <f>IF(1*('Production Matrix'!A:A="تكلفة انتاج الوحدة")*ROW('Production Matrix'!#REF!)=0,1/0,1*('Production Matrix'!A:A="تكلفة انتاج الوحدة")*ROW('Production Matrix'!#REF!))</f>
        <v>#REF!</v>
      </c>
      <c r="D980" s="11" t="str">
        <f>IFERROR(_xlfn.AGGREGATE(15,6,$C$3:$C$53,ROW('Production Matrix'!#REF!)),"")</f>
        <v/>
      </c>
      <c r="E980" s="11" t="str">
        <f t="shared" si="24"/>
        <v/>
      </c>
      <c r="F980" s="12">
        <f>IFERROR(INDEX('Production Matrix'!$B:$B,E980,0),0)</f>
        <v>0</v>
      </c>
    </row>
    <row r="981" spans="3:6">
      <c r="C981" s="11" t="e">
        <f>IF(1*('Production Matrix'!A:A="تكلفة انتاج الوحدة")*ROW('Production Matrix'!#REF!)=0,1/0,1*('Production Matrix'!A:A="تكلفة انتاج الوحدة")*ROW('Production Matrix'!#REF!))</f>
        <v>#REF!</v>
      </c>
      <c r="D981" s="11" t="str">
        <f>IFERROR(_xlfn.AGGREGATE(15,6,$C$3:$C$53,ROW('Production Matrix'!#REF!)),"")</f>
        <v/>
      </c>
      <c r="E981" s="11" t="str">
        <f t="shared" si="24"/>
        <v/>
      </c>
      <c r="F981" s="12">
        <f>IFERROR(INDEX('Production Matrix'!$B:$B,E981,0),0)</f>
        <v>0</v>
      </c>
    </row>
    <row r="982" spans="3:6">
      <c r="C982" s="11" t="e">
        <f>IF(1*('Production Matrix'!A:A="تكلفة انتاج الوحدة")*ROW('Production Matrix'!#REF!)=0,1/0,1*('Production Matrix'!A:A="تكلفة انتاج الوحدة")*ROW('Production Matrix'!#REF!))</f>
        <v>#REF!</v>
      </c>
      <c r="D982" s="11" t="str">
        <f>IFERROR(_xlfn.AGGREGATE(15,6,$C$3:$C$53,ROW('Production Matrix'!#REF!)),"")</f>
        <v/>
      </c>
      <c r="E982" s="11" t="str">
        <f t="shared" si="24"/>
        <v/>
      </c>
      <c r="F982" s="12">
        <f>IFERROR(INDEX('Production Matrix'!$B:$B,E982,0),0)</f>
        <v>0</v>
      </c>
    </row>
    <row r="983" spans="3:6">
      <c r="C983" s="11" t="e">
        <f>IF(1*('Production Matrix'!A:A="تكلفة انتاج الوحدة")*ROW('Production Matrix'!#REF!)=0,1/0,1*('Production Matrix'!A:A="تكلفة انتاج الوحدة")*ROW('Production Matrix'!#REF!))</f>
        <v>#REF!</v>
      </c>
      <c r="D983" s="11" t="str">
        <f>IFERROR(_xlfn.AGGREGATE(15,6,$C$3:$C$53,ROW('Production Matrix'!#REF!)),"")</f>
        <v/>
      </c>
      <c r="E983" s="11" t="str">
        <f t="shared" si="24"/>
        <v/>
      </c>
      <c r="F983" s="12">
        <f>IFERROR(INDEX('Production Matrix'!$B:$B,E983,0),0)</f>
        <v>0</v>
      </c>
    </row>
    <row r="984" spans="3:6">
      <c r="C984" s="11" t="e">
        <f>IF(1*('Production Matrix'!A:A="تكلفة انتاج الوحدة")*ROW('Production Matrix'!#REF!)=0,1/0,1*('Production Matrix'!A:A="تكلفة انتاج الوحدة")*ROW('Production Matrix'!#REF!))</f>
        <v>#REF!</v>
      </c>
      <c r="D984" s="11" t="str">
        <f>IFERROR(_xlfn.AGGREGATE(15,6,$C$3:$C$53,ROW('Production Matrix'!#REF!)),"")</f>
        <v/>
      </c>
      <c r="E984" s="11" t="str">
        <f t="shared" si="24"/>
        <v/>
      </c>
      <c r="F984" s="12">
        <f>IFERROR(INDEX('Production Matrix'!$B:$B,E984,0),0)</f>
        <v>0</v>
      </c>
    </row>
    <row r="985" spans="3:6">
      <c r="C985" s="11" t="e">
        <f>IF(1*('Production Matrix'!A:A="تكلفة انتاج الوحدة")*ROW('Production Matrix'!#REF!)=0,1/0,1*('Production Matrix'!A:A="تكلفة انتاج الوحدة")*ROW('Production Matrix'!#REF!))</f>
        <v>#REF!</v>
      </c>
      <c r="D985" s="11" t="str">
        <f>IFERROR(_xlfn.AGGREGATE(15,6,$C$3:$C$53,ROW('Production Matrix'!#REF!)),"")</f>
        <v/>
      </c>
      <c r="E985" s="11" t="str">
        <f t="shared" si="24"/>
        <v/>
      </c>
      <c r="F985" s="12">
        <f>IFERROR(INDEX('Production Matrix'!$B:$B,E985,0),0)</f>
        <v>0</v>
      </c>
    </row>
    <row r="986" spans="3:6">
      <c r="C986" s="11" t="e">
        <f>IF(1*('Production Matrix'!A:A="تكلفة انتاج الوحدة")*ROW('Production Matrix'!#REF!)=0,1/0,1*('Production Matrix'!A:A="تكلفة انتاج الوحدة")*ROW('Production Matrix'!#REF!))</f>
        <v>#REF!</v>
      </c>
      <c r="D986" s="11" t="str">
        <f>IFERROR(_xlfn.AGGREGATE(15,6,$C$3:$C$53,ROW('Production Matrix'!#REF!)),"")</f>
        <v/>
      </c>
      <c r="E986" s="11" t="str">
        <f t="shared" si="24"/>
        <v/>
      </c>
      <c r="F986" s="12">
        <f>IFERROR(INDEX('Production Matrix'!$B:$B,E986,0),0)</f>
        <v>0</v>
      </c>
    </row>
    <row r="987" spans="3:6">
      <c r="C987" s="11" t="e">
        <f>IF(1*('Production Matrix'!A:A="تكلفة انتاج الوحدة")*ROW('Production Matrix'!#REF!)=0,1/0,1*('Production Matrix'!A:A="تكلفة انتاج الوحدة")*ROW('Production Matrix'!#REF!))</f>
        <v>#REF!</v>
      </c>
      <c r="D987" s="11" t="str">
        <f>IFERROR(_xlfn.AGGREGATE(15,6,$C$3:$C$53,ROW('Production Matrix'!#REF!)),"")</f>
        <v/>
      </c>
      <c r="E987" s="11" t="str">
        <f t="shared" si="24"/>
        <v/>
      </c>
      <c r="F987" s="12">
        <f>IFERROR(INDEX('Production Matrix'!$B:$B,E987,0),0)</f>
        <v>0</v>
      </c>
    </row>
    <row r="988" spans="3:6">
      <c r="C988" s="11" t="e">
        <f>IF(1*('Production Matrix'!A:A="تكلفة انتاج الوحدة")*ROW('Production Matrix'!#REF!)=0,1/0,1*('Production Matrix'!A:A="تكلفة انتاج الوحدة")*ROW('Production Matrix'!#REF!))</f>
        <v>#REF!</v>
      </c>
      <c r="D988" s="11" t="str">
        <f>IFERROR(_xlfn.AGGREGATE(15,6,$C$3:$C$53,ROW('Production Matrix'!#REF!)),"")</f>
        <v/>
      </c>
      <c r="E988" s="11" t="str">
        <f t="shared" si="24"/>
        <v/>
      </c>
      <c r="F988" s="12">
        <f>IFERROR(INDEX('Production Matrix'!$B:$B,E988,0),0)</f>
        <v>0</v>
      </c>
    </row>
    <row r="989" spans="3:6">
      <c r="C989" s="11" t="e">
        <f>IF(1*('Production Matrix'!A:A="تكلفة انتاج الوحدة")*ROW('Production Matrix'!#REF!)=0,1/0,1*('Production Matrix'!A:A="تكلفة انتاج الوحدة")*ROW('Production Matrix'!#REF!))</f>
        <v>#REF!</v>
      </c>
      <c r="D989" s="11" t="str">
        <f>IFERROR(_xlfn.AGGREGATE(15,6,$C$3:$C$53,ROW('Production Matrix'!#REF!)),"")</f>
        <v/>
      </c>
      <c r="E989" s="11" t="str">
        <f t="shared" si="24"/>
        <v/>
      </c>
      <c r="F989" s="12">
        <f>IFERROR(INDEX('Production Matrix'!$B:$B,E989,0),0)</f>
        <v>0</v>
      </c>
    </row>
    <row r="990" spans="3:6">
      <c r="C990" s="11" t="e">
        <f>IF(1*('Production Matrix'!A:A="تكلفة انتاج الوحدة")*ROW('Production Matrix'!#REF!)=0,1/0,1*('Production Matrix'!A:A="تكلفة انتاج الوحدة")*ROW('Production Matrix'!#REF!))</f>
        <v>#REF!</v>
      </c>
      <c r="D990" s="11" t="str">
        <f>IFERROR(_xlfn.AGGREGATE(15,6,$C$3:$C$53,ROW('Production Matrix'!#REF!)),"")</f>
        <v/>
      </c>
      <c r="E990" s="11" t="str">
        <f t="shared" si="24"/>
        <v/>
      </c>
      <c r="F990" s="12">
        <f>IFERROR(INDEX('Production Matrix'!$B:$B,E990,0),0)</f>
        <v>0</v>
      </c>
    </row>
    <row r="991" spans="3:6">
      <c r="C991" s="11" t="e">
        <f>IF(1*('Production Matrix'!A:A="تكلفة انتاج الوحدة")*ROW('Production Matrix'!#REF!)=0,1/0,1*('Production Matrix'!A:A="تكلفة انتاج الوحدة")*ROW('Production Matrix'!#REF!))</f>
        <v>#REF!</v>
      </c>
      <c r="D991" s="11" t="str">
        <f>IFERROR(_xlfn.AGGREGATE(15,6,$C$3:$C$53,ROW('Production Matrix'!#REF!)),"")</f>
        <v/>
      </c>
      <c r="E991" s="11" t="str">
        <f t="shared" si="24"/>
        <v/>
      </c>
      <c r="F991" s="12">
        <f>IFERROR(INDEX('Production Matrix'!$B:$B,E991,0),0)</f>
        <v>0</v>
      </c>
    </row>
    <row r="992" spans="3:6">
      <c r="C992" s="11" t="e">
        <f>IF(1*('Production Matrix'!A:A="تكلفة انتاج الوحدة")*ROW('Production Matrix'!#REF!)=0,1/0,1*('Production Matrix'!A:A="تكلفة انتاج الوحدة")*ROW('Production Matrix'!#REF!))</f>
        <v>#REF!</v>
      </c>
      <c r="D992" s="11" t="str">
        <f>IFERROR(_xlfn.AGGREGATE(15,6,$C$3:$C$53,ROW('Production Matrix'!#REF!)),"")</f>
        <v/>
      </c>
      <c r="E992" s="11" t="str">
        <f t="shared" si="24"/>
        <v/>
      </c>
      <c r="F992" s="12">
        <f>IFERROR(INDEX('Production Matrix'!$B:$B,E992,0),0)</f>
        <v>0</v>
      </c>
    </row>
    <row r="993" spans="3:6">
      <c r="C993" s="11" t="e">
        <f>IF(1*('Production Matrix'!A:A="تكلفة انتاج الوحدة")*ROW('Production Matrix'!#REF!)=0,1/0,1*('Production Matrix'!A:A="تكلفة انتاج الوحدة")*ROW('Production Matrix'!#REF!))</f>
        <v>#REF!</v>
      </c>
      <c r="D993" s="11" t="str">
        <f>IFERROR(_xlfn.AGGREGATE(15,6,$C$3:$C$53,ROW('Production Matrix'!#REF!)),"")</f>
        <v/>
      </c>
      <c r="E993" s="11" t="str">
        <f t="shared" si="24"/>
        <v/>
      </c>
      <c r="F993" s="12">
        <f>IFERROR(INDEX('Production Matrix'!$B:$B,E993,0),0)</f>
        <v>0</v>
      </c>
    </row>
    <row r="994" spans="3:6">
      <c r="C994" s="11" t="e">
        <f>IF(1*('Production Matrix'!A:A="تكلفة انتاج الوحدة")*ROW('Production Matrix'!#REF!)=0,1/0,1*('Production Matrix'!A:A="تكلفة انتاج الوحدة")*ROW('Production Matrix'!#REF!))</f>
        <v>#REF!</v>
      </c>
      <c r="D994" s="11" t="str">
        <f>IFERROR(_xlfn.AGGREGATE(15,6,$C$3:$C$53,ROW('Production Matrix'!#REF!)),"")</f>
        <v/>
      </c>
      <c r="E994" s="11" t="str">
        <f t="shared" si="24"/>
        <v/>
      </c>
      <c r="F994" s="12">
        <f>IFERROR(INDEX('Production Matrix'!$B:$B,E994,0),0)</f>
        <v>0</v>
      </c>
    </row>
    <row r="995" spans="3:6">
      <c r="C995" s="11" t="e">
        <f>IF(1*('Production Matrix'!A:A="تكلفة انتاج الوحدة")*ROW('Production Matrix'!#REF!)=0,1/0,1*('Production Matrix'!A:A="تكلفة انتاج الوحدة")*ROW('Production Matrix'!#REF!))</f>
        <v>#REF!</v>
      </c>
      <c r="D995" s="11" t="str">
        <f>IFERROR(_xlfn.AGGREGATE(15,6,$C$3:$C$53,ROW('Production Matrix'!#REF!)),"")</f>
        <v/>
      </c>
      <c r="E995" s="11" t="str">
        <f t="shared" si="24"/>
        <v/>
      </c>
      <c r="F995" s="12">
        <f>IFERROR(INDEX('Production Matrix'!$B:$B,E995,0),0)</f>
        <v>0</v>
      </c>
    </row>
    <row r="996" spans="3:6">
      <c r="C996" s="11" t="e">
        <f>IF(1*('Production Matrix'!A:A="تكلفة انتاج الوحدة")*ROW('Production Matrix'!#REF!)=0,1/0,1*('Production Matrix'!A:A="تكلفة انتاج الوحدة")*ROW('Production Matrix'!#REF!))</f>
        <v>#REF!</v>
      </c>
      <c r="D996" s="11" t="str">
        <f>IFERROR(_xlfn.AGGREGATE(15,6,$C$3:$C$53,ROW('Production Matrix'!#REF!)),"")</f>
        <v/>
      </c>
      <c r="E996" s="11" t="str">
        <f t="shared" si="24"/>
        <v/>
      </c>
      <c r="F996" s="12">
        <f>IFERROR(INDEX('Production Matrix'!$B:$B,E996,0),0)</f>
        <v>0</v>
      </c>
    </row>
    <row r="997" spans="3:6">
      <c r="C997" s="11" t="e">
        <f>IF(1*('Production Matrix'!A:A="تكلفة انتاج الوحدة")*ROW('Production Matrix'!#REF!)=0,1/0,1*('Production Matrix'!A:A="تكلفة انتاج الوحدة")*ROW('Production Matrix'!#REF!))</f>
        <v>#REF!</v>
      </c>
      <c r="D997" s="11" t="str">
        <f>IFERROR(_xlfn.AGGREGATE(15,6,$C$3:$C$53,ROW('Production Matrix'!#REF!)),"")</f>
        <v/>
      </c>
      <c r="E997" s="11" t="str">
        <f t="shared" si="24"/>
        <v/>
      </c>
      <c r="F997" s="12">
        <f>IFERROR(INDEX('Production Matrix'!$B:$B,E997,0),0)</f>
        <v>0</v>
      </c>
    </row>
    <row r="998" spans="3:6">
      <c r="C998" s="11" t="e">
        <f>IF(1*('Production Matrix'!A:A="تكلفة انتاج الوحدة")*ROW('Production Matrix'!#REF!)=0,1/0,1*('Production Matrix'!A:A="تكلفة انتاج الوحدة")*ROW('Production Matrix'!#REF!))</f>
        <v>#REF!</v>
      </c>
      <c r="D998" s="11" t="str">
        <f>IFERROR(_xlfn.AGGREGATE(15,6,$C$3:$C$53,ROW('Production Matrix'!#REF!)),"")</f>
        <v/>
      </c>
      <c r="E998" s="11" t="str">
        <f t="shared" si="24"/>
        <v/>
      </c>
      <c r="F998" s="12">
        <f>IFERROR(INDEX('Production Matrix'!$B:$B,E998,0),0)</f>
        <v>0</v>
      </c>
    </row>
    <row r="999" spans="3:6">
      <c r="C999" s="11" t="e">
        <f>IF(1*('Production Matrix'!A:A="تكلفة انتاج الوحدة")*ROW('Production Matrix'!#REF!)=0,1/0,1*('Production Matrix'!A:A="تكلفة انتاج الوحدة")*ROW('Production Matrix'!#REF!))</f>
        <v>#REF!</v>
      </c>
      <c r="D999" s="11" t="str">
        <f>IFERROR(_xlfn.AGGREGATE(15,6,$C$3:$C$53,ROW('Production Matrix'!#REF!)),"")</f>
        <v/>
      </c>
      <c r="E999" s="11" t="str">
        <f t="shared" si="24"/>
        <v/>
      </c>
      <c r="F999" s="12">
        <f>IFERROR(INDEX('Production Matrix'!$B:$B,E999,0),0)</f>
        <v>0</v>
      </c>
    </row>
    <row r="1000" spans="3:6">
      <c r="C1000" s="11" t="e">
        <f>IF(1*('Production Matrix'!A:A="تكلفة انتاج الوحدة")*ROW('Production Matrix'!#REF!)=0,1/0,1*('Production Matrix'!A:A="تكلفة انتاج الوحدة")*ROW('Production Matrix'!#REF!))</f>
        <v>#REF!</v>
      </c>
      <c r="D1000" s="11" t="str">
        <f>IFERROR(_xlfn.AGGREGATE(15,6,$C$3:$C$53,ROW('Production Matrix'!#REF!)),"")</f>
        <v/>
      </c>
      <c r="E1000" s="11" t="str">
        <f t="shared" si="24"/>
        <v/>
      </c>
      <c r="F1000" s="12">
        <f>IFERROR(INDEX('Production Matrix'!$B:$B,E1000,0),0)</f>
        <v>0</v>
      </c>
    </row>
    <row r="1001" spans="3:6">
      <c r="C1001" s="11" t="e">
        <f>IF(1*('Production Matrix'!A:A="تكلفة انتاج الوحدة")*ROW('Production Matrix'!#REF!)=0,1/0,1*('Production Matrix'!A:A="تكلفة انتاج الوحدة")*ROW('Production Matrix'!#REF!))</f>
        <v>#REF!</v>
      </c>
      <c r="D1001" s="11" t="str">
        <f>IFERROR(_xlfn.AGGREGATE(15,6,$C$3:$C$53,ROW('Production Matrix'!#REF!)),"")</f>
        <v/>
      </c>
      <c r="E1001" s="11" t="str">
        <f t="shared" si="24"/>
        <v/>
      </c>
      <c r="F1001" s="12">
        <f>IFERROR(INDEX('Production Matrix'!$B:$B,E1001,0),0)</f>
        <v>0</v>
      </c>
    </row>
    <row r="1002" spans="3:6">
      <c r="C1002" s="11" t="e">
        <f>IF(1*('Production Matrix'!A:A="تكلفة انتاج الوحدة")*ROW('Production Matrix'!#REF!)=0,1/0,1*('Production Matrix'!A:A="تكلفة انتاج الوحدة")*ROW('Production Matrix'!#REF!))</f>
        <v>#REF!</v>
      </c>
      <c r="D1002" s="11" t="str">
        <f>IFERROR(_xlfn.AGGREGATE(15,6,$C$3:$C$53,ROW('Production Matrix'!#REF!)),"")</f>
        <v/>
      </c>
      <c r="E1002" s="11" t="str">
        <f t="shared" si="24"/>
        <v/>
      </c>
      <c r="F1002" s="12">
        <f>IFERROR(INDEX('Production Matrix'!$B:$B,E1002,0),0)</f>
        <v>0</v>
      </c>
    </row>
    <row r="1003" spans="3:6">
      <c r="C1003" s="11" t="e">
        <f>IF(1*('Production Matrix'!A:A="تكلفة انتاج الوحدة")*ROW('Production Matrix'!#REF!)=0,1/0,1*('Production Matrix'!A:A="تكلفة انتاج الوحدة")*ROW('Production Matrix'!#REF!))</f>
        <v>#REF!</v>
      </c>
      <c r="D1003" s="11" t="str">
        <f>IFERROR(_xlfn.AGGREGATE(15,6,$C$3:$C$53,ROW('Production Matrix'!#REF!)),"")</f>
        <v/>
      </c>
      <c r="E1003" s="11" t="str">
        <f t="shared" si="24"/>
        <v/>
      </c>
      <c r="F1003" s="12">
        <f>IFERROR(INDEX('Production Matrix'!$B:$B,E1003,0),0)</f>
        <v>0</v>
      </c>
    </row>
    <row r="1004" spans="3:6">
      <c r="C1004" s="11" t="e">
        <f>IF(1*('Production Matrix'!A:A="تكلفة انتاج الوحدة")*ROW('Production Matrix'!#REF!)=0,1/0,1*('Production Matrix'!A:A="تكلفة انتاج الوحدة")*ROW('Production Matrix'!#REF!))</f>
        <v>#REF!</v>
      </c>
      <c r="D1004" s="11" t="str">
        <f>IFERROR(_xlfn.AGGREGATE(15,6,$C$3:$C$53,ROW('Production Matrix'!#REF!)),"")</f>
        <v/>
      </c>
      <c r="E1004" s="11" t="str">
        <f t="shared" si="24"/>
        <v/>
      </c>
      <c r="F1004" s="12">
        <f>IFERROR(INDEX('Production Matrix'!$B:$B,E1004,0),0)</f>
        <v>0</v>
      </c>
    </row>
    <row r="1005" spans="3:6">
      <c r="C1005" s="11" t="e">
        <f>IF(1*('Production Matrix'!A:A="تكلفة انتاج الوحدة")*ROW('Production Matrix'!#REF!)=0,1/0,1*('Production Matrix'!A:A="تكلفة انتاج الوحدة")*ROW('Production Matrix'!#REF!))</f>
        <v>#REF!</v>
      </c>
      <c r="D1005" s="11" t="str">
        <f>IFERROR(_xlfn.AGGREGATE(15,6,$C$3:$C$53,ROW('Production Matrix'!#REF!)),"")</f>
        <v/>
      </c>
      <c r="E1005" s="11" t="str">
        <f t="shared" si="24"/>
        <v/>
      </c>
      <c r="F1005" s="12">
        <f>IFERROR(INDEX('Production Matrix'!$B:$B,E1005,0),0)</f>
        <v>0</v>
      </c>
    </row>
    <row r="1006" spans="3:6">
      <c r="C1006" s="11" t="e">
        <f>IF(1*('Production Matrix'!A:A="تكلفة انتاج الوحدة")*ROW('Production Matrix'!#REF!)=0,1/0,1*('Production Matrix'!A:A="تكلفة انتاج الوحدة")*ROW('Production Matrix'!#REF!))</f>
        <v>#REF!</v>
      </c>
      <c r="D1006" s="11" t="str">
        <f>IFERROR(_xlfn.AGGREGATE(15,6,$C$3:$C$53,ROW('Production Matrix'!#REF!)),"")</f>
        <v/>
      </c>
      <c r="E1006" s="11" t="str">
        <f t="shared" si="24"/>
        <v/>
      </c>
      <c r="F1006" s="12">
        <f>IFERROR(INDEX('Production Matrix'!$B:$B,E1006,0),0)</f>
        <v>0</v>
      </c>
    </row>
    <row r="1007" spans="3:6">
      <c r="C1007" s="11" t="e">
        <f>IF(1*('Production Matrix'!A:A="تكلفة انتاج الوحدة")*ROW('Production Matrix'!#REF!)=0,1/0,1*('Production Matrix'!A:A="تكلفة انتاج الوحدة")*ROW('Production Matrix'!#REF!))</f>
        <v>#REF!</v>
      </c>
      <c r="D1007" s="11" t="str">
        <f>IFERROR(_xlfn.AGGREGATE(15,6,$C$3:$C$53,ROW('Production Matrix'!#REF!)),"")</f>
        <v/>
      </c>
      <c r="E1007" s="11" t="str">
        <f t="shared" si="24"/>
        <v/>
      </c>
      <c r="F1007" s="12">
        <f>IFERROR(INDEX('Production Matrix'!$B:$B,E1007,0),0)</f>
        <v>0</v>
      </c>
    </row>
    <row r="1008" spans="3:6">
      <c r="C1008" s="11" t="e">
        <f>IF(1*('Production Matrix'!A:A="تكلفة انتاج الوحدة")*ROW('Production Matrix'!#REF!)=0,1/0,1*('Production Matrix'!A:A="تكلفة انتاج الوحدة")*ROW('Production Matrix'!#REF!))</f>
        <v>#REF!</v>
      </c>
      <c r="D1008" s="11" t="str">
        <f>IFERROR(_xlfn.AGGREGATE(15,6,$C$3:$C$53,ROW('Production Matrix'!#REF!)),"")</f>
        <v/>
      </c>
      <c r="E1008" s="11" t="str">
        <f t="shared" si="24"/>
        <v/>
      </c>
      <c r="F1008" s="12">
        <f>IFERROR(INDEX('Production Matrix'!$B:$B,E1008,0),0)</f>
        <v>0</v>
      </c>
    </row>
    <row r="1009" spans="3:6">
      <c r="C1009" s="11" t="e">
        <f>IF(1*('Production Matrix'!A:A="تكلفة انتاج الوحدة")*ROW('Production Matrix'!#REF!)=0,1/0,1*('Production Matrix'!A:A="تكلفة انتاج الوحدة")*ROW('Production Matrix'!#REF!))</f>
        <v>#REF!</v>
      </c>
      <c r="D1009" s="11" t="str">
        <f>IFERROR(_xlfn.AGGREGATE(15,6,$C$3:$C$53,ROW('Production Matrix'!#REF!)),"")</f>
        <v/>
      </c>
      <c r="E1009" s="11" t="str">
        <f t="shared" si="24"/>
        <v/>
      </c>
      <c r="F1009" s="12">
        <f>IFERROR(INDEX('Production Matrix'!$B:$B,E1009,0),0)</f>
        <v>0</v>
      </c>
    </row>
    <row r="1010" spans="3:6">
      <c r="C1010" s="11" t="e">
        <f>IF(1*('Production Matrix'!A:A="تكلفة انتاج الوحدة")*ROW('Production Matrix'!#REF!)=0,1/0,1*('Production Matrix'!A:A="تكلفة انتاج الوحدة")*ROW('Production Matrix'!#REF!))</f>
        <v>#REF!</v>
      </c>
      <c r="D1010" s="11" t="str">
        <f>IFERROR(_xlfn.AGGREGATE(15,6,$C$3:$C$53,ROW('Production Matrix'!#REF!)),"")</f>
        <v/>
      </c>
      <c r="E1010" s="11" t="str">
        <f t="shared" si="24"/>
        <v/>
      </c>
      <c r="F1010" s="12">
        <f>IFERROR(INDEX('Production Matrix'!$B:$B,E1010,0),0)</f>
        <v>0</v>
      </c>
    </row>
    <row r="1011" spans="3:6">
      <c r="C1011" s="11" t="e">
        <f>IF(1*('Production Matrix'!A:A="تكلفة انتاج الوحدة")*ROW('Production Matrix'!#REF!)=0,1/0,1*('Production Matrix'!A:A="تكلفة انتاج الوحدة")*ROW('Production Matrix'!#REF!))</f>
        <v>#REF!</v>
      </c>
      <c r="D1011" s="11" t="str">
        <f>IFERROR(_xlfn.AGGREGATE(15,6,$C$3:$C$53,ROW('Production Matrix'!#REF!)),"")</f>
        <v/>
      </c>
      <c r="E1011" s="11" t="str">
        <f t="shared" si="24"/>
        <v/>
      </c>
      <c r="F1011" s="12">
        <f>IFERROR(INDEX('Production Matrix'!$B:$B,E1011,0),0)</f>
        <v>0</v>
      </c>
    </row>
    <row r="1012" spans="3:6">
      <c r="C1012" s="11" t="e">
        <f>IF(1*('Production Matrix'!A:A="تكلفة انتاج الوحدة")*ROW('Production Matrix'!#REF!)=0,1/0,1*('Production Matrix'!A:A="تكلفة انتاج الوحدة")*ROW('Production Matrix'!#REF!))</f>
        <v>#REF!</v>
      </c>
      <c r="D1012" s="11" t="str">
        <f>IFERROR(_xlfn.AGGREGATE(15,6,$C$3:$C$53,ROW('Production Matrix'!#REF!)),"")</f>
        <v/>
      </c>
      <c r="E1012" s="11" t="str">
        <f t="shared" si="24"/>
        <v/>
      </c>
      <c r="F1012" s="12">
        <f>IFERROR(INDEX('Production Matrix'!$B:$B,E1012,0),0)</f>
        <v>0</v>
      </c>
    </row>
    <row r="1013" spans="3:6">
      <c r="C1013" s="11" t="e">
        <f>IF(1*('Production Matrix'!A:A="تكلفة انتاج الوحدة")*ROW('Production Matrix'!#REF!)=0,1/0,1*('Production Matrix'!A:A="تكلفة انتاج الوحدة")*ROW('Production Matrix'!#REF!))</f>
        <v>#REF!</v>
      </c>
      <c r="D1013" s="11" t="str">
        <f>IFERROR(_xlfn.AGGREGATE(15,6,$C$3:$C$53,ROW('Production Matrix'!#REF!)),"")</f>
        <v/>
      </c>
      <c r="E1013" s="11" t="str">
        <f t="shared" si="24"/>
        <v/>
      </c>
      <c r="F1013" s="12">
        <f>IFERROR(INDEX('Production Matrix'!$B:$B,E1013,0),0)</f>
        <v>0</v>
      </c>
    </row>
    <row r="1014" spans="3:6">
      <c r="C1014" s="11" t="e">
        <f>IF(1*('Production Matrix'!A:A="تكلفة انتاج الوحدة")*ROW('Production Matrix'!#REF!)=0,1/0,1*('Production Matrix'!A:A="تكلفة انتاج الوحدة")*ROW('Production Matrix'!#REF!))</f>
        <v>#REF!</v>
      </c>
      <c r="D1014" s="11" t="str">
        <f>IFERROR(_xlfn.AGGREGATE(15,6,$C$3:$C$53,ROW('Production Matrix'!#REF!)),"")</f>
        <v/>
      </c>
      <c r="E1014" s="11" t="str">
        <f t="shared" si="24"/>
        <v/>
      </c>
      <c r="F1014" s="12">
        <f>IFERROR(INDEX('Production Matrix'!$B:$B,E1014,0),0)</f>
        <v>0</v>
      </c>
    </row>
    <row r="1015" spans="3:6">
      <c r="C1015" s="11" t="e">
        <f>IF(1*('Production Matrix'!A:A="تكلفة انتاج الوحدة")*ROW('Production Matrix'!#REF!)=0,1/0,1*('Production Matrix'!A:A="تكلفة انتاج الوحدة")*ROW('Production Matrix'!#REF!))</f>
        <v>#REF!</v>
      </c>
      <c r="D1015" s="11" t="str">
        <f>IFERROR(_xlfn.AGGREGATE(15,6,$C$3:$C$53,ROW('Production Matrix'!#REF!)),"")</f>
        <v/>
      </c>
      <c r="E1015" s="11" t="str">
        <f t="shared" si="24"/>
        <v/>
      </c>
      <c r="F1015" s="12">
        <f>IFERROR(INDEX('Production Matrix'!$B:$B,E1015,0),0)</f>
        <v>0</v>
      </c>
    </row>
    <row r="1016" spans="3:6">
      <c r="C1016" s="11" t="e">
        <f>IF(1*('Production Matrix'!A:A="تكلفة انتاج الوحدة")*ROW('Production Matrix'!#REF!)=0,1/0,1*('Production Matrix'!A:A="تكلفة انتاج الوحدة")*ROW('Production Matrix'!#REF!))</f>
        <v>#REF!</v>
      </c>
      <c r="D1016" s="11" t="str">
        <f>IFERROR(_xlfn.AGGREGATE(15,6,$C$3:$C$53,ROW('Production Matrix'!#REF!)),"")</f>
        <v/>
      </c>
      <c r="E1016" s="11" t="str">
        <f t="shared" si="24"/>
        <v/>
      </c>
      <c r="F1016" s="12">
        <f>IFERROR(INDEX('Production Matrix'!$B:$B,E1016,0),0)</f>
        <v>0</v>
      </c>
    </row>
    <row r="1017" spans="3:6">
      <c r="C1017" s="11" t="e">
        <f>IF(1*('Production Matrix'!A:A="تكلفة انتاج الوحدة")*ROW('Production Matrix'!#REF!)=0,1/0,1*('Production Matrix'!A:A="تكلفة انتاج الوحدة")*ROW('Production Matrix'!#REF!))</f>
        <v>#REF!</v>
      </c>
      <c r="D1017" s="11" t="str">
        <f>IFERROR(_xlfn.AGGREGATE(15,6,$C$3:$C$53,ROW('Production Matrix'!#REF!)),"")</f>
        <v/>
      </c>
      <c r="E1017" s="11" t="str">
        <f t="shared" si="24"/>
        <v/>
      </c>
      <c r="F1017" s="12">
        <f>IFERROR(INDEX('Production Matrix'!$B:$B,E1017,0),0)</f>
        <v>0</v>
      </c>
    </row>
    <row r="1018" spans="3:6">
      <c r="C1018" s="11" t="e">
        <f>IF(1*('Production Matrix'!A:A="تكلفة انتاج الوحدة")*ROW('Production Matrix'!#REF!)=0,1/0,1*('Production Matrix'!A:A="تكلفة انتاج الوحدة")*ROW('Production Matrix'!#REF!))</f>
        <v>#REF!</v>
      </c>
      <c r="D1018" s="11" t="str">
        <f>IFERROR(_xlfn.AGGREGATE(15,6,$C$3:$C$53,ROW('Production Matrix'!#REF!)),"")</f>
        <v/>
      </c>
      <c r="E1018" s="11" t="str">
        <f t="shared" si="24"/>
        <v/>
      </c>
      <c r="F1018" s="12">
        <f>IFERROR(INDEX('Production Matrix'!$B:$B,E1018,0),0)</f>
        <v>0</v>
      </c>
    </row>
    <row r="1019" spans="3:6">
      <c r="C1019" s="11" t="e">
        <f>IF(1*('Production Matrix'!A:A="تكلفة انتاج الوحدة")*ROW('Production Matrix'!#REF!)=0,1/0,1*('Production Matrix'!A:A="تكلفة انتاج الوحدة")*ROW('Production Matrix'!#REF!))</f>
        <v>#REF!</v>
      </c>
      <c r="D1019" s="11" t="str">
        <f>IFERROR(_xlfn.AGGREGATE(15,6,$C$3:$C$53,ROW('Production Matrix'!#REF!)),"")</f>
        <v/>
      </c>
      <c r="E1019" s="11" t="str">
        <f t="shared" si="24"/>
        <v/>
      </c>
      <c r="F1019" s="12">
        <f>IFERROR(INDEX('Production Matrix'!$B:$B,E1019,0),0)</f>
        <v>0</v>
      </c>
    </row>
    <row r="1020" spans="3:6">
      <c r="C1020" s="11" t="e">
        <f>IF(1*('Production Matrix'!A:A="تكلفة انتاج الوحدة")*ROW('Production Matrix'!#REF!)=0,1/0,1*('Production Matrix'!A:A="تكلفة انتاج الوحدة")*ROW('Production Matrix'!#REF!))</f>
        <v>#REF!</v>
      </c>
      <c r="D1020" s="11" t="str">
        <f>IFERROR(_xlfn.AGGREGATE(15,6,$C$3:$C$53,ROW('Production Matrix'!#REF!)),"")</f>
        <v/>
      </c>
      <c r="E1020" s="11" t="str">
        <f t="shared" si="24"/>
        <v/>
      </c>
      <c r="F1020" s="12">
        <f>IFERROR(INDEX('Production Matrix'!$B:$B,E1020,0),0)</f>
        <v>0</v>
      </c>
    </row>
    <row r="1021" spans="3:6">
      <c r="C1021" s="11" t="e">
        <f>IF(1*('Production Matrix'!A:A="تكلفة انتاج الوحدة")*ROW('Production Matrix'!#REF!)=0,1/0,1*('Production Matrix'!A:A="تكلفة انتاج الوحدة")*ROW('Production Matrix'!#REF!))</f>
        <v>#REF!</v>
      </c>
      <c r="D1021" s="11" t="str">
        <f>IFERROR(_xlfn.AGGREGATE(15,6,$C$3:$C$53,ROW('Production Matrix'!#REF!)),"")</f>
        <v/>
      </c>
      <c r="E1021" s="11" t="str">
        <f t="shared" si="24"/>
        <v/>
      </c>
      <c r="F1021" s="12">
        <f>IFERROR(INDEX('Production Matrix'!$B:$B,E1021,0),0)</f>
        <v>0</v>
      </c>
    </row>
    <row r="1022" spans="3:6">
      <c r="C1022" s="11" t="e">
        <f>IF(1*('Production Matrix'!A:A="تكلفة انتاج الوحدة")*ROW('Production Matrix'!#REF!)=0,1/0,1*('Production Matrix'!A:A="تكلفة انتاج الوحدة")*ROW('Production Matrix'!#REF!))</f>
        <v>#REF!</v>
      </c>
      <c r="D1022" s="11" t="str">
        <f>IFERROR(_xlfn.AGGREGATE(15,6,$C$3:$C$53,ROW('Production Matrix'!#REF!)),"")</f>
        <v/>
      </c>
      <c r="E1022" s="11" t="str">
        <f t="shared" si="24"/>
        <v/>
      </c>
      <c r="F1022" s="12">
        <f>IFERROR(INDEX('Production Matrix'!$B:$B,E1022,0),0)</f>
        <v>0</v>
      </c>
    </row>
    <row r="1023" spans="3:6">
      <c r="C1023" s="11" t="e">
        <f>IF(1*('Production Matrix'!A:A="تكلفة انتاج الوحدة")*ROW('Production Matrix'!#REF!)=0,1/0,1*('Production Matrix'!A:A="تكلفة انتاج الوحدة")*ROW('Production Matrix'!#REF!))</f>
        <v>#REF!</v>
      </c>
      <c r="D1023" s="11" t="str">
        <f>IFERROR(_xlfn.AGGREGATE(15,6,$C$3:$C$53,ROW('Production Matrix'!#REF!)),"")</f>
        <v/>
      </c>
      <c r="E1023" s="11" t="str">
        <f t="shared" si="24"/>
        <v/>
      </c>
      <c r="F1023" s="12">
        <f>IFERROR(INDEX('Production Matrix'!$B:$B,E1023,0),0)</f>
        <v>0</v>
      </c>
    </row>
    <row r="1024" spans="3:6">
      <c r="C1024" s="11" t="e">
        <f>IF(1*('Production Matrix'!A:A="تكلفة انتاج الوحدة")*ROW('Production Matrix'!#REF!)=0,1/0,1*('Production Matrix'!A:A="تكلفة انتاج الوحدة")*ROW('Production Matrix'!#REF!))</f>
        <v>#REF!</v>
      </c>
      <c r="D1024" s="11" t="str">
        <f>IFERROR(_xlfn.AGGREGATE(15,6,$C$3:$C$53,ROW('Production Matrix'!#REF!)),"")</f>
        <v/>
      </c>
      <c r="E1024" s="11" t="str">
        <f t="shared" si="24"/>
        <v/>
      </c>
      <c r="F1024" s="12">
        <f>IFERROR(INDEX('Production Matrix'!$B:$B,E1024,0),0)</f>
        <v>0</v>
      </c>
    </row>
    <row r="1025" spans="3:6">
      <c r="C1025" s="11" t="e">
        <f>IF(1*('Production Matrix'!A:A="تكلفة انتاج الوحدة")*ROW('Production Matrix'!#REF!)=0,1/0,1*('Production Matrix'!A:A="تكلفة انتاج الوحدة")*ROW('Production Matrix'!#REF!))</f>
        <v>#REF!</v>
      </c>
      <c r="D1025" s="11" t="str">
        <f>IFERROR(_xlfn.AGGREGATE(15,6,$C$3:$C$53,ROW('Production Matrix'!#REF!)),"")</f>
        <v/>
      </c>
      <c r="E1025" s="11" t="str">
        <f t="shared" si="24"/>
        <v/>
      </c>
      <c r="F1025" s="12">
        <f>IFERROR(INDEX('Production Matrix'!$B:$B,E1025,0),0)</f>
        <v>0</v>
      </c>
    </row>
    <row r="1026" spans="3:6">
      <c r="C1026" s="11" t="e">
        <f>IF(1*('Production Matrix'!A:A="تكلفة انتاج الوحدة")*ROW('Production Matrix'!#REF!)=0,1/0,1*('Production Matrix'!A:A="تكلفة انتاج الوحدة")*ROW('Production Matrix'!#REF!))</f>
        <v>#REF!</v>
      </c>
      <c r="D1026" s="11" t="str">
        <f>IFERROR(_xlfn.AGGREGATE(15,6,$C$3:$C$53,ROW('Production Matrix'!#REF!)),"")</f>
        <v/>
      </c>
      <c r="E1026" s="11" t="str">
        <f t="shared" si="24"/>
        <v/>
      </c>
      <c r="F1026" s="12">
        <f>IFERROR(INDEX('Production Matrix'!$B:$B,E1026,0),0)</f>
        <v>0</v>
      </c>
    </row>
    <row r="1027" spans="3:6">
      <c r="C1027" s="11" t="e">
        <f>IF(1*('Production Matrix'!A:A="تكلفة انتاج الوحدة")*ROW('Production Matrix'!#REF!)=0,1/0,1*('Production Matrix'!A:A="تكلفة انتاج الوحدة")*ROW('Production Matrix'!#REF!))</f>
        <v>#REF!</v>
      </c>
      <c r="D1027" s="11" t="str">
        <f>IFERROR(_xlfn.AGGREGATE(15,6,$C$3:$C$53,ROW('Production Matrix'!#REF!)),"")</f>
        <v/>
      </c>
      <c r="E1027" s="11" t="str">
        <f t="shared" si="24"/>
        <v/>
      </c>
      <c r="F1027" s="12">
        <f>IFERROR(INDEX('Production Matrix'!$B:$B,E1027,0),0)</f>
        <v>0</v>
      </c>
    </row>
    <row r="1028" spans="3:6">
      <c r="C1028" s="11" t="e">
        <f>IF(1*('Production Matrix'!A:A="تكلفة انتاج الوحدة")*ROW('Production Matrix'!#REF!)=0,1/0,1*('Production Matrix'!A:A="تكلفة انتاج الوحدة")*ROW('Production Matrix'!#REF!))</f>
        <v>#REF!</v>
      </c>
      <c r="D1028" s="11" t="str">
        <f>IFERROR(_xlfn.AGGREGATE(15,6,$C$3:$C$53,ROW('Production Matrix'!#REF!)),"")</f>
        <v/>
      </c>
      <c r="E1028" s="11" t="str">
        <f t="shared" si="24"/>
        <v/>
      </c>
      <c r="F1028" s="12">
        <f>IFERROR(INDEX('Production Matrix'!$B:$B,E1028,0),0)</f>
        <v>0</v>
      </c>
    </row>
    <row r="1029" spans="3:6">
      <c r="C1029" s="11" t="e">
        <f>IF(1*('Production Matrix'!A:A="تكلفة انتاج الوحدة")*ROW('Production Matrix'!#REF!)=0,1/0,1*('Production Matrix'!A:A="تكلفة انتاج الوحدة")*ROW('Production Matrix'!#REF!))</f>
        <v>#REF!</v>
      </c>
      <c r="D1029" s="11" t="str">
        <f>IFERROR(_xlfn.AGGREGATE(15,6,$C$3:$C$53,ROW('Production Matrix'!#REF!)),"")</f>
        <v/>
      </c>
      <c r="E1029" s="11" t="str">
        <f t="shared" si="24"/>
        <v/>
      </c>
      <c r="F1029" s="12">
        <f>IFERROR(INDEX('Production Matrix'!$B:$B,E1029,0),0)</f>
        <v>0</v>
      </c>
    </row>
    <row r="1030" spans="3:6">
      <c r="C1030" s="11" t="e">
        <f>IF(1*('Production Matrix'!A:A="تكلفة انتاج الوحدة")*ROW('Production Matrix'!#REF!)=0,1/0,1*('Production Matrix'!A:A="تكلفة انتاج الوحدة")*ROW('Production Matrix'!#REF!))</f>
        <v>#REF!</v>
      </c>
      <c r="D1030" s="11" t="str">
        <f>IFERROR(_xlfn.AGGREGATE(15,6,$C$3:$C$53,ROW('Production Matrix'!#REF!)),"")</f>
        <v/>
      </c>
      <c r="E1030" s="11" t="str">
        <f t="shared" si="24"/>
        <v/>
      </c>
      <c r="F1030" s="12">
        <f>IFERROR(INDEX('Production Matrix'!$B:$B,E1030,0),0)</f>
        <v>0</v>
      </c>
    </row>
    <row r="1031" spans="3:6">
      <c r="C1031" s="11" t="e">
        <f>IF(1*('Production Matrix'!A:A="تكلفة انتاج الوحدة")*ROW('Production Matrix'!#REF!)=0,1/0,1*('Production Matrix'!A:A="تكلفة انتاج الوحدة")*ROW('Production Matrix'!#REF!))</f>
        <v>#REF!</v>
      </c>
      <c r="D1031" s="11" t="str">
        <f>IFERROR(_xlfn.AGGREGATE(15,6,$C$3:$C$53,ROW('Production Matrix'!#REF!)),"")</f>
        <v/>
      </c>
      <c r="E1031" s="11" t="str">
        <f t="shared" ref="E1031:E1094" si="25">IFERROR(D1031+3,"")</f>
        <v/>
      </c>
      <c r="F1031" s="12">
        <f>IFERROR(INDEX('Production Matrix'!$B:$B,E1031,0),0)</f>
        <v>0</v>
      </c>
    </row>
    <row r="1032" spans="3:6">
      <c r="C1032" s="11" t="e">
        <f>IF(1*('Production Matrix'!A:A="تكلفة انتاج الوحدة")*ROW('Production Matrix'!#REF!)=0,1/0,1*('Production Matrix'!A:A="تكلفة انتاج الوحدة")*ROW('Production Matrix'!#REF!))</f>
        <v>#REF!</v>
      </c>
      <c r="D1032" s="11" t="str">
        <f>IFERROR(_xlfn.AGGREGATE(15,6,$C$3:$C$53,ROW('Production Matrix'!#REF!)),"")</f>
        <v/>
      </c>
      <c r="E1032" s="11" t="str">
        <f t="shared" si="25"/>
        <v/>
      </c>
      <c r="F1032" s="12">
        <f>IFERROR(INDEX('Production Matrix'!$B:$B,E1032,0),0)</f>
        <v>0</v>
      </c>
    </row>
    <row r="1033" spans="3:6">
      <c r="C1033" s="11" t="e">
        <f>IF(1*('Production Matrix'!A:A="تكلفة انتاج الوحدة")*ROW('Production Matrix'!#REF!)=0,1/0,1*('Production Matrix'!A:A="تكلفة انتاج الوحدة")*ROW('Production Matrix'!#REF!))</f>
        <v>#REF!</v>
      </c>
      <c r="D1033" s="11" t="str">
        <f>IFERROR(_xlfn.AGGREGATE(15,6,$C$3:$C$53,ROW('Production Matrix'!#REF!)),"")</f>
        <v/>
      </c>
      <c r="E1033" s="11" t="str">
        <f t="shared" si="25"/>
        <v/>
      </c>
      <c r="F1033" s="12">
        <f>IFERROR(INDEX('Production Matrix'!$B:$B,E1033,0),0)</f>
        <v>0</v>
      </c>
    </row>
    <row r="1034" spans="3:6">
      <c r="C1034" s="11" t="e">
        <f>IF(1*('Production Matrix'!A:A="تكلفة انتاج الوحدة")*ROW('Production Matrix'!#REF!)=0,1/0,1*('Production Matrix'!A:A="تكلفة انتاج الوحدة")*ROW('Production Matrix'!#REF!))</f>
        <v>#REF!</v>
      </c>
      <c r="D1034" s="11" t="str">
        <f>IFERROR(_xlfn.AGGREGATE(15,6,$C$3:$C$53,ROW('Production Matrix'!#REF!)),"")</f>
        <v/>
      </c>
      <c r="E1034" s="11" t="str">
        <f t="shared" si="25"/>
        <v/>
      </c>
      <c r="F1034" s="12">
        <f>IFERROR(INDEX('Production Matrix'!$B:$B,E1034,0),0)</f>
        <v>0</v>
      </c>
    </row>
    <row r="1035" spans="3:6">
      <c r="C1035" s="11" t="e">
        <f>IF(1*('Production Matrix'!A:A="تكلفة انتاج الوحدة")*ROW('Production Matrix'!#REF!)=0,1/0,1*('Production Matrix'!A:A="تكلفة انتاج الوحدة")*ROW('Production Matrix'!#REF!))</f>
        <v>#REF!</v>
      </c>
      <c r="D1035" s="11" t="str">
        <f>IFERROR(_xlfn.AGGREGATE(15,6,$C$3:$C$53,ROW('Production Matrix'!#REF!)),"")</f>
        <v/>
      </c>
      <c r="E1035" s="11" t="str">
        <f t="shared" si="25"/>
        <v/>
      </c>
      <c r="F1035" s="12">
        <f>IFERROR(INDEX('Production Matrix'!$B:$B,E1035,0),0)</f>
        <v>0</v>
      </c>
    </row>
    <row r="1036" spans="3:6">
      <c r="C1036" s="11" t="e">
        <f>IF(1*('Production Matrix'!A:A="تكلفة انتاج الوحدة")*ROW('Production Matrix'!#REF!)=0,1/0,1*('Production Matrix'!A:A="تكلفة انتاج الوحدة")*ROW('Production Matrix'!#REF!))</f>
        <v>#REF!</v>
      </c>
      <c r="D1036" s="11" t="str">
        <f>IFERROR(_xlfn.AGGREGATE(15,6,$C$3:$C$53,ROW('Production Matrix'!#REF!)),"")</f>
        <v/>
      </c>
      <c r="E1036" s="11" t="str">
        <f t="shared" si="25"/>
        <v/>
      </c>
      <c r="F1036" s="12">
        <f>IFERROR(INDEX('Production Matrix'!$B:$B,E1036,0),0)</f>
        <v>0</v>
      </c>
    </row>
    <row r="1037" spans="3:6">
      <c r="C1037" s="11" t="e">
        <f>IF(1*('Production Matrix'!A:A="تكلفة انتاج الوحدة")*ROW('Production Matrix'!#REF!)=0,1/0,1*('Production Matrix'!A:A="تكلفة انتاج الوحدة")*ROW('Production Matrix'!#REF!))</f>
        <v>#REF!</v>
      </c>
      <c r="D1037" s="11" t="str">
        <f>IFERROR(_xlfn.AGGREGATE(15,6,$C$3:$C$53,ROW('Production Matrix'!#REF!)),"")</f>
        <v/>
      </c>
      <c r="E1037" s="11" t="str">
        <f t="shared" si="25"/>
        <v/>
      </c>
      <c r="F1037" s="12">
        <f>IFERROR(INDEX('Production Matrix'!$B:$B,E1037,0),0)</f>
        <v>0</v>
      </c>
    </row>
    <row r="1038" spans="3:6">
      <c r="C1038" s="11" t="e">
        <f>IF(1*('Production Matrix'!A:A="تكلفة انتاج الوحدة")*ROW('Production Matrix'!#REF!)=0,1/0,1*('Production Matrix'!A:A="تكلفة انتاج الوحدة")*ROW('Production Matrix'!#REF!))</f>
        <v>#REF!</v>
      </c>
      <c r="D1038" s="11" t="str">
        <f>IFERROR(_xlfn.AGGREGATE(15,6,$C$3:$C$53,ROW('Production Matrix'!#REF!)),"")</f>
        <v/>
      </c>
      <c r="E1038" s="11" t="str">
        <f t="shared" si="25"/>
        <v/>
      </c>
      <c r="F1038" s="12">
        <f>IFERROR(INDEX('Production Matrix'!$B:$B,E1038,0),0)</f>
        <v>0</v>
      </c>
    </row>
    <row r="1039" spans="3:6">
      <c r="C1039" s="11" t="e">
        <f>IF(1*('Production Matrix'!A:A="تكلفة انتاج الوحدة")*ROW('Production Matrix'!#REF!)=0,1/0,1*('Production Matrix'!A:A="تكلفة انتاج الوحدة")*ROW('Production Matrix'!#REF!))</f>
        <v>#REF!</v>
      </c>
      <c r="D1039" s="11" t="str">
        <f>IFERROR(_xlfn.AGGREGATE(15,6,$C$3:$C$53,ROW('Production Matrix'!#REF!)),"")</f>
        <v/>
      </c>
      <c r="E1039" s="11" t="str">
        <f t="shared" si="25"/>
        <v/>
      </c>
      <c r="F1039" s="12">
        <f>IFERROR(INDEX('Production Matrix'!$B:$B,E1039,0),0)</f>
        <v>0</v>
      </c>
    </row>
    <row r="1040" spans="3:6">
      <c r="C1040" s="11" t="e">
        <f>IF(1*('Production Matrix'!A:A="تكلفة انتاج الوحدة")*ROW('Production Matrix'!#REF!)=0,1/0,1*('Production Matrix'!A:A="تكلفة انتاج الوحدة")*ROW('Production Matrix'!#REF!))</f>
        <v>#REF!</v>
      </c>
      <c r="D1040" s="11" t="str">
        <f>IFERROR(_xlfn.AGGREGATE(15,6,$C$3:$C$53,ROW('Production Matrix'!#REF!)),"")</f>
        <v/>
      </c>
      <c r="E1040" s="11" t="str">
        <f t="shared" si="25"/>
        <v/>
      </c>
      <c r="F1040" s="12">
        <f>IFERROR(INDEX('Production Matrix'!$B:$B,E1040,0),0)</f>
        <v>0</v>
      </c>
    </row>
    <row r="1041" spans="3:6">
      <c r="C1041" s="11" t="e">
        <f>IF(1*('Production Matrix'!A:A="تكلفة انتاج الوحدة")*ROW('Production Matrix'!#REF!)=0,1/0,1*('Production Matrix'!A:A="تكلفة انتاج الوحدة")*ROW('Production Matrix'!#REF!))</f>
        <v>#REF!</v>
      </c>
      <c r="D1041" s="11" t="str">
        <f>IFERROR(_xlfn.AGGREGATE(15,6,$C$3:$C$53,ROW('Production Matrix'!#REF!)),"")</f>
        <v/>
      </c>
      <c r="E1041" s="11" t="str">
        <f t="shared" si="25"/>
        <v/>
      </c>
      <c r="F1041" s="12">
        <f>IFERROR(INDEX('Production Matrix'!$B:$B,E1041,0),0)</f>
        <v>0</v>
      </c>
    </row>
    <row r="1042" spans="3:6">
      <c r="C1042" s="11" t="e">
        <f>IF(1*('Production Matrix'!A:A="تكلفة انتاج الوحدة")*ROW('Production Matrix'!#REF!)=0,1/0,1*('Production Matrix'!A:A="تكلفة انتاج الوحدة")*ROW('Production Matrix'!#REF!))</f>
        <v>#REF!</v>
      </c>
      <c r="D1042" s="11" t="str">
        <f>IFERROR(_xlfn.AGGREGATE(15,6,$C$3:$C$53,ROW('Production Matrix'!#REF!)),"")</f>
        <v/>
      </c>
      <c r="E1042" s="11" t="str">
        <f t="shared" si="25"/>
        <v/>
      </c>
      <c r="F1042" s="12">
        <f>IFERROR(INDEX('Production Matrix'!$B:$B,E1042,0),0)</f>
        <v>0</v>
      </c>
    </row>
    <row r="1043" spans="3:6">
      <c r="C1043" s="11" t="e">
        <f>IF(1*('Production Matrix'!A:A="تكلفة انتاج الوحدة")*ROW('Production Matrix'!#REF!)=0,1/0,1*('Production Matrix'!A:A="تكلفة انتاج الوحدة")*ROW('Production Matrix'!#REF!))</f>
        <v>#REF!</v>
      </c>
      <c r="D1043" s="11" t="str">
        <f>IFERROR(_xlfn.AGGREGATE(15,6,$C$3:$C$53,ROW('Production Matrix'!#REF!)),"")</f>
        <v/>
      </c>
      <c r="E1043" s="11" t="str">
        <f t="shared" si="25"/>
        <v/>
      </c>
      <c r="F1043" s="12">
        <f>IFERROR(INDEX('Production Matrix'!$B:$B,E1043,0),0)</f>
        <v>0</v>
      </c>
    </row>
    <row r="1044" spans="3:6">
      <c r="C1044" s="11" t="e">
        <f>IF(1*('Production Matrix'!A:A="تكلفة انتاج الوحدة")*ROW('Production Matrix'!#REF!)=0,1/0,1*('Production Matrix'!A:A="تكلفة انتاج الوحدة")*ROW('Production Matrix'!#REF!))</f>
        <v>#REF!</v>
      </c>
      <c r="D1044" s="11" t="str">
        <f>IFERROR(_xlfn.AGGREGATE(15,6,$C$3:$C$53,ROW('Production Matrix'!#REF!)),"")</f>
        <v/>
      </c>
      <c r="E1044" s="11" t="str">
        <f t="shared" si="25"/>
        <v/>
      </c>
      <c r="F1044" s="12">
        <f>IFERROR(INDEX('Production Matrix'!$B:$B,E1044,0),0)</f>
        <v>0</v>
      </c>
    </row>
    <row r="1045" spans="3:6">
      <c r="C1045" s="11" t="e">
        <f>IF(1*('Production Matrix'!A:A="تكلفة انتاج الوحدة")*ROW('Production Matrix'!#REF!)=0,1/0,1*('Production Matrix'!A:A="تكلفة انتاج الوحدة")*ROW('Production Matrix'!#REF!))</f>
        <v>#REF!</v>
      </c>
      <c r="D1045" s="11" t="str">
        <f>IFERROR(_xlfn.AGGREGATE(15,6,$C$3:$C$53,ROW('Production Matrix'!#REF!)),"")</f>
        <v/>
      </c>
      <c r="E1045" s="11" t="str">
        <f t="shared" si="25"/>
        <v/>
      </c>
      <c r="F1045" s="12">
        <f>IFERROR(INDEX('Production Matrix'!$B:$B,E1045,0),0)</f>
        <v>0</v>
      </c>
    </row>
    <row r="1046" spans="3:6">
      <c r="C1046" s="11" t="e">
        <f>IF(1*('Production Matrix'!A:A="تكلفة انتاج الوحدة")*ROW('Production Matrix'!#REF!)=0,1/0,1*('Production Matrix'!A:A="تكلفة انتاج الوحدة")*ROW('Production Matrix'!#REF!))</f>
        <v>#REF!</v>
      </c>
      <c r="D1046" s="11" t="str">
        <f>IFERROR(_xlfn.AGGREGATE(15,6,$C$3:$C$53,ROW('Production Matrix'!#REF!)),"")</f>
        <v/>
      </c>
      <c r="E1046" s="11" t="str">
        <f t="shared" si="25"/>
        <v/>
      </c>
      <c r="F1046" s="12">
        <f>IFERROR(INDEX('Production Matrix'!$B:$B,E1046,0),0)</f>
        <v>0</v>
      </c>
    </row>
    <row r="1047" spans="3:6">
      <c r="C1047" s="11" t="e">
        <f>IF(1*('Production Matrix'!A:A="تكلفة انتاج الوحدة")*ROW('Production Matrix'!#REF!)=0,1/0,1*('Production Matrix'!A:A="تكلفة انتاج الوحدة")*ROW('Production Matrix'!#REF!))</f>
        <v>#REF!</v>
      </c>
      <c r="D1047" s="11" t="str">
        <f>IFERROR(_xlfn.AGGREGATE(15,6,$C$3:$C$53,ROW('Production Matrix'!#REF!)),"")</f>
        <v/>
      </c>
      <c r="E1047" s="11" t="str">
        <f t="shared" si="25"/>
        <v/>
      </c>
      <c r="F1047" s="12">
        <f>IFERROR(INDEX('Production Matrix'!$B:$B,E1047,0),0)</f>
        <v>0</v>
      </c>
    </row>
    <row r="1048" spans="3:6">
      <c r="C1048" s="11" t="e">
        <f>IF(1*('Production Matrix'!A:A="تكلفة انتاج الوحدة")*ROW('Production Matrix'!#REF!)=0,1/0,1*('Production Matrix'!A:A="تكلفة انتاج الوحدة")*ROW('Production Matrix'!#REF!))</f>
        <v>#REF!</v>
      </c>
      <c r="D1048" s="11" t="str">
        <f>IFERROR(_xlfn.AGGREGATE(15,6,$C$3:$C$53,ROW('Production Matrix'!#REF!)),"")</f>
        <v/>
      </c>
      <c r="E1048" s="11" t="str">
        <f t="shared" si="25"/>
        <v/>
      </c>
      <c r="F1048" s="12">
        <f>IFERROR(INDEX('Production Matrix'!$B:$B,E1048,0),0)</f>
        <v>0</v>
      </c>
    </row>
    <row r="1049" spans="3:6">
      <c r="C1049" s="11" t="e">
        <f>IF(1*('Production Matrix'!A:A="تكلفة انتاج الوحدة")*ROW('Production Matrix'!#REF!)=0,1/0,1*('Production Matrix'!A:A="تكلفة انتاج الوحدة")*ROW('Production Matrix'!#REF!))</f>
        <v>#REF!</v>
      </c>
      <c r="D1049" s="11" t="str">
        <f>IFERROR(_xlfn.AGGREGATE(15,6,$C$3:$C$53,ROW('Production Matrix'!#REF!)),"")</f>
        <v/>
      </c>
      <c r="E1049" s="11" t="str">
        <f t="shared" si="25"/>
        <v/>
      </c>
      <c r="F1049" s="12">
        <f>IFERROR(INDEX('Production Matrix'!$B:$B,E1049,0),0)</f>
        <v>0</v>
      </c>
    </row>
    <row r="1050" spans="3:6">
      <c r="C1050" s="11" t="e">
        <f>IF(1*('Production Matrix'!A:A="تكلفة انتاج الوحدة")*ROW('Production Matrix'!#REF!)=0,1/0,1*('Production Matrix'!A:A="تكلفة انتاج الوحدة")*ROW('Production Matrix'!#REF!))</f>
        <v>#REF!</v>
      </c>
      <c r="D1050" s="11" t="str">
        <f>IFERROR(_xlfn.AGGREGATE(15,6,$C$3:$C$53,ROW('Production Matrix'!#REF!)),"")</f>
        <v/>
      </c>
      <c r="E1050" s="11" t="str">
        <f t="shared" si="25"/>
        <v/>
      </c>
      <c r="F1050" s="12">
        <f>IFERROR(INDEX('Production Matrix'!$B:$B,E1050,0),0)</f>
        <v>0</v>
      </c>
    </row>
    <row r="1051" spans="3:6">
      <c r="C1051" s="11" t="e">
        <f>IF(1*('Production Matrix'!A:A="تكلفة انتاج الوحدة")*ROW('Production Matrix'!#REF!)=0,1/0,1*('Production Matrix'!A:A="تكلفة انتاج الوحدة")*ROW('Production Matrix'!#REF!))</f>
        <v>#REF!</v>
      </c>
      <c r="D1051" s="11" t="str">
        <f>IFERROR(_xlfn.AGGREGATE(15,6,$C$3:$C$53,ROW('Production Matrix'!#REF!)),"")</f>
        <v/>
      </c>
      <c r="E1051" s="11" t="str">
        <f t="shared" si="25"/>
        <v/>
      </c>
      <c r="F1051" s="12">
        <f>IFERROR(INDEX('Production Matrix'!$B:$B,E1051,0),0)</f>
        <v>0</v>
      </c>
    </row>
    <row r="1052" spans="3:6">
      <c r="C1052" s="11" t="e">
        <f>IF(1*('Production Matrix'!A:A="تكلفة انتاج الوحدة")*ROW('Production Matrix'!#REF!)=0,1/0,1*('Production Matrix'!A:A="تكلفة انتاج الوحدة")*ROW('Production Matrix'!#REF!))</f>
        <v>#REF!</v>
      </c>
      <c r="D1052" s="11" t="str">
        <f>IFERROR(_xlfn.AGGREGATE(15,6,$C$3:$C$53,ROW('Production Matrix'!#REF!)),"")</f>
        <v/>
      </c>
      <c r="E1052" s="11" t="str">
        <f t="shared" si="25"/>
        <v/>
      </c>
      <c r="F1052" s="12">
        <f>IFERROR(INDEX('Production Matrix'!$B:$B,E1052,0),0)</f>
        <v>0</v>
      </c>
    </row>
    <row r="1053" spans="3:6">
      <c r="C1053" s="11" t="e">
        <f>IF(1*('Production Matrix'!A:A="تكلفة انتاج الوحدة")*ROW('Production Matrix'!#REF!)=0,1/0,1*('Production Matrix'!A:A="تكلفة انتاج الوحدة")*ROW('Production Matrix'!#REF!))</f>
        <v>#REF!</v>
      </c>
      <c r="D1053" s="11" t="str">
        <f>IFERROR(_xlfn.AGGREGATE(15,6,$C$3:$C$53,ROW('Production Matrix'!#REF!)),"")</f>
        <v/>
      </c>
      <c r="E1053" s="11" t="str">
        <f t="shared" si="25"/>
        <v/>
      </c>
      <c r="F1053" s="12">
        <f>IFERROR(INDEX('Production Matrix'!$B:$B,E1053,0),0)</f>
        <v>0</v>
      </c>
    </row>
    <row r="1054" spans="3:6">
      <c r="C1054" s="11" t="e">
        <f>IF(1*('Production Matrix'!A:A="تكلفة انتاج الوحدة")*ROW('Production Matrix'!#REF!)=0,1/0,1*('Production Matrix'!A:A="تكلفة انتاج الوحدة")*ROW('Production Matrix'!#REF!))</f>
        <v>#REF!</v>
      </c>
      <c r="D1054" s="11" t="str">
        <f>IFERROR(_xlfn.AGGREGATE(15,6,$C$3:$C$53,ROW('Production Matrix'!#REF!)),"")</f>
        <v/>
      </c>
      <c r="E1054" s="11" t="str">
        <f t="shared" si="25"/>
        <v/>
      </c>
      <c r="F1054" s="12">
        <f>IFERROR(INDEX('Production Matrix'!$B:$B,E1054,0),0)</f>
        <v>0</v>
      </c>
    </row>
    <row r="1055" spans="3:6">
      <c r="C1055" s="11" t="e">
        <f>IF(1*('Production Matrix'!A:A="تكلفة انتاج الوحدة")*ROW('Production Matrix'!#REF!)=0,1/0,1*('Production Matrix'!A:A="تكلفة انتاج الوحدة")*ROW('Production Matrix'!#REF!))</f>
        <v>#REF!</v>
      </c>
      <c r="D1055" s="11" t="str">
        <f>IFERROR(_xlfn.AGGREGATE(15,6,$C$3:$C$53,ROW('Production Matrix'!#REF!)),"")</f>
        <v/>
      </c>
      <c r="E1055" s="11" t="str">
        <f t="shared" si="25"/>
        <v/>
      </c>
      <c r="F1055" s="12">
        <f>IFERROR(INDEX('Production Matrix'!$B:$B,E1055,0),0)</f>
        <v>0</v>
      </c>
    </row>
    <row r="1056" spans="3:6">
      <c r="C1056" s="11" t="e">
        <f>IF(1*('Production Matrix'!A:A="تكلفة انتاج الوحدة")*ROW('Production Matrix'!#REF!)=0,1/0,1*('Production Matrix'!A:A="تكلفة انتاج الوحدة")*ROW('Production Matrix'!#REF!))</f>
        <v>#REF!</v>
      </c>
      <c r="D1056" s="11" t="str">
        <f>IFERROR(_xlfn.AGGREGATE(15,6,$C$3:$C$53,ROW('Production Matrix'!#REF!)),"")</f>
        <v/>
      </c>
      <c r="E1056" s="11" t="str">
        <f t="shared" si="25"/>
        <v/>
      </c>
      <c r="F1056" s="12">
        <f>IFERROR(INDEX('Production Matrix'!$B:$B,E1056,0),0)</f>
        <v>0</v>
      </c>
    </row>
    <row r="1057" spans="3:6">
      <c r="C1057" s="11" t="e">
        <f>IF(1*('Production Matrix'!A:A="تكلفة انتاج الوحدة")*ROW('Production Matrix'!#REF!)=0,1/0,1*('Production Matrix'!A:A="تكلفة انتاج الوحدة")*ROW('Production Matrix'!#REF!))</f>
        <v>#REF!</v>
      </c>
      <c r="D1057" s="11" t="str">
        <f>IFERROR(_xlfn.AGGREGATE(15,6,$C$3:$C$53,ROW('Production Matrix'!#REF!)),"")</f>
        <v/>
      </c>
      <c r="E1057" s="11" t="str">
        <f t="shared" si="25"/>
        <v/>
      </c>
      <c r="F1057" s="12">
        <f>IFERROR(INDEX('Production Matrix'!$B:$B,E1057,0),0)</f>
        <v>0</v>
      </c>
    </row>
    <row r="1058" spans="3:6">
      <c r="C1058" s="11" t="e">
        <f>IF(1*('Production Matrix'!A:A="تكلفة انتاج الوحدة")*ROW('Production Matrix'!#REF!)=0,1/0,1*('Production Matrix'!A:A="تكلفة انتاج الوحدة")*ROW('Production Matrix'!#REF!))</f>
        <v>#REF!</v>
      </c>
      <c r="D1058" s="11" t="str">
        <f>IFERROR(_xlfn.AGGREGATE(15,6,$C$3:$C$53,ROW('Production Matrix'!#REF!)),"")</f>
        <v/>
      </c>
      <c r="E1058" s="11" t="str">
        <f t="shared" si="25"/>
        <v/>
      </c>
      <c r="F1058" s="12">
        <f>IFERROR(INDEX('Production Matrix'!$B:$B,E1058,0),0)</f>
        <v>0</v>
      </c>
    </row>
    <row r="1059" spans="3:6">
      <c r="C1059" s="11" t="e">
        <f>IF(1*('Production Matrix'!A:A="تكلفة انتاج الوحدة")*ROW('Production Matrix'!#REF!)=0,1/0,1*('Production Matrix'!A:A="تكلفة انتاج الوحدة")*ROW('Production Matrix'!#REF!))</f>
        <v>#REF!</v>
      </c>
      <c r="D1059" s="11" t="str">
        <f>IFERROR(_xlfn.AGGREGATE(15,6,$C$3:$C$53,ROW('Production Matrix'!#REF!)),"")</f>
        <v/>
      </c>
      <c r="E1059" s="11" t="str">
        <f t="shared" si="25"/>
        <v/>
      </c>
      <c r="F1059" s="12">
        <f>IFERROR(INDEX('Production Matrix'!$B:$B,E1059,0),0)</f>
        <v>0</v>
      </c>
    </row>
    <row r="1060" spans="3:6">
      <c r="C1060" s="11" t="e">
        <f>IF(1*('Production Matrix'!A:A="تكلفة انتاج الوحدة")*ROW('Production Matrix'!#REF!)=0,1/0,1*('Production Matrix'!A:A="تكلفة انتاج الوحدة")*ROW('Production Matrix'!#REF!))</f>
        <v>#REF!</v>
      </c>
      <c r="D1060" s="11" t="str">
        <f>IFERROR(_xlfn.AGGREGATE(15,6,$C$3:$C$53,ROW('Production Matrix'!#REF!)),"")</f>
        <v/>
      </c>
      <c r="E1060" s="11" t="str">
        <f t="shared" si="25"/>
        <v/>
      </c>
      <c r="F1060" s="12">
        <f>IFERROR(INDEX('Production Matrix'!$B:$B,E1060,0),0)</f>
        <v>0</v>
      </c>
    </row>
    <row r="1061" spans="3:6">
      <c r="C1061" s="11" t="e">
        <f>IF(1*('Production Matrix'!A:A="تكلفة انتاج الوحدة")*ROW('Production Matrix'!#REF!)=0,1/0,1*('Production Matrix'!A:A="تكلفة انتاج الوحدة")*ROW('Production Matrix'!#REF!))</f>
        <v>#REF!</v>
      </c>
      <c r="D1061" s="11" t="str">
        <f>IFERROR(_xlfn.AGGREGATE(15,6,$C$3:$C$53,ROW('Production Matrix'!#REF!)),"")</f>
        <v/>
      </c>
      <c r="E1061" s="11" t="str">
        <f t="shared" si="25"/>
        <v/>
      </c>
      <c r="F1061" s="12">
        <f>IFERROR(INDEX('Production Matrix'!$B:$B,E1061,0),0)</f>
        <v>0</v>
      </c>
    </row>
    <row r="1062" spans="3:6">
      <c r="C1062" s="11" t="e">
        <f>IF(1*('Production Matrix'!A:A="تكلفة انتاج الوحدة")*ROW('Production Matrix'!#REF!)=0,1/0,1*('Production Matrix'!A:A="تكلفة انتاج الوحدة")*ROW('Production Matrix'!#REF!))</f>
        <v>#REF!</v>
      </c>
      <c r="D1062" s="11" t="str">
        <f>IFERROR(_xlfn.AGGREGATE(15,6,$C$3:$C$53,ROW('Production Matrix'!#REF!)),"")</f>
        <v/>
      </c>
      <c r="E1062" s="11" t="str">
        <f t="shared" si="25"/>
        <v/>
      </c>
      <c r="F1062" s="12">
        <f>IFERROR(INDEX('Production Matrix'!$B:$B,E1062,0),0)</f>
        <v>0</v>
      </c>
    </row>
    <row r="1063" spans="3:6">
      <c r="C1063" s="11" t="e">
        <f>IF(1*('Production Matrix'!A:A="تكلفة انتاج الوحدة")*ROW('Production Matrix'!#REF!)=0,1/0,1*('Production Matrix'!A:A="تكلفة انتاج الوحدة")*ROW('Production Matrix'!#REF!))</f>
        <v>#REF!</v>
      </c>
      <c r="D1063" s="11" t="str">
        <f>IFERROR(_xlfn.AGGREGATE(15,6,$C$3:$C$53,ROW('Production Matrix'!#REF!)),"")</f>
        <v/>
      </c>
      <c r="E1063" s="11" t="str">
        <f t="shared" si="25"/>
        <v/>
      </c>
      <c r="F1063" s="12">
        <f>IFERROR(INDEX('Production Matrix'!$B:$B,E1063,0),0)</f>
        <v>0</v>
      </c>
    </row>
    <row r="1064" spans="3:6">
      <c r="C1064" s="11" t="e">
        <f>IF(1*('Production Matrix'!A:A="تكلفة انتاج الوحدة")*ROW('Production Matrix'!#REF!)=0,1/0,1*('Production Matrix'!A:A="تكلفة انتاج الوحدة")*ROW('Production Matrix'!#REF!))</f>
        <v>#REF!</v>
      </c>
      <c r="D1064" s="11" t="str">
        <f>IFERROR(_xlfn.AGGREGATE(15,6,$C$3:$C$53,ROW('Production Matrix'!#REF!)),"")</f>
        <v/>
      </c>
      <c r="E1064" s="11" t="str">
        <f t="shared" si="25"/>
        <v/>
      </c>
      <c r="F1064" s="12">
        <f>IFERROR(INDEX('Production Matrix'!$B:$B,E1064,0),0)</f>
        <v>0</v>
      </c>
    </row>
    <row r="1065" spans="3:6">
      <c r="C1065" s="11" t="e">
        <f>IF(1*('Production Matrix'!A:A="تكلفة انتاج الوحدة")*ROW('Production Matrix'!#REF!)=0,1/0,1*('Production Matrix'!A:A="تكلفة انتاج الوحدة")*ROW('Production Matrix'!#REF!))</f>
        <v>#REF!</v>
      </c>
      <c r="D1065" s="11" t="str">
        <f>IFERROR(_xlfn.AGGREGATE(15,6,$C$3:$C$53,ROW('Production Matrix'!#REF!)),"")</f>
        <v/>
      </c>
      <c r="E1065" s="11" t="str">
        <f t="shared" si="25"/>
        <v/>
      </c>
      <c r="F1065" s="12">
        <f>IFERROR(INDEX('Production Matrix'!$B:$B,E1065,0),0)</f>
        <v>0</v>
      </c>
    </row>
    <row r="1066" spans="3:6">
      <c r="C1066" s="11" t="e">
        <f>IF(1*('Production Matrix'!A:A="تكلفة انتاج الوحدة")*ROW('Production Matrix'!#REF!)=0,1/0,1*('Production Matrix'!A:A="تكلفة انتاج الوحدة")*ROW('Production Matrix'!#REF!))</f>
        <v>#REF!</v>
      </c>
      <c r="D1066" s="11" t="str">
        <f>IFERROR(_xlfn.AGGREGATE(15,6,$C$3:$C$53,ROW('Production Matrix'!#REF!)),"")</f>
        <v/>
      </c>
      <c r="E1066" s="11" t="str">
        <f t="shared" si="25"/>
        <v/>
      </c>
      <c r="F1066" s="12">
        <f>IFERROR(INDEX('Production Matrix'!$B:$B,E1066,0),0)</f>
        <v>0</v>
      </c>
    </row>
    <row r="1067" spans="3:6">
      <c r="C1067" s="11" t="e">
        <f>IF(1*('Production Matrix'!A:A="تكلفة انتاج الوحدة")*ROW('Production Matrix'!#REF!)=0,1/0,1*('Production Matrix'!A:A="تكلفة انتاج الوحدة")*ROW('Production Matrix'!#REF!))</f>
        <v>#REF!</v>
      </c>
      <c r="D1067" s="11" t="str">
        <f>IFERROR(_xlfn.AGGREGATE(15,6,$C$3:$C$53,ROW('Production Matrix'!#REF!)),"")</f>
        <v/>
      </c>
      <c r="E1067" s="11" t="str">
        <f t="shared" si="25"/>
        <v/>
      </c>
      <c r="F1067" s="12">
        <f>IFERROR(INDEX('Production Matrix'!$B:$B,E1067,0),0)</f>
        <v>0</v>
      </c>
    </row>
    <row r="1068" spans="3:6">
      <c r="C1068" s="11" t="e">
        <f>IF(1*('Production Matrix'!A:A="تكلفة انتاج الوحدة")*ROW('Production Matrix'!#REF!)=0,1/0,1*('Production Matrix'!A:A="تكلفة انتاج الوحدة")*ROW('Production Matrix'!#REF!))</f>
        <v>#REF!</v>
      </c>
      <c r="D1068" s="11" t="str">
        <f>IFERROR(_xlfn.AGGREGATE(15,6,$C$3:$C$53,ROW('Production Matrix'!#REF!)),"")</f>
        <v/>
      </c>
      <c r="E1068" s="11" t="str">
        <f t="shared" si="25"/>
        <v/>
      </c>
      <c r="F1068" s="12">
        <f>IFERROR(INDEX('Production Matrix'!$B:$B,E1068,0),0)</f>
        <v>0</v>
      </c>
    </row>
    <row r="1069" spans="3:6">
      <c r="C1069" s="11" t="e">
        <f>IF(1*('Production Matrix'!A:A="تكلفة انتاج الوحدة")*ROW('Production Matrix'!#REF!)=0,1/0,1*('Production Matrix'!A:A="تكلفة انتاج الوحدة")*ROW('Production Matrix'!#REF!))</f>
        <v>#REF!</v>
      </c>
      <c r="D1069" s="11" t="str">
        <f>IFERROR(_xlfn.AGGREGATE(15,6,$C$3:$C$53,ROW('Production Matrix'!#REF!)),"")</f>
        <v/>
      </c>
      <c r="E1069" s="11" t="str">
        <f t="shared" si="25"/>
        <v/>
      </c>
      <c r="F1069" s="12">
        <f>IFERROR(INDEX('Production Matrix'!$B:$B,E1069,0),0)</f>
        <v>0</v>
      </c>
    </row>
    <row r="1070" spans="3:6">
      <c r="C1070" s="11" t="e">
        <f>IF(1*('Production Matrix'!A:A="تكلفة انتاج الوحدة")*ROW('Production Matrix'!#REF!)=0,1/0,1*('Production Matrix'!A:A="تكلفة انتاج الوحدة")*ROW('Production Matrix'!#REF!))</f>
        <v>#REF!</v>
      </c>
      <c r="D1070" s="11" t="str">
        <f>IFERROR(_xlfn.AGGREGATE(15,6,$C$3:$C$53,ROW('Production Matrix'!#REF!)),"")</f>
        <v/>
      </c>
      <c r="E1070" s="11" t="str">
        <f t="shared" si="25"/>
        <v/>
      </c>
      <c r="F1070" s="12">
        <f>IFERROR(INDEX('Production Matrix'!$B:$B,E1070,0),0)</f>
        <v>0</v>
      </c>
    </row>
    <row r="1071" spans="3:6">
      <c r="C1071" s="11" t="e">
        <f>IF(1*('Production Matrix'!A:A="تكلفة انتاج الوحدة")*ROW('Production Matrix'!#REF!)=0,1/0,1*('Production Matrix'!A:A="تكلفة انتاج الوحدة")*ROW('Production Matrix'!#REF!))</f>
        <v>#REF!</v>
      </c>
      <c r="D1071" s="11" t="str">
        <f>IFERROR(_xlfn.AGGREGATE(15,6,$C$3:$C$53,ROW('Production Matrix'!#REF!)),"")</f>
        <v/>
      </c>
      <c r="E1071" s="11" t="str">
        <f t="shared" si="25"/>
        <v/>
      </c>
      <c r="F1071" s="12">
        <f>IFERROR(INDEX('Production Matrix'!$B:$B,E1071,0),0)</f>
        <v>0</v>
      </c>
    </row>
    <row r="1072" spans="3:6">
      <c r="C1072" s="11" t="e">
        <f>IF(1*('Production Matrix'!A:A="تكلفة انتاج الوحدة")*ROW('Production Matrix'!#REF!)=0,1/0,1*('Production Matrix'!A:A="تكلفة انتاج الوحدة")*ROW('Production Matrix'!#REF!))</f>
        <v>#REF!</v>
      </c>
      <c r="D1072" s="11" t="str">
        <f>IFERROR(_xlfn.AGGREGATE(15,6,$C$3:$C$53,ROW('Production Matrix'!#REF!)),"")</f>
        <v/>
      </c>
      <c r="E1072" s="11" t="str">
        <f t="shared" si="25"/>
        <v/>
      </c>
      <c r="F1072" s="12">
        <f>IFERROR(INDEX('Production Matrix'!$B:$B,E1072,0),0)</f>
        <v>0</v>
      </c>
    </row>
    <row r="1073" spans="3:6">
      <c r="C1073" s="11" t="e">
        <f>IF(1*('Production Matrix'!A:A="تكلفة انتاج الوحدة")*ROW('Production Matrix'!#REF!)=0,1/0,1*('Production Matrix'!A:A="تكلفة انتاج الوحدة")*ROW('Production Matrix'!#REF!))</f>
        <v>#REF!</v>
      </c>
      <c r="D1073" s="11" t="str">
        <f>IFERROR(_xlfn.AGGREGATE(15,6,$C$3:$C$53,ROW('Production Matrix'!#REF!)),"")</f>
        <v/>
      </c>
      <c r="E1073" s="11" t="str">
        <f t="shared" si="25"/>
        <v/>
      </c>
      <c r="F1073" s="12">
        <f>IFERROR(INDEX('Production Matrix'!$B:$B,E1073,0),0)</f>
        <v>0</v>
      </c>
    </row>
    <row r="1074" spans="3:6">
      <c r="C1074" s="11" t="e">
        <f>IF(1*('Production Matrix'!A:A="تكلفة انتاج الوحدة")*ROW('Production Matrix'!#REF!)=0,1/0,1*('Production Matrix'!A:A="تكلفة انتاج الوحدة")*ROW('Production Matrix'!#REF!))</f>
        <v>#REF!</v>
      </c>
      <c r="D1074" s="11" t="str">
        <f>IFERROR(_xlfn.AGGREGATE(15,6,$C$3:$C$53,ROW('Production Matrix'!#REF!)),"")</f>
        <v/>
      </c>
      <c r="E1074" s="11" t="str">
        <f t="shared" si="25"/>
        <v/>
      </c>
      <c r="F1074" s="12">
        <f>IFERROR(INDEX('Production Matrix'!$B:$B,E1074,0),0)</f>
        <v>0</v>
      </c>
    </row>
    <row r="1075" spans="3:6">
      <c r="C1075" s="11" t="e">
        <f>IF(1*('Production Matrix'!A:A="تكلفة انتاج الوحدة")*ROW('Production Matrix'!#REF!)=0,1/0,1*('Production Matrix'!A:A="تكلفة انتاج الوحدة")*ROW('Production Matrix'!#REF!))</f>
        <v>#REF!</v>
      </c>
      <c r="D1075" s="11" t="str">
        <f>IFERROR(_xlfn.AGGREGATE(15,6,$C$3:$C$53,ROW('Production Matrix'!#REF!)),"")</f>
        <v/>
      </c>
      <c r="E1075" s="11" t="str">
        <f t="shared" si="25"/>
        <v/>
      </c>
      <c r="F1075" s="12">
        <f>IFERROR(INDEX('Production Matrix'!$B:$B,E1075,0),0)</f>
        <v>0</v>
      </c>
    </row>
    <row r="1076" spans="3:6">
      <c r="C1076" s="11" t="e">
        <f>IF(1*('Production Matrix'!A:A="تكلفة انتاج الوحدة")*ROW('Production Matrix'!#REF!)=0,1/0,1*('Production Matrix'!A:A="تكلفة انتاج الوحدة")*ROW('Production Matrix'!#REF!))</f>
        <v>#REF!</v>
      </c>
      <c r="D1076" s="11" t="str">
        <f>IFERROR(_xlfn.AGGREGATE(15,6,$C$3:$C$53,ROW('Production Matrix'!#REF!)),"")</f>
        <v/>
      </c>
      <c r="E1076" s="11" t="str">
        <f t="shared" si="25"/>
        <v/>
      </c>
      <c r="F1076" s="12">
        <f>IFERROR(INDEX('Production Matrix'!$B:$B,E1076,0),0)</f>
        <v>0</v>
      </c>
    </row>
    <row r="1077" spans="3:6">
      <c r="C1077" s="11" t="e">
        <f>IF(1*('Production Matrix'!A:A="تكلفة انتاج الوحدة")*ROW('Production Matrix'!#REF!)=0,1/0,1*('Production Matrix'!A:A="تكلفة انتاج الوحدة")*ROW('Production Matrix'!#REF!))</f>
        <v>#REF!</v>
      </c>
      <c r="D1077" s="11" t="str">
        <f>IFERROR(_xlfn.AGGREGATE(15,6,$C$3:$C$53,ROW('Production Matrix'!#REF!)),"")</f>
        <v/>
      </c>
      <c r="E1077" s="11" t="str">
        <f t="shared" si="25"/>
        <v/>
      </c>
      <c r="F1077" s="12">
        <f>IFERROR(INDEX('Production Matrix'!$B:$B,E1077,0),0)</f>
        <v>0</v>
      </c>
    </row>
    <row r="1078" spans="3:6">
      <c r="C1078" s="11" t="e">
        <f>IF(1*('Production Matrix'!A:A="تكلفة انتاج الوحدة")*ROW('Production Matrix'!#REF!)=0,1/0,1*('Production Matrix'!A:A="تكلفة انتاج الوحدة")*ROW('Production Matrix'!#REF!))</f>
        <v>#REF!</v>
      </c>
      <c r="D1078" s="11" t="str">
        <f>IFERROR(_xlfn.AGGREGATE(15,6,$C$3:$C$53,ROW('Production Matrix'!#REF!)),"")</f>
        <v/>
      </c>
      <c r="E1078" s="11" t="str">
        <f t="shared" si="25"/>
        <v/>
      </c>
      <c r="F1078" s="12">
        <f>IFERROR(INDEX('Production Matrix'!$B:$B,E1078,0),0)</f>
        <v>0</v>
      </c>
    </row>
    <row r="1079" spans="3:6">
      <c r="C1079" s="11" t="e">
        <f>IF(1*('Production Matrix'!A:A="تكلفة انتاج الوحدة")*ROW('Production Matrix'!#REF!)=0,1/0,1*('Production Matrix'!A:A="تكلفة انتاج الوحدة")*ROW('Production Matrix'!#REF!))</f>
        <v>#REF!</v>
      </c>
      <c r="D1079" s="11" t="str">
        <f>IFERROR(_xlfn.AGGREGATE(15,6,$C$3:$C$53,ROW('Production Matrix'!#REF!)),"")</f>
        <v/>
      </c>
      <c r="E1079" s="11" t="str">
        <f t="shared" si="25"/>
        <v/>
      </c>
      <c r="F1079" s="12">
        <f>IFERROR(INDEX('Production Matrix'!$B:$B,E1079,0),0)</f>
        <v>0</v>
      </c>
    </row>
    <row r="1080" spans="3:6">
      <c r="C1080" s="11" t="e">
        <f>IF(1*('Production Matrix'!A:A="تكلفة انتاج الوحدة")*ROW('Production Matrix'!#REF!)=0,1/0,1*('Production Matrix'!A:A="تكلفة انتاج الوحدة")*ROW('Production Matrix'!#REF!))</f>
        <v>#REF!</v>
      </c>
      <c r="D1080" s="11" t="str">
        <f>IFERROR(_xlfn.AGGREGATE(15,6,$C$3:$C$53,ROW('Production Matrix'!#REF!)),"")</f>
        <v/>
      </c>
      <c r="E1080" s="11" t="str">
        <f t="shared" si="25"/>
        <v/>
      </c>
      <c r="F1080" s="12">
        <f>IFERROR(INDEX('Production Matrix'!$B:$B,E1080,0),0)</f>
        <v>0</v>
      </c>
    </row>
    <row r="1081" spans="3:6">
      <c r="C1081" s="11" t="e">
        <f>IF(1*('Production Matrix'!A:A="تكلفة انتاج الوحدة")*ROW('Production Matrix'!#REF!)=0,1/0,1*('Production Matrix'!A:A="تكلفة انتاج الوحدة")*ROW('Production Matrix'!#REF!))</f>
        <v>#REF!</v>
      </c>
      <c r="D1081" s="11" t="str">
        <f>IFERROR(_xlfn.AGGREGATE(15,6,$C$3:$C$53,ROW('Production Matrix'!#REF!)),"")</f>
        <v/>
      </c>
      <c r="E1081" s="11" t="str">
        <f t="shared" si="25"/>
        <v/>
      </c>
      <c r="F1081" s="12">
        <f>IFERROR(INDEX('Production Matrix'!$B:$B,E1081,0),0)</f>
        <v>0</v>
      </c>
    </row>
    <row r="1082" spans="3:6">
      <c r="C1082" s="11" t="e">
        <f>IF(1*('Production Matrix'!A:A="تكلفة انتاج الوحدة")*ROW('Production Matrix'!#REF!)=0,1/0,1*('Production Matrix'!A:A="تكلفة انتاج الوحدة")*ROW('Production Matrix'!#REF!))</f>
        <v>#REF!</v>
      </c>
      <c r="D1082" s="11" t="str">
        <f>IFERROR(_xlfn.AGGREGATE(15,6,$C$3:$C$53,ROW('Production Matrix'!#REF!)),"")</f>
        <v/>
      </c>
      <c r="E1082" s="11" t="str">
        <f t="shared" si="25"/>
        <v/>
      </c>
      <c r="F1082" s="12">
        <f>IFERROR(INDEX('Production Matrix'!$B:$B,E1082,0),0)</f>
        <v>0</v>
      </c>
    </row>
    <row r="1083" spans="3:6">
      <c r="C1083" s="11" t="e">
        <f>IF(1*('Production Matrix'!A:A="تكلفة انتاج الوحدة")*ROW('Production Matrix'!#REF!)=0,1/0,1*('Production Matrix'!A:A="تكلفة انتاج الوحدة")*ROW('Production Matrix'!#REF!))</f>
        <v>#REF!</v>
      </c>
      <c r="D1083" s="11" t="str">
        <f>IFERROR(_xlfn.AGGREGATE(15,6,$C$3:$C$53,ROW('Production Matrix'!#REF!)),"")</f>
        <v/>
      </c>
      <c r="E1083" s="11" t="str">
        <f t="shared" si="25"/>
        <v/>
      </c>
      <c r="F1083" s="12">
        <f>IFERROR(INDEX('Production Matrix'!$B:$B,E1083,0),0)</f>
        <v>0</v>
      </c>
    </row>
    <row r="1084" spans="3:6">
      <c r="C1084" s="11" t="e">
        <f>IF(1*('Production Matrix'!A:A="تكلفة انتاج الوحدة")*ROW('Production Matrix'!#REF!)=0,1/0,1*('Production Matrix'!A:A="تكلفة انتاج الوحدة")*ROW('Production Matrix'!#REF!))</f>
        <v>#REF!</v>
      </c>
      <c r="D1084" s="11" t="str">
        <f>IFERROR(_xlfn.AGGREGATE(15,6,$C$3:$C$53,ROW('Production Matrix'!#REF!)),"")</f>
        <v/>
      </c>
      <c r="E1084" s="11" t="str">
        <f t="shared" si="25"/>
        <v/>
      </c>
      <c r="F1084" s="12">
        <f>IFERROR(INDEX('Production Matrix'!$B:$B,E1084,0),0)</f>
        <v>0</v>
      </c>
    </row>
    <row r="1085" spans="3:6">
      <c r="C1085" s="11" t="e">
        <f>IF(1*('Production Matrix'!A:A="تكلفة انتاج الوحدة")*ROW('Production Matrix'!#REF!)=0,1/0,1*('Production Matrix'!A:A="تكلفة انتاج الوحدة")*ROW('Production Matrix'!#REF!))</f>
        <v>#REF!</v>
      </c>
      <c r="D1085" s="11" t="str">
        <f>IFERROR(_xlfn.AGGREGATE(15,6,$C$3:$C$53,ROW('Production Matrix'!#REF!)),"")</f>
        <v/>
      </c>
      <c r="E1085" s="11" t="str">
        <f t="shared" si="25"/>
        <v/>
      </c>
      <c r="F1085" s="12">
        <f>IFERROR(INDEX('Production Matrix'!$B:$B,E1085,0),0)</f>
        <v>0</v>
      </c>
    </row>
    <row r="1086" spans="3:6">
      <c r="C1086" s="11" t="e">
        <f>IF(1*('Production Matrix'!A:A="تكلفة انتاج الوحدة")*ROW('Production Matrix'!#REF!)=0,1/0,1*('Production Matrix'!A:A="تكلفة انتاج الوحدة")*ROW('Production Matrix'!#REF!))</f>
        <v>#REF!</v>
      </c>
      <c r="D1086" s="11" t="str">
        <f>IFERROR(_xlfn.AGGREGATE(15,6,$C$3:$C$53,ROW('Production Matrix'!#REF!)),"")</f>
        <v/>
      </c>
      <c r="E1086" s="11" t="str">
        <f t="shared" si="25"/>
        <v/>
      </c>
      <c r="F1086" s="12">
        <f>IFERROR(INDEX('Production Matrix'!$B:$B,E1086,0),0)</f>
        <v>0</v>
      </c>
    </row>
    <row r="1087" spans="3:6">
      <c r="C1087" s="11" t="e">
        <f>IF(1*('Production Matrix'!A:A="تكلفة انتاج الوحدة")*ROW('Production Matrix'!#REF!)=0,1/0,1*('Production Matrix'!A:A="تكلفة انتاج الوحدة")*ROW('Production Matrix'!#REF!))</f>
        <v>#REF!</v>
      </c>
      <c r="D1087" s="11" t="str">
        <f>IFERROR(_xlfn.AGGREGATE(15,6,$C$3:$C$53,ROW('Production Matrix'!#REF!)),"")</f>
        <v/>
      </c>
      <c r="E1087" s="11" t="str">
        <f t="shared" si="25"/>
        <v/>
      </c>
      <c r="F1087" s="12">
        <f>IFERROR(INDEX('Production Matrix'!$B:$B,E1087,0),0)</f>
        <v>0</v>
      </c>
    </row>
    <row r="1088" spans="3:6">
      <c r="C1088" s="11" t="e">
        <f>IF(1*('Production Matrix'!A:A="تكلفة انتاج الوحدة")*ROW('Production Matrix'!#REF!)=0,1/0,1*('Production Matrix'!A:A="تكلفة انتاج الوحدة")*ROW('Production Matrix'!#REF!))</f>
        <v>#REF!</v>
      </c>
      <c r="D1088" s="11" t="str">
        <f>IFERROR(_xlfn.AGGREGATE(15,6,$C$3:$C$53,ROW('Production Matrix'!#REF!)),"")</f>
        <v/>
      </c>
      <c r="E1088" s="11" t="str">
        <f t="shared" si="25"/>
        <v/>
      </c>
      <c r="F1088" s="12">
        <f>IFERROR(INDEX('Production Matrix'!$B:$B,E1088,0),0)</f>
        <v>0</v>
      </c>
    </row>
    <row r="1089" spans="3:6">
      <c r="C1089" s="11" t="e">
        <f>IF(1*('Production Matrix'!A:A="تكلفة انتاج الوحدة")*ROW('Production Matrix'!#REF!)=0,1/0,1*('Production Matrix'!A:A="تكلفة انتاج الوحدة")*ROW('Production Matrix'!#REF!))</f>
        <v>#REF!</v>
      </c>
      <c r="D1089" s="11" t="str">
        <f>IFERROR(_xlfn.AGGREGATE(15,6,$C$3:$C$53,ROW('Production Matrix'!#REF!)),"")</f>
        <v/>
      </c>
      <c r="E1089" s="11" t="str">
        <f t="shared" si="25"/>
        <v/>
      </c>
      <c r="F1089" s="12">
        <f>IFERROR(INDEX('Production Matrix'!$B:$B,E1089,0),0)</f>
        <v>0</v>
      </c>
    </row>
    <row r="1090" spans="3:6">
      <c r="C1090" s="11" t="e">
        <f>IF(1*('Production Matrix'!A:A="تكلفة انتاج الوحدة")*ROW('Production Matrix'!#REF!)=0,1/0,1*('Production Matrix'!A:A="تكلفة انتاج الوحدة")*ROW('Production Matrix'!#REF!))</f>
        <v>#REF!</v>
      </c>
      <c r="D1090" s="11" t="str">
        <f>IFERROR(_xlfn.AGGREGATE(15,6,$C$3:$C$53,ROW('Production Matrix'!#REF!)),"")</f>
        <v/>
      </c>
      <c r="E1090" s="11" t="str">
        <f t="shared" si="25"/>
        <v/>
      </c>
      <c r="F1090" s="12">
        <f>IFERROR(INDEX('Production Matrix'!$B:$B,E1090,0),0)</f>
        <v>0</v>
      </c>
    </row>
    <row r="1091" spans="3:6">
      <c r="C1091" s="11" t="e">
        <f>IF(1*('Production Matrix'!A:A="تكلفة انتاج الوحدة")*ROW('Production Matrix'!#REF!)=0,1/0,1*('Production Matrix'!A:A="تكلفة انتاج الوحدة")*ROW('Production Matrix'!#REF!))</f>
        <v>#REF!</v>
      </c>
      <c r="D1091" s="11" t="str">
        <f>IFERROR(_xlfn.AGGREGATE(15,6,$C$3:$C$53,ROW('Production Matrix'!#REF!)),"")</f>
        <v/>
      </c>
      <c r="E1091" s="11" t="str">
        <f t="shared" si="25"/>
        <v/>
      </c>
      <c r="F1091" s="12">
        <f>IFERROR(INDEX('Production Matrix'!$B:$B,E1091,0),0)</f>
        <v>0</v>
      </c>
    </row>
    <row r="1092" spans="3:6">
      <c r="C1092" s="11" t="e">
        <f>IF(1*('Production Matrix'!A:A="تكلفة انتاج الوحدة")*ROW('Production Matrix'!#REF!)=0,1/0,1*('Production Matrix'!A:A="تكلفة انتاج الوحدة")*ROW('Production Matrix'!#REF!))</f>
        <v>#REF!</v>
      </c>
      <c r="D1092" s="11" t="str">
        <f>IFERROR(_xlfn.AGGREGATE(15,6,$C$3:$C$53,ROW('Production Matrix'!#REF!)),"")</f>
        <v/>
      </c>
      <c r="E1092" s="11" t="str">
        <f t="shared" si="25"/>
        <v/>
      </c>
      <c r="F1092" s="12">
        <f>IFERROR(INDEX('Production Matrix'!$B:$B,E1092,0),0)</f>
        <v>0</v>
      </c>
    </row>
    <row r="1093" spans="3:6">
      <c r="C1093" s="11" t="e">
        <f>IF(1*('Production Matrix'!A:A="تكلفة انتاج الوحدة")*ROW('Production Matrix'!#REF!)=0,1/0,1*('Production Matrix'!A:A="تكلفة انتاج الوحدة")*ROW('Production Matrix'!#REF!))</f>
        <v>#REF!</v>
      </c>
      <c r="D1093" s="11" t="str">
        <f>IFERROR(_xlfn.AGGREGATE(15,6,$C$3:$C$53,ROW('Production Matrix'!#REF!)),"")</f>
        <v/>
      </c>
      <c r="E1093" s="11" t="str">
        <f t="shared" si="25"/>
        <v/>
      </c>
      <c r="F1093" s="12">
        <f>IFERROR(INDEX('Production Matrix'!$B:$B,E1093,0),0)</f>
        <v>0</v>
      </c>
    </row>
    <row r="1094" spans="3:6">
      <c r="C1094" s="11" t="e">
        <f>IF(1*('Production Matrix'!A:A="تكلفة انتاج الوحدة")*ROW('Production Matrix'!#REF!)=0,1/0,1*('Production Matrix'!A:A="تكلفة انتاج الوحدة")*ROW('Production Matrix'!#REF!))</f>
        <v>#REF!</v>
      </c>
      <c r="D1094" s="11" t="str">
        <f>IFERROR(_xlfn.AGGREGATE(15,6,$C$3:$C$53,ROW('Production Matrix'!#REF!)),"")</f>
        <v/>
      </c>
      <c r="E1094" s="11" t="str">
        <f t="shared" si="25"/>
        <v/>
      </c>
      <c r="F1094" s="12">
        <f>IFERROR(INDEX('Production Matrix'!$B:$B,E1094,0),0)</f>
        <v>0</v>
      </c>
    </row>
    <row r="1095" spans="3:6">
      <c r="C1095" s="11" t="e">
        <f>IF(1*('Production Matrix'!A:A="تكلفة انتاج الوحدة")*ROW('Production Matrix'!#REF!)=0,1/0,1*('Production Matrix'!A:A="تكلفة انتاج الوحدة")*ROW('Production Matrix'!#REF!))</f>
        <v>#REF!</v>
      </c>
      <c r="D1095" s="11" t="str">
        <f>IFERROR(_xlfn.AGGREGATE(15,6,$C$3:$C$53,ROW('Production Matrix'!#REF!)),"")</f>
        <v/>
      </c>
      <c r="E1095" s="11" t="str">
        <f t="shared" ref="E1095:E1158" si="26">IFERROR(D1095+3,"")</f>
        <v/>
      </c>
      <c r="F1095" s="12">
        <f>IFERROR(INDEX('Production Matrix'!$B:$B,E1095,0),0)</f>
        <v>0</v>
      </c>
    </row>
    <row r="1096" spans="3:6">
      <c r="C1096" s="11" t="e">
        <f>IF(1*('Production Matrix'!A:A="تكلفة انتاج الوحدة")*ROW('Production Matrix'!#REF!)=0,1/0,1*('Production Matrix'!A:A="تكلفة انتاج الوحدة")*ROW('Production Matrix'!#REF!))</f>
        <v>#REF!</v>
      </c>
      <c r="D1096" s="11" t="str">
        <f>IFERROR(_xlfn.AGGREGATE(15,6,$C$3:$C$53,ROW('Production Matrix'!#REF!)),"")</f>
        <v/>
      </c>
      <c r="E1096" s="11" t="str">
        <f t="shared" si="26"/>
        <v/>
      </c>
      <c r="F1096" s="12">
        <f>IFERROR(INDEX('Production Matrix'!$B:$B,E1096,0),0)</f>
        <v>0</v>
      </c>
    </row>
    <row r="1097" spans="3:6">
      <c r="C1097" s="11" t="e">
        <f>IF(1*('Production Matrix'!A:A="تكلفة انتاج الوحدة")*ROW('Production Matrix'!#REF!)=0,1/0,1*('Production Matrix'!A:A="تكلفة انتاج الوحدة")*ROW('Production Matrix'!#REF!))</f>
        <v>#REF!</v>
      </c>
      <c r="D1097" s="11" t="str">
        <f>IFERROR(_xlfn.AGGREGATE(15,6,$C$3:$C$53,ROW('Production Matrix'!#REF!)),"")</f>
        <v/>
      </c>
      <c r="E1097" s="11" t="str">
        <f t="shared" si="26"/>
        <v/>
      </c>
      <c r="F1097" s="12">
        <f>IFERROR(INDEX('Production Matrix'!$B:$B,E1097,0),0)</f>
        <v>0</v>
      </c>
    </row>
    <row r="1098" spans="3:6">
      <c r="C1098" s="11" t="e">
        <f>IF(1*('Production Matrix'!A:A="تكلفة انتاج الوحدة")*ROW('Production Matrix'!#REF!)=0,1/0,1*('Production Matrix'!A:A="تكلفة انتاج الوحدة")*ROW('Production Matrix'!#REF!))</f>
        <v>#REF!</v>
      </c>
      <c r="D1098" s="11" t="str">
        <f>IFERROR(_xlfn.AGGREGATE(15,6,$C$3:$C$53,ROW('Production Matrix'!#REF!)),"")</f>
        <v/>
      </c>
      <c r="E1098" s="11" t="str">
        <f t="shared" si="26"/>
        <v/>
      </c>
      <c r="F1098" s="12">
        <f>IFERROR(INDEX('Production Matrix'!$B:$B,E1098,0),0)</f>
        <v>0</v>
      </c>
    </row>
    <row r="1099" spans="3:6">
      <c r="C1099" s="11" t="e">
        <f>IF(1*('Production Matrix'!A:A="تكلفة انتاج الوحدة")*ROW('Production Matrix'!#REF!)=0,1/0,1*('Production Matrix'!A:A="تكلفة انتاج الوحدة")*ROW('Production Matrix'!#REF!))</f>
        <v>#REF!</v>
      </c>
      <c r="D1099" s="11" t="str">
        <f>IFERROR(_xlfn.AGGREGATE(15,6,$C$3:$C$53,ROW('Production Matrix'!#REF!)),"")</f>
        <v/>
      </c>
      <c r="E1099" s="11" t="str">
        <f t="shared" si="26"/>
        <v/>
      </c>
      <c r="F1099" s="12">
        <f>IFERROR(INDEX('Production Matrix'!$B:$B,E1099,0),0)</f>
        <v>0</v>
      </c>
    </row>
    <row r="1100" spans="3:6">
      <c r="C1100" s="11" t="e">
        <f>IF(1*('Production Matrix'!A:A="تكلفة انتاج الوحدة")*ROW('Production Matrix'!#REF!)=0,1/0,1*('Production Matrix'!A:A="تكلفة انتاج الوحدة")*ROW('Production Matrix'!#REF!))</f>
        <v>#REF!</v>
      </c>
      <c r="D1100" s="11" t="str">
        <f>IFERROR(_xlfn.AGGREGATE(15,6,$C$3:$C$53,ROW('Production Matrix'!#REF!)),"")</f>
        <v/>
      </c>
      <c r="E1100" s="11" t="str">
        <f t="shared" si="26"/>
        <v/>
      </c>
      <c r="F1100" s="12">
        <f>IFERROR(INDEX('Production Matrix'!$B:$B,E1100,0),0)</f>
        <v>0</v>
      </c>
    </row>
    <row r="1101" spans="3:6">
      <c r="C1101" s="11" t="e">
        <f>IF(1*('Production Matrix'!A:A="تكلفة انتاج الوحدة")*ROW('Production Matrix'!#REF!)=0,1/0,1*('Production Matrix'!A:A="تكلفة انتاج الوحدة")*ROW('Production Matrix'!#REF!))</f>
        <v>#REF!</v>
      </c>
      <c r="D1101" s="11" t="str">
        <f>IFERROR(_xlfn.AGGREGATE(15,6,$C$3:$C$53,ROW('Production Matrix'!#REF!)),"")</f>
        <v/>
      </c>
      <c r="E1101" s="11" t="str">
        <f t="shared" si="26"/>
        <v/>
      </c>
      <c r="F1101" s="12">
        <f>IFERROR(INDEX('Production Matrix'!$B:$B,E1101,0),0)</f>
        <v>0</v>
      </c>
    </row>
    <row r="1102" spans="3:6">
      <c r="C1102" s="11" t="e">
        <f>IF(1*('Production Matrix'!A:A="تكلفة انتاج الوحدة")*ROW('Production Matrix'!#REF!)=0,1/0,1*('Production Matrix'!A:A="تكلفة انتاج الوحدة")*ROW('Production Matrix'!#REF!))</f>
        <v>#REF!</v>
      </c>
      <c r="D1102" s="11" t="str">
        <f>IFERROR(_xlfn.AGGREGATE(15,6,$C$3:$C$53,ROW('Production Matrix'!#REF!)),"")</f>
        <v/>
      </c>
      <c r="E1102" s="11" t="str">
        <f t="shared" si="26"/>
        <v/>
      </c>
      <c r="F1102" s="12">
        <f>IFERROR(INDEX('Production Matrix'!$B:$B,E1102,0),0)</f>
        <v>0</v>
      </c>
    </row>
    <row r="1103" spans="3:6">
      <c r="C1103" s="11" t="e">
        <f>IF(1*('Production Matrix'!A:A="تكلفة انتاج الوحدة")*ROW('Production Matrix'!#REF!)=0,1/0,1*('Production Matrix'!A:A="تكلفة انتاج الوحدة")*ROW('Production Matrix'!#REF!))</f>
        <v>#REF!</v>
      </c>
      <c r="D1103" s="11" t="str">
        <f>IFERROR(_xlfn.AGGREGATE(15,6,$C$3:$C$53,ROW('Production Matrix'!#REF!)),"")</f>
        <v/>
      </c>
      <c r="E1103" s="11" t="str">
        <f t="shared" si="26"/>
        <v/>
      </c>
      <c r="F1103" s="12">
        <f>IFERROR(INDEX('Production Matrix'!$B:$B,E1103,0),0)</f>
        <v>0</v>
      </c>
    </row>
    <row r="1104" spans="3:6">
      <c r="C1104" s="11" t="e">
        <f>IF(1*('Production Matrix'!A:A="تكلفة انتاج الوحدة")*ROW('Production Matrix'!#REF!)=0,1/0,1*('Production Matrix'!A:A="تكلفة انتاج الوحدة")*ROW('Production Matrix'!#REF!))</f>
        <v>#REF!</v>
      </c>
      <c r="D1104" s="11" t="str">
        <f>IFERROR(_xlfn.AGGREGATE(15,6,$C$3:$C$53,ROW('Production Matrix'!#REF!)),"")</f>
        <v/>
      </c>
      <c r="E1104" s="11" t="str">
        <f t="shared" si="26"/>
        <v/>
      </c>
      <c r="F1104" s="12">
        <f>IFERROR(INDEX('Production Matrix'!$B:$B,E1104,0),0)</f>
        <v>0</v>
      </c>
    </row>
    <row r="1105" spans="3:6">
      <c r="C1105" s="11" t="e">
        <f>IF(1*('Production Matrix'!A:A="تكلفة انتاج الوحدة")*ROW('Production Matrix'!#REF!)=0,1/0,1*('Production Matrix'!A:A="تكلفة انتاج الوحدة")*ROW('Production Matrix'!#REF!))</f>
        <v>#REF!</v>
      </c>
      <c r="D1105" s="11" t="str">
        <f>IFERROR(_xlfn.AGGREGATE(15,6,$C$3:$C$53,ROW('Production Matrix'!#REF!)),"")</f>
        <v/>
      </c>
      <c r="E1105" s="11" t="str">
        <f t="shared" si="26"/>
        <v/>
      </c>
      <c r="F1105" s="12">
        <f>IFERROR(INDEX('Production Matrix'!$B:$B,E1105,0),0)</f>
        <v>0</v>
      </c>
    </row>
    <row r="1106" spans="3:6">
      <c r="C1106" s="11" t="e">
        <f>IF(1*('Production Matrix'!A:A="تكلفة انتاج الوحدة")*ROW('Production Matrix'!#REF!)=0,1/0,1*('Production Matrix'!A:A="تكلفة انتاج الوحدة")*ROW('Production Matrix'!#REF!))</f>
        <v>#REF!</v>
      </c>
      <c r="D1106" s="11" t="str">
        <f>IFERROR(_xlfn.AGGREGATE(15,6,$C$3:$C$53,ROW('Production Matrix'!#REF!)),"")</f>
        <v/>
      </c>
      <c r="E1106" s="11" t="str">
        <f t="shared" si="26"/>
        <v/>
      </c>
      <c r="F1106" s="12">
        <f>IFERROR(INDEX('Production Matrix'!$B:$B,E1106,0),0)</f>
        <v>0</v>
      </c>
    </row>
    <row r="1107" spans="3:6">
      <c r="C1107" s="11" t="e">
        <f>IF(1*('Production Matrix'!A:A="تكلفة انتاج الوحدة")*ROW('Production Matrix'!#REF!)=0,1/0,1*('Production Matrix'!A:A="تكلفة انتاج الوحدة")*ROW('Production Matrix'!#REF!))</f>
        <v>#REF!</v>
      </c>
      <c r="D1107" s="11" t="str">
        <f>IFERROR(_xlfn.AGGREGATE(15,6,$C$3:$C$53,ROW('Production Matrix'!#REF!)),"")</f>
        <v/>
      </c>
      <c r="E1107" s="11" t="str">
        <f t="shared" si="26"/>
        <v/>
      </c>
      <c r="F1107" s="12">
        <f>IFERROR(INDEX('Production Matrix'!$B:$B,E1107,0),0)</f>
        <v>0</v>
      </c>
    </row>
    <row r="1108" spans="3:6">
      <c r="C1108" s="11" t="e">
        <f>IF(1*('Production Matrix'!A:A="تكلفة انتاج الوحدة")*ROW('Production Matrix'!#REF!)=0,1/0,1*('Production Matrix'!A:A="تكلفة انتاج الوحدة")*ROW('Production Matrix'!#REF!))</f>
        <v>#REF!</v>
      </c>
      <c r="D1108" s="11" t="str">
        <f>IFERROR(_xlfn.AGGREGATE(15,6,$C$3:$C$53,ROW('Production Matrix'!#REF!)),"")</f>
        <v/>
      </c>
      <c r="E1108" s="11" t="str">
        <f t="shared" si="26"/>
        <v/>
      </c>
      <c r="F1108" s="12">
        <f>IFERROR(INDEX('Production Matrix'!$B:$B,E1108,0),0)</f>
        <v>0</v>
      </c>
    </row>
    <row r="1109" spans="3:6">
      <c r="C1109" s="11" t="e">
        <f>IF(1*('Production Matrix'!A:A="تكلفة انتاج الوحدة")*ROW('Production Matrix'!#REF!)=0,1/0,1*('Production Matrix'!A:A="تكلفة انتاج الوحدة")*ROW('Production Matrix'!#REF!))</f>
        <v>#REF!</v>
      </c>
      <c r="D1109" s="11" t="str">
        <f>IFERROR(_xlfn.AGGREGATE(15,6,$C$3:$C$53,ROW('Production Matrix'!#REF!)),"")</f>
        <v/>
      </c>
      <c r="E1109" s="11" t="str">
        <f t="shared" si="26"/>
        <v/>
      </c>
      <c r="F1109" s="12">
        <f>IFERROR(INDEX('Production Matrix'!$B:$B,E1109,0),0)</f>
        <v>0</v>
      </c>
    </row>
    <row r="1110" spans="3:6">
      <c r="C1110" s="11" t="e">
        <f>IF(1*('Production Matrix'!A:A="تكلفة انتاج الوحدة")*ROW('Production Matrix'!#REF!)=0,1/0,1*('Production Matrix'!A:A="تكلفة انتاج الوحدة")*ROW('Production Matrix'!#REF!))</f>
        <v>#REF!</v>
      </c>
      <c r="D1110" s="11" t="str">
        <f>IFERROR(_xlfn.AGGREGATE(15,6,$C$3:$C$53,ROW('Production Matrix'!#REF!)),"")</f>
        <v/>
      </c>
      <c r="E1110" s="11" t="str">
        <f t="shared" si="26"/>
        <v/>
      </c>
      <c r="F1110" s="12">
        <f>IFERROR(INDEX('Production Matrix'!$B:$B,E1110,0),0)</f>
        <v>0</v>
      </c>
    </row>
    <row r="1111" spans="3:6">
      <c r="C1111" s="11" t="e">
        <f>IF(1*('Production Matrix'!A:A="تكلفة انتاج الوحدة")*ROW('Production Matrix'!#REF!)=0,1/0,1*('Production Matrix'!A:A="تكلفة انتاج الوحدة")*ROW('Production Matrix'!#REF!))</f>
        <v>#REF!</v>
      </c>
      <c r="D1111" s="11" t="str">
        <f>IFERROR(_xlfn.AGGREGATE(15,6,$C$3:$C$53,ROW('Production Matrix'!#REF!)),"")</f>
        <v/>
      </c>
      <c r="E1111" s="11" t="str">
        <f t="shared" si="26"/>
        <v/>
      </c>
      <c r="F1111" s="12">
        <f>IFERROR(INDEX('Production Matrix'!$B:$B,E1111,0),0)</f>
        <v>0</v>
      </c>
    </row>
    <row r="1112" spans="3:6">
      <c r="C1112" s="11" t="e">
        <f>IF(1*('Production Matrix'!A:A="تكلفة انتاج الوحدة")*ROW('Production Matrix'!#REF!)=0,1/0,1*('Production Matrix'!A:A="تكلفة انتاج الوحدة")*ROW('Production Matrix'!#REF!))</f>
        <v>#REF!</v>
      </c>
      <c r="D1112" s="11" t="str">
        <f>IFERROR(_xlfn.AGGREGATE(15,6,$C$3:$C$53,ROW('Production Matrix'!#REF!)),"")</f>
        <v/>
      </c>
      <c r="E1112" s="11" t="str">
        <f t="shared" si="26"/>
        <v/>
      </c>
      <c r="F1112" s="12">
        <f>IFERROR(INDEX('Production Matrix'!$B:$B,E1112,0),0)</f>
        <v>0</v>
      </c>
    </row>
    <row r="1113" spans="3:6">
      <c r="C1113" s="11" t="e">
        <f>IF(1*('Production Matrix'!A:A="تكلفة انتاج الوحدة")*ROW('Production Matrix'!#REF!)=0,1/0,1*('Production Matrix'!A:A="تكلفة انتاج الوحدة")*ROW('Production Matrix'!#REF!))</f>
        <v>#REF!</v>
      </c>
      <c r="D1113" s="11" t="str">
        <f>IFERROR(_xlfn.AGGREGATE(15,6,$C$3:$C$53,ROW('Production Matrix'!#REF!)),"")</f>
        <v/>
      </c>
      <c r="E1113" s="11" t="str">
        <f t="shared" si="26"/>
        <v/>
      </c>
      <c r="F1113" s="12">
        <f>IFERROR(INDEX('Production Matrix'!$B:$B,E1113,0),0)</f>
        <v>0</v>
      </c>
    </row>
    <row r="1114" spans="3:6">
      <c r="C1114" s="11" t="e">
        <f>IF(1*('Production Matrix'!A:A="تكلفة انتاج الوحدة")*ROW('Production Matrix'!#REF!)=0,1/0,1*('Production Matrix'!A:A="تكلفة انتاج الوحدة")*ROW('Production Matrix'!#REF!))</f>
        <v>#REF!</v>
      </c>
      <c r="D1114" s="11" t="str">
        <f>IFERROR(_xlfn.AGGREGATE(15,6,$C$3:$C$53,ROW('Production Matrix'!#REF!)),"")</f>
        <v/>
      </c>
      <c r="E1114" s="11" t="str">
        <f t="shared" si="26"/>
        <v/>
      </c>
      <c r="F1114" s="12">
        <f>IFERROR(INDEX('Production Matrix'!$B:$B,E1114,0),0)</f>
        <v>0</v>
      </c>
    </row>
    <row r="1115" spans="3:6">
      <c r="C1115" s="11" t="e">
        <f>IF(1*('Production Matrix'!A:A="تكلفة انتاج الوحدة")*ROW('Production Matrix'!#REF!)=0,1/0,1*('Production Matrix'!A:A="تكلفة انتاج الوحدة")*ROW('Production Matrix'!#REF!))</f>
        <v>#REF!</v>
      </c>
      <c r="D1115" s="11" t="str">
        <f>IFERROR(_xlfn.AGGREGATE(15,6,$C$3:$C$53,ROW('Production Matrix'!#REF!)),"")</f>
        <v/>
      </c>
      <c r="E1115" s="11" t="str">
        <f t="shared" si="26"/>
        <v/>
      </c>
      <c r="F1115" s="12">
        <f>IFERROR(INDEX('Production Matrix'!$B:$B,E1115,0),0)</f>
        <v>0</v>
      </c>
    </row>
    <row r="1116" spans="3:6">
      <c r="C1116" s="11" t="e">
        <f>IF(1*('Production Matrix'!A:A="تكلفة انتاج الوحدة")*ROW('Production Matrix'!#REF!)=0,1/0,1*('Production Matrix'!A:A="تكلفة انتاج الوحدة")*ROW('Production Matrix'!#REF!))</f>
        <v>#REF!</v>
      </c>
      <c r="D1116" s="11" t="str">
        <f>IFERROR(_xlfn.AGGREGATE(15,6,$C$3:$C$53,ROW('Production Matrix'!#REF!)),"")</f>
        <v/>
      </c>
      <c r="E1116" s="11" t="str">
        <f t="shared" si="26"/>
        <v/>
      </c>
      <c r="F1116" s="12">
        <f>IFERROR(INDEX('Production Matrix'!$B:$B,E1116,0),0)</f>
        <v>0</v>
      </c>
    </row>
    <row r="1117" spans="3:6">
      <c r="C1117" s="11" t="e">
        <f>IF(1*('Production Matrix'!A:A="تكلفة انتاج الوحدة")*ROW('Production Matrix'!#REF!)=0,1/0,1*('Production Matrix'!A:A="تكلفة انتاج الوحدة")*ROW('Production Matrix'!#REF!))</f>
        <v>#REF!</v>
      </c>
      <c r="D1117" s="11" t="str">
        <f>IFERROR(_xlfn.AGGREGATE(15,6,$C$3:$C$53,ROW('Production Matrix'!#REF!)),"")</f>
        <v/>
      </c>
      <c r="E1117" s="11" t="str">
        <f t="shared" si="26"/>
        <v/>
      </c>
      <c r="F1117" s="12">
        <f>IFERROR(INDEX('Production Matrix'!$B:$B,E1117,0),0)</f>
        <v>0</v>
      </c>
    </row>
    <row r="1118" spans="3:6">
      <c r="C1118" s="11" t="e">
        <f>IF(1*('Production Matrix'!A:A="تكلفة انتاج الوحدة")*ROW('Production Matrix'!#REF!)=0,1/0,1*('Production Matrix'!A:A="تكلفة انتاج الوحدة")*ROW('Production Matrix'!#REF!))</f>
        <v>#REF!</v>
      </c>
      <c r="D1118" s="11" t="str">
        <f>IFERROR(_xlfn.AGGREGATE(15,6,$C$3:$C$53,ROW('Production Matrix'!#REF!)),"")</f>
        <v/>
      </c>
      <c r="E1118" s="11" t="str">
        <f t="shared" si="26"/>
        <v/>
      </c>
      <c r="F1118" s="12">
        <f>IFERROR(INDEX('Production Matrix'!$B:$B,E1118,0),0)</f>
        <v>0</v>
      </c>
    </row>
    <row r="1119" spans="3:6">
      <c r="C1119" s="11" t="e">
        <f>IF(1*('Production Matrix'!A:A="تكلفة انتاج الوحدة")*ROW('Production Matrix'!#REF!)=0,1/0,1*('Production Matrix'!A:A="تكلفة انتاج الوحدة")*ROW('Production Matrix'!#REF!))</f>
        <v>#REF!</v>
      </c>
      <c r="D1119" s="11" t="str">
        <f>IFERROR(_xlfn.AGGREGATE(15,6,$C$3:$C$53,ROW('Production Matrix'!#REF!)),"")</f>
        <v/>
      </c>
      <c r="E1119" s="11" t="str">
        <f t="shared" si="26"/>
        <v/>
      </c>
      <c r="F1119" s="12">
        <f>IFERROR(INDEX('Production Matrix'!$B:$B,E1119,0),0)</f>
        <v>0</v>
      </c>
    </row>
    <row r="1120" spans="3:6">
      <c r="C1120" s="11" t="e">
        <f>IF(1*('Production Matrix'!A:A="تكلفة انتاج الوحدة")*ROW('Production Matrix'!#REF!)=0,1/0,1*('Production Matrix'!A:A="تكلفة انتاج الوحدة")*ROW('Production Matrix'!#REF!))</f>
        <v>#REF!</v>
      </c>
      <c r="D1120" s="11" t="str">
        <f>IFERROR(_xlfn.AGGREGATE(15,6,$C$3:$C$53,ROW('Production Matrix'!#REF!)),"")</f>
        <v/>
      </c>
      <c r="E1120" s="11" t="str">
        <f t="shared" si="26"/>
        <v/>
      </c>
      <c r="F1120" s="12">
        <f>IFERROR(INDEX('Production Matrix'!$B:$B,E1120,0),0)</f>
        <v>0</v>
      </c>
    </row>
    <row r="1121" spans="3:6">
      <c r="C1121" s="11" t="e">
        <f>IF(1*('Production Matrix'!A:A="تكلفة انتاج الوحدة")*ROW('Production Matrix'!#REF!)=0,1/0,1*('Production Matrix'!A:A="تكلفة انتاج الوحدة")*ROW('Production Matrix'!#REF!))</f>
        <v>#REF!</v>
      </c>
      <c r="D1121" s="11" t="str">
        <f>IFERROR(_xlfn.AGGREGATE(15,6,$C$3:$C$53,ROW('Production Matrix'!#REF!)),"")</f>
        <v/>
      </c>
      <c r="E1121" s="11" t="str">
        <f t="shared" si="26"/>
        <v/>
      </c>
      <c r="F1121" s="12">
        <f>IFERROR(INDEX('Production Matrix'!$B:$B,E1121,0),0)</f>
        <v>0</v>
      </c>
    </row>
    <row r="1122" spans="3:6">
      <c r="C1122" s="11" t="e">
        <f>IF(1*('Production Matrix'!A:A="تكلفة انتاج الوحدة")*ROW('Production Matrix'!#REF!)=0,1/0,1*('Production Matrix'!A:A="تكلفة انتاج الوحدة")*ROW('Production Matrix'!#REF!))</f>
        <v>#REF!</v>
      </c>
      <c r="D1122" s="11" t="str">
        <f>IFERROR(_xlfn.AGGREGATE(15,6,$C$3:$C$53,ROW('Production Matrix'!#REF!)),"")</f>
        <v/>
      </c>
      <c r="E1122" s="11" t="str">
        <f t="shared" si="26"/>
        <v/>
      </c>
      <c r="F1122" s="12">
        <f>IFERROR(INDEX('Production Matrix'!$B:$B,E1122,0),0)</f>
        <v>0</v>
      </c>
    </row>
    <row r="1123" spans="3:6">
      <c r="C1123" s="11" t="e">
        <f>IF(1*('Production Matrix'!A:A="تكلفة انتاج الوحدة")*ROW('Production Matrix'!#REF!)=0,1/0,1*('Production Matrix'!A:A="تكلفة انتاج الوحدة")*ROW('Production Matrix'!#REF!))</f>
        <v>#REF!</v>
      </c>
      <c r="D1123" s="11" t="str">
        <f>IFERROR(_xlfn.AGGREGATE(15,6,$C$3:$C$53,ROW('Production Matrix'!#REF!)),"")</f>
        <v/>
      </c>
      <c r="E1123" s="11" t="str">
        <f t="shared" si="26"/>
        <v/>
      </c>
      <c r="F1123" s="12">
        <f>IFERROR(INDEX('Production Matrix'!$B:$B,E1123,0),0)</f>
        <v>0</v>
      </c>
    </row>
    <row r="1124" spans="3:6">
      <c r="C1124" s="11" t="e">
        <f>IF(1*('Production Matrix'!A:A="تكلفة انتاج الوحدة")*ROW('Production Matrix'!#REF!)=0,1/0,1*('Production Matrix'!A:A="تكلفة انتاج الوحدة")*ROW('Production Matrix'!#REF!))</f>
        <v>#REF!</v>
      </c>
      <c r="D1124" s="11" t="str">
        <f>IFERROR(_xlfn.AGGREGATE(15,6,$C$3:$C$53,ROW('Production Matrix'!#REF!)),"")</f>
        <v/>
      </c>
      <c r="E1124" s="11" t="str">
        <f t="shared" si="26"/>
        <v/>
      </c>
      <c r="F1124" s="12">
        <f>IFERROR(INDEX('Production Matrix'!$B:$B,E1124,0),0)</f>
        <v>0</v>
      </c>
    </row>
    <row r="1125" spans="3:6">
      <c r="C1125" s="11" t="e">
        <f>IF(1*('Production Matrix'!A:A="تكلفة انتاج الوحدة")*ROW('Production Matrix'!#REF!)=0,1/0,1*('Production Matrix'!A:A="تكلفة انتاج الوحدة")*ROW('Production Matrix'!#REF!))</f>
        <v>#REF!</v>
      </c>
      <c r="D1125" s="11" t="str">
        <f>IFERROR(_xlfn.AGGREGATE(15,6,$C$3:$C$53,ROW('Production Matrix'!#REF!)),"")</f>
        <v/>
      </c>
      <c r="E1125" s="11" t="str">
        <f t="shared" si="26"/>
        <v/>
      </c>
      <c r="F1125" s="12">
        <f>IFERROR(INDEX('Production Matrix'!$B:$B,E1125,0),0)</f>
        <v>0</v>
      </c>
    </row>
    <row r="1126" spans="3:6">
      <c r="C1126" s="11" t="e">
        <f>IF(1*('Production Matrix'!A:A="تكلفة انتاج الوحدة")*ROW('Production Matrix'!#REF!)=0,1/0,1*('Production Matrix'!A:A="تكلفة انتاج الوحدة")*ROW('Production Matrix'!#REF!))</f>
        <v>#REF!</v>
      </c>
      <c r="D1126" s="11" t="str">
        <f>IFERROR(_xlfn.AGGREGATE(15,6,$C$3:$C$53,ROW('Production Matrix'!#REF!)),"")</f>
        <v/>
      </c>
      <c r="E1126" s="11" t="str">
        <f t="shared" si="26"/>
        <v/>
      </c>
      <c r="F1126" s="12">
        <f>IFERROR(INDEX('Production Matrix'!$B:$B,E1126,0),0)</f>
        <v>0</v>
      </c>
    </row>
    <row r="1127" spans="3:6">
      <c r="C1127" s="11" t="e">
        <f>IF(1*('Production Matrix'!A:A="تكلفة انتاج الوحدة")*ROW('Production Matrix'!#REF!)=0,1/0,1*('Production Matrix'!A:A="تكلفة انتاج الوحدة")*ROW('Production Matrix'!#REF!))</f>
        <v>#REF!</v>
      </c>
      <c r="D1127" s="11" t="str">
        <f>IFERROR(_xlfn.AGGREGATE(15,6,$C$3:$C$53,ROW('Production Matrix'!#REF!)),"")</f>
        <v/>
      </c>
      <c r="E1127" s="11" t="str">
        <f t="shared" si="26"/>
        <v/>
      </c>
      <c r="F1127" s="12">
        <f>IFERROR(INDEX('Production Matrix'!$B:$B,E1127,0),0)</f>
        <v>0</v>
      </c>
    </row>
    <row r="1128" spans="3:6">
      <c r="C1128" s="11" t="e">
        <f>IF(1*('Production Matrix'!A:A="تكلفة انتاج الوحدة")*ROW('Production Matrix'!#REF!)=0,1/0,1*('Production Matrix'!A:A="تكلفة انتاج الوحدة")*ROW('Production Matrix'!#REF!))</f>
        <v>#REF!</v>
      </c>
      <c r="D1128" s="11" t="str">
        <f>IFERROR(_xlfn.AGGREGATE(15,6,$C$3:$C$53,ROW('Production Matrix'!#REF!)),"")</f>
        <v/>
      </c>
      <c r="E1128" s="11" t="str">
        <f t="shared" si="26"/>
        <v/>
      </c>
      <c r="F1128" s="12">
        <f>IFERROR(INDEX('Production Matrix'!$B:$B,E1128,0),0)</f>
        <v>0</v>
      </c>
    </row>
    <row r="1129" spans="3:6">
      <c r="C1129" s="11" t="e">
        <f>IF(1*('Production Matrix'!A:A="تكلفة انتاج الوحدة")*ROW('Production Matrix'!#REF!)=0,1/0,1*('Production Matrix'!A:A="تكلفة انتاج الوحدة")*ROW('Production Matrix'!#REF!))</f>
        <v>#REF!</v>
      </c>
      <c r="D1129" s="11" t="str">
        <f>IFERROR(_xlfn.AGGREGATE(15,6,$C$3:$C$53,ROW('Production Matrix'!#REF!)),"")</f>
        <v/>
      </c>
      <c r="E1129" s="11" t="str">
        <f t="shared" si="26"/>
        <v/>
      </c>
      <c r="F1129" s="12">
        <f>IFERROR(INDEX('Production Matrix'!$B:$B,E1129,0),0)</f>
        <v>0</v>
      </c>
    </row>
    <row r="1130" spans="3:6">
      <c r="C1130" s="11" t="e">
        <f>IF(1*('Production Matrix'!A:A="تكلفة انتاج الوحدة")*ROW('Production Matrix'!#REF!)=0,1/0,1*('Production Matrix'!A:A="تكلفة انتاج الوحدة")*ROW('Production Matrix'!#REF!))</f>
        <v>#REF!</v>
      </c>
      <c r="D1130" s="11" t="str">
        <f>IFERROR(_xlfn.AGGREGATE(15,6,$C$3:$C$53,ROW('Production Matrix'!#REF!)),"")</f>
        <v/>
      </c>
      <c r="E1130" s="11" t="str">
        <f t="shared" si="26"/>
        <v/>
      </c>
      <c r="F1130" s="12">
        <f>IFERROR(INDEX('Production Matrix'!$B:$B,E1130,0),0)</f>
        <v>0</v>
      </c>
    </row>
    <row r="1131" spans="3:6">
      <c r="C1131" s="11" t="e">
        <f>IF(1*('Production Matrix'!A:A="تكلفة انتاج الوحدة")*ROW('Production Matrix'!#REF!)=0,1/0,1*('Production Matrix'!A:A="تكلفة انتاج الوحدة")*ROW('Production Matrix'!#REF!))</f>
        <v>#REF!</v>
      </c>
      <c r="D1131" s="11" t="str">
        <f>IFERROR(_xlfn.AGGREGATE(15,6,$C$3:$C$53,ROW('Production Matrix'!#REF!)),"")</f>
        <v/>
      </c>
      <c r="E1131" s="11" t="str">
        <f t="shared" si="26"/>
        <v/>
      </c>
      <c r="F1131" s="12">
        <f>IFERROR(INDEX('Production Matrix'!$B:$B,E1131,0),0)</f>
        <v>0</v>
      </c>
    </row>
    <row r="1132" spans="3:6">
      <c r="C1132" s="11" t="e">
        <f>IF(1*('Production Matrix'!A:A="تكلفة انتاج الوحدة")*ROW('Production Matrix'!#REF!)=0,1/0,1*('Production Matrix'!A:A="تكلفة انتاج الوحدة")*ROW('Production Matrix'!#REF!))</f>
        <v>#REF!</v>
      </c>
      <c r="D1132" s="11" t="str">
        <f>IFERROR(_xlfn.AGGREGATE(15,6,$C$3:$C$53,ROW('Production Matrix'!#REF!)),"")</f>
        <v/>
      </c>
      <c r="E1132" s="11" t="str">
        <f t="shared" si="26"/>
        <v/>
      </c>
      <c r="F1132" s="12">
        <f>IFERROR(INDEX('Production Matrix'!$B:$B,E1132,0),0)</f>
        <v>0</v>
      </c>
    </row>
    <row r="1133" spans="3:6">
      <c r="C1133" s="11" t="e">
        <f>IF(1*('Production Matrix'!A:A="تكلفة انتاج الوحدة")*ROW('Production Matrix'!#REF!)=0,1/0,1*('Production Matrix'!A:A="تكلفة انتاج الوحدة")*ROW('Production Matrix'!#REF!))</f>
        <v>#REF!</v>
      </c>
      <c r="D1133" s="11" t="str">
        <f>IFERROR(_xlfn.AGGREGATE(15,6,$C$3:$C$53,ROW('Production Matrix'!#REF!)),"")</f>
        <v/>
      </c>
      <c r="E1133" s="11" t="str">
        <f t="shared" si="26"/>
        <v/>
      </c>
      <c r="F1133" s="12">
        <f>IFERROR(INDEX('Production Matrix'!$B:$B,E1133,0),0)</f>
        <v>0</v>
      </c>
    </row>
    <row r="1134" spans="3:6">
      <c r="C1134" s="11" t="e">
        <f>IF(1*('Production Matrix'!A:A="تكلفة انتاج الوحدة")*ROW('Production Matrix'!#REF!)=0,1/0,1*('Production Matrix'!A:A="تكلفة انتاج الوحدة")*ROW('Production Matrix'!#REF!))</f>
        <v>#REF!</v>
      </c>
      <c r="D1134" s="11" t="str">
        <f>IFERROR(_xlfn.AGGREGATE(15,6,$C$3:$C$53,ROW('Production Matrix'!#REF!)),"")</f>
        <v/>
      </c>
      <c r="E1134" s="11" t="str">
        <f t="shared" si="26"/>
        <v/>
      </c>
      <c r="F1134" s="12">
        <f>IFERROR(INDEX('Production Matrix'!$B:$B,E1134,0),0)</f>
        <v>0</v>
      </c>
    </row>
    <row r="1135" spans="3:6">
      <c r="C1135" s="11" t="e">
        <f>IF(1*('Production Matrix'!A:A="تكلفة انتاج الوحدة")*ROW('Production Matrix'!#REF!)=0,1/0,1*('Production Matrix'!A:A="تكلفة انتاج الوحدة")*ROW('Production Matrix'!#REF!))</f>
        <v>#REF!</v>
      </c>
      <c r="D1135" s="11" t="str">
        <f>IFERROR(_xlfn.AGGREGATE(15,6,$C$3:$C$53,ROW('Production Matrix'!#REF!)),"")</f>
        <v/>
      </c>
      <c r="E1135" s="11" t="str">
        <f t="shared" si="26"/>
        <v/>
      </c>
      <c r="F1135" s="12">
        <f>IFERROR(INDEX('Production Matrix'!$B:$B,E1135,0),0)</f>
        <v>0</v>
      </c>
    </row>
    <row r="1136" spans="3:6">
      <c r="C1136" s="11" t="e">
        <f>IF(1*('Production Matrix'!A:A="تكلفة انتاج الوحدة")*ROW('Production Matrix'!#REF!)=0,1/0,1*('Production Matrix'!A:A="تكلفة انتاج الوحدة")*ROW('Production Matrix'!#REF!))</f>
        <v>#REF!</v>
      </c>
      <c r="D1136" s="11" t="str">
        <f>IFERROR(_xlfn.AGGREGATE(15,6,$C$3:$C$53,ROW('Production Matrix'!#REF!)),"")</f>
        <v/>
      </c>
      <c r="E1136" s="11" t="str">
        <f t="shared" si="26"/>
        <v/>
      </c>
      <c r="F1136" s="12">
        <f>IFERROR(INDEX('Production Matrix'!$B:$B,E1136,0),0)</f>
        <v>0</v>
      </c>
    </row>
    <row r="1137" spans="3:6">
      <c r="C1137" s="11" t="e">
        <f>IF(1*('Production Matrix'!A:A="تكلفة انتاج الوحدة")*ROW('Production Matrix'!#REF!)=0,1/0,1*('Production Matrix'!A:A="تكلفة انتاج الوحدة")*ROW('Production Matrix'!#REF!))</f>
        <v>#REF!</v>
      </c>
      <c r="D1137" s="11" t="str">
        <f>IFERROR(_xlfn.AGGREGATE(15,6,$C$3:$C$53,ROW('Production Matrix'!#REF!)),"")</f>
        <v/>
      </c>
      <c r="E1137" s="11" t="str">
        <f t="shared" si="26"/>
        <v/>
      </c>
      <c r="F1137" s="12">
        <f>IFERROR(INDEX('Production Matrix'!$B:$B,E1137,0),0)</f>
        <v>0</v>
      </c>
    </row>
    <row r="1138" spans="3:6">
      <c r="C1138" s="11" t="e">
        <f>IF(1*('Production Matrix'!A:A="تكلفة انتاج الوحدة")*ROW('Production Matrix'!#REF!)=0,1/0,1*('Production Matrix'!A:A="تكلفة انتاج الوحدة")*ROW('Production Matrix'!#REF!))</f>
        <v>#REF!</v>
      </c>
      <c r="D1138" s="11" t="str">
        <f>IFERROR(_xlfn.AGGREGATE(15,6,$C$3:$C$53,ROW('Production Matrix'!#REF!)),"")</f>
        <v/>
      </c>
      <c r="E1138" s="11" t="str">
        <f t="shared" si="26"/>
        <v/>
      </c>
      <c r="F1138" s="12">
        <f>IFERROR(INDEX('Production Matrix'!$B:$B,E1138,0),0)</f>
        <v>0</v>
      </c>
    </row>
    <row r="1139" spans="3:6">
      <c r="C1139" s="11" t="e">
        <f>IF(1*('Production Matrix'!A:A="تكلفة انتاج الوحدة")*ROW('Production Matrix'!#REF!)=0,1/0,1*('Production Matrix'!A:A="تكلفة انتاج الوحدة")*ROW('Production Matrix'!#REF!))</f>
        <v>#REF!</v>
      </c>
      <c r="D1139" s="11" t="str">
        <f>IFERROR(_xlfn.AGGREGATE(15,6,$C$3:$C$53,ROW('Production Matrix'!#REF!)),"")</f>
        <v/>
      </c>
      <c r="E1139" s="11" t="str">
        <f t="shared" si="26"/>
        <v/>
      </c>
      <c r="F1139" s="12">
        <f>IFERROR(INDEX('Production Matrix'!$B:$B,E1139,0),0)</f>
        <v>0</v>
      </c>
    </row>
    <row r="1140" spans="3:6">
      <c r="C1140" s="11" t="e">
        <f>IF(1*('Production Matrix'!A:A="تكلفة انتاج الوحدة")*ROW('Production Matrix'!#REF!)=0,1/0,1*('Production Matrix'!A:A="تكلفة انتاج الوحدة")*ROW('Production Matrix'!#REF!))</f>
        <v>#REF!</v>
      </c>
      <c r="D1140" s="11" t="str">
        <f>IFERROR(_xlfn.AGGREGATE(15,6,$C$3:$C$53,ROW('Production Matrix'!#REF!)),"")</f>
        <v/>
      </c>
      <c r="E1140" s="11" t="str">
        <f t="shared" si="26"/>
        <v/>
      </c>
      <c r="F1140" s="12">
        <f>IFERROR(INDEX('Production Matrix'!$B:$B,E1140,0),0)</f>
        <v>0</v>
      </c>
    </row>
    <row r="1141" spans="3:6">
      <c r="C1141" s="11" t="e">
        <f>IF(1*('Production Matrix'!A:A="تكلفة انتاج الوحدة")*ROW('Production Matrix'!#REF!)=0,1/0,1*('Production Matrix'!A:A="تكلفة انتاج الوحدة")*ROW('Production Matrix'!#REF!))</f>
        <v>#REF!</v>
      </c>
      <c r="D1141" s="11" t="str">
        <f>IFERROR(_xlfn.AGGREGATE(15,6,$C$3:$C$53,ROW('Production Matrix'!#REF!)),"")</f>
        <v/>
      </c>
      <c r="E1141" s="11" t="str">
        <f t="shared" si="26"/>
        <v/>
      </c>
      <c r="F1141" s="12">
        <f>IFERROR(INDEX('Production Matrix'!$B:$B,E1141,0),0)</f>
        <v>0</v>
      </c>
    </row>
    <row r="1142" spans="3:6">
      <c r="C1142" s="11" t="e">
        <f>IF(1*('Production Matrix'!A:A="تكلفة انتاج الوحدة")*ROW('Production Matrix'!#REF!)=0,1/0,1*('Production Matrix'!A:A="تكلفة انتاج الوحدة")*ROW('Production Matrix'!#REF!))</f>
        <v>#REF!</v>
      </c>
      <c r="D1142" s="11" t="str">
        <f>IFERROR(_xlfn.AGGREGATE(15,6,$C$3:$C$53,ROW('Production Matrix'!#REF!)),"")</f>
        <v/>
      </c>
      <c r="E1142" s="11" t="str">
        <f t="shared" si="26"/>
        <v/>
      </c>
      <c r="F1142" s="12">
        <f>IFERROR(INDEX('Production Matrix'!$B:$B,E1142,0),0)</f>
        <v>0</v>
      </c>
    </row>
    <row r="1143" spans="3:6">
      <c r="C1143" s="11" t="e">
        <f>IF(1*('Production Matrix'!A:A="تكلفة انتاج الوحدة")*ROW('Production Matrix'!#REF!)=0,1/0,1*('Production Matrix'!A:A="تكلفة انتاج الوحدة")*ROW('Production Matrix'!#REF!))</f>
        <v>#REF!</v>
      </c>
      <c r="D1143" s="11" t="str">
        <f>IFERROR(_xlfn.AGGREGATE(15,6,$C$3:$C$53,ROW('Production Matrix'!#REF!)),"")</f>
        <v/>
      </c>
      <c r="E1143" s="11" t="str">
        <f t="shared" si="26"/>
        <v/>
      </c>
      <c r="F1143" s="12">
        <f>IFERROR(INDEX('Production Matrix'!$B:$B,E1143,0),0)</f>
        <v>0</v>
      </c>
    </row>
    <row r="1144" spans="3:6">
      <c r="C1144" s="11" t="e">
        <f>IF(1*('Production Matrix'!A:A="تكلفة انتاج الوحدة")*ROW('Production Matrix'!#REF!)=0,1/0,1*('Production Matrix'!A:A="تكلفة انتاج الوحدة")*ROW('Production Matrix'!#REF!))</f>
        <v>#REF!</v>
      </c>
      <c r="D1144" s="11" t="str">
        <f>IFERROR(_xlfn.AGGREGATE(15,6,$C$3:$C$53,ROW('Production Matrix'!#REF!)),"")</f>
        <v/>
      </c>
      <c r="E1144" s="11" t="str">
        <f t="shared" si="26"/>
        <v/>
      </c>
      <c r="F1144" s="12">
        <f>IFERROR(INDEX('Production Matrix'!$B:$B,E1144,0),0)</f>
        <v>0</v>
      </c>
    </row>
    <row r="1145" spans="3:6">
      <c r="C1145" s="11" t="e">
        <f>IF(1*('Production Matrix'!A:A="تكلفة انتاج الوحدة")*ROW('Production Matrix'!#REF!)=0,1/0,1*('Production Matrix'!A:A="تكلفة انتاج الوحدة")*ROW('Production Matrix'!#REF!))</f>
        <v>#REF!</v>
      </c>
      <c r="D1145" s="11" t="str">
        <f>IFERROR(_xlfn.AGGREGATE(15,6,$C$3:$C$53,ROW('Production Matrix'!#REF!)),"")</f>
        <v/>
      </c>
      <c r="E1145" s="11" t="str">
        <f t="shared" si="26"/>
        <v/>
      </c>
      <c r="F1145" s="12">
        <f>IFERROR(INDEX('Production Matrix'!$B:$B,E1145,0),0)</f>
        <v>0</v>
      </c>
    </row>
    <row r="1146" spans="3:6">
      <c r="C1146" s="11" t="e">
        <f>IF(1*('Production Matrix'!A:A="تكلفة انتاج الوحدة")*ROW('Production Matrix'!#REF!)=0,1/0,1*('Production Matrix'!A:A="تكلفة انتاج الوحدة")*ROW('Production Matrix'!#REF!))</f>
        <v>#REF!</v>
      </c>
      <c r="D1146" s="11" t="str">
        <f>IFERROR(_xlfn.AGGREGATE(15,6,$C$3:$C$53,ROW('Production Matrix'!#REF!)),"")</f>
        <v/>
      </c>
      <c r="E1146" s="11" t="str">
        <f t="shared" si="26"/>
        <v/>
      </c>
      <c r="F1146" s="12">
        <f>IFERROR(INDEX('Production Matrix'!$B:$B,E1146,0),0)</f>
        <v>0</v>
      </c>
    </row>
    <row r="1147" spans="3:6">
      <c r="C1147" s="11" t="e">
        <f>IF(1*('Production Matrix'!A:A="تكلفة انتاج الوحدة")*ROW('Production Matrix'!#REF!)=0,1/0,1*('Production Matrix'!A:A="تكلفة انتاج الوحدة")*ROW('Production Matrix'!#REF!))</f>
        <v>#REF!</v>
      </c>
      <c r="D1147" s="11" t="str">
        <f>IFERROR(_xlfn.AGGREGATE(15,6,$C$3:$C$53,ROW('Production Matrix'!#REF!)),"")</f>
        <v/>
      </c>
      <c r="E1147" s="11" t="str">
        <f t="shared" si="26"/>
        <v/>
      </c>
      <c r="F1147" s="12">
        <f>IFERROR(INDEX('Production Matrix'!$B:$B,E1147,0),0)</f>
        <v>0</v>
      </c>
    </row>
    <row r="1148" spans="3:6">
      <c r="C1148" s="11" t="e">
        <f>IF(1*('Production Matrix'!A:A="تكلفة انتاج الوحدة")*ROW('Production Matrix'!#REF!)=0,1/0,1*('Production Matrix'!A:A="تكلفة انتاج الوحدة")*ROW('Production Matrix'!#REF!))</f>
        <v>#REF!</v>
      </c>
      <c r="D1148" s="11" t="str">
        <f>IFERROR(_xlfn.AGGREGATE(15,6,$C$3:$C$53,ROW('Production Matrix'!#REF!)),"")</f>
        <v/>
      </c>
      <c r="E1148" s="11" t="str">
        <f t="shared" si="26"/>
        <v/>
      </c>
      <c r="F1148" s="12">
        <f>IFERROR(INDEX('Production Matrix'!$B:$B,E1148,0),0)</f>
        <v>0</v>
      </c>
    </row>
    <row r="1149" spans="3:6">
      <c r="C1149" s="11" t="e">
        <f>IF(1*('Production Matrix'!A:A="تكلفة انتاج الوحدة")*ROW('Production Matrix'!#REF!)=0,1/0,1*('Production Matrix'!A:A="تكلفة انتاج الوحدة")*ROW('Production Matrix'!#REF!))</f>
        <v>#REF!</v>
      </c>
      <c r="D1149" s="11" t="str">
        <f>IFERROR(_xlfn.AGGREGATE(15,6,$C$3:$C$53,ROW('Production Matrix'!#REF!)),"")</f>
        <v/>
      </c>
      <c r="E1149" s="11" t="str">
        <f t="shared" si="26"/>
        <v/>
      </c>
      <c r="F1149" s="12">
        <f>IFERROR(INDEX('Production Matrix'!$B:$B,E1149,0),0)</f>
        <v>0</v>
      </c>
    </row>
    <row r="1150" spans="3:6">
      <c r="C1150" s="11" t="e">
        <f>IF(1*('Production Matrix'!A:A="تكلفة انتاج الوحدة")*ROW('Production Matrix'!#REF!)=0,1/0,1*('Production Matrix'!A:A="تكلفة انتاج الوحدة")*ROW('Production Matrix'!#REF!))</f>
        <v>#REF!</v>
      </c>
      <c r="D1150" s="11" t="str">
        <f>IFERROR(_xlfn.AGGREGATE(15,6,$C$3:$C$53,ROW('Production Matrix'!#REF!)),"")</f>
        <v/>
      </c>
      <c r="E1150" s="11" t="str">
        <f t="shared" si="26"/>
        <v/>
      </c>
      <c r="F1150" s="12">
        <f>IFERROR(INDEX('Production Matrix'!$B:$B,E1150,0),0)</f>
        <v>0</v>
      </c>
    </row>
    <row r="1151" spans="3:6">
      <c r="C1151" s="11" t="e">
        <f>IF(1*('Production Matrix'!A:A="تكلفة انتاج الوحدة")*ROW('Production Matrix'!#REF!)=0,1/0,1*('Production Matrix'!A:A="تكلفة انتاج الوحدة")*ROW('Production Matrix'!#REF!))</f>
        <v>#REF!</v>
      </c>
      <c r="D1151" s="11" t="str">
        <f>IFERROR(_xlfn.AGGREGATE(15,6,$C$3:$C$53,ROW('Production Matrix'!#REF!)),"")</f>
        <v/>
      </c>
      <c r="E1151" s="11" t="str">
        <f t="shared" si="26"/>
        <v/>
      </c>
      <c r="F1151" s="12">
        <f>IFERROR(INDEX('Production Matrix'!$B:$B,E1151,0),0)</f>
        <v>0</v>
      </c>
    </row>
    <row r="1152" spans="3:6">
      <c r="C1152" s="11" t="e">
        <f>IF(1*('Production Matrix'!A:A="تكلفة انتاج الوحدة")*ROW('Production Matrix'!#REF!)=0,1/0,1*('Production Matrix'!A:A="تكلفة انتاج الوحدة")*ROW('Production Matrix'!#REF!))</f>
        <v>#REF!</v>
      </c>
      <c r="D1152" s="11" t="str">
        <f>IFERROR(_xlfn.AGGREGATE(15,6,$C$3:$C$53,ROW('Production Matrix'!#REF!)),"")</f>
        <v/>
      </c>
      <c r="E1152" s="11" t="str">
        <f t="shared" si="26"/>
        <v/>
      </c>
      <c r="F1152" s="12">
        <f>IFERROR(INDEX('Production Matrix'!$B:$B,E1152,0),0)</f>
        <v>0</v>
      </c>
    </row>
    <row r="1153" spans="3:6">
      <c r="C1153" s="11" t="e">
        <f>IF(1*('Production Matrix'!A:A="تكلفة انتاج الوحدة")*ROW('Production Matrix'!#REF!)=0,1/0,1*('Production Matrix'!A:A="تكلفة انتاج الوحدة")*ROW('Production Matrix'!#REF!))</f>
        <v>#REF!</v>
      </c>
      <c r="D1153" s="11" t="str">
        <f>IFERROR(_xlfn.AGGREGATE(15,6,$C$3:$C$53,ROW('Production Matrix'!#REF!)),"")</f>
        <v/>
      </c>
      <c r="E1153" s="11" t="str">
        <f t="shared" si="26"/>
        <v/>
      </c>
      <c r="F1153" s="12">
        <f>IFERROR(INDEX('Production Matrix'!$B:$B,E1153,0),0)</f>
        <v>0</v>
      </c>
    </row>
    <row r="1154" spans="3:6">
      <c r="C1154" s="11" t="e">
        <f>IF(1*('Production Matrix'!A:A="تكلفة انتاج الوحدة")*ROW('Production Matrix'!#REF!)=0,1/0,1*('Production Matrix'!A:A="تكلفة انتاج الوحدة")*ROW('Production Matrix'!#REF!))</f>
        <v>#REF!</v>
      </c>
      <c r="D1154" s="11" t="str">
        <f>IFERROR(_xlfn.AGGREGATE(15,6,$C$3:$C$53,ROW('Production Matrix'!#REF!)),"")</f>
        <v/>
      </c>
      <c r="E1154" s="11" t="str">
        <f t="shared" si="26"/>
        <v/>
      </c>
      <c r="F1154" s="12">
        <f>IFERROR(INDEX('Production Matrix'!$B:$B,E1154,0),0)</f>
        <v>0</v>
      </c>
    </row>
    <row r="1155" spans="3:6">
      <c r="C1155" s="11" t="e">
        <f>IF(1*('Production Matrix'!A:A="تكلفة انتاج الوحدة")*ROW('Production Matrix'!#REF!)=0,1/0,1*('Production Matrix'!A:A="تكلفة انتاج الوحدة")*ROW('Production Matrix'!#REF!))</f>
        <v>#REF!</v>
      </c>
      <c r="D1155" s="11" t="str">
        <f>IFERROR(_xlfn.AGGREGATE(15,6,$C$3:$C$53,ROW('Production Matrix'!#REF!)),"")</f>
        <v/>
      </c>
      <c r="E1155" s="11" t="str">
        <f t="shared" si="26"/>
        <v/>
      </c>
      <c r="F1155" s="12">
        <f>IFERROR(INDEX('Production Matrix'!$B:$B,E1155,0),0)</f>
        <v>0</v>
      </c>
    </row>
    <row r="1156" spans="3:6">
      <c r="C1156" s="11" t="e">
        <f>IF(1*('Production Matrix'!A:A="تكلفة انتاج الوحدة")*ROW('Production Matrix'!#REF!)=0,1/0,1*('Production Matrix'!A:A="تكلفة انتاج الوحدة")*ROW('Production Matrix'!#REF!))</f>
        <v>#REF!</v>
      </c>
      <c r="D1156" s="11" t="str">
        <f>IFERROR(_xlfn.AGGREGATE(15,6,$C$3:$C$53,ROW('Production Matrix'!#REF!)),"")</f>
        <v/>
      </c>
      <c r="E1156" s="11" t="str">
        <f t="shared" si="26"/>
        <v/>
      </c>
      <c r="F1156" s="12">
        <f>IFERROR(INDEX('Production Matrix'!$B:$B,E1156,0),0)</f>
        <v>0</v>
      </c>
    </row>
    <row r="1157" spans="3:6">
      <c r="C1157" s="11" t="e">
        <f>IF(1*('Production Matrix'!A:A="تكلفة انتاج الوحدة")*ROW('Production Matrix'!#REF!)=0,1/0,1*('Production Matrix'!A:A="تكلفة انتاج الوحدة")*ROW('Production Matrix'!#REF!))</f>
        <v>#REF!</v>
      </c>
      <c r="D1157" s="11" t="str">
        <f>IFERROR(_xlfn.AGGREGATE(15,6,$C$3:$C$53,ROW('Production Matrix'!#REF!)),"")</f>
        <v/>
      </c>
      <c r="E1157" s="11" t="str">
        <f t="shared" si="26"/>
        <v/>
      </c>
      <c r="F1157" s="12">
        <f>IFERROR(INDEX('Production Matrix'!$B:$B,E1157,0),0)</f>
        <v>0</v>
      </c>
    </row>
    <row r="1158" spans="3:6">
      <c r="C1158" s="11" t="e">
        <f>IF(1*('Production Matrix'!A:A="تكلفة انتاج الوحدة")*ROW('Production Matrix'!#REF!)=0,1/0,1*('Production Matrix'!A:A="تكلفة انتاج الوحدة")*ROW('Production Matrix'!#REF!))</f>
        <v>#REF!</v>
      </c>
      <c r="D1158" s="11" t="str">
        <f>IFERROR(_xlfn.AGGREGATE(15,6,$C$3:$C$53,ROW('Production Matrix'!#REF!)),"")</f>
        <v/>
      </c>
      <c r="E1158" s="11" t="str">
        <f t="shared" si="26"/>
        <v/>
      </c>
      <c r="F1158" s="12">
        <f>IFERROR(INDEX('Production Matrix'!$B:$B,E1158,0),0)</f>
        <v>0</v>
      </c>
    </row>
    <row r="1159" spans="3:6">
      <c r="C1159" s="11" t="e">
        <f>IF(1*('Production Matrix'!A:A="تكلفة انتاج الوحدة")*ROW('Production Matrix'!#REF!)=0,1/0,1*('Production Matrix'!A:A="تكلفة انتاج الوحدة")*ROW('Production Matrix'!#REF!))</f>
        <v>#REF!</v>
      </c>
      <c r="D1159" s="11" t="str">
        <f>IFERROR(_xlfn.AGGREGATE(15,6,$C$3:$C$53,ROW('Production Matrix'!#REF!)),"")</f>
        <v/>
      </c>
      <c r="E1159" s="11" t="str">
        <f t="shared" ref="E1159:E1222" si="27">IFERROR(D1159+3,"")</f>
        <v/>
      </c>
      <c r="F1159" s="12">
        <f>IFERROR(INDEX('Production Matrix'!$B:$B,E1159,0),0)</f>
        <v>0</v>
      </c>
    </row>
    <row r="1160" spans="3:6">
      <c r="C1160" s="11" t="e">
        <f>IF(1*('Production Matrix'!A:A="تكلفة انتاج الوحدة")*ROW('Production Matrix'!#REF!)=0,1/0,1*('Production Matrix'!A:A="تكلفة انتاج الوحدة")*ROW('Production Matrix'!#REF!))</f>
        <v>#REF!</v>
      </c>
      <c r="D1160" s="11" t="str">
        <f>IFERROR(_xlfn.AGGREGATE(15,6,$C$3:$C$53,ROW('Production Matrix'!#REF!)),"")</f>
        <v/>
      </c>
      <c r="E1160" s="11" t="str">
        <f t="shared" si="27"/>
        <v/>
      </c>
      <c r="F1160" s="12">
        <f>IFERROR(INDEX('Production Matrix'!$B:$B,E1160,0),0)</f>
        <v>0</v>
      </c>
    </row>
    <row r="1161" spans="3:6">
      <c r="C1161" s="11" t="e">
        <f>IF(1*('Production Matrix'!A:A="تكلفة انتاج الوحدة")*ROW('Production Matrix'!#REF!)=0,1/0,1*('Production Matrix'!A:A="تكلفة انتاج الوحدة")*ROW('Production Matrix'!#REF!))</f>
        <v>#REF!</v>
      </c>
      <c r="D1161" s="11" t="str">
        <f>IFERROR(_xlfn.AGGREGATE(15,6,$C$3:$C$53,ROW('Production Matrix'!#REF!)),"")</f>
        <v/>
      </c>
      <c r="E1161" s="11" t="str">
        <f t="shared" si="27"/>
        <v/>
      </c>
      <c r="F1161" s="12">
        <f>IFERROR(INDEX('Production Matrix'!$B:$B,E1161,0),0)</f>
        <v>0</v>
      </c>
    </row>
    <row r="1162" spans="3:6">
      <c r="C1162" s="11" t="e">
        <f>IF(1*('Production Matrix'!A:A="تكلفة انتاج الوحدة")*ROW('Production Matrix'!#REF!)=0,1/0,1*('Production Matrix'!A:A="تكلفة انتاج الوحدة")*ROW('Production Matrix'!#REF!))</f>
        <v>#REF!</v>
      </c>
      <c r="D1162" s="11" t="str">
        <f>IFERROR(_xlfn.AGGREGATE(15,6,$C$3:$C$53,ROW('Production Matrix'!#REF!)),"")</f>
        <v/>
      </c>
      <c r="E1162" s="11" t="str">
        <f t="shared" si="27"/>
        <v/>
      </c>
      <c r="F1162" s="12">
        <f>IFERROR(INDEX('Production Matrix'!$B:$B,E1162,0),0)</f>
        <v>0</v>
      </c>
    </row>
    <row r="1163" spans="3:6">
      <c r="C1163" s="11" t="e">
        <f>IF(1*('Production Matrix'!A:A="تكلفة انتاج الوحدة")*ROW('Production Matrix'!#REF!)=0,1/0,1*('Production Matrix'!A:A="تكلفة انتاج الوحدة")*ROW('Production Matrix'!#REF!))</f>
        <v>#REF!</v>
      </c>
      <c r="D1163" s="11" t="str">
        <f>IFERROR(_xlfn.AGGREGATE(15,6,$C$3:$C$53,ROW('Production Matrix'!#REF!)),"")</f>
        <v/>
      </c>
      <c r="E1163" s="11" t="str">
        <f t="shared" si="27"/>
        <v/>
      </c>
      <c r="F1163" s="12">
        <f>IFERROR(INDEX('Production Matrix'!$B:$B,E1163,0),0)</f>
        <v>0</v>
      </c>
    </row>
    <row r="1164" spans="3:6">
      <c r="C1164" s="11" t="e">
        <f>IF(1*('Production Matrix'!A:A="تكلفة انتاج الوحدة")*ROW('Production Matrix'!#REF!)=0,1/0,1*('Production Matrix'!A:A="تكلفة انتاج الوحدة")*ROW('Production Matrix'!#REF!))</f>
        <v>#REF!</v>
      </c>
      <c r="D1164" s="11" t="str">
        <f>IFERROR(_xlfn.AGGREGATE(15,6,$C$3:$C$53,ROW('Production Matrix'!#REF!)),"")</f>
        <v/>
      </c>
      <c r="E1164" s="11" t="str">
        <f t="shared" si="27"/>
        <v/>
      </c>
      <c r="F1164" s="12">
        <f>IFERROR(INDEX('Production Matrix'!$B:$B,E1164,0),0)</f>
        <v>0</v>
      </c>
    </row>
    <row r="1165" spans="3:6">
      <c r="C1165" s="11" t="e">
        <f>IF(1*('Production Matrix'!A:A="تكلفة انتاج الوحدة")*ROW('Production Matrix'!#REF!)=0,1/0,1*('Production Matrix'!A:A="تكلفة انتاج الوحدة")*ROW('Production Matrix'!#REF!))</f>
        <v>#REF!</v>
      </c>
      <c r="D1165" s="11" t="str">
        <f>IFERROR(_xlfn.AGGREGATE(15,6,$C$3:$C$53,ROW('Production Matrix'!#REF!)),"")</f>
        <v/>
      </c>
      <c r="E1165" s="11" t="str">
        <f t="shared" si="27"/>
        <v/>
      </c>
      <c r="F1165" s="12">
        <f>IFERROR(INDEX('Production Matrix'!$B:$B,E1165,0),0)</f>
        <v>0</v>
      </c>
    </row>
    <row r="1166" spans="3:6">
      <c r="C1166" s="11" t="e">
        <f>IF(1*('Production Matrix'!A:A="تكلفة انتاج الوحدة")*ROW('Production Matrix'!#REF!)=0,1/0,1*('Production Matrix'!A:A="تكلفة انتاج الوحدة")*ROW('Production Matrix'!#REF!))</f>
        <v>#REF!</v>
      </c>
      <c r="D1166" s="11" t="str">
        <f>IFERROR(_xlfn.AGGREGATE(15,6,$C$3:$C$53,ROW('Production Matrix'!#REF!)),"")</f>
        <v/>
      </c>
      <c r="E1166" s="11" t="str">
        <f t="shared" si="27"/>
        <v/>
      </c>
      <c r="F1166" s="12">
        <f>IFERROR(INDEX('Production Matrix'!$B:$B,E1166,0),0)</f>
        <v>0</v>
      </c>
    </row>
    <row r="1167" spans="3:6">
      <c r="C1167" s="11" t="e">
        <f>IF(1*('Production Matrix'!A:A="تكلفة انتاج الوحدة")*ROW('Production Matrix'!#REF!)=0,1/0,1*('Production Matrix'!A:A="تكلفة انتاج الوحدة")*ROW('Production Matrix'!#REF!))</f>
        <v>#REF!</v>
      </c>
      <c r="D1167" s="11" t="str">
        <f>IFERROR(_xlfn.AGGREGATE(15,6,$C$3:$C$53,ROW('Production Matrix'!#REF!)),"")</f>
        <v/>
      </c>
      <c r="E1167" s="11" t="str">
        <f t="shared" si="27"/>
        <v/>
      </c>
      <c r="F1167" s="12">
        <f>IFERROR(INDEX('Production Matrix'!$B:$B,E1167,0),0)</f>
        <v>0</v>
      </c>
    </row>
    <row r="1168" spans="3:6">
      <c r="C1168" s="11" t="e">
        <f>IF(1*('Production Matrix'!A:A="تكلفة انتاج الوحدة")*ROW('Production Matrix'!#REF!)=0,1/0,1*('Production Matrix'!A:A="تكلفة انتاج الوحدة")*ROW('Production Matrix'!#REF!))</f>
        <v>#REF!</v>
      </c>
      <c r="D1168" s="11" t="str">
        <f>IFERROR(_xlfn.AGGREGATE(15,6,$C$3:$C$53,ROW('Production Matrix'!#REF!)),"")</f>
        <v/>
      </c>
      <c r="E1168" s="11" t="str">
        <f t="shared" si="27"/>
        <v/>
      </c>
      <c r="F1168" s="12">
        <f>IFERROR(INDEX('Production Matrix'!$B:$B,E1168,0),0)</f>
        <v>0</v>
      </c>
    </row>
    <row r="1169" spans="3:6">
      <c r="C1169" s="11" t="e">
        <f>IF(1*('Production Matrix'!A:A="تكلفة انتاج الوحدة")*ROW('Production Matrix'!#REF!)=0,1/0,1*('Production Matrix'!A:A="تكلفة انتاج الوحدة")*ROW('Production Matrix'!#REF!))</f>
        <v>#REF!</v>
      </c>
      <c r="D1169" s="11" t="str">
        <f>IFERROR(_xlfn.AGGREGATE(15,6,$C$3:$C$53,ROW('Production Matrix'!#REF!)),"")</f>
        <v/>
      </c>
      <c r="E1169" s="11" t="str">
        <f t="shared" si="27"/>
        <v/>
      </c>
      <c r="F1169" s="12">
        <f>IFERROR(INDEX('Production Matrix'!$B:$B,E1169,0),0)</f>
        <v>0</v>
      </c>
    </row>
    <row r="1170" spans="3:6">
      <c r="C1170" s="11" t="e">
        <f>IF(1*('Production Matrix'!A:A="تكلفة انتاج الوحدة")*ROW('Production Matrix'!#REF!)=0,1/0,1*('Production Matrix'!A:A="تكلفة انتاج الوحدة")*ROW('Production Matrix'!#REF!))</f>
        <v>#REF!</v>
      </c>
      <c r="D1170" s="11" t="str">
        <f>IFERROR(_xlfn.AGGREGATE(15,6,$C$3:$C$53,ROW('Production Matrix'!#REF!)),"")</f>
        <v/>
      </c>
      <c r="E1170" s="11" t="str">
        <f t="shared" si="27"/>
        <v/>
      </c>
      <c r="F1170" s="12">
        <f>IFERROR(INDEX('Production Matrix'!$B:$B,E1170,0),0)</f>
        <v>0</v>
      </c>
    </row>
    <row r="1171" spans="3:6">
      <c r="C1171" s="11" t="e">
        <f>IF(1*('Production Matrix'!A:A="تكلفة انتاج الوحدة")*ROW('Production Matrix'!#REF!)=0,1/0,1*('Production Matrix'!A:A="تكلفة انتاج الوحدة")*ROW('Production Matrix'!#REF!))</f>
        <v>#REF!</v>
      </c>
      <c r="D1171" s="11" t="str">
        <f>IFERROR(_xlfn.AGGREGATE(15,6,$C$3:$C$53,ROW('Production Matrix'!#REF!)),"")</f>
        <v/>
      </c>
      <c r="E1171" s="11" t="str">
        <f t="shared" si="27"/>
        <v/>
      </c>
      <c r="F1171" s="12">
        <f>IFERROR(INDEX('Production Matrix'!$B:$B,E1171,0),0)</f>
        <v>0</v>
      </c>
    </row>
    <row r="1172" spans="3:6">
      <c r="C1172" s="11" t="e">
        <f>IF(1*('Production Matrix'!A:A="تكلفة انتاج الوحدة")*ROW('Production Matrix'!#REF!)=0,1/0,1*('Production Matrix'!A:A="تكلفة انتاج الوحدة")*ROW('Production Matrix'!#REF!))</f>
        <v>#REF!</v>
      </c>
      <c r="D1172" s="11" t="str">
        <f>IFERROR(_xlfn.AGGREGATE(15,6,$C$3:$C$53,ROW('Production Matrix'!#REF!)),"")</f>
        <v/>
      </c>
      <c r="E1172" s="11" t="str">
        <f t="shared" si="27"/>
        <v/>
      </c>
      <c r="F1172" s="12">
        <f>IFERROR(INDEX('Production Matrix'!$B:$B,E1172,0),0)</f>
        <v>0</v>
      </c>
    </row>
    <row r="1173" spans="3:6">
      <c r="C1173" s="11" t="e">
        <f>IF(1*('Production Matrix'!A:A="تكلفة انتاج الوحدة")*ROW('Production Matrix'!#REF!)=0,1/0,1*('Production Matrix'!A:A="تكلفة انتاج الوحدة")*ROW('Production Matrix'!#REF!))</f>
        <v>#REF!</v>
      </c>
      <c r="D1173" s="11" t="str">
        <f>IFERROR(_xlfn.AGGREGATE(15,6,$C$3:$C$53,ROW('Production Matrix'!#REF!)),"")</f>
        <v/>
      </c>
      <c r="E1173" s="11" t="str">
        <f t="shared" si="27"/>
        <v/>
      </c>
      <c r="F1173" s="12">
        <f>IFERROR(INDEX('Production Matrix'!$B:$B,E1173,0),0)</f>
        <v>0</v>
      </c>
    </row>
    <row r="1174" spans="3:6">
      <c r="C1174" s="11" t="e">
        <f>IF(1*('Production Matrix'!A:A="تكلفة انتاج الوحدة")*ROW('Production Matrix'!#REF!)=0,1/0,1*('Production Matrix'!A:A="تكلفة انتاج الوحدة")*ROW('Production Matrix'!#REF!))</f>
        <v>#REF!</v>
      </c>
      <c r="D1174" s="11" t="str">
        <f>IFERROR(_xlfn.AGGREGATE(15,6,$C$3:$C$53,ROW('Production Matrix'!#REF!)),"")</f>
        <v/>
      </c>
      <c r="E1174" s="11" t="str">
        <f t="shared" si="27"/>
        <v/>
      </c>
      <c r="F1174" s="12">
        <f>IFERROR(INDEX('Production Matrix'!$B:$B,E1174,0),0)</f>
        <v>0</v>
      </c>
    </row>
    <row r="1175" spans="3:6">
      <c r="C1175" s="11" t="e">
        <f>IF(1*('Production Matrix'!A:A="تكلفة انتاج الوحدة")*ROW('Production Matrix'!#REF!)=0,1/0,1*('Production Matrix'!A:A="تكلفة انتاج الوحدة")*ROW('Production Matrix'!#REF!))</f>
        <v>#REF!</v>
      </c>
      <c r="D1175" s="11" t="str">
        <f>IFERROR(_xlfn.AGGREGATE(15,6,$C$3:$C$53,ROW('Production Matrix'!#REF!)),"")</f>
        <v/>
      </c>
      <c r="E1175" s="11" t="str">
        <f t="shared" si="27"/>
        <v/>
      </c>
      <c r="F1175" s="12">
        <f>IFERROR(INDEX('Production Matrix'!$B:$B,E1175,0),0)</f>
        <v>0</v>
      </c>
    </row>
    <row r="1176" spans="3:6">
      <c r="C1176" s="11" t="e">
        <f>IF(1*('Production Matrix'!A:A="تكلفة انتاج الوحدة")*ROW('Production Matrix'!#REF!)=0,1/0,1*('Production Matrix'!A:A="تكلفة انتاج الوحدة")*ROW('Production Matrix'!#REF!))</f>
        <v>#REF!</v>
      </c>
      <c r="D1176" s="11" t="str">
        <f>IFERROR(_xlfn.AGGREGATE(15,6,$C$3:$C$53,ROW('Production Matrix'!#REF!)),"")</f>
        <v/>
      </c>
      <c r="E1176" s="11" t="str">
        <f t="shared" si="27"/>
        <v/>
      </c>
      <c r="F1176" s="12">
        <f>IFERROR(INDEX('Production Matrix'!$B:$B,E1176,0),0)</f>
        <v>0</v>
      </c>
    </row>
    <row r="1177" spans="3:6">
      <c r="C1177" s="11" t="e">
        <f>IF(1*('Production Matrix'!A:A="تكلفة انتاج الوحدة")*ROW('Production Matrix'!#REF!)=0,1/0,1*('Production Matrix'!A:A="تكلفة انتاج الوحدة")*ROW('Production Matrix'!#REF!))</f>
        <v>#REF!</v>
      </c>
      <c r="D1177" s="11" t="str">
        <f>IFERROR(_xlfn.AGGREGATE(15,6,$C$3:$C$53,ROW('Production Matrix'!#REF!)),"")</f>
        <v/>
      </c>
      <c r="E1177" s="11" t="str">
        <f t="shared" si="27"/>
        <v/>
      </c>
      <c r="F1177" s="12">
        <f>IFERROR(INDEX('Production Matrix'!$B:$B,E1177,0),0)</f>
        <v>0</v>
      </c>
    </row>
    <row r="1178" spans="3:6">
      <c r="C1178" s="11" t="e">
        <f>IF(1*('Production Matrix'!A:A="تكلفة انتاج الوحدة")*ROW('Production Matrix'!#REF!)=0,1/0,1*('Production Matrix'!A:A="تكلفة انتاج الوحدة")*ROW('Production Matrix'!#REF!))</f>
        <v>#REF!</v>
      </c>
      <c r="D1178" s="11" t="str">
        <f>IFERROR(_xlfn.AGGREGATE(15,6,$C$3:$C$53,ROW('Production Matrix'!#REF!)),"")</f>
        <v/>
      </c>
      <c r="E1178" s="11" t="str">
        <f t="shared" si="27"/>
        <v/>
      </c>
      <c r="F1178" s="12">
        <f>IFERROR(INDEX('Production Matrix'!$B:$B,E1178,0),0)</f>
        <v>0</v>
      </c>
    </row>
    <row r="1179" spans="3:6">
      <c r="C1179" s="11" t="e">
        <f>IF(1*('Production Matrix'!A:A="تكلفة انتاج الوحدة")*ROW('Production Matrix'!#REF!)=0,1/0,1*('Production Matrix'!A:A="تكلفة انتاج الوحدة")*ROW('Production Matrix'!#REF!))</f>
        <v>#REF!</v>
      </c>
      <c r="D1179" s="11" t="str">
        <f>IFERROR(_xlfn.AGGREGATE(15,6,$C$3:$C$53,ROW('Production Matrix'!#REF!)),"")</f>
        <v/>
      </c>
      <c r="E1179" s="11" t="str">
        <f t="shared" si="27"/>
        <v/>
      </c>
      <c r="F1179" s="12">
        <f>IFERROR(INDEX('Production Matrix'!$B:$B,E1179,0),0)</f>
        <v>0</v>
      </c>
    </row>
    <row r="1180" spans="3:6">
      <c r="C1180" s="11" t="e">
        <f>IF(1*('Production Matrix'!A:A="تكلفة انتاج الوحدة")*ROW('Production Matrix'!#REF!)=0,1/0,1*('Production Matrix'!A:A="تكلفة انتاج الوحدة")*ROW('Production Matrix'!#REF!))</f>
        <v>#REF!</v>
      </c>
      <c r="D1180" s="11" t="str">
        <f>IFERROR(_xlfn.AGGREGATE(15,6,$C$3:$C$53,ROW('Production Matrix'!#REF!)),"")</f>
        <v/>
      </c>
      <c r="E1180" s="11" t="str">
        <f t="shared" si="27"/>
        <v/>
      </c>
      <c r="F1180" s="12">
        <f>IFERROR(INDEX('Production Matrix'!$B:$B,E1180,0),0)</f>
        <v>0</v>
      </c>
    </row>
    <row r="1181" spans="3:6">
      <c r="C1181" s="11" t="e">
        <f>IF(1*('Production Matrix'!A:A="تكلفة انتاج الوحدة")*ROW('Production Matrix'!#REF!)=0,1/0,1*('Production Matrix'!A:A="تكلفة انتاج الوحدة")*ROW('Production Matrix'!#REF!))</f>
        <v>#REF!</v>
      </c>
      <c r="D1181" s="11" t="str">
        <f>IFERROR(_xlfn.AGGREGATE(15,6,$C$3:$C$53,ROW('Production Matrix'!#REF!)),"")</f>
        <v/>
      </c>
      <c r="E1181" s="11" t="str">
        <f t="shared" si="27"/>
        <v/>
      </c>
      <c r="F1181" s="12">
        <f>IFERROR(INDEX('Production Matrix'!$B:$B,E1181,0),0)</f>
        <v>0</v>
      </c>
    </row>
    <row r="1182" spans="3:6">
      <c r="C1182" s="11" t="e">
        <f>IF(1*('Production Matrix'!A:A="تكلفة انتاج الوحدة")*ROW('Production Matrix'!#REF!)=0,1/0,1*('Production Matrix'!A:A="تكلفة انتاج الوحدة")*ROW('Production Matrix'!#REF!))</f>
        <v>#REF!</v>
      </c>
      <c r="D1182" s="11" t="str">
        <f>IFERROR(_xlfn.AGGREGATE(15,6,$C$3:$C$53,ROW('Production Matrix'!#REF!)),"")</f>
        <v/>
      </c>
      <c r="E1182" s="11" t="str">
        <f t="shared" si="27"/>
        <v/>
      </c>
      <c r="F1182" s="12">
        <f>IFERROR(INDEX('Production Matrix'!$B:$B,E1182,0),0)</f>
        <v>0</v>
      </c>
    </row>
    <row r="1183" spans="3:6">
      <c r="C1183" s="11" t="e">
        <f>IF(1*('Production Matrix'!A:A="تكلفة انتاج الوحدة")*ROW('Production Matrix'!#REF!)=0,1/0,1*('Production Matrix'!A:A="تكلفة انتاج الوحدة")*ROW('Production Matrix'!#REF!))</f>
        <v>#REF!</v>
      </c>
      <c r="D1183" s="11" t="str">
        <f>IFERROR(_xlfn.AGGREGATE(15,6,$C$3:$C$53,ROW('Production Matrix'!#REF!)),"")</f>
        <v/>
      </c>
      <c r="E1183" s="11" t="str">
        <f t="shared" si="27"/>
        <v/>
      </c>
      <c r="F1183" s="12">
        <f>IFERROR(INDEX('Production Matrix'!$B:$B,E1183,0),0)</f>
        <v>0</v>
      </c>
    </row>
    <row r="1184" spans="3:6">
      <c r="C1184" s="11" t="e">
        <f>IF(1*('Production Matrix'!A:A="تكلفة انتاج الوحدة")*ROW('Production Matrix'!#REF!)=0,1/0,1*('Production Matrix'!A:A="تكلفة انتاج الوحدة")*ROW('Production Matrix'!#REF!))</f>
        <v>#REF!</v>
      </c>
      <c r="D1184" s="11" t="str">
        <f>IFERROR(_xlfn.AGGREGATE(15,6,$C$3:$C$53,ROW('Production Matrix'!#REF!)),"")</f>
        <v/>
      </c>
      <c r="E1184" s="11" t="str">
        <f t="shared" si="27"/>
        <v/>
      </c>
      <c r="F1184" s="12">
        <f>IFERROR(INDEX('Production Matrix'!$B:$B,E1184,0),0)</f>
        <v>0</v>
      </c>
    </row>
    <row r="1185" spans="3:6">
      <c r="C1185" s="11" t="e">
        <f>IF(1*('Production Matrix'!A:A="تكلفة انتاج الوحدة")*ROW('Production Matrix'!#REF!)=0,1/0,1*('Production Matrix'!A:A="تكلفة انتاج الوحدة")*ROW('Production Matrix'!#REF!))</f>
        <v>#REF!</v>
      </c>
      <c r="D1185" s="11" t="str">
        <f>IFERROR(_xlfn.AGGREGATE(15,6,$C$3:$C$53,ROW('Production Matrix'!#REF!)),"")</f>
        <v/>
      </c>
      <c r="E1185" s="11" t="str">
        <f t="shared" si="27"/>
        <v/>
      </c>
      <c r="F1185" s="12">
        <f>IFERROR(INDEX('Production Matrix'!$B:$B,E1185,0),0)</f>
        <v>0</v>
      </c>
    </row>
    <row r="1186" spans="3:6">
      <c r="C1186" s="11" t="e">
        <f>IF(1*('Production Matrix'!A:A="تكلفة انتاج الوحدة")*ROW('Production Matrix'!#REF!)=0,1/0,1*('Production Matrix'!A:A="تكلفة انتاج الوحدة")*ROW('Production Matrix'!#REF!))</f>
        <v>#REF!</v>
      </c>
      <c r="D1186" s="11" t="str">
        <f>IFERROR(_xlfn.AGGREGATE(15,6,$C$3:$C$53,ROW('Production Matrix'!#REF!)),"")</f>
        <v/>
      </c>
      <c r="E1186" s="11" t="str">
        <f t="shared" si="27"/>
        <v/>
      </c>
      <c r="F1186" s="12">
        <f>IFERROR(INDEX('Production Matrix'!$B:$B,E1186,0),0)</f>
        <v>0</v>
      </c>
    </row>
    <row r="1187" spans="3:6">
      <c r="C1187" s="11" t="e">
        <f>IF(1*('Production Matrix'!A:A="تكلفة انتاج الوحدة")*ROW('Production Matrix'!#REF!)=0,1/0,1*('Production Matrix'!A:A="تكلفة انتاج الوحدة")*ROW('Production Matrix'!#REF!))</f>
        <v>#REF!</v>
      </c>
      <c r="D1187" s="11" t="str">
        <f>IFERROR(_xlfn.AGGREGATE(15,6,$C$3:$C$53,ROW('Production Matrix'!#REF!)),"")</f>
        <v/>
      </c>
      <c r="E1187" s="11" t="str">
        <f t="shared" si="27"/>
        <v/>
      </c>
      <c r="F1187" s="12">
        <f>IFERROR(INDEX('Production Matrix'!$B:$B,E1187,0),0)</f>
        <v>0</v>
      </c>
    </row>
    <row r="1188" spans="3:6">
      <c r="C1188" s="11" t="e">
        <f>IF(1*('Production Matrix'!A:A="تكلفة انتاج الوحدة")*ROW('Production Matrix'!#REF!)=0,1/0,1*('Production Matrix'!A:A="تكلفة انتاج الوحدة")*ROW('Production Matrix'!#REF!))</f>
        <v>#REF!</v>
      </c>
      <c r="D1188" s="11" t="str">
        <f>IFERROR(_xlfn.AGGREGATE(15,6,$C$3:$C$53,ROW('Production Matrix'!#REF!)),"")</f>
        <v/>
      </c>
      <c r="E1188" s="11" t="str">
        <f t="shared" si="27"/>
        <v/>
      </c>
      <c r="F1188" s="12">
        <f>IFERROR(INDEX('Production Matrix'!$B:$B,E1188,0),0)</f>
        <v>0</v>
      </c>
    </row>
    <row r="1189" spans="3:6">
      <c r="C1189" s="11" t="e">
        <f>IF(1*('Production Matrix'!A:A="تكلفة انتاج الوحدة")*ROW('Production Matrix'!#REF!)=0,1/0,1*('Production Matrix'!A:A="تكلفة انتاج الوحدة")*ROW('Production Matrix'!#REF!))</f>
        <v>#REF!</v>
      </c>
      <c r="D1189" s="11" t="str">
        <f>IFERROR(_xlfn.AGGREGATE(15,6,$C$3:$C$53,ROW('Production Matrix'!#REF!)),"")</f>
        <v/>
      </c>
      <c r="E1189" s="11" t="str">
        <f t="shared" si="27"/>
        <v/>
      </c>
      <c r="F1189" s="12">
        <f>IFERROR(INDEX('Production Matrix'!$B:$B,E1189,0),0)</f>
        <v>0</v>
      </c>
    </row>
    <row r="1190" spans="3:6">
      <c r="C1190" s="11" t="e">
        <f>IF(1*('Production Matrix'!A:A="تكلفة انتاج الوحدة")*ROW('Production Matrix'!#REF!)=0,1/0,1*('Production Matrix'!A:A="تكلفة انتاج الوحدة")*ROW('Production Matrix'!#REF!))</f>
        <v>#REF!</v>
      </c>
      <c r="D1190" s="11" t="str">
        <f>IFERROR(_xlfn.AGGREGATE(15,6,$C$3:$C$53,ROW('Production Matrix'!#REF!)),"")</f>
        <v/>
      </c>
      <c r="E1190" s="11" t="str">
        <f t="shared" si="27"/>
        <v/>
      </c>
      <c r="F1190" s="12">
        <f>IFERROR(INDEX('Production Matrix'!$B:$B,E1190,0),0)</f>
        <v>0</v>
      </c>
    </row>
    <row r="1191" spans="3:6">
      <c r="C1191" s="11" t="e">
        <f>IF(1*('Production Matrix'!A:A="تكلفة انتاج الوحدة")*ROW('Production Matrix'!#REF!)=0,1/0,1*('Production Matrix'!A:A="تكلفة انتاج الوحدة")*ROW('Production Matrix'!#REF!))</f>
        <v>#REF!</v>
      </c>
      <c r="D1191" s="11" t="str">
        <f>IFERROR(_xlfn.AGGREGATE(15,6,$C$3:$C$53,ROW('Production Matrix'!#REF!)),"")</f>
        <v/>
      </c>
      <c r="E1191" s="11" t="str">
        <f t="shared" si="27"/>
        <v/>
      </c>
      <c r="F1191" s="12">
        <f>IFERROR(INDEX('Production Matrix'!$B:$B,E1191,0),0)</f>
        <v>0</v>
      </c>
    </row>
    <row r="1192" spans="3:6">
      <c r="C1192" s="11" t="e">
        <f>IF(1*('Production Matrix'!A:A="تكلفة انتاج الوحدة")*ROW('Production Matrix'!#REF!)=0,1/0,1*('Production Matrix'!A:A="تكلفة انتاج الوحدة")*ROW('Production Matrix'!#REF!))</f>
        <v>#REF!</v>
      </c>
      <c r="D1192" s="11" t="str">
        <f>IFERROR(_xlfn.AGGREGATE(15,6,$C$3:$C$53,ROW('Production Matrix'!#REF!)),"")</f>
        <v/>
      </c>
      <c r="E1192" s="11" t="str">
        <f t="shared" si="27"/>
        <v/>
      </c>
      <c r="F1192" s="12">
        <f>IFERROR(INDEX('Production Matrix'!$B:$B,E1192,0),0)</f>
        <v>0</v>
      </c>
    </row>
    <row r="1193" spans="3:6">
      <c r="C1193" s="11" t="e">
        <f>IF(1*('Production Matrix'!A:A="تكلفة انتاج الوحدة")*ROW('Production Matrix'!#REF!)=0,1/0,1*('Production Matrix'!A:A="تكلفة انتاج الوحدة")*ROW('Production Matrix'!#REF!))</f>
        <v>#REF!</v>
      </c>
      <c r="D1193" s="11" t="str">
        <f>IFERROR(_xlfn.AGGREGATE(15,6,$C$3:$C$53,ROW('Production Matrix'!#REF!)),"")</f>
        <v/>
      </c>
      <c r="E1193" s="11" t="str">
        <f t="shared" si="27"/>
        <v/>
      </c>
      <c r="F1193" s="12">
        <f>IFERROR(INDEX('Production Matrix'!$B:$B,E1193,0),0)</f>
        <v>0</v>
      </c>
    </row>
    <row r="1194" spans="3:6">
      <c r="C1194" s="11" t="e">
        <f>IF(1*('Production Matrix'!A:A="تكلفة انتاج الوحدة")*ROW('Production Matrix'!#REF!)=0,1/0,1*('Production Matrix'!A:A="تكلفة انتاج الوحدة")*ROW('Production Matrix'!#REF!))</f>
        <v>#REF!</v>
      </c>
      <c r="D1194" s="11" t="str">
        <f>IFERROR(_xlfn.AGGREGATE(15,6,$C$3:$C$53,ROW('Production Matrix'!#REF!)),"")</f>
        <v/>
      </c>
      <c r="E1194" s="11" t="str">
        <f t="shared" si="27"/>
        <v/>
      </c>
      <c r="F1194" s="12">
        <f>IFERROR(INDEX('Production Matrix'!$B:$B,E1194,0),0)</f>
        <v>0</v>
      </c>
    </row>
    <row r="1195" spans="3:6">
      <c r="C1195" s="11" t="e">
        <f>IF(1*('Production Matrix'!A:A="تكلفة انتاج الوحدة")*ROW('Production Matrix'!#REF!)=0,1/0,1*('Production Matrix'!A:A="تكلفة انتاج الوحدة")*ROW('Production Matrix'!#REF!))</f>
        <v>#REF!</v>
      </c>
      <c r="D1195" s="11" t="str">
        <f>IFERROR(_xlfn.AGGREGATE(15,6,$C$3:$C$53,ROW('Production Matrix'!#REF!)),"")</f>
        <v/>
      </c>
      <c r="E1195" s="11" t="str">
        <f t="shared" si="27"/>
        <v/>
      </c>
      <c r="F1195" s="12">
        <f>IFERROR(INDEX('Production Matrix'!$B:$B,E1195,0),0)</f>
        <v>0</v>
      </c>
    </row>
    <row r="1196" spans="3:6">
      <c r="C1196" s="11" t="e">
        <f>IF(1*('Production Matrix'!A:A="تكلفة انتاج الوحدة")*ROW('Production Matrix'!#REF!)=0,1/0,1*('Production Matrix'!A:A="تكلفة انتاج الوحدة")*ROW('Production Matrix'!#REF!))</f>
        <v>#REF!</v>
      </c>
      <c r="D1196" s="11" t="str">
        <f>IFERROR(_xlfn.AGGREGATE(15,6,$C$3:$C$53,ROW('Production Matrix'!#REF!)),"")</f>
        <v/>
      </c>
      <c r="E1196" s="11" t="str">
        <f t="shared" si="27"/>
        <v/>
      </c>
      <c r="F1196" s="12">
        <f>IFERROR(INDEX('Production Matrix'!$B:$B,E1196,0),0)</f>
        <v>0</v>
      </c>
    </row>
    <row r="1197" spans="3:6">
      <c r="C1197" s="11" t="e">
        <f>IF(1*('Production Matrix'!A:A="تكلفة انتاج الوحدة")*ROW('Production Matrix'!#REF!)=0,1/0,1*('Production Matrix'!A:A="تكلفة انتاج الوحدة")*ROW('Production Matrix'!#REF!))</f>
        <v>#REF!</v>
      </c>
      <c r="D1197" s="11" t="str">
        <f>IFERROR(_xlfn.AGGREGATE(15,6,$C$3:$C$53,ROW('Production Matrix'!#REF!)),"")</f>
        <v/>
      </c>
      <c r="E1197" s="11" t="str">
        <f t="shared" si="27"/>
        <v/>
      </c>
      <c r="F1197" s="12">
        <f>IFERROR(INDEX('Production Matrix'!$B:$B,E1197,0),0)</f>
        <v>0</v>
      </c>
    </row>
    <row r="1198" spans="3:6">
      <c r="C1198" s="11" t="e">
        <f>IF(1*('Production Matrix'!A:A="تكلفة انتاج الوحدة")*ROW('Production Matrix'!#REF!)=0,1/0,1*('Production Matrix'!A:A="تكلفة انتاج الوحدة")*ROW('Production Matrix'!#REF!))</f>
        <v>#REF!</v>
      </c>
      <c r="D1198" s="11" t="str">
        <f>IFERROR(_xlfn.AGGREGATE(15,6,$C$3:$C$53,ROW('Production Matrix'!#REF!)),"")</f>
        <v/>
      </c>
      <c r="E1198" s="11" t="str">
        <f t="shared" si="27"/>
        <v/>
      </c>
      <c r="F1198" s="12">
        <f>IFERROR(INDEX('Production Matrix'!$B:$B,E1198,0),0)</f>
        <v>0</v>
      </c>
    </row>
    <row r="1199" spans="3:6">
      <c r="C1199" s="11" t="e">
        <f>IF(1*('Production Matrix'!A:A="تكلفة انتاج الوحدة")*ROW('Production Matrix'!#REF!)=0,1/0,1*('Production Matrix'!A:A="تكلفة انتاج الوحدة")*ROW('Production Matrix'!#REF!))</f>
        <v>#REF!</v>
      </c>
      <c r="D1199" s="11" t="str">
        <f>IFERROR(_xlfn.AGGREGATE(15,6,$C$3:$C$53,ROW('Production Matrix'!#REF!)),"")</f>
        <v/>
      </c>
      <c r="E1199" s="11" t="str">
        <f t="shared" si="27"/>
        <v/>
      </c>
      <c r="F1199" s="12">
        <f>IFERROR(INDEX('Production Matrix'!$B:$B,E1199,0),0)</f>
        <v>0</v>
      </c>
    </row>
    <row r="1200" spans="3:6">
      <c r="C1200" s="11" t="e">
        <f>IF(1*('Production Matrix'!A:A="تكلفة انتاج الوحدة")*ROW('Production Matrix'!#REF!)=0,1/0,1*('Production Matrix'!A:A="تكلفة انتاج الوحدة")*ROW('Production Matrix'!#REF!))</f>
        <v>#REF!</v>
      </c>
      <c r="D1200" s="11" t="str">
        <f>IFERROR(_xlfn.AGGREGATE(15,6,$C$3:$C$53,ROW('Production Matrix'!#REF!)),"")</f>
        <v/>
      </c>
      <c r="E1200" s="11" t="str">
        <f t="shared" si="27"/>
        <v/>
      </c>
      <c r="F1200" s="12">
        <f>IFERROR(INDEX('Production Matrix'!$B:$B,E1200,0),0)</f>
        <v>0</v>
      </c>
    </row>
    <row r="1201" spans="3:6">
      <c r="C1201" s="11" t="e">
        <f>IF(1*('Production Matrix'!A:A="تكلفة انتاج الوحدة")*ROW('Production Matrix'!#REF!)=0,1/0,1*('Production Matrix'!A:A="تكلفة انتاج الوحدة")*ROW('Production Matrix'!#REF!))</f>
        <v>#REF!</v>
      </c>
      <c r="D1201" s="11" t="str">
        <f>IFERROR(_xlfn.AGGREGATE(15,6,$C$3:$C$53,ROW('Production Matrix'!#REF!)),"")</f>
        <v/>
      </c>
      <c r="E1201" s="11" t="str">
        <f t="shared" si="27"/>
        <v/>
      </c>
      <c r="F1201" s="12">
        <f>IFERROR(INDEX('Production Matrix'!$B:$B,E1201,0),0)</f>
        <v>0</v>
      </c>
    </row>
    <row r="1202" spans="3:6">
      <c r="C1202" s="11" t="e">
        <f>IF(1*('Production Matrix'!A:A="تكلفة انتاج الوحدة")*ROW('Production Matrix'!#REF!)=0,1/0,1*('Production Matrix'!A:A="تكلفة انتاج الوحدة")*ROW('Production Matrix'!#REF!))</f>
        <v>#REF!</v>
      </c>
      <c r="D1202" s="11" t="str">
        <f>IFERROR(_xlfn.AGGREGATE(15,6,$C$3:$C$53,ROW('Production Matrix'!#REF!)),"")</f>
        <v/>
      </c>
      <c r="E1202" s="11" t="str">
        <f t="shared" si="27"/>
        <v/>
      </c>
      <c r="F1202" s="12">
        <f>IFERROR(INDEX('Production Matrix'!$B:$B,E1202,0),0)</f>
        <v>0</v>
      </c>
    </row>
    <row r="1203" spans="3:6">
      <c r="C1203" s="11" t="e">
        <f>IF(1*('Production Matrix'!A:A="تكلفة انتاج الوحدة")*ROW('Production Matrix'!#REF!)=0,1/0,1*('Production Matrix'!A:A="تكلفة انتاج الوحدة")*ROW('Production Matrix'!#REF!))</f>
        <v>#REF!</v>
      </c>
      <c r="D1203" s="11" t="str">
        <f>IFERROR(_xlfn.AGGREGATE(15,6,$C$3:$C$53,ROW('Production Matrix'!#REF!)),"")</f>
        <v/>
      </c>
      <c r="E1203" s="11" t="str">
        <f t="shared" si="27"/>
        <v/>
      </c>
      <c r="F1203" s="12">
        <f>IFERROR(INDEX('Production Matrix'!$B:$B,E1203,0),0)</f>
        <v>0</v>
      </c>
    </row>
    <row r="1204" spans="3:6">
      <c r="C1204" s="11" t="e">
        <f>IF(1*('Production Matrix'!A:A="تكلفة انتاج الوحدة")*ROW('Production Matrix'!#REF!)=0,1/0,1*('Production Matrix'!A:A="تكلفة انتاج الوحدة")*ROW('Production Matrix'!#REF!))</f>
        <v>#REF!</v>
      </c>
      <c r="D1204" s="11" t="str">
        <f>IFERROR(_xlfn.AGGREGATE(15,6,$C$3:$C$53,ROW('Production Matrix'!#REF!)),"")</f>
        <v/>
      </c>
      <c r="E1204" s="11" t="str">
        <f t="shared" si="27"/>
        <v/>
      </c>
      <c r="F1204" s="12">
        <f>IFERROR(INDEX('Production Matrix'!$B:$B,E1204,0),0)</f>
        <v>0</v>
      </c>
    </row>
    <row r="1205" spans="3:6">
      <c r="C1205" s="11" t="e">
        <f>IF(1*('Production Matrix'!A:A="تكلفة انتاج الوحدة")*ROW('Production Matrix'!#REF!)=0,1/0,1*('Production Matrix'!A:A="تكلفة انتاج الوحدة")*ROW('Production Matrix'!#REF!))</f>
        <v>#REF!</v>
      </c>
      <c r="D1205" s="11" t="str">
        <f>IFERROR(_xlfn.AGGREGATE(15,6,$C$3:$C$53,ROW('Production Matrix'!#REF!)),"")</f>
        <v/>
      </c>
      <c r="E1205" s="11" t="str">
        <f t="shared" si="27"/>
        <v/>
      </c>
      <c r="F1205" s="12">
        <f>IFERROR(INDEX('Production Matrix'!$B:$B,E1205,0),0)</f>
        <v>0</v>
      </c>
    </row>
    <row r="1206" spans="3:6">
      <c r="C1206" s="11" t="e">
        <f>IF(1*('Production Matrix'!A:A="تكلفة انتاج الوحدة")*ROW('Production Matrix'!#REF!)=0,1/0,1*('Production Matrix'!A:A="تكلفة انتاج الوحدة")*ROW('Production Matrix'!#REF!))</f>
        <v>#REF!</v>
      </c>
      <c r="D1206" s="11" t="str">
        <f>IFERROR(_xlfn.AGGREGATE(15,6,$C$3:$C$53,ROW('Production Matrix'!#REF!)),"")</f>
        <v/>
      </c>
      <c r="E1206" s="11" t="str">
        <f t="shared" si="27"/>
        <v/>
      </c>
      <c r="F1206" s="12">
        <f>IFERROR(INDEX('Production Matrix'!$B:$B,E1206,0),0)</f>
        <v>0</v>
      </c>
    </row>
    <row r="1207" spans="3:6">
      <c r="C1207" s="11" t="e">
        <f>IF(1*('Production Matrix'!A:A="تكلفة انتاج الوحدة")*ROW('Production Matrix'!#REF!)=0,1/0,1*('Production Matrix'!A:A="تكلفة انتاج الوحدة")*ROW('Production Matrix'!#REF!))</f>
        <v>#REF!</v>
      </c>
      <c r="D1207" s="11" t="str">
        <f>IFERROR(_xlfn.AGGREGATE(15,6,$C$3:$C$53,ROW('Production Matrix'!#REF!)),"")</f>
        <v/>
      </c>
      <c r="E1207" s="11" t="str">
        <f t="shared" si="27"/>
        <v/>
      </c>
      <c r="F1207" s="12">
        <f>IFERROR(INDEX('Production Matrix'!$B:$B,E1207,0),0)</f>
        <v>0</v>
      </c>
    </row>
    <row r="1208" spans="3:6">
      <c r="C1208" s="11" t="e">
        <f>IF(1*('Production Matrix'!A:A="تكلفة انتاج الوحدة")*ROW('Production Matrix'!#REF!)=0,1/0,1*('Production Matrix'!A:A="تكلفة انتاج الوحدة")*ROW('Production Matrix'!#REF!))</f>
        <v>#REF!</v>
      </c>
      <c r="D1208" s="11" t="str">
        <f>IFERROR(_xlfn.AGGREGATE(15,6,$C$3:$C$53,ROW('Production Matrix'!#REF!)),"")</f>
        <v/>
      </c>
      <c r="E1208" s="11" t="str">
        <f t="shared" si="27"/>
        <v/>
      </c>
      <c r="F1208" s="12">
        <f>IFERROR(INDEX('Production Matrix'!$B:$B,E1208,0),0)</f>
        <v>0</v>
      </c>
    </row>
    <row r="1209" spans="3:6">
      <c r="C1209" s="11" t="e">
        <f>IF(1*('Production Matrix'!A:A="تكلفة انتاج الوحدة")*ROW('Production Matrix'!#REF!)=0,1/0,1*('Production Matrix'!A:A="تكلفة انتاج الوحدة")*ROW('Production Matrix'!#REF!))</f>
        <v>#REF!</v>
      </c>
      <c r="D1209" s="11" t="str">
        <f>IFERROR(_xlfn.AGGREGATE(15,6,$C$3:$C$53,ROW('Production Matrix'!#REF!)),"")</f>
        <v/>
      </c>
      <c r="E1209" s="11" t="str">
        <f t="shared" si="27"/>
        <v/>
      </c>
      <c r="F1209" s="12">
        <f>IFERROR(INDEX('Production Matrix'!$B:$B,E1209,0),0)</f>
        <v>0</v>
      </c>
    </row>
    <row r="1210" spans="3:6">
      <c r="C1210" s="11" t="e">
        <f>IF(1*('Production Matrix'!A:A="تكلفة انتاج الوحدة")*ROW('Production Matrix'!#REF!)=0,1/0,1*('Production Matrix'!A:A="تكلفة انتاج الوحدة")*ROW('Production Matrix'!#REF!))</f>
        <v>#REF!</v>
      </c>
      <c r="D1210" s="11" t="str">
        <f>IFERROR(_xlfn.AGGREGATE(15,6,$C$3:$C$53,ROW('Production Matrix'!#REF!)),"")</f>
        <v/>
      </c>
      <c r="E1210" s="11" t="str">
        <f t="shared" si="27"/>
        <v/>
      </c>
      <c r="F1210" s="12">
        <f>IFERROR(INDEX('Production Matrix'!$B:$B,E1210,0),0)</f>
        <v>0</v>
      </c>
    </row>
    <row r="1211" spans="3:6">
      <c r="C1211" s="11" t="e">
        <f>IF(1*('Production Matrix'!A:A="تكلفة انتاج الوحدة")*ROW('Production Matrix'!#REF!)=0,1/0,1*('Production Matrix'!A:A="تكلفة انتاج الوحدة")*ROW('Production Matrix'!#REF!))</f>
        <v>#REF!</v>
      </c>
      <c r="D1211" s="11" t="str">
        <f>IFERROR(_xlfn.AGGREGATE(15,6,$C$3:$C$53,ROW('Production Matrix'!#REF!)),"")</f>
        <v/>
      </c>
      <c r="E1211" s="11" t="str">
        <f t="shared" si="27"/>
        <v/>
      </c>
      <c r="F1211" s="12">
        <f>IFERROR(INDEX('Production Matrix'!$B:$B,E1211,0),0)</f>
        <v>0</v>
      </c>
    </row>
    <row r="1212" spans="3:6">
      <c r="C1212" s="11" t="e">
        <f>IF(1*('Production Matrix'!A:A="تكلفة انتاج الوحدة")*ROW('Production Matrix'!#REF!)=0,1/0,1*('Production Matrix'!A:A="تكلفة انتاج الوحدة")*ROW('Production Matrix'!#REF!))</f>
        <v>#REF!</v>
      </c>
      <c r="D1212" s="11" t="str">
        <f>IFERROR(_xlfn.AGGREGATE(15,6,$C$3:$C$53,ROW('Production Matrix'!#REF!)),"")</f>
        <v/>
      </c>
      <c r="E1212" s="11" t="str">
        <f t="shared" si="27"/>
        <v/>
      </c>
      <c r="F1212" s="12">
        <f>IFERROR(INDEX('Production Matrix'!$B:$B,E1212,0),0)</f>
        <v>0</v>
      </c>
    </row>
    <row r="1213" spans="3:6">
      <c r="C1213" s="11" t="e">
        <f>IF(1*('Production Matrix'!A:A="تكلفة انتاج الوحدة")*ROW('Production Matrix'!#REF!)=0,1/0,1*('Production Matrix'!A:A="تكلفة انتاج الوحدة")*ROW('Production Matrix'!#REF!))</f>
        <v>#REF!</v>
      </c>
      <c r="D1213" s="11" t="str">
        <f>IFERROR(_xlfn.AGGREGATE(15,6,$C$3:$C$53,ROW('Production Matrix'!#REF!)),"")</f>
        <v/>
      </c>
      <c r="E1213" s="11" t="str">
        <f t="shared" si="27"/>
        <v/>
      </c>
      <c r="F1213" s="12">
        <f>IFERROR(INDEX('Production Matrix'!$B:$B,E1213,0),0)</f>
        <v>0</v>
      </c>
    </row>
    <row r="1214" spans="3:6">
      <c r="C1214" s="11" t="e">
        <f>IF(1*('Production Matrix'!A:A="تكلفة انتاج الوحدة")*ROW('Production Matrix'!#REF!)=0,1/0,1*('Production Matrix'!A:A="تكلفة انتاج الوحدة")*ROW('Production Matrix'!#REF!))</f>
        <v>#REF!</v>
      </c>
      <c r="D1214" s="11" t="str">
        <f>IFERROR(_xlfn.AGGREGATE(15,6,$C$3:$C$53,ROW('Production Matrix'!#REF!)),"")</f>
        <v/>
      </c>
      <c r="E1214" s="11" t="str">
        <f t="shared" si="27"/>
        <v/>
      </c>
      <c r="F1214" s="12">
        <f>IFERROR(INDEX('Production Matrix'!$B:$B,E1214,0),0)</f>
        <v>0</v>
      </c>
    </row>
    <row r="1215" spans="3:6">
      <c r="C1215" s="11" t="e">
        <f>IF(1*('Production Matrix'!A:A="تكلفة انتاج الوحدة")*ROW('Production Matrix'!#REF!)=0,1/0,1*('Production Matrix'!A:A="تكلفة انتاج الوحدة")*ROW('Production Matrix'!#REF!))</f>
        <v>#REF!</v>
      </c>
      <c r="D1215" s="11" t="str">
        <f>IFERROR(_xlfn.AGGREGATE(15,6,$C$3:$C$53,ROW('Production Matrix'!#REF!)),"")</f>
        <v/>
      </c>
      <c r="E1215" s="11" t="str">
        <f t="shared" si="27"/>
        <v/>
      </c>
      <c r="F1215" s="12">
        <f>IFERROR(INDEX('Production Matrix'!$B:$B,E1215,0),0)</f>
        <v>0</v>
      </c>
    </row>
    <row r="1216" spans="3:6">
      <c r="C1216" s="11" t="e">
        <f>IF(1*('Production Matrix'!A:A="تكلفة انتاج الوحدة")*ROW('Production Matrix'!#REF!)=0,1/0,1*('Production Matrix'!A:A="تكلفة انتاج الوحدة")*ROW('Production Matrix'!#REF!))</f>
        <v>#REF!</v>
      </c>
      <c r="D1216" s="11" t="str">
        <f>IFERROR(_xlfn.AGGREGATE(15,6,$C$3:$C$53,ROW('Production Matrix'!#REF!)),"")</f>
        <v/>
      </c>
      <c r="E1216" s="11" t="str">
        <f t="shared" si="27"/>
        <v/>
      </c>
      <c r="F1216" s="12">
        <f>IFERROR(INDEX('Production Matrix'!$B:$B,E1216,0),0)</f>
        <v>0</v>
      </c>
    </row>
    <row r="1217" spans="3:6">
      <c r="C1217" s="11" t="e">
        <f>IF(1*('Production Matrix'!A:A="تكلفة انتاج الوحدة")*ROW('Production Matrix'!#REF!)=0,1/0,1*('Production Matrix'!A:A="تكلفة انتاج الوحدة")*ROW('Production Matrix'!#REF!))</f>
        <v>#REF!</v>
      </c>
      <c r="D1217" s="11" t="str">
        <f>IFERROR(_xlfn.AGGREGATE(15,6,$C$3:$C$53,ROW('Production Matrix'!#REF!)),"")</f>
        <v/>
      </c>
      <c r="E1217" s="11" t="str">
        <f t="shared" si="27"/>
        <v/>
      </c>
      <c r="F1217" s="12">
        <f>IFERROR(INDEX('Production Matrix'!$B:$B,E1217,0),0)</f>
        <v>0</v>
      </c>
    </row>
    <row r="1218" spans="3:6">
      <c r="C1218" s="11" t="e">
        <f>IF(1*('Production Matrix'!A:A="تكلفة انتاج الوحدة")*ROW('Production Matrix'!#REF!)=0,1/0,1*('Production Matrix'!A:A="تكلفة انتاج الوحدة")*ROW('Production Matrix'!#REF!))</f>
        <v>#REF!</v>
      </c>
      <c r="D1218" s="11" t="str">
        <f>IFERROR(_xlfn.AGGREGATE(15,6,$C$3:$C$53,ROW('Production Matrix'!#REF!)),"")</f>
        <v/>
      </c>
      <c r="E1218" s="11" t="str">
        <f t="shared" si="27"/>
        <v/>
      </c>
      <c r="F1218" s="12">
        <f>IFERROR(INDEX('Production Matrix'!$B:$B,E1218,0),0)</f>
        <v>0</v>
      </c>
    </row>
    <row r="1219" spans="3:6">
      <c r="C1219" s="11" t="e">
        <f>IF(1*('Production Matrix'!A:A="تكلفة انتاج الوحدة")*ROW('Production Matrix'!#REF!)=0,1/0,1*('Production Matrix'!A:A="تكلفة انتاج الوحدة")*ROW('Production Matrix'!#REF!))</f>
        <v>#REF!</v>
      </c>
      <c r="D1219" s="11" t="str">
        <f>IFERROR(_xlfn.AGGREGATE(15,6,$C$3:$C$53,ROW('Production Matrix'!#REF!)),"")</f>
        <v/>
      </c>
      <c r="E1219" s="11" t="str">
        <f t="shared" si="27"/>
        <v/>
      </c>
      <c r="F1219" s="12">
        <f>IFERROR(INDEX('Production Matrix'!$B:$B,E1219,0),0)</f>
        <v>0</v>
      </c>
    </row>
    <row r="1220" spans="3:6">
      <c r="C1220" s="11" t="e">
        <f>IF(1*('Production Matrix'!A:A="تكلفة انتاج الوحدة")*ROW('Production Matrix'!#REF!)=0,1/0,1*('Production Matrix'!A:A="تكلفة انتاج الوحدة")*ROW('Production Matrix'!#REF!))</f>
        <v>#REF!</v>
      </c>
      <c r="D1220" s="11" t="str">
        <f>IFERROR(_xlfn.AGGREGATE(15,6,$C$3:$C$53,ROW('Production Matrix'!#REF!)),"")</f>
        <v/>
      </c>
      <c r="E1220" s="11" t="str">
        <f t="shared" si="27"/>
        <v/>
      </c>
      <c r="F1220" s="12">
        <f>IFERROR(INDEX('Production Matrix'!$B:$B,E1220,0),0)</f>
        <v>0</v>
      </c>
    </row>
    <row r="1221" spans="3:6">
      <c r="C1221" s="11" t="e">
        <f>IF(1*('Production Matrix'!A:A="تكلفة انتاج الوحدة")*ROW('Production Matrix'!#REF!)=0,1/0,1*('Production Matrix'!A:A="تكلفة انتاج الوحدة")*ROW('Production Matrix'!#REF!))</f>
        <v>#REF!</v>
      </c>
      <c r="D1221" s="11" t="str">
        <f>IFERROR(_xlfn.AGGREGATE(15,6,$C$3:$C$53,ROW('Production Matrix'!#REF!)),"")</f>
        <v/>
      </c>
      <c r="E1221" s="11" t="str">
        <f t="shared" si="27"/>
        <v/>
      </c>
      <c r="F1221" s="12">
        <f>IFERROR(INDEX('Production Matrix'!$B:$B,E1221,0),0)</f>
        <v>0</v>
      </c>
    </row>
    <row r="1222" spans="3:6">
      <c r="C1222" s="11" t="e">
        <f>IF(1*('Production Matrix'!A:A="تكلفة انتاج الوحدة")*ROW('Production Matrix'!#REF!)=0,1/0,1*('Production Matrix'!A:A="تكلفة انتاج الوحدة")*ROW('Production Matrix'!#REF!))</f>
        <v>#REF!</v>
      </c>
      <c r="D1222" s="11" t="str">
        <f>IFERROR(_xlfn.AGGREGATE(15,6,$C$3:$C$53,ROW('Production Matrix'!#REF!)),"")</f>
        <v/>
      </c>
      <c r="E1222" s="11" t="str">
        <f t="shared" si="27"/>
        <v/>
      </c>
      <c r="F1222" s="12">
        <f>IFERROR(INDEX('Production Matrix'!$B:$B,E1222,0),0)</f>
        <v>0</v>
      </c>
    </row>
    <row r="1223" spans="3:6">
      <c r="C1223" s="11" t="e">
        <f>IF(1*('Production Matrix'!A:A="تكلفة انتاج الوحدة")*ROW('Production Matrix'!#REF!)=0,1/0,1*('Production Matrix'!A:A="تكلفة انتاج الوحدة")*ROW('Production Matrix'!#REF!))</f>
        <v>#REF!</v>
      </c>
      <c r="D1223" s="11" t="str">
        <f>IFERROR(_xlfn.AGGREGATE(15,6,$C$3:$C$53,ROW('Production Matrix'!#REF!)),"")</f>
        <v/>
      </c>
      <c r="E1223" s="11" t="str">
        <f t="shared" ref="E1223:E1286" si="28">IFERROR(D1223+3,"")</f>
        <v/>
      </c>
      <c r="F1223" s="12">
        <f>IFERROR(INDEX('Production Matrix'!$B:$B,E1223,0),0)</f>
        <v>0</v>
      </c>
    </row>
    <row r="1224" spans="3:6">
      <c r="C1224" s="11" t="e">
        <f>IF(1*('Production Matrix'!A:A="تكلفة انتاج الوحدة")*ROW('Production Matrix'!#REF!)=0,1/0,1*('Production Matrix'!A:A="تكلفة انتاج الوحدة")*ROW('Production Matrix'!#REF!))</f>
        <v>#REF!</v>
      </c>
      <c r="D1224" s="11" t="str">
        <f>IFERROR(_xlfn.AGGREGATE(15,6,$C$3:$C$53,ROW('Production Matrix'!#REF!)),"")</f>
        <v/>
      </c>
      <c r="E1224" s="11" t="str">
        <f t="shared" si="28"/>
        <v/>
      </c>
      <c r="F1224" s="12">
        <f>IFERROR(INDEX('Production Matrix'!$B:$B,E1224,0),0)</f>
        <v>0</v>
      </c>
    </row>
    <row r="1225" spans="3:6">
      <c r="C1225" s="11" t="e">
        <f>IF(1*('Production Matrix'!A:A="تكلفة انتاج الوحدة")*ROW('Production Matrix'!#REF!)=0,1/0,1*('Production Matrix'!A:A="تكلفة انتاج الوحدة")*ROW('Production Matrix'!#REF!))</f>
        <v>#REF!</v>
      </c>
      <c r="D1225" s="11" t="str">
        <f>IFERROR(_xlfn.AGGREGATE(15,6,$C$3:$C$53,ROW('Production Matrix'!#REF!)),"")</f>
        <v/>
      </c>
      <c r="E1225" s="11" t="str">
        <f t="shared" si="28"/>
        <v/>
      </c>
      <c r="F1225" s="12">
        <f>IFERROR(INDEX('Production Matrix'!$B:$B,E1225,0),0)</f>
        <v>0</v>
      </c>
    </row>
    <row r="1226" spans="3:6">
      <c r="C1226" s="11" t="e">
        <f>IF(1*('Production Matrix'!A:A="تكلفة انتاج الوحدة")*ROW('Production Matrix'!#REF!)=0,1/0,1*('Production Matrix'!A:A="تكلفة انتاج الوحدة")*ROW('Production Matrix'!#REF!))</f>
        <v>#REF!</v>
      </c>
      <c r="D1226" s="11" t="str">
        <f>IFERROR(_xlfn.AGGREGATE(15,6,$C$3:$C$53,ROW('Production Matrix'!#REF!)),"")</f>
        <v/>
      </c>
      <c r="E1226" s="11" t="str">
        <f t="shared" si="28"/>
        <v/>
      </c>
      <c r="F1226" s="12">
        <f>IFERROR(INDEX('Production Matrix'!$B:$B,E1226,0),0)</f>
        <v>0</v>
      </c>
    </row>
    <row r="1227" spans="3:6">
      <c r="C1227" s="11" t="e">
        <f>IF(1*('Production Matrix'!A:A="تكلفة انتاج الوحدة")*ROW('Production Matrix'!#REF!)=0,1/0,1*('Production Matrix'!A:A="تكلفة انتاج الوحدة")*ROW('Production Matrix'!#REF!))</f>
        <v>#REF!</v>
      </c>
      <c r="D1227" s="11" t="str">
        <f>IFERROR(_xlfn.AGGREGATE(15,6,$C$3:$C$53,ROW('Production Matrix'!#REF!)),"")</f>
        <v/>
      </c>
      <c r="E1227" s="11" t="str">
        <f t="shared" si="28"/>
        <v/>
      </c>
      <c r="F1227" s="12">
        <f>IFERROR(INDEX('Production Matrix'!$B:$B,E1227,0),0)</f>
        <v>0</v>
      </c>
    </row>
    <row r="1228" spans="3:6">
      <c r="C1228" s="11" t="e">
        <f>IF(1*('Production Matrix'!A:A="تكلفة انتاج الوحدة")*ROW('Production Matrix'!#REF!)=0,1/0,1*('Production Matrix'!A:A="تكلفة انتاج الوحدة")*ROW('Production Matrix'!#REF!))</f>
        <v>#REF!</v>
      </c>
      <c r="D1228" s="11" t="str">
        <f>IFERROR(_xlfn.AGGREGATE(15,6,$C$3:$C$53,ROW('Production Matrix'!#REF!)),"")</f>
        <v/>
      </c>
      <c r="E1228" s="11" t="str">
        <f t="shared" si="28"/>
        <v/>
      </c>
      <c r="F1228" s="12">
        <f>IFERROR(INDEX('Production Matrix'!$B:$B,E1228,0),0)</f>
        <v>0</v>
      </c>
    </row>
    <row r="1229" spans="3:6">
      <c r="C1229" s="11" t="e">
        <f>IF(1*('Production Matrix'!A:A="تكلفة انتاج الوحدة")*ROW('Production Matrix'!#REF!)=0,1/0,1*('Production Matrix'!A:A="تكلفة انتاج الوحدة")*ROW('Production Matrix'!#REF!))</f>
        <v>#REF!</v>
      </c>
      <c r="D1229" s="11" t="str">
        <f>IFERROR(_xlfn.AGGREGATE(15,6,$C$3:$C$53,ROW('Production Matrix'!#REF!)),"")</f>
        <v/>
      </c>
      <c r="E1229" s="11" t="str">
        <f t="shared" si="28"/>
        <v/>
      </c>
      <c r="F1229" s="12">
        <f>IFERROR(INDEX('Production Matrix'!$B:$B,E1229,0),0)</f>
        <v>0</v>
      </c>
    </row>
    <row r="1230" spans="3:6">
      <c r="C1230" s="11" t="e">
        <f>IF(1*('Production Matrix'!A:A="تكلفة انتاج الوحدة")*ROW('Production Matrix'!#REF!)=0,1/0,1*('Production Matrix'!A:A="تكلفة انتاج الوحدة")*ROW('Production Matrix'!#REF!))</f>
        <v>#REF!</v>
      </c>
      <c r="D1230" s="11" t="str">
        <f>IFERROR(_xlfn.AGGREGATE(15,6,$C$3:$C$53,ROW('Production Matrix'!#REF!)),"")</f>
        <v/>
      </c>
      <c r="E1230" s="11" t="str">
        <f t="shared" si="28"/>
        <v/>
      </c>
      <c r="F1230" s="12">
        <f>IFERROR(INDEX('Production Matrix'!$B:$B,E1230,0),0)</f>
        <v>0</v>
      </c>
    </row>
    <row r="1231" spans="3:6">
      <c r="C1231" s="11" t="e">
        <f>IF(1*('Production Matrix'!A:A="تكلفة انتاج الوحدة")*ROW('Production Matrix'!#REF!)=0,1/0,1*('Production Matrix'!A:A="تكلفة انتاج الوحدة")*ROW('Production Matrix'!#REF!))</f>
        <v>#REF!</v>
      </c>
      <c r="D1231" s="11" t="str">
        <f>IFERROR(_xlfn.AGGREGATE(15,6,$C$3:$C$53,ROW('Production Matrix'!#REF!)),"")</f>
        <v/>
      </c>
      <c r="E1231" s="11" t="str">
        <f t="shared" si="28"/>
        <v/>
      </c>
      <c r="F1231" s="12">
        <f>IFERROR(INDEX('Production Matrix'!$B:$B,E1231,0),0)</f>
        <v>0</v>
      </c>
    </row>
    <row r="1232" spans="3:6">
      <c r="C1232" s="11" t="e">
        <f>IF(1*('Production Matrix'!A:A="تكلفة انتاج الوحدة")*ROW('Production Matrix'!#REF!)=0,1/0,1*('Production Matrix'!A:A="تكلفة انتاج الوحدة")*ROW('Production Matrix'!#REF!))</f>
        <v>#REF!</v>
      </c>
      <c r="D1232" s="11" t="str">
        <f>IFERROR(_xlfn.AGGREGATE(15,6,$C$3:$C$53,ROW('Production Matrix'!#REF!)),"")</f>
        <v/>
      </c>
      <c r="E1232" s="11" t="str">
        <f t="shared" si="28"/>
        <v/>
      </c>
      <c r="F1232" s="12">
        <f>IFERROR(INDEX('Production Matrix'!$B:$B,E1232,0),0)</f>
        <v>0</v>
      </c>
    </row>
    <row r="1233" spans="3:6">
      <c r="C1233" s="11" t="e">
        <f>IF(1*('Production Matrix'!A:A="تكلفة انتاج الوحدة")*ROW('Production Matrix'!#REF!)=0,1/0,1*('Production Matrix'!A:A="تكلفة انتاج الوحدة")*ROW('Production Matrix'!#REF!))</f>
        <v>#REF!</v>
      </c>
      <c r="D1233" s="11" t="str">
        <f>IFERROR(_xlfn.AGGREGATE(15,6,$C$3:$C$53,ROW('Production Matrix'!#REF!)),"")</f>
        <v/>
      </c>
      <c r="E1233" s="11" t="str">
        <f t="shared" si="28"/>
        <v/>
      </c>
      <c r="F1233" s="12">
        <f>IFERROR(INDEX('Production Matrix'!$B:$B,E1233,0),0)</f>
        <v>0</v>
      </c>
    </row>
    <row r="1234" spans="3:6">
      <c r="C1234" s="11" t="e">
        <f>IF(1*('Production Matrix'!A:A="تكلفة انتاج الوحدة")*ROW('Production Matrix'!#REF!)=0,1/0,1*('Production Matrix'!A:A="تكلفة انتاج الوحدة")*ROW('Production Matrix'!#REF!))</f>
        <v>#REF!</v>
      </c>
      <c r="D1234" s="11" t="str">
        <f>IFERROR(_xlfn.AGGREGATE(15,6,$C$3:$C$53,ROW('Production Matrix'!#REF!)),"")</f>
        <v/>
      </c>
      <c r="E1234" s="11" t="str">
        <f t="shared" si="28"/>
        <v/>
      </c>
      <c r="F1234" s="12">
        <f>IFERROR(INDEX('Production Matrix'!$B:$B,E1234,0),0)</f>
        <v>0</v>
      </c>
    </row>
    <row r="1235" spans="3:6">
      <c r="C1235" s="11" t="e">
        <f>IF(1*('Production Matrix'!A:A="تكلفة انتاج الوحدة")*ROW('Production Matrix'!#REF!)=0,1/0,1*('Production Matrix'!A:A="تكلفة انتاج الوحدة")*ROW('Production Matrix'!#REF!))</f>
        <v>#REF!</v>
      </c>
      <c r="D1235" s="11" t="str">
        <f>IFERROR(_xlfn.AGGREGATE(15,6,$C$3:$C$53,ROW('Production Matrix'!#REF!)),"")</f>
        <v/>
      </c>
      <c r="E1235" s="11" t="str">
        <f t="shared" si="28"/>
        <v/>
      </c>
      <c r="F1235" s="12">
        <f>IFERROR(INDEX('Production Matrix'!$B:$B,E1235,0),0)</f>
        <v>0</v>
      </c>
    </row>
    <row r="1236" spans="3:6">
      <c r="C1236" s="11" t="e">
        <f>IF(1*('Production Matrix'!A:A="تكلفة انتاج الوحدة")*ROW('Production Matrix'!#REF!)=0,1/0,1*('Production Matrix'!A:A="تكلفة انتاج الوحدة")*ROW('Production Matrix'!#REF!))</f>
        <v>#REF!</v>
      </c>
      <c r="D1236" s="11" t="str">
        <f>IFERROR(_xlfn.AGGREGATE(15,6,$C$3:$C$53,ROW('Production Matrix'!#REF!)),"")</f>
        <v/>
      </c>
      <c r="E1236" s="11" t="str">
        <f t="shared" si="28"/>
        <v/>
      </c>
      <c r="F1236" s="12">
        <f>IFERROR(INDEX('Production Matrix'!$B:$B,E1236,0),0)</f>
        <v>0</v>
      </c>
    </row>
    <row r="1237" spans="3:6">
      <c r="C1237" s="11" t="e">
        <f>IF(1*('Production Matrix'!A:A="تكلفة انتاج الوحدة")*ROW('Production Matrix'!#REF!)=0,1/0,1*('Production Matrix'!A:A="تكلفة انتاج الوحدة")*ROW('Production Matrix'!#REF!))</f>
        <v>#REF!</v>
      </c>
      <c r="D1237" s="11" t="str">
        <f>IFERROR(_xlfn.AGGREGATE(15,6,$C$3:$C$53,ROW('Production Matrix'!#REF!)),"")</f>
        <v/>
      </c>
      <c r="E1237" s="11" t="str">
        <f t="shared" si="28"/>
        <v/>
      </c>
      <c r="F1237" s="12">
        <f>IFERROR(INDEX('Production Matrix'!$B:$B,E1237,0),0)</f>
        <v>0</v>
      </c>
    </row>
    <row r="1238" spans="3:6">
      <c r="C1238" s="11" t="e">
        <f>IF(1*('Production Matrix'!A:A="تكلفة انتاج الوحدة")*ROW('Production Matrix'!#REF!)=0,1/0,1*('Production Matrix'!A:A="تكلفة انتاج الوحدة")*ROW('Production Matrix'!#REF!))</f>
        <v>#REF!</v>
      </c>
      <c r="D1238" s="11" t="str">
        <f>IFERROR(_xlfn.AGGREGATE(15,6,$C$3:$C$53,ROW('Production Matrix'!#REF!)),"")</f>
        <v/>
      </c>
      <c r="E1238" s="11" t="str">
        <f t="shared" si="28"/>
        <v/>
      </c>
      <c r="F1238" s="12">
        <f>IFERROR(INDEX('Production Matrix'!$B:$B,E1238,0),0)</f>
        <v>0</v>
      </c>
    </row>
    <row r="1239" spans="3:6">
      <c r="C1239" s="11" t="e">
        <f>IF(1*('Production Matrix'!A:A="تكلفة انتاج الوحدة")*ROW('Production Matrix'!#REF!)=0,1/0,1*('Production Matrix'!A:A="تكلفة انتاج الوحدة")*ROW('Production Matrix'!#REF!))</f>
        <v>#REF!</v>
      </c>
      <c r="D1239" s="11" t="str">
        <f>IFERROR(_xlfn.AGGREGATE(15,6,$C$3:$C$53,ROW('Production Matrix'!#REF!)),"")</f>
        <v/>
      </c>
      <c r="E1239" s="11" t="str">
        <f t="shared" si="28"/>
        <v/>
      </c>
      <c r="F1239" s="12">
        <f>IFERROR(INDEX('Production Matrix'!$B:$B,E1239,0),0)</f>
        <v>0</v>
      </c>
    </row>
    <row r="1240" spans="3:6">
      <c r="C1240" s="11" t="e">
        <f>IF(1*('Production Matrix'!A:A="تكلفة انتاج الوحدة")*ROW('Production Matrix'!#REF!)=0,1/0,1*('Production Matrix'!A:A="تكلفة انتاج الوحدة")*ROW('Production Matrix'!#REF!))</f>
        <v>#REF!</v>
      </c>
      <c r="D1240" s="11" t="str">
        <f>IFERROR(_xlfn.AGGREGATE(15,6,$C$3:$C$53,ROW('Production Matrix'!#REF!)),"")</f>
        <v/>
      </c>
      <c r="E1240" s="11" t="str">
        <f t="shared" si="28"/>
        <v/>
      </c>
      <c r="F1240" s="12">
        <f>IFERROR(INDEX('Production Matrix'!$B:$B,E1240,0),0)</f>
        <v>0</v>
      </c>
    </row>
    <row r="1241" spans="3:6">
      <c r="C1241" s="11" t="e">
        <f>IF(1*('Production Matrix'!A:A="تكلفة انتاج الوحدة")*ROW('Production Matrix'!#REF!)=0,1/0,1*('Production Matrix'!A:A="تكلفة انتاج الوحدة")*ROW('Production Matrix'!#REF!))</f>
        <v>#REF!</v>
      </c>
      <c r="D1241" s="11" t="str">
        <f>IFERROR(_xlfn.AGGREGATE(15,6,$C$3:$C$53,ROW('Production Matrix'!#REF!)),"")</f>
        <v/>
      </c>
      <c r="E1241" s="11" t="str">
        <f t="shared" si="28"/>
        <v/>
      </c>
      <c r="F1241" s="12">
        <f>IFERROR(INDEX('Production Matrix'!$B:$B,E1241,0),0)</f>
        <v>0</v>
      </c>
    </row>
    <row r="1242" spans="3:6">
      <c r="C1242" s="11" t="e">
        <f>IF(1*('Production Matrix'!A:A="تكلفة انتاج الوحدة")*ROW('Production Matrix'!#REF!)=0,1/0,1*('Production Matrix'!A:A="تكلفة انتاج الوحدة")*ROW('Production Matrix'!#REF!))</f>
        <v>#REF!</v>
      </c>
      <c r="D1242" s="11" t="str">
        <f>IFERROR(_xlfn.AGGREGATE(15,6,$C$3:$C$53,ROW('Production Matrix'!#REF!)),"")</f>
        <v/>
      </c>
      <c r="E1242" s="11" t="str">
        <f t="shared" si="28"/>
        <v/>
      </c>
      <c r="F1242" s="12">
        <f>IFERROR(INDEX('Production Matrix'!$B:$B,E1242,0),0)</f>
        <v>0</v>
      </c>
    </row>
    <row r="1243" spans="3:6">
      <c r="C1243" s="11" t="e">
        <f>IF(1*('Production Matrix'!A:A="تكلفة انتاج الوحدة")*ROW('Production Matrix'!#REF!)=0,1/0,1*('Production Matrix'!A:A="تكلفة انتاج الوحدة")*ROW('Production Matrix'!#REF!))</f>
        <v>#REF!</v>
      </c>
      <c r="D1243" s="11" t="str">
        <f>IFERROR(_xlfn.AGGREGATE(15,6,$C$3:$C$53,ROW('Production Matrix'!#REF!)),"")</f>
        <v/>
      </c>
      <c r="E1243" s="11" t="str">
        <f t="shared" si="28"/>
        <v/>
      </c>
      <c r="F1243" s="12">
        <f>IFERROR(INDEX('Production Matrix'!$B:$B,E1243,0),0)</f>
        <v>0</v>
      </c>
    </row>
    <row r="1244" spans="3:6">
      <c r="C1244" s="11" t="e">
        <f>IF(1*('Production Matrix'!A:A="تكلفة انتاج الوحدة")*ROW('Production Matrix'!#REF!)=0,1/0,1*('Production Matrix'!A:A="تكلفة انتاج الوحدة")*ROW('Production Matrix'!#REF!))</f>
        <v>#REF!</v>
      </c>
      <c r="D1244" s="11" t="str">
        <f>IFERROR(_xlfn.AGGREGATE(15,6,$C$3:$C$53,ROW('Production Matrix'!#REF!)),"")</f>
        <v/>
      </c>
      <c r="E1244" s="11" t="str">
        <f t="shared" si="28"/>
        <v/>
      </c>
      <c r="F1244" s="12">
        <f>IFERROR(INDEX('Production Matrix'!$B:$B,E1244,0),0)</f>
        <v>0</v>
      </c>
    </row>
    <row r="1245" spans="3:6">
      <c r="C1245" s="11" t="e">
        <f>IF(1*('Production Matrix'!A:A="تكلفة انتاج الوحدة")*ROW('Production Matrix'!#REF!)=0,1/0,1*('Production Matrix'!A:A="تكلفة انتاج الوحدة")*ROW('Production Matrix'!#REF!))</f>
        <v>#REF!</v>
      </c>
      <c r="D1245" s="11" t="str">
        <f>IFERROR(_xlfn.AGGREGATE(15,6,$C$3:$C$53,ROW('Production Matrix'!#REF!)),"")</f>
        <v/>
      </c>
      <c r="E1245" s="11" t="str">
        <f t="shared" si="28"/>
        <v/>
      </c>
      <c r="F1245" s="12">
        <f>IFERROR(INDEX('Production Matrix'!$B:$B,E1245,0),0)</f>
        <v>0</v>
      </c>
    </row>
    <row r="1246" spans="3:6">
      <c r="C1246" s="11" t="e">
        <f>IF(1*('Production Matrix'!A:A="تكلفة انتاج الوحدة")*ROW('Production Matrix'!#REF!)=0,1/0,1*('Production Matrix'!A:A="تكلفة انتاج الوحدة")*ROW('Production Matrix'!#REF!))</f>
        <v>#REF!</v>
      </c>
      <c r="D1246" s="11" t="str">
        <f>IFERROR(_xlfn.AGGREGATE(15,6,$C$3:$C$53,ROW('Production Matrix'!#REF!)),"")</f>
        <v/>
      </c>
      <c r="E1246" s="11" t="str">
        <f t="shared" si="28"/>
        <v/>
      </c>
      <c r="F1246" s="12">
        <f>IFERROR(INDEX('Production Matrix'!$B:$B,E1246,0),0)</f>
        <v>0</v>
      </c>
    </row>
    <row r="1247" spans="3:6">
      <c r="C1247" s="11" t="e">
        <f>IF(1*('Production Matrix'!A:A="تكلفة انتاج الوحدة")*ROW('Production Matrix'!#REF!)=0,1/0,1*('Production Matrix'!A:A="تكلفة انتاج الوحدة")*ROW('Production Matrix'!#REF!))</f>
        <v>#REF!</v>
      </c>
      <c r="D1247" s="11" t="str">
        <f>IFERROR(_xlfn.AGGREGATE(15,6,$C$3:$C$53,ROW('Production Matrix'!#REF!)),"")</f>
        <v/>
      </c>
      <c r="E1247" s="11" t="str">
        <f t="shared" si="28"/>
        <v/>
      </c>
      <c r="F1247" s="12">
        <f>IFERROR(INDEX('Production Matrix'!$B:$B,E1247,0),0)</f>
        <v>0</v>
      </c>
    </row>
    <row r="1248" spans="3:6">
      <c r="C1248" s="11" t="e">
        <f>IF(1*('Production Matrix'!A:A="تكلفة انتاج الوحدة")*ROW('Production Matrix'!#REF!)=0,1/0,1*('Production Matrix'!A:A="تكلفة انتاج الوحدة")*ROW('Production Matrix'!#REF!))</f>
        <v>#REF!</v>
      </c>
      <c r="D1248" s="11" t="str">
        <f>IFERROR(_xlfn.AGGREGATE(15,6,$C$3:$C$53,ROW('Production Matrix'!#REF!)),"")</f>
        <v/>
      </c>
      <c r="E1248" s="11" t="str">
        <f t="shared" si="28"/>
        <v/>
      </c>
      <c r="F1248" s="12">
        <f>IFERROR(INDEX('Production Matrix'!$B:$B,E1248,0),0)</f>
        <v>0</v>
      </c>
    </row>
    <row r="1249" spans="3:6">
      <c r="C1249" s="11" t="e">
        <f>IF(1*('Production Matrix'!A:A="تكلفة انتاج الوحدة")*ROW('Production Matrix'!#REF!)=0,1/0,1*('Production Matrix'!A:A="تكلفة انتاج الوحدة")*ROW('Production Matrix'!#REF!))</f>
        <v>#REF!</v>
      </c>
      <c r="D1249" s="11" t="str">
        <f>IFERROR(_xlfn.AGGREGATE(15,6,$C$3:$C$53,ROW('Production Matrix'!#REF!)),"")</f>
        <v/>
      </c>
      <c r="E1249" s="11" t="str">
        <f t="shared" si="28"/>
        <v/>
      </c>
      <c r="F1249" s="12">
        <f>IFERROR(INDEX('Production Matrix'!$B:$B,E1249,0),0)</f>
        <v>0</v>
      </c>
    </row>
    <row r="1250" spans="3:6">
      <c r="C1250" s="11" t="e">
        <f>IF(1*('Production Matrix'!A:A="تكلفة انتاج الوحدة")*ROW('Production Matrix'!#REF!)=0,1/0,1*('Production Matrix'!A:A="تكلفة انتاج الوحدة")*ROW('Production Matrix'!#REF!))</f>
        <v>#REF!</v>
      </c>
      <c r="D1250" s="11" t="str">
        <f>IFERROR(_xlfn.AGGREGATE(15,6,$C$3:$C$53,ROW('Production Matrix'!#REF!)),"")</f>
        <v/>
      </c>
      <c r="E1250" s="11" t="str">
        <f t="shared" si="28"/>
        <v/>
      </c>
      <c r="F1250" s="12">
        <f>IFERROR(INDEX('Production Matrix'!$B:$B,E1250,0),0)</f>
        <v>0</v>
      </c>
    </row>
    <row r="1251" spans="3:6">
      <c r="C1251" s="11" t="e">
        <f>IF(1*('Production Matrix'!A:A="تكلفة انتاج الوحدة")*ROW('Production Matrix'!#REF!)=0,1/0,1*('Production Matrix'!A:A="تكلفة انتاج الوحدة")*ROW('Production Matrix'!#REF!))</f>
        <v>#REF!</v>
      </c>
      <c r="D1251" s="11" t="str">
        <f>IFERROR(_xlfn.AGGREGATE(15,6,$C$3:$C$53,ROW('Production Matrix'!#REF!)),"")</f>
        <v/>
      </c>
      <c r="E1251" s="11" t="str">
        <f t="shared" si="28"/>
        <v/>
      </c>
      <c r="F1251" s="12">
        <f>IFERROR(INDEX('Production Matrix'!$B:$B,E1251,0),0)</f>
        <v>0</v>
      </c>
    </row>
    <row r="1252" spans="3:6">
      <c r="C1252" s="11" t="e">
        <f>IF(1*('Production Matrix'!A:A="تكلفة انتاج الوحدة")*ROW('Production Matrix'!#REF!)=0,1/0,1*('Production Matrix'!A:A="تكلفة انتاج الوحدة")*ROW('Production Matrix'!#REF!))</f>
        <v>#REF!</v>
      </c>
      <c r="D1252" s="11" t="str">
        <f>IFERROR(_xlfn.AGGREGATE(15,6,$C$3:$C$53,ROW('Production Matrix'!#REF!)),"")</f>
        <v/>
      </c>
      <c r="E1252" s="11" t="str">
        <f t="shared" si="28"/>
        <v/>
      </c>
      <c r="F1252" s="12">
        <f>IFERROR(INDEX('Production Matrix'!$B:$B,E1252,0),0)</f>
        <v>0</v>
      </c>
    </row>
    <row r="1253" spans="3:6">
      <c r="C1253" s="11" t="e">
        <f>IF(1*('Production Matrix'!A:A="تكلفة انتاج الوحدة")*ROW('Production Matrix'!#REF!)=0,1/0,1*('Production Matrix'!A:A="تكلفة انتاج الوحدة")*ROW('Production Matrix'!#REF!))</f>
        <v>#REF!</v>
      </c>
      <c r="D1253" s="11" t="str">
        <f>IFERROR(_xlfn.AGGREGATE(15,6,$C$3:$C$53,ROW('Production Matrix'!#REF!)),"")</f>
        <v/>
      </c>
      <c r="E1253" s="11" t="str">
        <f t="shared" si="28"/>
        <v/>
      </c>
      <c r="F1253" s="12">
        <f>IFERROR(INDEX('Production Matrix'!$B:$B,E1253,0),0)</f>
        <v>0</v>
      </c>
    </row>
    <row r="1254" spans="3:6">
      <c r="C1254" s="11" t="e">
        <f>IF(1*('Production Matrix'!A:A="تكلفة انتاج الوحدة")*ROW('Production Matrix'!#REF!)=0,1/0,1*('Production Matrix'!A:A="تكلفة انتاج الوحدة")*ROW('Production Matrix'!#REF!))</f>
        <v>#REF!</v>
      </c>
      <c r="D1254" s="11" t="str">
        <f>IFERROR(_xlfn.AGGREGATE(15,6,$C$3:$C$53,ROW('Production Matrix'!#REF!)),"")</f>
        <v/>
      </c>
      <c r="E1254" s="11" t="str">
        <f t="shared" si="28"/>
        <v/>
      </c>
      <c r="F1254" s="12">
        <f>IFERROR(INDEX('Production Matrix'!$B:$B,E1254,0),0)</f>
        <v>0</v>
      </c>
    </row>
    <row r="1255" spans="3:6">
      <c r="C1255" s="11" t="e">
        <f>IF(1*('Production Matrix'!A:A="تكلفة انتاج الوحدة")*ROW('Production Matrix'!#REF!)=0,1/0,1*('Production Matrix'!A:A="تكلفة انتاج الوحدة")*ROW('Production Matrix'!#REF!))</f>
        <v>#REF!</v>
      </c>
      <c r="D1255" s="11" t="str">
        <f>IFERROR(_xlfn.AGGREGATE(15,6,$C$3:$C$53,ROW('Production Matrix'!#REF!)),"")</f>
        <v/>
      </c>
      <c r="E1255" s="11" t="str">
        <f t="shared" si="28"/>
        <v/>
      </c>
      <c r="F1255" s="12">
        <f>IFERROR(INDEX('Production Matrix'!$B:$B,E1255,0),0)</f>
        <v>0</v>
      </c>
    </row>
    <row r="1256" spans="3:6">
      <c r="C1256" s="11" t="e">
        <f>IF(1*('Production Matrix'!A:A="تكلفة انتاج الوحدة")*ROW('Production Matrix'!#REF!)=0,1/0,1*('Production Matrix'!A:A="تكلفة انتاج الوحدة")*ROW('Production Matrix'!#REF!))</f>
        <v>#REF!</v>
      </c>
      <c r="D1256" s="11" t="str">
        <f>IFERROR(_xlfn.AGGREGATE(15,6,$C$3:$C$53,ROW('Production Matrix'!#REF!)),"")</f>
        <v/>
      </c>
      <c r="E1256" s="11" t="str">
        <f t="shared" si="28"/>
        <v/>
      </c>
      <c r="F1256" s="12">
        <f>IFERROR(INDEX('Production Matrix'!$B:$B,E1256,0),0)</f>
        <v>0</v>
      </c>
    </row>
    <row r="1257" spans="3:6">
      <c r="C1257" s="11" t="e">
        <f>IF(1*('Production Matrix'!A:A="تكلفة انتاج الوحدة")*ROW('Production Matrix'!#REF!)=0,1/0,1*('Production Matrix'!A:A="تكلفة انتاج الوحدة")*ROW('Production Matrix'!#REF!))</f>
        <v>#REF!</v>
      </c>
      <c r="D1257" s="11" t="str">
        <f>IFERROR(_xlfn.AGGREGATE(15,6,$C$3:$C$53,ROW('Production Matrix'!#REF!)),"")</f>
        <v/>
      </c>
      <c r="E1257" s="11" t="str">
        <f t="shared" si="28"/>
        <v/>
      </c>
      <c r="F1257" s="12">
        <f>IFERROR(INDEX('Production Matrix'!$B:$B,E1257,0),0)</f>
        <v>0</v>
      </c>
    </row>
    <row r="1258" spans="3:6">
      <c r="C1258" s="11" t="e">
        <f>IF(1*('Production Matrix'!A:A="تكلفة انتاج الوحدة")*ROW('Production Matrix'!#REF!)=0,1/0,1*('Production Matrix'!A:A="تكلفة انتاج الوحدة")*ROW('Production Matrix'!#REF!))</f>
        <v>#REF!</v>
      </c>
      <c r="D1258" s="11" t="str">
        <f>IFERROR(_xlfn.AGGREGATE(15,6,$C$3:$C$53,ROW('Production Matrix'!#REF!)),"")</f>
        <v/>
      </c>
      <c r="E1258" s="11" t="str">
        <f t="shared" si="28"/>
        <v/>
      </c>
      <c r="F1258" s="12">
        <f>IFERROR(INDEX('Production Matrix'!$B:$B,E1258,0),0)</f>
        <v>0</v>
      </c>
    </row>
    <row r="1259" spans="3:6">
      <c r="C1259" s="11" t="e">
        <f>IF(1*('Production Matrix'!A:A="تكلفة انتاج الوحدة")*ROW('Production Matrix'!#REF!)=0,1/0,1*('Production Matrix'!A:A="تكلفة انتاج الوحدة")*ROW('Production Matrix'!#REF!))</f>
        <v>#REF!</v>
      </c>
      <c r="D1259" s="11" t="str">
        <f>IFERROR(_xlfn.AGGREGATE(15,6,$C$3:$C$53,ROW('Production Matrix'!#REF!)),"")</f>
        <v/>
      </c>
      <c r="E1259" s="11" t="str">
        <f t="shared" si="28"/>
        <v/>
      </c>
      <c r="F1259" s="12">
        <f>IFERROR(INDEX('Production Matrix'!$B:$B,E1259,0),0)</f>
        <v>0</v>
      </c>
    </row>
    <row r="1260" spans="3:6">
      <c r="C1260" s="11" t="e">
        <f>IF(1*('Production Matrix'!A:A="تكلفة انتاج الوحدة")*ROW('Production Matrix'!#REF!)=0,1/0,1*('Production Matrix'!A:A="تكلفة انتاج الوحدة")*ROW('Production Matrix'!#REF!))</f>
        <v>#REF!</v>
      </c>
      <c r="D1260" s="11" t="str">
        <f>IFERROR(_xlfn.AGGREGATE(15,6,$C$3:$C$53,ROW('Production Matrix'!#REF!)),"")</f>
        <v/>
      </c>
      <c r="E1260" s="11" t="str">
        <f t="shared" si="28"/>
        <v/>
      </c>
      <c r="F1260" s="12">
        <f>IFERROR(INDEX('Production Matrix'!$B:$B,E1260,0),0)</f>
        <v>0</v>
      </c>
    </row>
    <row r="1261" spans="3:6">
      <c r="C1261" s="11" t="e">
        <f>IF(1*('Production Matrix'!A:A="تكلفة انتاج الوحدة")*ROW('Production Matrix'!#REF!)=0,1/0,1*('Production Matrix'!A:A="تكلفة انتاج الوحدة")*ROW('Production Matrix'!#REF!))</f>
        <v>#REF!</v>
      </c>
      <c r="D1261" s="11" t="str">
        <f>IFERROR(_xlfn.AGGREGATE(15,6,$C$3:$C$53,ROW('Production Matrix'!#REF!)),"")</f>
        <v/>
      </c>
      <c r="E1261" s="11" t="str">
        <f t="shared" si="28"/>
        <v/>
      </c>
      <c r="F1261" s="12">
        <f>IFERROR(INDEX('Production Matrix'!$B:$B,E1261,0),0)</f>
        <v>0</v>
      </c>
    </row>
    <row r="1262" spans="3:6">
      <c r="C1262" s="11" t="e">
        <f>IF(1*('Production Matrix'!A:A="تكلفة انتاج الوحدة")*ROW('Production Matrix'!#REF!)=0,1/0,1*('Production Matrix'!A:A="تكلفة انتاج الوحدة")*ROW('Production Matrix'!#REF!))</f>
        <v>#REF!</v>
      </c>
      <c r="D1262" s="11" t="str">
        <f>IFERROR(_xlfn.AGGREGATE(15,6,$C$3:$C$53,ROW('Production Matrix'!#REF!)),"")</f>
        <v/>
      </c>
      <c r="E1262" s="11" t="str">
        <f t="shared" si="28"/>
        <v/>
      </c>
      <c r="F1262" s="12">
        <f>IFERROR(INDEX('Production Matrix'!$B:$B,E1262,0),0)</f>
        <v>0</v>
      </c>
    </row>
    <row r="1263" spans="3:6">
      <c r="C1263" s="11" t="e">
        <f>IF(1*('Production Matrix'!A:A="تكلفة انتاج الوحدة")*ROW('Production Matrix'!#REF!)=0,1/0,1*('Production Matrix'!A:A="تكلفة انتاج الوحدة")*ROW('Production Matrix'!#REF!))</f>
        <v>#REF!</v>
      </c>
      <c r="D1263" s="11" t="str">
        <f>IFERROR(_xlfn.AGGREGATE(15,6,$C$3:$C$53,ROW('Production Matrix'!#REF!)),"")</f>
        <v/>
      </c>
      <c r="E1263" s="11" t="str">
        <f t="shared" si="28"/>
        <v/>
      </c>
      <c r="F1263" s="12">
        <f>IFERROR(INDEX('Production Matrix'!$B:$B,E1263,0),0)</f>
        <v>0</v>
      </c>
    </row>
    <row r="1264" spans="3:6">
      <c r="C1264" s="11" t="e">
        <f>IF(1*('Production Matrix'!A:A="تكلفة انتاج الوحدة")*ROW('Production Matrix'!#REF!)=0,1/0,1*('Production Matrix'!A:A="تكلفة انتاج الوحدة")*ROW('Production Matrix'!#REF!))</f>
        <v>#REF!</v>
      </c>
      <c r="D1264" s="11" t="str">
        <f>IFERROR(_xlfn.AGGREGATE(15,6,$C$3:$C$53,ROW('Production Matrix'!#REF!)),"")</f>
        <v/>
      </c>
      <c r="E1264" s="11" t="str">
        <f t="shared" si="28"/>
        <v/>
      </c>
      <c r="F1264" s="12">
        <f>IFERROR(INDEX('Production Matrix'!$B:$B,E1264,0),0)</f>
        <v>0</v>
      </c>
    </row>
    <row r="1265" spans="3:6">
      <c r="C1265" s="11" t="e">
        <f>IF(1*('Production Matrix'!A:A="تكلفة انتاج الوحدة")*ROW('Production Matrix'!#REF!)=0,1/0,1*('Production Matrix'!A:A="تكلفة انتاج الوحدة")*ROW('Production Matrix'!#REF!))</f>
        <v>#REF!</v>
      </c>
      <c r="D1265" s="11" t="str">
        <f>IFERROR(_xlfn.AGGREGATE(15,6,$C$3:$C$53,ROW('Production Matrix'!#REF!)),"")</f>
        <v/>
      </c>
      <c r="E1265" s="11" t="str">
        <f t="shared" si="28"/>
        <v/>
      </c>
      <c r="F1265" s="12">
        <f>IFERROR(INDEX('Production Matrix'!$B:$B,E1265,0),0)</f>
        <v>0</v>
      </c>
    </row>
    <row r="1266" spans="3:6">
      <c r="C1266" s="11" t="e">
        <f>IF(1*('Production Matrix'!A:A="تكلفة انتاج الوحدة")*ROW('Production Matrix'!#REF!)=0,1/0,1*('Production Matrix'!A:A="تكلفة انتاج الوحدة")*ROW('Production Matrix'!#REF!))</f>
        <v>#REF!</v>
      </c>
      <c r="D1266" s="11" t="str">
        <f>IFERROR(_xlfn.AGGREGATE(15,6,$C$3:$C$53,ROW('Production Matrix'!#REF!)),"")</f>
        <v/>
      </c>
      <c r="E1266" s="11" t="str">
        <f t="shared" si="28"/>
        <v/>
      </c>
      <c r="F1266" s="12">
        <f>IFERROR(INDEX('Production Matrix'!$B:$B,E1266,0),0)</f>
        <v>0</v>
      </c>
    </row>
    <row r="1267" spans="3:6">
      <c r="C1267" s="11" t="e">
        <f>IF(1*('Production Matrix'!A:A="تكلفة انتاج الوحدة")*ROW('Production Matrix'!#REF!)=0,1/0,1*('Production Matrix'!A:A="تكلفة انتاج الوحدة")*ROW('Production Matrix'!#REF!))</f>
        <v>#REF!</v>
      </c>
      <c r="D1267" s="11" t="str">
        <f>IFERROR(_xlfn.AGGREGATE(15,6,$C$3:$C$53,ROW('Production Matrix'!#REF!)),"")</f>
        <v/>
      </c>
      <c r="E1267" s="11" t="str">
        <f t="shared" si="28"/>
        <v/>
      </c>
      <c r="F1267" s="12">
        <f>IFERROR(INDEX('Production Matrix'!$B:$B,E1267,0),0)</f>
        <v>0</v>
      </c>
    </row>
    <row r="1268" spans="3:6">
      <c r="C1268" s="11" t="e">
        <f>IF(1*('Production Matrix'!A:A="تكلفة انتاج الوحدة")*ROW('Production Matrix'!#REF!)=0,1/0,1*('Production Matrix'!A:A="تكلفة انتاج الوحدة")*ROW('Production Matrix'!#REF!))</f>
        <v>#REF!</v>
      </c>
      <c r="D1268" s="11" t="str">
        <f>IFERROR(_xlfn.AGGREGATE(15,6,$C$3:$C$53,ROW('Production Matrix'!#REF!)),"")</f>
        <v/>
      </c>
      <c r="E1268" s="11" t="str">
        <f t="shared" si="28"/>
        <v/>
      </c>
      <c r="F1268" s="12">
        <f>IFERROR(INDEX('Production Matrix'!$B:$B,E1268,0),0)</f>
        <v>0</v>
      </c>
    </row>
    <row r="1269" spans="3:6">
      <c r="C1269" s="11" t="e">
        <f>IF(1*('Production Matrix'!A:A="تكلفة انتاج الوحدة")*ROW('Production Matrix'!#REF!)=0,1/0,1*('Production Matrix'!A:A="تكلفة انتاج الوحدة")*ROW('Production Matrix'!#REF!))</f>
        <v>#REF!</v>
      </c>
      <c r="D1269" s="11" t="str">
        <f>IFERROR(_xlfn.AGGREGATE(15,6,$C$3:$C$53,ROW('Production Matrix'!#REF!)),"")</f>
        <v/>
      </c>
      <c r="E1269" s="11" t="str">
        <f t="shared" si="28"/>
        <v/>
      </c>
      <c r="F1269" s="12">
        <f>IFERROR(INDEX('Production Matrix'!$B:$B,E1269,0),0)</f>
        <v>0</v>
      </c>
    </row>
    <row r="1270" spans="3:6">
      <c r="C1270" s="11" t="e">
        <f>IF(1*('Production Matrix'!A:A="تكلفة انتاج الوحدة")*ROW('Production Matrix'!#REF!)=0,1/0,1*('Production Matrix'!A:A="تكلفة انتاج الوحدة")*ROW('Production Matrix'!#REF!))</f>
        <v>#REF!</v>
      </c>
      <c r="D1270" s="11" t="str">
        <f>IFERROR(_xlfn.AGGREGATE(15,6,$C$3:$C$53,ROW('Production Matrix'!#REF!)),"")</f>
        <v/>
      </c>
      <c r="E1270" s="11" t="str">
        <f t="shared" si="28"/>
        <v/>
      </c>
      <c r="F1270" s="12">
        <f>IFERROR(INDEX('Production Matrix'!$B:$B,E1270,0),0)</f>
        <v>0</v>
      </c>
    </row>
    <row r="1271" spans="3:6">
      <c r="C1271" s="11" t="e">
        <f>IF(1*('Production Matrix'!A:A="تكلفة انتاج الوحدة")*ROW('Production Matrix'!#REF!)=0,1/0,1*('Production Matrix'!A:A="تكلفة انتاج الوحدة")*ROW('Production Matrix'!#REF!))</f>
        <v>#REF!</v>
      </c>
      <c r="D1271" s="11" t="str">
        <f>IFERROR(_xlfn.AGGREGATE(15,6,$C$3:$C$53,ROW('Production Matrix'!#REF!)),"")</f>
        <v/>
      </c>
      <c r="E1271" s="11" t="str">
        <f t="shared" si="28"/>
        <v/>
      </c>
      <c r="F1271" s="12">
        <f>IFERROR(INDEX('Production Matrix'!$B:$B,E1271,0),0)</f>
        <v>0</v>
      </c>
    </row>
    <row r="1272" spans="3:6">
      <c r="C1272" s="11" t="e">
        <f>IF(1*('Production Matrix'!A:A="تكلفة انتاج الوحدة")*ROW('Production Matrix'!#REF!)=0,1/0,1*('Production Matrix'!A:A="تكلفة انتاج الوحدة")*ROW('Production Matrix'!#REF!))</f>
        <v>#REF!</v>
      </c>
      <c r="D1272" s="11" t="str">
        <f>IFERROR(_xlfn.AGGREGATE(15,6,$C$3:$C$53,ROW('Production Matrix'!#REF!)),"")</f>
        <v/>
      </c>
      <c r="E1272" s="11" t="str">
        <f t="shared" si="28"/>
        <v/>
      </c>
      <c r="F1272" s="12">
        <f>IFERROR(INDEX('Production Matrix'!$B:$B,E1272,0),0)</f>
        <v>0</v>
      </c>
    </row>
    <row r="1273" spans="3:6">
      <c r="C1273" s="11" t="e">
        <f>IF(1*('Production Matrix'!A:A="تكلفة انتاج الوحدة")*ROW('Production Matrix'!#REF!)=0,1/0,1*('Production Matrix'!A:A="تكلفة انتاج الوحدة")*ROW('Production Matrix'!#REF!))</f>
        <v>#REF!</v>
      </c>
      <c r="D1273" s="11" t="str">
        <f>IFERROR(_xlfn.AGGREGATE(15,6,$C$3:$C$53,ROW('Production Matrix'!#REF!)),"")</f>
        <v/>
      </c>
      <c r="E1273" s="11" t="str">
        <f t="shared" si="28"/>
        <v/>
      </c>
      <c r="F1273" s="12">
        <f>IFERROR(INDEX('Production Matrix'!$B:$B,E1273,0),0)</f>
        <v>0</v>
      </c>
    </row>
    <row r="1274" spans="3:6">
      <c r="C1274" s="11" t="e">
        <f>IF(1*('Production Matrix'!A:A="تكلفة انتاج الوحدة")*ROW('Production Matrix'!#REF!)=0,1/0,1*('Production Matrix'!A:A="تكلفة انتاج الوحدة")*ROW('Production Matrix'!#REF!))</f>
        <v>#REF!</v>
      </c>
      <c r="D1274" s="11" t="str">
        <f>IFERROR(_xlfn.AGGREGATE(15,6,$C$3:$C$53,ROW('Production Matrix'!#REF!)),"")</f>
        <v/>
      </c>
      <c r="E1274" s="11" t="str">
        <f t="shared" si="28"/>
        <v/>
      </c>
      <c r="F1274" s="12">
        <f>IFERROR(INDEX('Production Matrix'!$B:$B,E1274,0),0)</f>
        <v>0</v>
      </c>
    </row>
    <row r="1275" spans="3:6">
      <c r="C1275" s="11" t="e">
        <f>IF(1*('Production Matrix'!A:A="تكلفة انتاج الوحدة")*ROW('Production Matrix'!#REF!)=0,1/0,1*('Production Matrix'!A:A="تكلفة انتاج الوحدة")*ROW('Production Matrix'!#REF!))</f>
        <v>#REF!</v>
      </c>
      <c r="D1275" s="11" t="str">
        <f>IFERROR(_xlfn.AGGREGATE(15,6,$C$3:$C$53,ROW('Production Matrix'!#REF!)),"")</f>
        <v/>
      </c>
      <c r="E1275" s="11" t="str">
        <f t="shared" si="28"/>
        <v/>
      </c>
      <c r="F1275" s="12">
        <f>IFERROR(INDEX('Production Matrix'!$B:$B,E1275,0),0)</f>
        <v>0</v>
      </c>
    </row>
    <row r="1276" spans="3:6">
      <c r="C1276" s="11" t="e">
        <f>IF(1*('Production Matrix'!A:A="تكلفة انتاج الوحدة")*ROW('Production Matrix'!#REF!)=0,1/0,1*('Production Matrix'!A:A="تكلفة انتاج الوحدة")*ROW('Production Matrix'!#REF!))</f>
        <v>#REF!</v>
      </c>
      <c r="D1276" s="11" t="str">
        <f>IFERROR(_xlfn.AGGREGATE(15,6,$C$3:$C$53,ROW('Production Matrix'!#REF!)),"")</f>
        <v/>
      </c>
      <c r="E1276" s="11" t="str">
        <f t="shared" si="28"/>
        <v/>
      </c>
      <c r="F1276" s="12">
        <f>IFERROR(INDEX('Production Matrix'!$B:$B,E1276,0),0)</f>
        <v>0</v>
      </c>
    </row>
    <row r="1277" spans="3:6">
      <c r="C1277" s="11" t="e">
        <f>IF(1*('Production Matrix'!A:A="تكلفة انتاج الوحدة")*ROW('Production Matrix'!#REF!)=0,1/0,1*('Production Matrix'!A:A="تكلفة انتاج الوحدة")*ROW('Production Matrix'!#REF!))</f>
        <v>#REF!</v>
      </c>
      <c r="D1277" s="11" t="str">
        <f>IFERROR(_xlfn.AGGREGATE(15,6,$C$3:$C$53,ROW('Production Matrix'!#REF!)),"")</f>
        <v/>
      </c>
      <c r="E1277" s="11" t="str">
        <f t="shared" si="28"/>
        <v/>
      </c>
      <c r="F1277" s="12">
        <f>IFERROR(INDEX('Production Matrix'!$B:$B,E1277,0),0)</f>
        <v>0</v>
      </c>
    </row>
    <row r="1278" spans="3:6">
      <c r="C1278" s="11" t="e">
        <f>IF(1*('Production Matrix'!A:A="تكلفة انتاج الوحدة")*ROW('Production Matrix'!#REF!)=0,1/0,1*('Production Matrix'!A:A="تكلفة انتاج الوحدة")*ROW('Production Matrix'!#REF!))</f>
        <v>#REF!</v>
      </c>
      <c r="D1278" s="11" t="str">
        <f>IFERROR(_xlfn.AGGREGATE(15,6,$C$3:$C$53,ROW('Production Matrix'!#REF!)),"")</f>
        <v/>
      </c>
      <c r="E1278" s="11" t="str">
        <f t="shared" si="28"/>
        <v/>
      </c>
      <c r="F1278" s="12">
        <f>IFERROR(INDEX('Production Matrix'!$B:$B,E1278,0),0)</f>
        <v>0</v>
      </c>
    </row>
    <row r="1279" spans="3:6">
      <c r="C1279" s="11" t="e">
        <f>IF(1*('Production Matrix'!A:A="تكلفة انتاج الوحدة")*ROW('Production Matrix'!#REF!)=0,1/0,1*('Production Matrix'!A:A="تكلفة انتاج الوحدة")*ROW('Production Matrix'!#REF!))</f>
        <v>#REF!</v>
      </c>
      <c r="D1279" s="11" t="str">
        <f>IFERROR(_xlfn.AGGREGATE(15,6,$C$3:$C$53,ROW('Production Matrix'!#REF!)),"")</f>
        <v/>
      </c>
      <c r="E1279" s="11" t="str">
        <f t="shared" si="28"/>
        <v/>
      </c>
      <c r="F1279" s="12">
        <f>IFERROR(INDEX('Production Matrix'!$B:$B,E1279,0),0)</f>
        <v>0</v>
      </c>
    </row>
    <row r="1280" spans="3:6">
      <c r="C1280" s="11" t="e">
        <f>IF(1*('Production Matrix'!A:A="تكلفة انتاج الوحدة")*ROW('Production Matrix'!#REF!)=0,1/0,1*('Production Matrix'!A:A="تكلفة انتاج الوحدة")*ROW('Production Matrix'!#REF!))</f>
        <v>#REF!</v>
      </c>
      <c r="D1280" s="11" t="str">
        <f>IFERROR(_xlfn.AGGREGATE(15,6,$C$3:$C$53,ROW('Production Matrix'!#REF!)),"")</f>
        <v/>
      </c>
      <c r="E1280" s="11" t="str">
        <f t="shared" si="28"/>
        <v/>
      </c>
      <c r="F1280" s="12">
        <f>IFERROR(INDEX('Production Matrix'!$B:$B,E1280,0),0)</f>
        <v>0</v>
      </c>
    </row>
    <row r="1281" spans="3:6">
      <c r="C1281" s="11" t="e">
        <f>IF(1*('Production Matrix'!A:A="تكلفة انتاج الوحدة")*ROW('Production Matrix'!#REF!)=0,1/0,1*('Production Matrix'!A:A="تكلفة انتاج الوحدة")*ROW('Production Matrix'!#REF!))</f>
        <v>#REF!</v>
      </c>
      <c r="D1281" s="11" t="str">
        <f>IFERROR(_xlfn.AGGREGATE(15,6,$C$3:$C$53,ROW('Production Matrix'!#REF!)),"")</f>
        <v/>
      </c>
      <c r="E1281" s="11" t="str">
        <f t="shared" si="28"/>
        <v/>
      </c>
      <c r="F1281" s="12">
        <f>IFERROR(INDEX('Production Matrix'!$B:$B,E1281,0),0)</f>
        <v>0</v>
      </c>
    </row>
    <row r="1282" spans="3:6">
      <c r="C1282" s="11" t="e">
        <f>IF(1*('Production Matrix'!A:A="تكلفة انتاج الوحدة")*ROW('Production Matrix'!#REF!)=0,1/0,1*('Production Matrix'!A:A="تكلفة انتاج الوحدة")*ROW('Production Matrix'!#REF!))</f>
        <v>#REF!</v>
      </c>
      <c r="D1282" s="11" t="str">
        <f>IFERROR(_xlfn.AGGREGATE(15,6,$C$3:$C$53,ROW('Production Matrix'!#REF!)),"")</f>
        <v/>
      </c>
      <c r="E1282" s="11" t="str">
        <f t="shared" si="28"/>
        <v/>
      </c>
      <c r="F1282" s="12">
        <f>IFERROR(INDEX('Production Matrix'!$B:$B,E1282,0),0)</f>
        <v>0</v>
      </c>
    </row>
    <row r="1283" spans="3:6">
      <c r="C1283" s="11" t="e">
        <f>IF(1*('Production Matrix'!A:A="تكلفة انتاج الوحدة")*ROW('Production Matrix'!#REF!)=0,1/0,1*('Production Matrix'!A:A="تكلفة انتاج الوحدة")*ROW('Production Matrix'!#REF!))</f>
        <v>#REF!</v>
      </c>
      <c r="D1283" s="11" t="str">
        <f>IFERROR(_xlfn.AGGREGATE(15,6,$C$3:$C$53,ROW('Production Matrix'!#REF!)),"")</f>
        <v/>
      </c>
      <c r="E1283" s="11" t="str">
        <f t="shared" si="28"/>
        <v/>
      </c>
      <c r="F1283" s="12">
        <f>IFERROR(INDEX('Production Matrix'!$B:$B,E1283,0),0)</f>
        <v>0</v>
      </c>
    </row>
    <row r="1284" spans="3:6">
      <c r="C1284" s="11" t="e">
        <f>IF(1*('Production Matrix'!A:A="تكلفة انتاج الوحدة")*ROW('Production Matrix'!#REF!)=0,1/0,1*('Production Matrix'!A:A="تكلفة انتاج الوحدة")*ROW('Production Matrix'!#REF!))</f>
        <v>#REF!</v>
      </c>
      <c r="D1284" s="11" t="str">
        <f>IFERROR(_xlfn.AGGREGATE(15,6,$C$3:$C$53,ROW('Production Matrix'!#REF!)),"")</f>
        <v/>
      </c>
      <c r="E1284" s="11" t="str">
        <f t="shared" si="28"/>
        <v/>
      </c>
      <c r="F1284" s="12">
        <f>IFERROR(INDEX('Production Matrix'!$B:$B,E1284,0),0)</f>
        <v>0</v>
      </c>
    </row>
    <row r="1285" spans="3:6">
      <c r="C1285" s="11" t="e">
        <f>IF(1*('Production Matrix'!A:A="تكلفة انتاج الوحدة")*ROW('Production Matrix'!#REF!)=0,1/0,1*('Production Matrix'!A:A="تكلفة انتاج الوحدة")*ROW('Production Matrix'!#REF!))</f>
        <v>#REF!</v>
      </c>
      <c r="D1285" s="11" t="str">
        <f>IFERROR(_xlfn.AGGREGATE(15,6,$C$3:$C$53,ROW('Production Matrix'!#REF!)),"")</f>
        <v/>
      </c>
      <c r="E1285" s="11" t="str">
        <f t="shared" si="28"/>
        <v/>
      </c>
      <c r="F1285" s="12">
        <f>IFERROR(INDEX('Production Matrix'!$B:$B,E1285,0),0)</f>
        <v>0</v>
      </c>
    </row>
    <row r="1286" spans="3:6">
      <c r="C1286" s="11" t="e">
        <f>IF(1*('Production Matrix'!A:A="تكلفة انتاج الوحدة")*ROW('Production Matrix'!#REF!)=0,1/0,1*('Production Matrix'!A:A="تكلفة انتاج الوحدة")*ROW('Production Matrix'!#REF!))</f>
        <v>#REF!</v>
      </c>
      <c r="D1286" s="11" t="str">
        <f>IFERROR(_xlfn.AGGREGATE(15,6,$C$3:$C$53,ROW('Production Matrix'!#REF!)),"")</f>
        <v/>
      </c>
      <c r="E1286" s="11" t="str">
        <f t="shared" si="28"/>
        <v/>
      </c>
      <c r="F1286" s="12">
        <f>IFERROR(INDEX('Production Matrix'!$B:$B,E1286,0),0)</f>
        <v>0</v>
      </c>
    </row>
    <row r="1287" spans="3:6">
      <c r="C1287" s="11" t="e">
        <f>IF(1*('Production Matrix'!A:A="تكلفة انتاج الوحدة")*ROW('Production Matrix'!#REF!)=0,1/0,1*('Production Matrix'!A:A="تكلفة انتاج الوحدة")*ROW('Production Matrix'!#REF!))</f>
        <v>#REF!</v>
      </c>
      <c r="D1287" s="11" t="str">
        <f>IFERROR(_xlfn.AGGREGATE(15,6,$C$3:$C$53,ROW('Production Matrix'!#REF!)),"")</f>
        <v/>
      </c>
      <c r="E1287" s="11" t="str">
        <f t="shared" ref="E1287:E1350" si="29">IFERROR(D1287+3,"")</f>
        <v/>
      </c>
      <c r="F1287" s="12">
        <f>IFERROR(INDEX('Production Matrix'!$B:$B,E1287,0),0)</f>
        <v>0</v>
      </c>
    </row>
    <row r="1288" spans="3:6">
      <c r="C1288" s="11" t="e">
        <f>IF(1*('Production Matrix'!A:A="تكلفة انتاج الوحدة")*ROW('Production Matrix'!#REF!)=0,1/0,1*('Production Matrix'!A:A="تكلفة انتاج الوحدة")*ROW('Production Matrix'!#REF!))</f>
        <v>#REF!</v>
      </c>
      <c r="D1288" s="11" t="str">
        <f>IFERROR(_xlfn.AGGREGATE(15,6,$C$3:$C$53,ROW('Production Matrix'!#REF!)),"")</f>
        <v/>
      </c>
      <c r="E1288" s="11" t="str">
        <f t="shared" si="29"/>
        <v/>
      </c>
      <c r="F1288" s="12">
        <f>IFERROR(INDEX('Production Matrix'!$B:$B,E1288,0),0)</f>
        <v>0</v>
      </c>
    </row>
    <row r="1289" spans="3:6">
      <c r="C1289" s="11" t="e">
        <f>IF(1*('Production Matrix'!A:A="تكلفة انتاج الوحدة")*ROW('Production Matrix'!#REF!)=0,1/0,1*('Production Matrix'!A:A="تكلفة انتاج الوحدة")*ROW('Production Matrix'!#REF!))</f>
        <v>#REF!</v>
      </c>
      <c r="D1289" s="11" t="str">
        <f>IFERROR(_xlfn.AGGREGATE(15,6,$C$3:$C$53,ROW('Production Matrix'!#REF!)),"")</f>
        <v/>
      </c>
      <c r="E1289" s="11" t="str">
        <f t="shared" si="29"/>
        <v/>
      </c>
      <c r="F1289" s="12">
        <f>IFERROR(INDEX('Production Matrix'!$B:$B,E1289,0),0)</f>
        <v>0</v>
      </c>
    </row>
    <row r="1290" spans="3:6">
      <c r="C1290" s="11" t="e">
        <f>IF(1*('Production Matrix'!A:A="تكلفة انتاج الوحدة")*ROW('Production Matrix'!#REF!)=0,1/0,1*('Production Matrix'!A:A="تكلفة انتاج الوحدة")*ROW('Production Matrix'!#REF!))</f>
        <v>#REF!</v>
      </c>
      <c r="D1290" s="11" t="str">
        <f>IFERROR(_xlfn.AGGREGATE(15,6,$C$3:$C$53,ROW('Production Matrix'!#REF!)),"")</f>
        <v/>
      </c>
      <c r="E1290" s="11" t="str">
        <f t="shared" si="29"/>
        <v/>
      </c>
      <c r="F1290" s="12">
        <f>IFERROR(INDEX('Production Matrix'!$B:$B,E1290,0),0)</f>
        <v>0</v>
      </c>
    </row>
    <row r="1291" spans="3:6">
      <c r="C1291" s="11" t="e">
        <f>IF(1*('Production Matrix'!A:A="تكلفة انتاج الوحدة")*ROW('Production Matrix'!#REF!)=0,1/0,1*('Production Matrix'!A:A="تكلفة انتاج الوحدة")*ROW('Production Matrix'!#REF!))</f>
        <v>#REF!</v>
      </c>
      <c r="D1291" s="11" t="str">
        <f>IFERROR(_xlfn.AGGREGATE(15,6,$C$3:$C$53,ROW('Production Matrix'!#REF!)),"")</f>
        <v/>
      </c>
      <c r="E1291" s="11" t="str">
        <f t="shared" si="29"/>
        <v/>
      </c>
      <c r="F1291" s="12">
        <f>IFERROR(INDEX('Production Matrix'!$B:$B,E1291,0),0)</f>
        <v>0</v>
      </c>
    </row>
    <row r="1292" spans="3:6">
      <c r="C1292" s="11" t="e">
        <f>IF(1*('Production Matrix'!A:A="تكلفة انتاج الوحدة")*ROW('Production Matrix'!#REF!)=0,1/0,1*('Production Matrix'!A:A="تكلفة انتاج الوحدة")*ROW('Production Matrix'!#REF!))</f>
        <v>#REF!</v>
      </c>
      <c r="D1292" s="11" t="str">
        <f>IFERROR(_xlfn.AGGREGATE(15,6,$C$3:$C$53,ROW('Production Matrix'!#REF!)),"")</f>
        <v/>
      </c>
      <c r="E1292" s="11" t="str">
        <f t="shared" si="29"/>
        <v/>
      </c>
      <c r="F1292" s="12">
        <f>IFERROR(INDEX('Production Matrix'!$B:$B,E1292,0),0)</f>
        <v>0</v>
      </c>
    </row>
    <row r="1293" spans="3:6">
      <c r="C1293" s="11" t="e">
        <f>IF(1*('Production Matrix'!A:A="تكلفة انتاج الوحدة")*ROW('Production Matrix'!#REF!)=0,1/0,1*('Production Matrix'!A:A="تكلفة انتاج الوحدة")*ROW('Production Matrix'!#REF!))</f>
        <v>#REF!</v>
      </c>
      <c r="D1293" s="11" t="str">
        <f>IFERROR(_xlfn.AGGREGATE(15,6,$C$3:$C$53,ROW('Production Matrix'!#REF!)),"")</f>
        <v/>
      </c>
      <c r="E1293" s="11" t="str">
        <f t="shared" si="29"/>
        <v/>
      </c>
      <c r="F1293" s="12">
        <f>IFERROR(INDEX('Production Matrix'!$B:$B,E1293,0),0)</f>
        <v>0</v>
      </c>
    </row>
    <row r="1294" spans="3:6">
      <c r="C1294" s="11" t="e">
        <f>IF(1*('Production Matrix'!A:A="تكلفة انتاج الوحدة")*ROW('Production Matrix'!#REF!)=0,1/0,1*('Production Matrix'!A:A="تكلفة انتاج الوحدة")*ROW('Production Matrix'!#REF!))</f>
        <v>#REF!</v>
      </c>
      <c r="D1294" s="11" t="str">
        <f>IFERROR(_xlfn.AGGREGATE(15,6,$C$3:$C$53,ROW('Production Matrix'!#REF!)),"")</f>
        <v/>
      </c>
      <c r="E1294" s="11" t="str">
        <f t="shared" si="29"/>
        <v/>
      </c>
      <c r="F1294" s="12">
        <f>IFERROR(INDEX('Production Matrix'!$B:$B,E1294,0),0)</f>
        <v>0</v>
      </c>
    </row>
    <row r="1295" spans="3:6">
      <c r="C1295" s="11" t="e">
        <f>IF(1*('Production Matrix'!A:A="تكلفة انتاج الوحدة")*ROW('Production Matrix'!#REF!)=0,1/0,1*('Production Matrix'!A:A="تكلفة انتاج الوحدة")*ROW('Production Matrix'!#REF!))</f>
        <v>#REF!</v>
      </c>
      <c r="D1295" s="11" t="str">
        <f>IFERROR(_xlfn.AGGREGATE(15,6,$C$3:$C$53,ROW('Production Matrix'!#REF!)),"")</f>
        <v/>
      </c>
      <c r="E1295" s="11" t="str">
        <f t="shared" si="29"/>
        <v/>
      </c>
      <c r="F1295" s="12">
        <f>IFERROR(INDEX('Production Matrix'!$B:$B,E1295,0),0)</f>
        <v>0</v>
      </c>
    </row>
    <row r="1296" spans="3:6">
      <c r="C1296" s="11" t="e">
        <f>IF(1*('Production Matrix'!A:A="تكلفة انتاج الوحدة")*ROW('Production Matrix'!#REF!)=0,1/0,1*('Production Matrix'!A:A="تكلفة انتاج الوحدة")*ROW('Production Matrix'!#REF!))</f>
        <v>#REF!</v>
      </c>
      <c r="D1296" s="11" t="str">
        <f>IFERROR(_xlfn.AGGREGATE(15,6,$C$3:$C$53,ROW('Production Matrix'!#REF!)),"")</f>
        <v/>
      </c>
      <c r="E1296" s="11" t="str">
        <f t="shared" si="29"/>
        <v/>
      </c>
      <c r="F1296" s="12">
        <f>IFERROR(INDEX('Production Matrix'!$B:$B,E1296,0),0)</f>
        <v>0</v>
      </c>
    </row>
    <row r="1297" spans="3:6">
      <c r="C1297" s="11" t="e">
        <f>IF(1*('Production Matrix'!A:A="تكلفة انتاج الوحدة")*ROW('Production Matrix'!#REF!)=0,1/0,1*('Production Matrix'!A:A="تكلفة انتاج الوحدة")*ROW('Production Matrix'!#REF!))</f>
        <v>#REF!</v>
      </c>
      <c r="D1297" s="11" t="str">
        <f>IFERROR(_xlfn.AGGREGATE(15,6,$C$3:$C$53,ROW('Production Matrix'!#REF!)),"")</f>
        <v/>
      </c>
      <c r="E1297" s="11" t="str">
        <f t="shared" si="29"/>
        <v/>
      </c>
      <c r="F1297" s="12">
        <f>IFERROR(INDEX('Production Matrix'!$B:$B,E1297,0),0)</f>
        <v>0</v>
      </c>
    </row>
    <row r="1298" spans="3:6">
      <c r="C1298" s="11" t="e">
        <f>IF(1*('Production Matrix'!A:A="تكلفة انتاج الوحدة")*ROW('Production Matrix'!#REF!)=0,1/0,1*('Production Matrix'!A:A="تكلفة انتاج الوحدة")*ROW('Production Matrix'!#REF!))</f>
        <v>#REF!</v>
      </c>
      <c r="D1298" s="11" t="str">
        <f>IFERROR(_xlfn.AGGREGATE(15,6,$C$3:$C$53,ROW('Production Matrix'!#REF!)),"")</f>
        <v/>
      </c>
      <c r="E1298" s="11" t="str">
        <f t="shared" si="29"/>
        <v/>
      </c>
      <c r="F1298" s="12">
        <f>IFERROR(INDEX('Production Matrix'!$B:$B,E1298,0),0)</f>
        <v>0</v>
      </c>
    </row>
    <row r="1299" spans="3:6">
      <c r="C1299" s="11" t="e">
        <f>IF(1*('Production Matrix'!A:A="تكلفة انتاج الوحدة")*ROW('Production Matrix'!#REF!)=0,1/0,1*('Production Matrix'!A:A="تكلفة انتاج الوحدة")*ROW('Production Matrix'!#REF!))</f>
        <v>#REF!</v>
      </c>
      <c r="D1299" s="11" t="str">
        <f>IFERROR(_xlfn.AGGREGATE(15,6,$C$3:$C$53,ROW('Production Matrix'!#REF!)),"")</f>
        <v/>
      </c>
      <c r="E1299" s="11" t="str">
        <f t="shared" si="29"/>
        <v/>
      </c>
      <c r="F1299" s="12">
        <f>IFERROR(INDEX('Production Matrix'!$B:$B,E1299,0),0)</f>
        <v>0</v>
      </c>
    </row>
    <row r="1300" spans="3:6">
      <c r="C1300" s="11" t="e">
        <f>IF(1*('Production Matrix'!A:A="تكلفة انتاج الوحدة")*ROW('Production Matrix'!#REF!)=0,1/0,1*('Production Matrix'!A:A="تكلفة انتاج الوحدة")*ROW('Production Matrix'!#REF!))</f>
        <v>#REF!</v>
      </c>
      <c r="D1300" s="11" t="str">
        <f>IFERROR(_xlfn.AGGREGATE(15,6,$C$3:$C$53,ROW('Production Matrix'!#REF!)),"")</f>
        <v/>
      </c>
      <c r="E1300" s="11" t="str">
        <f t="shared" si="29"/>
        <v/>
      </c>
      <c r="F1300" s="12">
        <f>IFERROR(INDEX('Production Matrix'!$B:$B,E1300,0),0)</f>
        <v>0</v>
      </c>
    </row>
    <row r="1301" spans="3:6">
      <c r="C1301" s="11" t="e">
        <f>IF(1*('Production Matrix'!A:A="تكلفة انتاج الوحدة")*ROW('Production Matrix'!#REF!)=0,1/0,1*('Production Matrix'!A:A="تكلفة انتاج الوحدة")*ROW('Production Matrix'!#REF!))</f>
        <v>#REF!</v>
      </c>
      <c r="D1301" s="11" t="str">
        <f>IFERROR(_xlfn.AGGREGATE(15,6,$C$3:$C$53,ROW('Production Matrix'!#REF!)),"")</f>
        <v/>
      </c>
      <c r="E1301" s="11" t="str">
        <f t="shared" si="29"/>
        <v/>
      </c>
      <c r="F1301" s="12">
        <f>IFERROR(INDEX('Production Matrix'!$B:$B,E1301,0),0)</f>
        <v>0</v>
      </c>
    </row>
    <row r="1302" spans="3:6">
      <c r="C1302" s="11" t="e">
        <f>IF(1*('Production Matrix'!A:A="تكلفة انتاج الوحدة")*ROW('Production Matrix'!#REF!)=0,1/0,1*('Production Matrix'!A:A="تكلفة انتاج الوحدة")*ROW('Production Matrix'!#REF!))</f>
        <v>#REF!</v>
      </c>
      <c r="D1302" s="11" t="str">
        <f>IFERROR(_xlfn.AGGREGATE(15,6,$C$3:$C$53,ROW('Production Matrix'!#REF!)),"")</f>
        <v/>
      </c>
      <c r="E1302" s="11" t="str">
        <f t="shared" si="29"/>
        <v/>
      </c>
      <c r="F1302" s="12">
        <f>IFERROR(INDEX('Production Matrix'!$B:$B,E1302,0),0)</f>
        <v>0</v>
      </c>
    </row>
    <row r="1303" spans="3:6">
      <c r="C1303" s="11" t="e">
        <f>IF(1*('Production Matrix'!A:A="تكلفة انتاج الوحدة")*ROW('Production Matrix'!#REF!)=0,1/0,1*('Production Matrix'!A:A="تكلفة انتاج الوحدة")*ROW('Production Matrix'!#REF!))</f>
        <v>#REF!</v>
      </c>
      <c r="D1303" s="11" t="str">
        <f>IFERROR(_xlfn.AGGREGATE(15,6,$C$3:$C$53,ROW('Production Matrix'!#REF!)),"")</f>
        <v/>
      </c>
      <c r="E1303" s="11" t="str">
        <f t="shared" si="29"/>
        <v/>
      </c>
      <c r="F1303" s="12">
        <f>IFERROR(INDEX('Production Matrix'!$B:$B,E1303,0),0)</f>
        <v>0</v>
      </c>
    </row>
    <row r="1304" spans="3:6">
      <c r="C1304" s="11" t="e">
        <f>IF(1*('Production Matrix'!A:A="تكلفة انتاج الوحدة")*ROW('Production Matrix'!#REF!)=0,1/0,1*('Production Matrix'!A:A="تكلفة انتاج الوحدة")*ROW('Production Matrix'!#REF!))</f>
        <v>#REF!</v>
      </c>
      <c r="D1304" s="11" t="str">
        <f>IFERROR(_xlfn.AGGREGATE(15,6,$C$3:$C$53,ROW('Production Matrix'!#REF!)),"")</f>
        <v/>
      </c>
      <c r="E1304" s="11" t="str">
        <f t="shared" si="29"/>
        <v/>
      </c>
      <c r="F1304" s="12">
        <f>IFERROR(INDEX('Production Matrix'!$B:$B,E1304,0),0)</f>
        <v>0</v>
      </c>
    </row>
    <row r="1305" spans="3:6">
      <c r="C1305" s="11" t="e">
        <f>IF(1*('Production Matrix'!A:A="تكلفة انتاج الوحدة")*ROW('Production Matrix'!#REF!)=0,1/0,1*('Production Matrix'!A:A="تكلفة انتاج الوحدة")*ROW('Production Matrix'!#REF!))</f>
        <v>#REF!</v>
      </c>
      <c r="D1305" s="11" t="str">
        <f>IFERROR(_xlfn.AGGREGATE(15,6,$C$3:$C$53,ROW('Production Matrix'!#REF!)),"")</f>
        <v/>
      </c>
      <c r="E1305" s="11" t="str">
        <f t="shared" si="29"/>
        <v/>
      </c>
      <c r="F1305" s="12">
        <f>IFERROR(INDEX('Production Matrix'!$B:$B,E1305,0),0)</f>
        <v>0</v>
      </c>
    </row>
    <row r="1306" spans="3:6">
      <c r="C1306" s="11" t="e">
        <f>IF(1*('Production Matrix'!A:A="تكلفة انتاج الوحدة")*ROW('Production Matrix'!#REF!)=0,1/0,1*('Production Matrix'!A:A="تكلفة انتاج الوحدة")*ROW('Production Matrix'!#REF!))</f>
        <v>#REF!</v>
      </c>
      <c r="D1306" s="11" t="str">
        <f>IFERROR(_xlfn.AGGREGATE(15,6,$C$3:$C$53,ROW('Production Matrix'!#REF!)),"")</f>
        <v/>
      </c>
      <c r="E1306" s="11" t="str">
        <f t="shared" si="29"/>
        <v/>
      </c>
      <c r="F1306" s="12">
        <f>IFERROR(INDEX('Production Matrix'!$B:$B,E1306,0),0)</f>
        <v>0</v>
      </c>
    </row>
    <row r="1307" spans="3:6">
      <c r="C1307" s="11" t="e">
        <f>IF(1*('Production Matrix'!A:A="تكلفة انتاج الوحدة")*ROW('Production Matrix'!#REF!)=0,1/0,1*('Production Matrix'!A:A="تكلفة انتاج الوحدة")*ROW('Production Matrix'!#REF!))</f>
        <v>#REF!</v>
      </c>
      <c r="D1307" s="11" t="str">
        <f>IFERROR(_xlfn.AGGREGATE(15,6,$C$3:$C$53,ROW('Production Matrix'!#REF!)),"")</f>
        <v/>
      </c>
      <c r="E1307" s="11" t="str">
        <f t="shared" si="29"/>
        <v/>
      </c>
      <c r="F1307" s="12">
        <f>IFERROR(INDEX('Production Matrix'!$B:$B,E1307,0),0)</f>
        <v>0</v>
      </c>
    </row>
    <row r="1308" spans="3:6">
      <c r="C1308" s="11" t="e">
        <f>IF(1*('Production Matrix'!A:A="تكلفة انتاج الوحدة")*ROW('Production Matrix'!#REF!)=0,1/0,1*('Production Matrix'!A:A="تكلفة انتاج الوحدة")*ROW('Production Matrix'!#REF!))</f>
        <v>#REF!</v>
      </c>
      <c r="D1308" s="11" t="str">
        <f>IFERROR(_xlfn.AGGREGATE(15,6,$C$3:$C$53,ROW('Production Matrix'!#REF!)),"")</f>
        <v/>
      </c>
      <c r="E1308" s="11" t="str">
        <f t="shared" si="29"/>
        <v/>
      </c>
      <c r="F1308" s="12">
        <f>IFERROR(INDEX('Production Matrix'!$B:$B,E1308,0),0)</f>
        <v>0</v>
      </c>
    </row>
    <row r="1309" spans="3:6">
      <c r="C1309" s="11" t="e">
        <f>IF(1*('Production Matrix'!A:A="تكلفة انتاج الوحدة")*ROW('Production Matrix'!#REF!)=0,1/0,1*('Production Matrix'!A:A="تكلفة انتاج الوحدة")*ROW('Production Matrix'!#REF!))</f>
        <v>#REF!</v>
      </c>
      <c r="D1309" s="11" t="str">
        <f>IFERROR(_xlfn.AGGREGATE(15,6,$C$3:$C$53,ROW('Production Matrix'!#REF!)),"")</f>
        <v/>
      </c>
      <c r="E1309" s="11" t="str">
        <f t="shared" si="29"/>
        <v/>
      </c>
      <c r="F1309" s="12">
        <f>IFERROR(INDEX('Production Matrix'!$B:$B,E1309,0),0)</f>
        <v>0</v>
      </c>
    </row>
    <row r="1310" spans="3:6">
      <c r="C1310" s="11" t="e">
        <f>IF(1*('Production Matrix'!A:A="تكلفة انتاج الوحدة")*ROW('Production Matrix'!#REF!)=0,1/0,1*('Production Matrix'!A:A="تكلفة انتاج الوحدة")*ROW('Production Matrix'!#REF!))</f>
        <v>#REF!</v>
      </c>
      <c r="D1310" s="11" t="str">
        <f>IFERROR(_xlfn.AGGREGATE(15,6,$C$3:$C$53,ROW('Production Matrix'!#REF!)),"")</f>
        <v/>
      </c>
      <c r="E1310" s="11" t="str">
        <f t="shared" si="29"/>
        <v/>
      </c>
      <c r="F1310" s="12">
        <f>IFERROR(INDEX('Production Matrix'!$B:$B,E1310,0),0)</f>
        <v>0</v>
      </c>
    </row>
    <row r="1311" spans="3:6">
      <c r="C1311" s="11" t="e">
        <f>IF(1*('Production Matrix'!A:A="تكلفة انتاج الوحدة")*ROW('Production Matrix'!#REF!)=0,1/0,1*('Production Matrix'!A:A="تكلفة انتاج الوحدة")*ROW('Production Matrix'!#REF!))</f>
        <v>#REF!</v>
      </c>
      <c r="D1311" s="11" t="str">
        <f>IFERROR(_xlfn.AGGREGATE(15,6,$C$3:$C$53,ROW('Production Matrix'!#REF!)),"")</f>
        <v/>
      </c>
      <c r="E1311" s="11" t="str">
        <f t="shared" si="29"/>
        <v/>
      </c>
      <c r="F1311" s="12">
        <f>IFERROR(INDEX('Production Matrix'!$B:$B,E1311,0),0)</f>
        <v>0</v>
      </c>
    </row>
    <row r="1312" spans="3:6">
      <c r="C1312" s="11" t="e">
        <f>IF(1*('Production Matrix'!A:A="تكلفة انتاج الوحدة")*ROW('Production Matrix'!#REF!)=0,1/0,1*('Production Matrix'!A:A="تكلفة انتاج الوحدة")*ROW('Production Matrix'!#REF!))</f>
        <v>#REF!</v>
      </c>
      <c r="D1312" s="11" t="str">
        <f>IFERROR(_xlfn.AGGREGATE(15,6,$C$3:$C$53,ROW('Production Matrix'!#REF!)),"")</f>
        <v/>
      </c>
      <c r="E1312" s="11" t="str">
        <f t="shared" si="29"/>
        <v/>
      </c>
      <c r="F1312" s="12">
        <f>IFERROR(INDEX('Production Matrix'!$B:$B,E1312,0),0)</f>
        <v>0</v>
      </c>
    </row>
    <row r="1313" spans="3:6">
      <c r="C1313" s="11" t="e">
        <f>IF(1*('Production Matrix'!A:A="تكلفة انتاج الوحدة")*ROW('Production Matrix'!#REF!)=0,1/0,1*('Production Matrix'!A:A="تكلفة انتاج الوحدة")*ROW('Production Matrix'!#REF!))</f>
        <v>#REF!</v>
      </c>
      <c r="D1313" s="11" t="str">
        <f>IFERROR(_xlfn.AGGREGATE(15,6,$C$3:$C$53,ROW('Production Matrix'!#REF!)),"")</f>
        <v/>
      </c>
      <c r="E1313" s="11" t="str">
        <f t="shared" si="29"/>
        <v/>
      </c>
      <c r="F1313" s="12">
        <f>IFERROR(INDEX('Production Matrix'!$B:$B,E1313,0),0)</f>
        <v>0</v>
      </c>
    </row>
    <row r="1314" spans="3:6">
      <c r="C1314" s="11" t="e">
        <f>IF(1*('Production Matrix'!A:A="تكلفة انتاج الوحدة")*ROW('Production Matrix'!#REF!)=0,1/0,1*('Production Matrix'!A:A="تكلفة انتاج الوحدة")*ROW('Production Matrix'!#REF!))</f>
        <v>#REF!</v>
      </c>
      <c r="D1314" s="11" t="str">
        <f>IFERROR(_xlfn.AGGREGATE(15,6,$C$3:$C$53,ROW('Production Matrix'!#REF!)),"")</f>
        <v/>
      </c>
      <c r="E1314" s="11" t="str">
        <f t="shared" si="29"/>
        <v/>
      </c>
      <c r="F1314" s="12">
        <f>IFERROR(INDEX('Production Matrix'!$B:$B,E1314,0),0)</f>
        <v>0</v>
      </c>
    </row>
    <row r="1315" spans="3:6">
      <c r="C1315" s="11" t="e">
        <f>IF(1*('Production Matrix'!A:A="تكلفة انتاج الوحدة")*ROW('Production Matrix'!#REF!)=0,1/0,1*('Production Matrix'!A:A="تكلفة انتاج الوحدة")*ROW('Production Matrix'!#REF!))</f>
        <v>#REF!</v>
      </c>
      <c r="D1315" s="11" t="str">
        <f>IFERROR(_xlfn.AGGREGATE(15,6,$C$3:$C$53,ROW('Production Matrix'!#REF!)),"")</f>
        <v/>
      </c>
      <c r="E1315" s="11" t="str">
        <f t="shared" si="29"/>
        <v/>
      </c>
      <c r="F1315" s="12">
        <f>IFERROR(INDEX('Production Matrix'!$B:$B,E1315,0),0)</f>
        <v>0</v>
      </c>
    </row>
    <row r="1316" spans="3:6">
      <c r="C1316" s="11" t="e">
        <f>IF(1*('Production Matrix'!A:A="تكلفة انتاج الوحدة")*ROW('Production Matrix'!#REF!)=0,1/0,1*('Production Matrix'!A:A="تكلفة انتاج الوحدة")*ROW('Production Matrix'!#REF!))</f>
        <v>#REF!</v>
      </c>
      <c r="D1316" s="11" t="str">
        <f>IFERROR(_xlfn.AGGREGATE(15,6,$C$3:$C$53,ROW('Production Matrix'!#REF!)),"")</f>
        <v/>
      </c>
      <c r="E1316" s="11" t="str">
        <f t="shared" si="29"/>
        <v/>
      </c>
      <c r="F1316" s="12">
        <f>IFERROR(INDEX('Production Matrix'!$B:$B,E1316,0),0)</f>
        <v>0</v>
      </c>
    </row>
    <row r="1317" spans="3:6">
      <c r="C1317" s="11" t="e">
        <f>IF(1*('Production Matrix'!A:A="تكلفة انتاج الوحدة")*ROW('Production Matrix'!#REF!)=0,1/0,1*('Production Matrix'!A:A="تكلفة انتاج الوحدة")*ROW('Production Matrix'!#REF!))</f>
        <v>#REF!</v>
      </c>
      <c r="D1317" s="11" t="str">
        <f>IFERROR(_xlfn.AGGREGATE(15,6,$C$3:$C$53,ROW('Production Matrix'!#REF!)),"")</f>
        <v/>
      </c>
      <c r="E1317" s="11" t="str">
        <f t="shared" si="29"/>
        <v/>
      </c>
      <c r="F1317" s="12">
        <f>IFERROR(INDEX('Production Matrix'!$B:$B,E1317,0),0)</f>
        <v>0</v>
      </c>
    </row>
    <row r="1318" spans="3:6">
      <c r="C1318" s="11" t="e">
        <f>IF(1*('Production Matrix'!A:A="تكلفة انتاج الوحدة")*ROW('Production Matrix'!#REF!)=0,1/0,1*('Production Matrix'!A:A="تكلفة انتاج الوحدة")*ROW('Production Matrix'!#REF!))</f>
        <v>#REF!</v>
      </c>
      <c r="D1318" s="11" t="str">
        <f>IFERROR(_xlfn.AGGREGATE(15,6,$C$3:$C$53,ROW('Production Matrix'!#REF!)),"")</f>
        <v/>
      </c>
      <c r="E1318" s="11" t="str">
        <f t="shared" si="29"/>
        <v/>
      </c>
      <c r="F1318" s="12">
        <f>IFERROR(INDEX('Production Matrix'!$B:$B,E1318,0),0)</f>
        <v>0</v>
      </c>
    </row>
    <row r="1319" spans="3:6">
      <c r="C1319" s="11" t="e">
        <f>IF(1*('Production Matrix'!A:A="تكلفة انتاج الوحدة")*ROW('Production Matrix'!#REF!)=0,1/0,1*('Production Matrix'!A:A="تكلفة انتاج الوحدة")*ROW('Production Matrix'!#REF!))</f>
        <v>#REF!</v>
      </c>
      <c r="D1319" s="11" t="str">
        <f>IFERROR(_xlfn.AGGREGATE(15,6,$C$3:$C$53,ROW('Production Matrix'!#REF!)),"")</f>
        <v/>
      </c>
      <c r="E1319" s="11" t="str">
        <f t="shared" si="29"/>
        <v/>
      </c>
      <c r="F1319" s="12">
        <f>IFERROR(INDEX('Production Matrix'!$B:$B,E1319,0),0)</f>
        <v>0</v>
      </c>
    </row>
    <row r="1320" spans="3:6">
      <c r="C1320" s="11" t="e">
        <f>IF(1*('Production Matrix'!A:A="تكلفة انتاج الوحدة")*ROW('Production Matrix'!#REF!)=0,1/0,1*('Production Matrix'!A:A="تكلفة انتاج الوحدة")*ROW('Production Matrix'!#REF!))</f>
        <v>#REF!</v>
      </c>
      <c r="D1320" s="11" t="str">
        <f>IFERROR(_xlfn.AGGREGATE(15,6,$C$3:$C$53,ROW('Production Matrix'!#REF!)),"")</f>
        <v/>
      </c>
      <c r="E1320" s="11" t="str">
        <f t="shared" si="29"/>
        <v/>
      </c>
      <c r="F1320" s="12">
        <f>IFERROR(INDEX('Production Matrix'!$B:$B,E1320,0),0)</f>
        <v>0</v>
      </c>
    </row>
    <row r="1321" spans="3:6">
      <c r="C1321" s="11" t="e">
        <f>IF(1*('Production Matrix'!A:A="تكلفة انتاج الوحدة")*ROW('Production Matrix'!#REF!)=0,1/0,1*('Production Matrix'!A:A="تكلفة انتاج الوحدة")*ROW('Production Matrix'!#REF!))</f>
        <v>#REF!</v>
      </c>
      <c r="D1321" s="11" t="str">
        <f>IFERROR(_xlfn.AGGREGATE(15,6,$C$3:$C$53,ROW('Production Matrix'!#REF!)),"")</f>
        <v/>
      </c>
      <c r="E1321" s="11" t="str">
        <f t="shared" si="29"/>
        <v/>
      </c>
      <c r="F1321" s="12">
        <f>IFERROR(INDEX('Production Matrix'!$B:$B,E1321,0),0)</f>
        <v>0</v>
      </c>
    </row>
    <row r="1322" spans="3:6">
      <c r="C1322" s="11" t="e">
        <f>IF(1*('Production Matrix'!A:A="تكلفة انتاج الوحدة")*ROW('Production Matrix'!#REF!)=0,1/0,1*('Production Matrix'!A:A="تكلفة انتاج الوحدة")*ROW('Production Matrix'!#REF!))</f>
        <v>#REF!</v>
      </c>
      <c r="D1322" s="11" t="str">
        <f>IFERROR(_xlfn.AGGREGATE(15,6,$C$3:$C$53,ROW('Production Matrix'!#REF!)),"")</f>
        <v/>
      </c>
      <c r="E1322" s="11" t="str">
        <f t="shared" si="29"/>
        <v/>
      </c>
      <c r="F1322" s="12">
        <f>IFERROR(INDEX('Production Matrix'!$B:$B,E1322,0),0)</f>
        <v>0</v>
      </c>
    </row>
    <row r="1323" spans="3:6">
      <c r="C1323" s="11" t="e">
        <f>IF(1*('Production Matrix'!A:A="تكلفة انتاج الوحدة")*ROW('Production Matrix'!#REF!)=0,1/0,1*('Production Matrix'!A:A="تكلفة انتاج الوحدة")*ROW('Production Matrix'!#REF!))</f>
        <v>#REF!</v>
      </c>
      <c r="D1323" s="11" t="str">
        <f>IFERROR(_xlfn.AGGREGATE(15,6,$C$3:$C$53,ROW('Production Matrix'!#REF!)),"")</f>
        <v/>
      </c>
      <c r="E1323" s="11" t="str">
        <f t="shared" si="29"/>
        <v/>
      </c>
      <c r="F1323" s="12">
        <f>IFERROR(INDEX('Production Matrix'!$B:$B,E1323,0),0)</f>
        <v>0</v>
      </c>
    </row>
    <row r="1324" spans="3:6">
      <c r="C1324" s="11" t="e">
        <f>IF(1*('Production Matrix'!A:A="تكلفة انتاج الوحدة")*ROW('Production Matrix'!#REF!)=0,1/0,1*('Production Matrix'!A:A="تكلفة انتاج الوحدة")*ROW('Production Matrix'!#REF!))</f>
        <v>#REF!</v>
      </c>
      <c r="D1324" s="11" t="str">
        <f>IFERROR(_xlfn.AGGREGATE(15,6,$C$3:$C$53,ROW('Production Matrix'!#REF!)),"")</f>
        <v/>
      </c>
      <c r="E1324" s="11" t="str">
        <f t="shared" si="29"/>
        <v/>
      </c>
      <c r="F1324" s="12">
        <f>IFERROR(INDEX('Production Matrix'!$B:$B,E1324,0),0)</f>
        <v>0</v>
      </c>
    </row>
    <row r="1325" spans="3:6">
      <c r="C1325" s="11" t="e">
        <f>IF(1*('Production Matrix'!A:A="تكلفة انتاج الوحدة")*ROW('Production Matrix'!#REF!)=0,1/0,1*('Production Matrix'!A:A="تكلفة انتاج الوحدة")*ROW('Production Matrix'!#REF!))</f>
        <v>#REF!</v>
      </c>
      <c r="D1325" s="11" t="str">
        <f>IFERROR(_xlfn.AGGREGATE(15,6,$C$3:$C$53,ROW('Production Matrix'!#REF!)),"")</f>
        <v/>
      </c>
      <c r="E1325" s="11" t="str">
        <f t="shared" si="29"/>
        <v/>
      </c>
      <c r="F1325" s="12">
        <f>IFERROR(INDEX('Production Matrix'!$B:$B,E1325,0),0)</f>
        <v>0</v>
      </c>
    </row>
    <row r="1326" spans="3:6">
      <c r="C1326" s="11" t="e">
        <f>IF(1*('Production Matrix'!A:A="تكلفة انتاج الوحدة")*ROW('Production Matrix'!#REF!)=0,1/0,1*('Production Matrix'!A:A="تكلفة انتاج الوحدة")*ROW('Production Matrix'!#REF!))</f>
        <v>#REF!</v>
      </c>
      <c r="D1326" s="11" t="str">
        <f>IFERROR(_xlfn.AGGREGATE(15,6,$C$3:$C$53,ROW('Production Matrix'!#REF!)),"")</f>
        <v/>
      </c>
      <c r="E1326" s="11" t="str">
        <f t="shared" si="29"/>
        <v/>
      </c>
      <c r="F1326" s="12">
        <f>IFERROR(INDEX('Production Matrix'!$B:$B,E1326,0),0)</f>
        <v>0</v>
      </c>
    </row>
    <row r="1327" spans="3:6">
      <c r="C1327" s="11" t="e">
        <f>IF(1*('Production Matrix'!A:A="تكلفة انتاج الوحدة")*ROW('Production Matrix'!#REF!)=0,1/0,1*('Production Matrix'!A:A="تكلفة انتاج الوحدة")*ROW('Production Matrix'!#REF!))</f>
        <v>#REF!</v>
      </c>
      <c r="D1327" s="11" t="str">
        <f>IFERROR(_xlfn.AGGREGATE(15,6,$C$3:$C$53,ROW('Production Matrix'!#REF!)),"")</f>
        <v/>
      </c>
      <c r="E1327" s="11" t="str">
        <f t="shared" si="29"/>
        <v/>
      </c>
      <c r="F1327" s="12">
        <f>IFERROR(INDEX('Production Matrix'!$B:$B,E1327,0),0)</f>
        <v>0</v>
      </c>
    </row>
    <row r="1328" spans="3:6">
      <c r="C1328" s="11" t="e">
        <f>IF(1*('Production Matrix'!A:A="تكلفة انتاج الوحدة")*ROW('Production Matrix'!#REF!)=0,1/0,1*('Production Matrix'!A:A="تكلفة انتاج الوحدة")*ROW('Production Matrix'!#REF!))</f>
        <v>#REF!</v>
      </c>
      <c r="D1328" s="11" t="str">
        <f>IFERROR(_xlfn.AGGREGATE(15,6,$C$3:$C$53,ROW('Production Matrix'!#REF!)),"")</f>
        <v/>
      </c>
      <c r="E1328" s="11" t="str">
        <f t="shared" si="29"/>
        <v/>
      </c>
      <c r="F1328" s="12">
        <f>IFERROR(INDEX('Production Matrix'!$B:$B,E1328,0),0)</f>
        <v>0</v>
      </c>
    </row>
    <row r="1329" spans="3:6">
      <c r="C1329" s="11" t="e">
        <f>IF(1*('Production Matrix'!A:A="تكلفة انتاج الوحدة")*ROW('Production Matrix'!#REF!)=0,1/0,1*('Production Matrix'!A:A="تكلفة انتاج الوحدة")*ROW('Production Matrix'!#REF!))</f>
        <v>#REF!</v>
      </c>
      <c r="D1329" s="11" t="str">
        <f>IFERROR(_xlfn.AGGREGATE(15,6,$C$3:$C$53,ROW('Production Matrix'!#REF!)),"")</f>
        <v/>
      </c>
      <c r="E1329" s="11" t="str">
        <f t="shared" si="29"/>
        <v/>
      </c>
      <c r="F1329" s="12">
        <f>IFERROR(INDEX('Production Matrix'!$B:$B,E1329,0),0)</f>
        <v>0</v>
      </c>
    </row>
    <row r="1330" spans="3:6">
      <c r="C1330" s="11" t="e">
        <f>IF(1*('Production Matrix'!A:A="تكلفة انتاج الوحدة")*ROW('Production Matrix'!#REF!)=0,1/0,1*('Production Matrix'!A:A="تكلفة انتاج الوحدة")*ROW('Production Matrix'!#REF!))</f>
        <v>#REF!</v>
      </c>
      <c r="D1330" s="11" t="str">
        <f>IFERROR(_xlfn.AGGREGATE(15,6,$C$3:$C$53,ROW('Production Matrix'!#REF!)),"")</f>
        <v/>
      </c>
      <c r="E1330" s="11" t="str">
        <f t="shared" si="29"/>
        <v/>
      </c>
      <c r="F1330" s="12">
        <f>IFERROR(INDEX('Production Matrix'!$B:$B,E1330,0),0)</f>
        <v>0</v>
      </c>
    </row>
    <row r="1331" spans="3:6">
      <c r="C1331" s="11" t="e">
        <f>IF(1*('Production Matrix'!A:A="تكلفة انتاج الوحدة")*ROW('Production Matrix'!#REF!)=0,1/0,1*('Production Matrix'!A:A="تكلفة انتاج الوحدة")*ROW('Production Matrix'!#REF!))</f>
        <v>#REF!</v>
      </c>
      <c r="D1331" s="11" t="str">
        <f>IFERROR(_xlfn.AGGREGATE(15,6,$C$3:$C$53,ROW('Production Matrix'!#REF!)),"")</f>
        <v/>
      </c>
      <c r="E1331" s="11" t="str">
        <f t="shared" si="29"/>
        <v/>
      </c>
      <c r="F1331" s="12">
        <f>IFERROR(INDEX('Production Matrix'!$B:$B,E1331,0),0)</f>
        <v>0</v>
      </c>
    </row>
    <row r="1332" spans="3:6">
      <c r="C1332" s="11" t="e">
        <f>IF(1*('Production Matrix'!A:A="تكلفة انتاج الوحدة")*ROW('Production Matrix'!#REF!)=0,1/0,1*('Production Matrix'!A:A="تكلفة انتاج الوحدة")*ROW('Production Matrix'!#REF!))</f>
        <v>#REF!</v>
      </c>
      <c r="D1332" s="11" t="str">
        <f>IFERROR(_xlfn.AGGREGATE(15,6,$C$3:$C$53,ROW('Production Matrix'!#REF!)),"")</f>
        <v/>
      </c>
      <c r="E1332" s="11" t="str">
        <f t="shared" si="29"/>
        <v/>
      </c>
      <c r="F1332" s="12">
        <f>IFERROR(INDEX('Production Matrix'!$B:$B,E1332,0),0)</f>
        <v>0</v>
      </c>
    </row>
    <row r="1333" spans="3:6">
      <c r="C1333" s="11" t="e">
        <f>IF(1*('Production Matrix'!A:A="تكلفة انتاج الوحدة")*ROW('Production Matrix'!#REF!)=0,1/0,1*('Production Matrix'!A:A="تكلفة انتاج الوحدة")*ROW('Production Matrix'!#REF!))</f>
        <v>#REF!</v>
      </c>
      <c r="D1333" s="11" t="str">
        <f>IFERROR(_xlfn.AGGREGATE(15,6,$C$3:$C$53,ROW('Production Matrix'!#REF!)),"")</f>
        <v/>
      </c>
      <c r="E1333" s="11" t="str">
        <f t="shared" si="29"/>
        <v/>
      </c>
      <c r="F1333" s="12">
        <f>IFERROR(INDEX('Production Matrix'!$B:$B,E1333,0),0)</f>
        <v>0</v>
      </c>
    </row>
    <row r="1334" spans="3:6">
      <c r="C1334" s="11" t="e">
        <f>IF(1*('Production Matrix'!A:A="تكلفة انتاج الوحدة")*ROW('Production Matrix'!#REF!)=0,1/0,1*('Production Matrix'!A:A="تكلفة انتاج الوحدة")*ROW('Production Matrix'!#REF!))</f>
        <v>#REF!</v>
      </c>
      <c r="D1334" s="11" t="str">
        <f>IFERROR(_xlfn.AGGREGATE(15,6,$C$3:$C$53,ROW('Production Matrix'!#REF!)),"")</f>
        <v/>
      </c>
      <c r="E1334" s="11" t="str">
        <f t="shared" si="29"/>
        <v/>
      </c>
      <c r="F1334" s="12">
        <f>IFERROR(INDEX('Production Matrix'!$B:$B,E1334,0),0)</f>
        <v>0</v>
      </c>
    </row>
    <row r="1335" spans="3:6">
      <c r="C1335" s="11" t="e">
        <f>IF(1*('Production Matrix'!A:A="تكلفة انتاج الوحدة")*ROW('Production Matrix'!#REF!)=0,1/0,1*('Production Matrix'!A:A="تكلفة انتاج الوحدة")*ROW('Production Matrix'!#REF!))</f>
        <v>#REF!</v>
      </c>
      <c r="D1335" s="11" t="str">
        <f>IFERROR(_xlfn.AGGREGATE(15,6,$C$3:$C$53,ROW('Production Matrix'!#REF!)),"")</f>
        <v/>
      </c>
      <c r="E1335" s="11" t="str">
        <f t="shared" si="29"/>
        <v/>
      </c>
      <c r="F1335" s="12">
        <f>IFERROR(INDEX('Production Matrix'!$B:$B,E1335,0),0)</f>
        <v>0</v>
      </c>
    </row>
    <row r="1336" spans="3:6">
      <c r="C1336" s="11" t="e">
        <f>IF(1*('Production Matrix'!A:A="تكلفة انتاج الوحدة")*ROW('Production Matrix'!#REF!)=0,1/0,1*('Production Matrix'!A:A="تكلفة انتاج الوحدة")*ROW('Production Matrix'!#REF!))</f>
        <v>#REF!</v>
      </c>
      <c r="D1336" s="11" t="str">
        <f>IFERROR(_xlfn.AGGREGATE(15,6,$C$3:$C$53,ROW('Production Matrix'!#REF!)),"")</f>
        <v/>
      </c>
      <c r="E1336" s="11" t="str">
        <f t="shared" si="29"/>
        <v/>
      </c>
      <c r="F1336" s="12">
        <f>IFERROR(INDEX('Production Matrix'!$B:$B,E1336,0),0)</f>
        <v>0</v>
      </c>
    </row>
    <row r="1337" spans="3:6">
      <c r="C1337" s="11" t="e">
        <f>IF(1*('Production Matrix'!A:A="تكلفة انتاج الوحدة")*ROW('Production Matrix'!#REF!)=0,1/0,1*('Production Matrix'!A:A="تكلفة انتاج الوحدة")*ROW('Production Matrix'!#REF!))</f>
        <v>#REF!</v>
      </c>
      <c r="D1337" s="11" t="str">
        <f>IFERROR(_xlfn.AGGREGATE(15,6,$C$3:$C$53,ROW('Production Matrix'!#REF!)),"")</f>
        <v/>
      </c>
      <c r="E1337" s="11" t="str">
        <f t="shared" si="29"/>
        <v/>
      </c>
      <c r="F1337" s="12">
        <f>IFERROR(INDEX('Production Matrix'!$B:$B,E1337,0),0)</f>
        <v>0</v>
      </c>
    </row>
    <row r="1338" spans="3:6">
      <c r="C1338" s="11" t="e">
        <f>IF(1*('Production Matrix'!A:A="تكلفة انتاج الوحدة")*ROW('Production Matrix'!#REF!)=0,1/0,1*('Production Matrix'!A:A="تكلفة انتاج الوحدة")*ROW('Production Matrix'!#REF!))</f>
        <v>#REF!</v>
      </c>
      <c r="D1338" s="11" t="str">
        <f>IFERROR(_xlfn.AGGREGATE(15,6,$C$3:$C$53,ROW('Production Matrix'!#REF!)),"")</f>
        <v/>
      </c>
      <c r="E1338" s="11" t="str">
        <f t="shared" si="29"/>
        <v/>
      </c>
      <c r="F1338" s="12">
        <f>IFERROR(INDEX('Production Matrix'!$B:$B,E1338,0),0)</f>
        <v>0</v>
      </c>
    </row>
    <row r="1339" spans="3:6">
      <c r="C1339" s="11" t="e">
        <f>IF(1*('Production Matrix'!A:A="تكلفة انتاج الوحدة")*ROW('Production Matrix'!#REF!)=0,1/0,1*('Production Matrix'!A:A="تكلفة انتاج الوحدة")*ROW('Production Matrix'!#REF!))</f>
        <v>#REF!</v>
      </c>
      <c r="D1339" s="11" t="str">
        <f>IFERROR(_xlfn.AGGREGATE(15,6,$C$3:$C$53,ROW('Production Matrix'!#REF!)),"")</f>
        <v/>
      </c>
      <c r="E1339" s="11" t="str">
        <f t="shared" si="29"/>
        <v/>
      </c>
      <c r="F1339" s="12">
        <f>IFERROR(INDEX('Production Matrix'!$B:$B,E1339,0),0)</f>
        <v>0</v>
      </c>
    </row>
    <row r="1340" spans="3:6">
      <c r="C1340" s="11" t="e">
        <f>IF(1*('Production Matrix'!A:A="تكلفة انتاج الوحدة")*ROW('Production Matrix'!#REF!)=0,1/0,1*('Production Matrix'!A:A="تكلفة انتاج الوحدة")*ROW('Production Matrix'!#REF!))</f>
        <v>#REF!</v>
      </c>
      <c r="D1340" s="11" t="str">
        <f>IFERROR(_xlfn.AGGREGATE(15,6,$C$3:$C$53,ROW('Production Matrix'!#REF!)),"")</f>
        <v/>
      </c>
      <c r="E1340" s="11" t="str">
        <f t="shared" si="29"/>
        <v/>
      </c>
      <c r="F1340" s="12">
        <f>IFERROR(INDEX('Production Matrix'!$B:$B,E1340,0),0)</f>
        <v>0</v>
      </c>
    </row>
    <row r="1341" spans="3:6">
      <c r="C1341" s="11" t="e">
        <f>IF(1*('Production Matrix'!A:A="تكلفة انتاج الوحدة")*ROW('Production Matrix'!#REF!)=0,1/0,1*('Production Matrix'!A:A="تكلفة انتاج الوحدة")*ROW('Production Matrix'!#REF!))</f>
        <v>#REF!</v>
      </c>
      <c r="D1341" s="11" t="str">
        <f>IFERROR(_xlfn.AGGREGATE(15,6,$C$3:$C$53,ROW('Production Matrix'!#REF!)),"")</f>
        <v/>
      </c>
      <c r="E1341" s="11" t="str">
        <f t="shared" si="29"/>
        <v/>
      </c>
      <c r="F1341" s="12">
        <f>IFERROR(INDEX('Production Matrix'!$B:$B,E1341,0),0)</f>
        <v>0</v>
      </c>
    </row>
    <row r="1342" spans="3:6">
      <c r="C1342" s="11" t="e">
        <f>IF(1*('Production Matrix'!A:A="تكلفة انتاج الوحدة")*ROW('Production Matrix'!#REF!)=0,1/0,1*('Production Matrix'!A:A="تكلفة انتاج الوحدة")*ROW('Production Matrix'!#REF!))</f>
        <v>#REF!</v>
      </c>
      <c r="D1342" s="11" t="str">
        <f>IFERROR(_xlfn.AGGREGATE(15,6,$C$3:$C$53,ROW('Production Matrix'!#REF!)),"")</f>
        <v/>
      </c>
      <c r="E1342" s="11" t="str">
        <f t="shared" si="29"/>
        <v/>
      </c>
      <c r="F1342" s="12">
        <f>IFERROR(INDEX('Production Matrix'!$B:$B,E1342,0),0)</f>
        <v>0</v>
      </c>
    </row>
    <row r="1343" spans="3:6">
      <c r="C1343" s="11" t="e">
        <f>IF(1*('Production Matrix'!A:A="تكلفة انتاج الوحدة")*ROW('Production Matrix'!#REF!)=0,1/0,1*('Production Matrix'!A:A="تكلفة انتاج الوحدة")*ROW('Production Matrix'!#REF!))</f>
        <v>#REF!</v>
      </c>
      <c r="D1343" s="11" t="str">
        <f>IFERROR(_xlfn.AGGREGATE(15,6,$C$3:$C$53,ROW('Production Matrix'!#REF!)),"")</f>
        <v/>
      </c>
      <c r="E1343" s="11" t="str">
        <f t="shared" si="29"/>
        <v/>
      </c>
      <c r="F1343" s="12">
        <f>IFERROR(INDEX('Production Matrix'!$B:$B,E1343,0),0)</f>
        <v>0</v>
      </c>
    </row>
    <row r="1344" spans="3:6">
      <c r="C1344" s="11" t="e">
        <f>IF(1*('Production Matrix'!A:A="تكلفة انتاج الوحدة")*ROW('Production Matrix'!#REF!)=0,1/0,1*('Production Matrix'!A:A="تكلفة انتاج الوحدة")*ROW('Production Matrix'!#REF!))</f>
        <v>#REF!</v>
      </c>
      <c r="D1344" s="11" t="str">
        <f>IFERROR(_xlfn.AGGREGATE(15,6,$C$3:$C$53,ROW('Production Matrix'!#REF!)),"")</f>
        <v/>
      </c>
      <c r="E1344" s="11" t="str">
        <f t="shared" si="29"/>
        <v/>
      </c>
      <c r="F1344" s="12">
        <f>IFERROR(INDEX('Production Matrix'!$B:$B,E1344,0),0)</f>
        <v>0</v>
      </c>
    </row>
    <row r="1345" spans="3:6">
      <c r="C1345" s="11" t="e">
        <f>IF(1*('Production Matrix'!A:A="تكلفة انتاج الوحدة")*ROW('Production Matrix'!#REF!)=0,1/0,1*('Production Matrix'!A:A="تكلفة انتاج الوحدة")*ROW('Production Matrix'!#REF!))</f>
        <v>#REF!</v>
      </c>
      <c r="D1345" s="11" t="str">
        <f>IFERROR(_xlfn.AGGREGATE(15,6,$C$3:$C$53,ROW('Production Matrix'!#REF!)),"")</f>
        <v/>
      </c>
      <c r="E1345" s="11" t="str">
        <f t="shared" si="29"/>
        <v/>
      </c>
      <c r="F1345" s="12">
        <f>IFERROR(INDEX('Production Matrix'!$B:$B,E1345,0),0)</f>
        <v>0</v>
      </c>
    </row>
    <row r="1346" spans="3:6">
      <c r="C1346" s="11" t="e">
        <f>IF(1*('Production Matrix'!A:A="تكلفة انتاج الوحدة")*ROW('Production Matrix'!#REF!)=0,1/0,1*('Production Matrix'!A:A="تكلفة انتاج الوحدة")*ROW('Production Matrix'!#REF!))</f>
        <v>#REF!</v>
      </c>
      <c r="D1346" s="11" t="str">
        <f>IFERROR(_xlfn.AGGREGATE(15,6,$C$3:$C$53,ROW('Production Matrix'!#REF!)),"")</f>
        <v/>
      </c>
      <c r="E1346" s="11" t="str">
        <f t="shared" si="29"/>
        <v/>
      </c>
      <c r="F1346" s="12">
        <f>IFERROR(INDEX('Production Matrix'!$B:$B,E1346,0),0)</f>
        <v>0</v>
      </c>
    </row>
    <row r="1347" spans="3:6">
      <c r="C1347" s="11" t="e">
        <f>IF(1*('Production Matrix'!A:A="تكلفة انتاج الوحدة")*ROW('Production Matrix'!#REF!)=0,1/0,1*('Production Matrix'!A:A="تكلفة انتاج الوحدة")*ROW('Production Matrix'!#REF!))</f>
        <v>#REF!</v>
      </c>
      <c r="D1347" s="11" t="str">
        <f>IFERROR(_xlfn.AGGREGATE(15,6,$C$3:$C$53,ROW('Production Matrix'!#REF!)),"")</f>
        <v/>
      </c>
      <c r="E1347" s="11" t="str">
        <f t="shared" si="29"/>
        <v/>
      </c>
      <c r="F1347" s="12">
        <f>IFERROR(INDEX('Production Matrix'!$B:$B,E1347,0),0)</f>
        <v>0</v>
      </c>
    </row>
    <row r="1348" spans="3:6">
      <c r="C1348" s="11" t="e">
        <f>IF(1*('Production Matrix'!A:A="تكلفة انتاج الوحدة")*ROW('Production Matrix'!#REF!)=0,1/0,1*('Production Matrix'!A:A="تكلفة انتاج الوحدة")*ROW('Production Matrix'!#REF!))</f>
        <v>#REF!</v>
      </c>
      <c r="D1348" s="11" t="str">
        <f>IFERROR(_xlfn.AGGREGATE(15,6,$C$3:$C$53,ROW('Production Matrix'!#REF!)),"")</f>
        <v/>
      </c>
      <c r="E1348" s="11" t="str">
        <f t="shared" si="29"/>
        <v/>
      </c>
      <c r="F1348" s="12">
        <f>IFERROR(INDEX('Production Matrix'!$B:$B,E1348,0),0)</f>
        <v>0</v>
      </c>
    </row>
    <row r="1349" spans="3:6">
      <c r="C1349" s="11" t="e">
        <f>IF(1*('Production Matrix'!A:A="تكلفة انتاج الوحدة")*ROW('Production Matrix'!#REF!)=0,1/0,1*('Production Matrix'!A:A="تكلفة انتاج الوحدة")*ROW('Production Matrix'!#REF!))</f>
        <v>#REF!</v>
      </c>
      <c r="D1349" s="11" t="str">
        <f>IFERROR(_xlfn.AGGREGATE(15,6,$C$3:$C$53,ROW('Production Matrix'!#REF!)),"")</f>
        <v/>
      </c>
      <c r="E1349" s="11" t="str">
        <f t="shared" si="29"/>
        <v/>
      </c>
      <c r="F1349" s="12">
        <f>IFERROR(INDEX('Production Matrix'!$B:$B,E1349,0),0)</f>
        <v>0</v>
      </c>
    </row>
    <row r="1350" spans="3:6">
      <c r="C1350" s="11" t="e">
        <f>IF(1*('Production Matrix'!A:A="تكلفة انتاج الوحدة")*ROW('Production Matrix'!#REF!)=0,1/0,1*('Production Matrix'!A:A="تكلفة انتاج الوحدة")*ROW('Production Matrix'!#REF!))</f>
        <v>#REF!</v>
      </c>
      <c r="D1350" s="11" t="str">
        <f>IFERROR(_xlfn.AGGREGATE(15,6,$C$3:$C$53,ROW('Production Matrix'!#REF!)),"")</f>
        <v/>
      </c>
      <c r="E1350" s="11" t="str">
        <f t="shared" si="29"/>
        <v/>
      </c>
      <c r="F1350" s="12">
        <f>IFERROR(INDEX('Production Matrix'!$B:$B,E1350,0),0)</f>
        <v>0</v>
      </c>
    </row>
    <row r="1351" spans="3:6">
      <c r="C1351" s="11" t="e">
        <f>IF(1*('Production Matrix'!A:A="تكلفة انتاج الوحدة")*ROW('Production Matrix'!#REF!)=0,1/0,1*('Production Matrix'!A:A="تكلفة انتاج الوحدة")*ROW('Production Matrix'!#REF!))</f>
        <v>#REF!</v>
      </c>
      <c r="D1351" s="11" t="str">
        <f>IFERROR(_xlfn.AGGREGATE(15,6,$C$3:$C$53,ROW('Production Matrix'!#REF!)),"")</f>
        <v/>
      </c>
      <c r="E1351" s="11" t="str">
        <f t="shared" ref="E1351:E1414" si="30">IFERROR(D1351+3,"")</f>
        <v/>
      </c>
      <c r="F1351" s="12">
        <f>IFERROR(INDEX('Production Matrix'!$B:$B,E1351,0),0)</f>
        <v>0</v>
      </c>
    </row>
    <row r="1352" spans="3:6">
      <c r="C1352" s="11" t="e">
        <f>IF(1*('Production Matrix'!A:A="تكلفة انتاج الوحدة")*ROW('Production Matrix'!#REF!)=0,1/0,1*('Production Matrix'!A:A="تكلفة انتاج الوحدة")*ROW('Production Matrix'!#REF!))</f>
        <v>#REF!</v>
      </c>
      <c r="D1352" s="11" t="str">
        <f>IFERROR(_xlfn.AGGREGATE(15,6,$C$3:$C$53,ROW('Production Matrix'!#REF!)),"")</f>
        <v/>
      </c>
      <c r="E1352" s="11" t="str">
        <f t="shared" si="30"/>
        <v/>
      </c>
      <c r="F1352" s="12">
        <f>IFERROR(INDEX('Production Matrix'!$B:$B,E1352,0),0)</f>
        <v>0</v>
      </c>
    </row>
    <row r="1353" spans="3:6">
      <c r="C1353" s="11" t="e">
        <f>IF(1*('Production Matrix'!A:A="تكلفة انتاج الوحدة")*ROW('Production Matrix'!#REF!)=0,1/0,1*('Production Matrix'!A:A="تكلفة انتاج الوحدة")*ROW('Production Matrix'!#REF!))</f>
        <v>#REF!</v>
      </c>
      <c r="D1353" s="11" t="str">
        <f>IFERROR(_xlfn.AGGREGATE(15,6,$C$3:$C$53,ROW('Production Matrix'!#REF!)),"")</f>
        <v/>
      </c>
      <c r="E1353" s="11" t="str">
        <f t="shared" si="30"/>
        <v/>
      </c>
      <c r="F1353" s="12">
        <f>IFERROR(INDEX('Production Matrix'!$B:$B,E1353,0),0)</f>
        <v>0</v>
      </c>
    </row>
    <row r="1354" spans="3:6">
      <c r="C1354" s="11" t="e">
        <f>IF(1*('Production Matrix'!A:A="تكلفة انتاج الوحدة")*ROW('Production Matrix'!#REF!)=0,1/0,1*('Production Matrix'!A:A="تكلفة انتاج الوحدة")*ROW('Production Matrix'!#REF!))</f>
        <v>#REF!</v>
      </c>
      <c r="D1354" s="11" t="str">
        <f>IFERROR(_xlfn.AGGREGATE(15,6,$C$3:$C$53,ROW('Production Matrix'!#REF!)),"")</f>
        <v/>
      </c>
      <c r="E1354" s="11" t="str">
        <f t="shared" si="30"/>
        <v/>
      </c>
      <c r="F1354" s="12">
        <f>IFERROR(INDEX('Production Matrix'!$B:$B,E1354,0),0)</f>
        <v>0</v>
      </c>
    </row>
    <row r="1355" spans="3:6">
      <c r="C1355" s="11" t="e">
        <f>IF(1*('Production Matrix'!A:A="تكلفة انتاج الوحدة")*ROW('Production Matrix'!#REF!)=0,1/0,1*('Production Matrix'!A:A="تكلفة انتاج الوحدة")*ROW('Production Matrix'!#REF!))</f>
        <v>#REF!</v>
      </c>
      <c r="D1355" s="11" t="str">
        <f>IFERROR(_xlfn.AGGREGATE(15,6,$C$3:$C$53,ROW('Production Matrix'!#REF!)),"")</f>
        <v/>
      </c>
      <c r="E1355" s="11" t="str">
        <f t="shared" si="30"/>
        <v/>
      </c>
      <c r="F1355" s="12">
        <f>IFERROR(INDEX('Production Matrix'!$B:$B,E1355,0),0)</f>
        <v>0</v>
      </c>
    </row>
    <row r="1356" spans="3:6">
      <c r="C1356" s="11" t="e">
        <f>IF(1*('Production Matrix'!A:A="تكلفة انتاج الوحدة")*ROW('Production Matrix'!#REF!)=0,1/0,1*('Production Matrix'!A:A="تكلفة انتاج الوحدة")*ROW('Production Matrix'!#REF!))</f>
        <v>#REF!</v>
      </c>
      <c r="D1356" s="11" t="str">
        <f>IFERROR(_xlfn.AGGREGATE(15,6,$C$3:$C$53,ROW('Production Matrix'!#REF!)),"")</f>
        <v/>
      </c>
      <c r="E1356" s="11" t="str">
        <f t="shared" si="30"/>
        <v/>
      </c>
      <c r="F1356" s="12">
        <f>IFERROR(INDEX('Production Matrix'!$B:$B,E1356,0),0)</f>
        <v>0</v>
      </c>
    </row>
    <row r="1357" spans="3:6">
      <c r="C1357" s="11" t="e">
        <f>IF(1*('Production Matrix'!A:A="تكلفة انتاج الوحدة")*ROW('Production Matrix'!#REF!)=0,1/0,1*('Production Matrix'!A:A="تكلفة انتاج الوحدة")*ROW('Production Matrix'!#REF!))</f>
        <v>#REF!</v>
      </c>
      <c r="D1357" s="11" t="str">
        <f>IFERROR(_xlfn.AGGREGATE(15,6,$C$3:$C$53,ROW('Production Matrix'!#REF!)),"")</f>
        <v/>
      </c>
      <c r="E1357" s="11" t="str">
        <f t="shared" si="30"/>
        <v/>
      </c>
      <c r="F1357" s="12">
        <f>IFERROR(INDEX('Production Matrix'!$B:$B,E1357,0),0)</f>
        <v>0</v>
      </c>
    </row>
    <row r="1358" spans="3:6">
      <c r="C1358" s="11" t="e">
        <f>IF(1*('Production Matrix'!A:A="تكلفة انتاج الوحدة")*ROW('Production Matrix'!#REF!)=0,1/0,1*('Production Matrix'!A:A="تكلفة انتاج الوحدة")*ROW('Production Matrix'!#REF!))</f>
        <v>#REF!</v>
      </c>
      <c r="D1358" s="11" t="str">
        <f>IFERROR(_xlfn.AGGREGATE(15,6,$C$3:$C$53,ROW('Production Matrix'!#REF!)),"")</f>
        <v/>
      </c>
      <c r="E1358" s="11" t="str">
        <f t="shared" si="30"/>
        <v/>
      </c>
      <c r="F1358" s="12">
        <f>IFERROR(INDEX('Production Matrix'!$B:$B,E1358,0),0)</f>
        <v>0</v>
      </c>
    </row>
    <row r="1359" spans="3:6">
      <c r="C1359" s="11" t="e">
        <f>IF(1*('Production Matrix'!A:A="تكلفة انتاج الوحدة")*ROW('Production Matrix'!#REF!)=0,1/0,1*('Production Matrix'!A:A="تكلفة انتاج الوحدة")*ROW('Production Matrix'!#REF!))</f>
        <v>#REF!</v>
      </c>
      <c r="D1359" s="11" t="str">
        <f>IFERROR(_xlfn.AGGREGATE(15,6,$C$3:$C$53,ROW('Production Matrix'!#REF!)),"")</f>
        <v/>
      </c>
      <c r="E1359" s="11" t="str">
        <f t="shared" si="30"/>
        <v/>
      </c>
      <c r="F1359" s="12">
        <f>IFERROR(INDEX('Production Matrix'!$B:$B,E1359,0),0)</f>
        <v>0</v>
      </c>
    </row>
    <row r="1360" spans="3:6">
      <c r="C1360" s="11" t="e">
        <f>IF(1*('Production Matrix'!A:A="تكلفة انتاج الوحدة")*ROW('Production Matrix'!#REF!)=0,1/0,1*('Production Matrix'!A:A="تكلفة انتاج الوحدة")*ROW('Production Matrix'!#REF!))</f>
        <v>#REF!</v>
      </c>
      <c r="D1360" s="11" t="str">
        <f>IFERROR(_xlfn.AGGREGATE(15,6,$C$3:$C$53,ROW('Production Matrix'!#REF!)),"")</f>
        <v/>
      </c>
      <c r="E1360" s="11" t="str">
        <f t="shared" si="30"/>
        <v/>
      </c>
      <c r="F1360" s="12">
        <f>IFERROR(INDEX('Production Matrix'!$B:$B,E1360,0),0)</f>
        <v>0</v>
      </c>
    </row>
    <row r="1361" spans="3:6">
      <c r="C1361" s="11" t="e">
        <f>IF(1*('Production Matrix'!A:A="تكلفة انتاج الوحدة")*ROW('Production Matrix'!#REF!)=0,1/0,1*('Production Matrix'!A:A="تكلفة انتاج الوحدة")*ROW('Production Matrix'!#REF!))</f>
        <v>#REF!</v>
      </c>
      <c r="D1361" s="11" t="str">
        <f>IFERROR(_xlfn.AGGREGATE(15,6,$C$3:$C$53,ROW('Production Matrix'!#REF!)),"")</f>
        <v/>
      </c>
      <c r="E1361" s="11" t="str">
        <f t="shared" si="30"/>
        <v/>
      </c>
      <c r="F1361" s="12">
        <f>IFERROR(INDEX('Production Matrix'!$B:$B,E1361,0),0)</f>
        <v>0</v>
      </c>
    </row>
    <row r="1362" spans="3:6">
      <c r="C1362" s="11" t="e">
        <f>IF(1*('Production Matrix'!A:A="تكلفة انتاج الوحدة")*ROW('Production Matrix'!#REF!)=0,1/0,1*('Production Matrix'!A:A="تكلفة انتاج الوحدة")*ROW('Production Matrix'!#REF!))</f>
        <v>#REF!</v>
      </c>
      <c r="D1362" s="11" t="str">
        <f>IFERROR(_xlfn.AGGREGATE(15,6,$C$3:$C$53,ROW('Production Matrix'!#REF!)),"")</f>
        <v/>
      </c>
      <c r="E1362" s="11" t="str">
        <f t="shared" si="30"/>
        <v/>
      </c>
      <c r="F1362" s="12">
        <f>IFERROR(INDEX('Production Matrix'!$B:$B,E1362,0),0)</f>
        <v>0</v>
      </c>
    </row>
    <row r="1363" spans="3:6">
      <c r="C1363" s="11" t="e">
        <f>IF(1*('Production Matrix'!A:A="تكلفة انتاج الوحدة")*ROW('Production Matrix'!#REF!)=0,1/0,1*('Production Matrix'!A:A="تكلفة انتاج الوحدة")*ROW('Production Matrix'!#REF!))</f>
        <v>#REF!</v>
      </c>
      <c r="D1363" s="11" t="str">
        <f>IFERROR(_xlfn.AGGREGATE(15,6,$C$3:$C$53,ROW('Production Matrix'!#REF!)),"")</f>
        <v/>
      </c>
      <c r="E1363" s="11" t="str">
        <f t="shared" si="30"/>
        <v/>
      </c>
      <c r="F1363" s="12">
        <f>IFERROR(INDEX('Production Matrix'!$B:$B,E1363,0),0)</f>
        <v>0</v>
      </c>
    </row>
    <row r="1364" spans="3:6">
      <c r="C1364" s="11" t="e">
        <f>IF(1*('Production Matrix'!A:A="تكلفة انتاج الوحدة")*ROW('Production Matrix'!#REF!)=0,1/0,1*('Production Matrix'!A:A="تكلفة انتاج الوحدة")*ROW('Production Matrix'!#REF!))</f>
        <v>#REF!</v>
      </c>
      <c r="D1364" s="11" t="str">
        <f>IFERROR(_xlfn.AGGREGATE(15,6,$C$3:$C$53,ROW('Production Matrix'!#REF!)),"")</f>
        <v/>
      </c>
      <c r="E1364" s="11" t="str">
        <f t="shared" si="30"/>
        <v/>
      </c>
      <c r="F1364" s="12">
        <f>IFERROR(INDEX('Production Matrix'!$B:$B,E1364,0),0)</f>
        <v>0</v>
      </c>
    </row>
    <row r="1365" spans="3:6">
      <c r="C1365" s="11" t="e">
        <f>IF(1*('Production Matrix'!A:A="تكلفة انتاج الوحدة")*ROW('Production Matrix'!#REF!)=0,1/0,1*('Production Matrix'!A:A="تكلفة انتاج الوحدة")*ROW('Production Matrix'!#REF!))</f>
        <v>#REF!</v>
      </c>
      <c r="D1365" s="11" t="str">
        <f>IFERROR(_xlfn.AGGREGATE(15,6,$C$3:$C$53,ROW('Production Matrix'!#REF!)),"")</f>
        <v/>
      </c>
      <c r="E1365" s="11" t="str">
        <f t="shared" si="30"/>
        <v/>
      </c>
      <c r="F1365" s="12">
        <f>IFERROR(INDEX('Production Matrix'!$B:$B,E1365,0),0)</f>
        <v>0</v>
      </c>
    </row>
    <row r="1366" spans="3:6">
      <c r="C1366" s="11" t="e">
        <f>IF(1*('Production Matrix'!A:A="تكلفة انتاج الوحدة")*ROW('Production Matrix'!#REF!)=0,1/0,1*('Production Matrix'!A:A="تكلفة انتاج الوحدة")*ROW('Production Matrix'!#REF!))</f>
        <v>#REF!</v>
      </c>
      <c r="D1366" s="11" t="str">
        <f>IFERROR(_xlfn.AGGREGATE(15,6,$C$3:$C$53,ROW('Production Matrix'!#REF!)),"")</f>
        <v/>
      </c>
      <c r="E1366" s="11" t="str">
        <f t="shared" si="30"/>
        <v/>
      </c>
      <c r="F1366" s="12">
        <f>IFERROR(INDEX('Production Matrix'!$B:$B,E1366,0),0)</f>
        <v>0</v>
      </c>
    </row>
    <row r="1367" spans="3:6">
      <c r="C1367" s="11" t="e">
        <f>IF(1*('Production Matrix'!A:A="تكلفة انتاج الوحدة")*ROW('Production Matrix'!#REF!)=0,1/0,1*('Production Matrix'!A:A="تكلفة انتاج الوحدة")*ROW('Production Matrix'!#REF!))</f>
        <v>#REF!</v>
      </c>
      <c r="D1367" s="11" t="str">
        <f>IFERROR(_xlfn.AGGREGATE(15,6,$C$3:$C$53,ROW('Production Matrix'!#REF!)),"")</f>
        <v/>
      </c>
      <c r="E1367" s="11" t="str">
        <f t="shared" si="30"/>
        <v/>
      </c>
      <c r="F1367" s="12">
        <f>IFERROR(INDEX('Production Matrix'!$B:$B,E1367,0),0)</f>
        <v>0</v>
      </c>
    </row>
    <row r="1368" spans="3:6">
      <c r="C1368" s="11" t="e">
        <f>IF(1*('Production Matrix'!A:A="تكلفة انتاج الوحدة")*ROW('Production Matrix'!#REF!)=0,1/0,1*('Production Matrix'!A:A="تكلفة انتاج الوحدة")*ROW('Production Matrix'!#REF!))</f>
        <v>#REF!</v>
      </c>
      <c r="D1368" s="11" t="str">
        <f>IFERROR(_xlfn.AGGREGATE(15,6,$C$3:$C$53,ROW('Production Matrix'!#REF!)),"")</f>
        <v/>
      </c>
      <c r="E1368" s="11" t="str">
        <f t="shared" si="30"/>
        <v/>
      </c>
      <c r="F1368" s="12">
        <f>IFERROR(INDEX('Production Matrix'!$B:$B,E1368,0),0)</f>
        <v>0</v>
      </c>
    </row>
    <row r="1369" spans="3:6">
      <c r="C1369" s="11" t="e">
        <f>IF(1*('Production Matrix'!A:A="تكلفة انتاج الوحدة")*ROW('Production Matrix'!#REF!)=0,1/0,1*('Production Matrix'!A:A="تكلفة انتاج الوحدة")*ROW('Production Matrix'!#REF!))</f>
        <v>#REF!</v>
      </c>
      <c r="D1369" s="11" t="str">
        <f>IFERROR(_xlfn.AGGREGATE(15,6,$C$3:$C$53,ROW('Production Matrix'!#REF!)),"")</f>
        <v/>
      </c>
      <c r="E1369" s="11" t="str">
        <f t="shared" si="30"/>
        <v/>
      </c>
      <c r="F1369" s="12">
        <f>IFERROR(INDEX('Production Matrix'!$B:$B,E1369,0),0)</f>
        <v>0</v>
      </c>
    </row>
    <row r="1370" spans="3:6">
      <c r="C1370" s="11" t="e">
        <f>IF(1*('Production Matrix'!A:A="تكلفة انتاج الوحدة")*ROW('Production Matrix'!#REF!)=0,1/0,1*('Production Matrix'!A:A="تكلفة انتاج الوحدة")*ROW('Production Matrix'!#REF!))</f>
        <v>#REF!</v>
      </c>
      <c r="D1370" s="11" t="str">
        <f>IFERROR(_xlfn.AGGREGATE(15,6,$C$3:$C$53,ROW('Production Matrix'!#REF!)),"")</f>
        <v/>
      </c>
      <c r="E1370" s="11" t="str">
        <f t="shared" si="30"/>
        <v/>
      </c>
      <c r="F1370" s="12">
        <f>IFERROR(INDEX('Production Matrix'!$B:$B,E1370,0),0)</f>
        <v>0</v>
      </c>
    </row>
    <row r="1371" spans="3:6">
      <c r="C1371" s="11" t="e">
        <f>IF(1*('Production Matrix'!A:A="تكلفة انتاج الوحدة")*ROW('Production Matrix'!#REF!)=0,1/0,1*('Production Matrix'!A:A="تكلفة انتاج الوحدة")*ROW('Production Matrix'!#REF!))</f>
        <v>#REF!</v>
      </c>
      <c r="D1371" s="11" t="str">
        <f>IFERROR(_xlfn.AGGREGATE(15,6,$C$3:$C$53,ROW('Production Matrix'!#REF!)),"")</f>
        <v/>
      </c>
      <c r="E1371" s="11" t="str">
        <f t="shared" si="30"/>
        <v/>
      </c>
      <c r="F1371" s="12">
        <f>IFERROR(INDEX('Production Matrix'!$B:$B,E1371,0),0)</f>
        <v>0</v>
      </c>
    </row>
    <row r="1372" spans="3:6">
      <c r="C1372" s="11" t="e">
        <f>IF(1*('Production Matrix'!A:A="تكلفة انتاج الوحدة")*ROW('Production Matrix'!#REF!)=0,1/0,1*('Production Matrix'!A:A="تكلفة انتاج الوحدة")*ROW('Production Matrix'!#REF!))</f>
        <v>#REF!</v>
      </c>
      <c r="D1372" s="11" t="str">
        <f>IFERROR(_xlfn.AGGREGATE(15,6,$C$3:$C$53,ROW('Production Matrix'!#REF!)),"")</f>
        <v/>
      </c>
      <c r="E1372" s="11" t="str">
        <f t="shared" si="30"/>
        <v/>
      </c>
      <c r="F1372" s="12">
        <f>IFERROR(INDEX('Production Matrix'!$B:$B,E1372,0),0)</f>
        <v>0</v>
      </c>
    </row>
    <row r="1373" spans="3:6">
      <c r="C1373" s="11" t="e">
        <f>IF(1*('Production Matrix'!A:A="تكلفة انتاج الوحدة")*ROW('Production Matrix'!#REF!)=0,1/0,1*('Production Matrix'!A:A="تكلفة انتاج الوحدة")*ROW('Production Matrix'!#REF!))</f>
        <v>#REF!</v>
      </c>
      <c r="D1373" s="11" t="str">
        <f>IFERROR(_xlfn.AGGREGATE(15,6,$C$3:$C$53,ROW('Production Matrix'!#REF!)),"")</f>
        <v/>
      </c>
      <c r="E1373" s="11" t="str">
        <f t="shared" si="30"/>
        <v/>
      </c>
      <c r="F1373" s="12">
        <f>IFERROR(INDEX('Production Matrix'!$B:$B,E1373,0),0)</f>
        <v>0</v>
      </c>
    </row>
    <row r="1374" spans="3:6">
      <c r="C1374" s="11" t="e">
        <f>IF(1*('Production Matrix'!A:A="تكلفة انتاج الوحدة")*ROW('Production Matrix'!#REF!)=0,1/0,1*('Production Matrix'!A:A="تكلفة انتاج الوحدة")*ROW('Production Matrix'!#REF!))</f>
        <v>#REF!</v>
      </c>
      <c r="D1374" s="11" t="str">
        <f>IFERROR(_xlfn.AGGREGATE(15,6,$C$3:$C$53,ROW('Production Matrix'!#REF!)),"")</f>
        <v/>
      </c>
      <c r="E1374" s="11" t="str">
        <f t="shared" si="30"/>
        <v/>
      </c>
      <c r="F1374" s="12">
        <f>IFERROR(INDEX('Production Matrix'!$B:$B,E1374,0),0)</f>
        <v>0</v>
      </c>
    </row>
    <row r="1375" spans="3:6">
      <c r="C1375" s="11" t="e">
        <f>IF(1*('Production Matrix'!A:A="تكلفة انتاج الوحدة")*ROW('Production Matrix'!#REF!)=0,1/0,1*('Production Matrix'!A:A="تكلفة انتاج الوحدة")*ROW('Production Matrix'!#REF!))</f>
        <v>#REF!</v>
      </c>
      <c r="D1375" s="11" t="str">
        <f>IFERROR(_xlfn.AGGREGATE(15,6,$C$3:$C$53,ROW('Production Matrix'!#REF!)),"")</f>
        <v/>
      </c>
      <c r="E1375" s="11" t="str">
        <f t="shared" si="30"/>
        <v/>
      </c>
      <c r="F1375" s="12">
        <f>IFERROR(INDEX('Production Matrix'!$B:$B,E1375,0),0)</f>
        <v>0</v>
      </c>
    </row>
    <row r="1376" spans="3:6">
      <c r="C1376" s="11" t="e">
        <f>IF(1*('Production Matrix'!A:A="تكلفة انتاج الوحدة")*ROW('Production Matrix'!#REF!)=0,1/0,1*('Production Matrix'!A:A="تكلفة انتاج الوحدة")*ROW('Production Matrix'!#REF!))</f>
        <v>#REF!</v>
      </c>
      <c r="D1376" s="11" t="str">
        <f>IFERROR(_xlfn.AGGREGATE(15,6,$C$3:$C$53,ROW('Production Matrix'!#REF!)),"")</f>
        <v/>
      </c>
      <c r="E1376" s="11" t="str">
        <f t="shared" si="30"/>
        <v/>
      </c>
      <c r="F1376" s="12">
        <f>IFERROR(INDEX('Production Matrix'!$B:$B,E1376,0),0)</f>
        <v>0</v>
      </c>
    </row>
    <row r="1377" spans="3:6">
      <c r="C1377" s="11" t="e">
        <f>IF(1*('Production Matrix'!A:A="تكلفة انتاج الوحدة")*ROW('Production Matrix'!#REF!)=0,1/0,1*('Production Matrix'!A:A="تكلفة انتاج الوحدة")*ROW('Production Matrix'!#REF!))</f>
        <v>#REF!</v>
      </c>
      <c r="D1377" s="11" t="str">
        <f>IFERROR(_xlfn.AGGREGATE(15,6,$C$3:$C$53,ROW('Production Matrix'!#REF!)),"")</f>
        <v/>
      </c>
      <c r="E1377" s="11" t="str">
        <f t="shared" si="30"/>
        <v/>
      </c>
      <c r="F1377" s="12">
        <f>IFERROR(INDEX('Production Matrix'!$B:$B,E1377,0),0)</f>
        <v>0</v>
      </c>
    </row>
    <row r="1378" spans="3:6">
      <c r="C1378" s="11" t="e">
        <f>IF(1*('Production Matrix'!A:A="تكلفة انتاج الوحدة")*ROW('Production Matrix'!#REF!)=0,1/0,1*('Production Matrix'!A:A="تكلفة انتاج الوحدة")*ROW('Production Matrix'!#REF!))</f>
        <v>#REF!</v>
      </c>
      <c r="D1378" s="11" t="str">
        <f>IFERROR(_xlfn.AGGREGATE(15,6,$C$3:$C$53,ROW('Production Matrix'!#REF!)),"")</f>
        <v/>
      </c>
      <c r="E1378" s="11" t="str">
        <f t="shared" si="30"/>
        <v/>
      </c>
      <c r="F1378" s="12">
        <f>IFERROR(INDEX('Production Matrix'!$B:$B,E1378,0),0)</f>
        <v>0</v>
      </c>
    </row>
    <row r="1379" spans="3:6">
      <c r="C1379" s="11" t="e">
        <f>IF(1*('Production Matrix'!A:A="تكلفة انتاج الوحدة")*ROW('Production Matrix'!#REF!)=0,1/0,1*('Production Matrix'!A:A="تكلفة انتاج الوحدة")*ROW('Production Matrix'!#REF!))</f>
        <v>#REF!</v>
      </c>
      <c r="D1379" s="11" t="str">
        <f>IFERROR(_xlfn.AGGREGATE(15,6,$C$3:$C$53,ROW('Production Matrix'!#REF!)),"")</f>
        <v/>
      </c>
      <c r="E1379" s="11" t="str">
        <f t="shared" si="30"/>
        <v/>
      </c>
      <c r="F1379" s="12">
        <f>IFERROR(INDEX('Production Matrix'!$B:$B,E1379,0),0)</f>
        <v>0</v>
      </c>
    </row>
    <row r="1380" spans="3:6">
      <c r="C1380" s="11" t="e">
        <f>IF(1*('Production Matrix'!A:A="تكلفة انتاج الوحدة")*ROW('Production Matrix'!#REF!)=0,1/0,1*('Production Matrix'!A:A="تكلفة انتاج الوحدة")*ROW('Production Matrix'!#REF!))</f>
        <v>#REF!</v>
      </c>
      <c r="D1380" s="11" t="str">
        <f>IFERROR(_xlfn.AGGREGATE(15,6,$C$3:$C$53,ROW('Production Matrix'!#REF!)),"")</f>
        <v/>
      </c>
      <c r="E1380" s="11" t="str">
        <f t="shared" si="30"/>
        <v/>
      </c>
      <c r="F1380" s="12">
        <f>IFERROR(INDEX('Production Matrix'!$B:$B,E1380,0),0)</f>
        <v>0</v>
      </c>
    </row>
    <row r="1381" spans="3:6">
      <c r="C1381" s="11" t="e">
        <f>IF(1*('Production Matrix'!A:A="تكلفة انتاج الوحدة")*ROW('Production Matrix'!#REF!)=0,1/0,1*('Production Matrix'!A:A="تكلفة انتاج الوحدة")*ROW('Production Matrix'!#REF!))</f>
        <v>#REF!</v>
      </c>
      <c r="D1381" s="11" t="str">
        <f>IFERROR(_xlfn.AGGREGATE(15,6,$C$3:$C$53,ROW('Production Matrix'!#REF!)),"")</f>
        <v/>
      </c>
      <c r="E1381" s="11" t="str">
        <f t="shared" si="30"/>
        <v/>
      </c>
      <c r="F1381" s="12">
        <f>IFERROR(INDEX('Production Matrix'!$B:$B,E1381,0),0)</f>
        <v>0</v>
      </c>
    </row>
    <row r="1382" spans="3:6">
      <c r="C1382" s="11" t="e">
        <f>IF(1*('Production Matrix'!A:A="تكلفة انتاج الوحدة")*ROW('Production Matrix'!#REF!)=0,1/0,1*('Production Matrix'!A:A="تكلفة انتاج الوحدة")*ROW('Production Matrix'!#REF!))</f>
        <v>#REF!</v>
      </c>
      <c r="D1382" s="11" t="str">
        <f>IFERROR(_xlfn.AGGREGATE(15,6,$C$3:$C$53,ROW('Production Matrix'!#REF!)),"")</f>
        <v/>
      </c>
      <c r="E1382" s="11" t="str">
        <f t="shared" si="30"/>
        <v/>
      </c>
      <c r="F1382" s="12">
        <f>IFERROR(INDEX('Production Matrix'!$B:$B,E1382,0),0)</f>
        <v>0</v>
      </c>
    </row>
    <row r="1383" spans="3:6">
      <c r="C1383" s="11" t="e">
        <f>IF(1*('Production Matrix'!A:A="تكلفة انتاج الوحدة")*ROW('Production Matrix'!#REF!)=0,1/0,1*('Production Matrix'!A:A="تكلفة انتاج الوحدة")*ROW('Production Matrix'!#REF!))</f>
        <v>#REF!</v>
      </c>
      <c r="D1383" s="11" t="str">
        <f>IFERROR(_xlfn.AGGREGATE(15,6,$C$3:$C$53,ROW('Production Matrix'!#REF!)),"")</f>
        <v/>
      </c>
      <c r="E1383" s="11" t="str">
        <f t="shared" si="30"/>
        <v/>
      </c>
      <c r="F1383" s="12">
        <f>IFERROR(INDEX('Production Matrix'!$B:$B,E1383,0),0)</f>
        <v>0</v>
      </c>
    </row>
    <row r="1384" spans="3:6">
      <c r="C1384" s="11" t="e">
        <f>IF(1*('Production Matrix'!A:A="تكلفة انتاج الوحدة")*ROW('Production Matrix'!#REF!)=0,1/0,1*('Production Matrix'!A:A="تكلفة انتاج الوحدة")*ROW('Production Matrix'!#REF!))</f>
        <v>#REF!</v>
      </c>
      <c r="D1384" s="11" t="str">
        <f>IFERROR(_xlfn.AGGREGATE(15,6,$C$3:$C$53,ROW('Production Matrix'!#REF!)),"")</f>
        <v/>
      </c>
      <c r="E1384" s="11" t="str">
        <f t="shared" si="30"/>
        <v/>
      </c>
      <c r="F1384" s="12">
        <f>IFERROR(INDEX('Production Matrix'!$B:$B,E1384,0),0)</f>
        <v>0</v>
      </c>
    </row>
    <row r="1385" spans="3:6">
      <c r="C1385" s="11" t="e">
        <f>IF(1*('Production Matrix'!A:A="تكلفة انتاج الوحدة")*ROW('Production Matrix'!#REF!)=0,1/0,1*('Production Matrix'!A:A="تكلفة انتاج الوحدة")*ROW('Production Matrix'!#REF!))</f>
        <v>#REF!</v>
      </c>
      <c r="D1385" s="11" t="str">
        <f>IFERROR(_xlfn.AGGREGATE(15,6,$C$3:$C$53,ROW('Production Matrix'!#REF!)),"")</f>
        <v/>
      </c>
      <c r="E1385" s="11" t="str">
        <f t="shared" si="30"/>
        <v/>
      </c>
      <c r="F1385" s="12">
        <f>IFERROR(INDEX('Production Matrix'!$B:$B,E1385,0),0)</f>
        <v>0</v>
      </c>
    </row>
    <row r="1386" spans="3:6">
      <c r="C1386" s="11" t="e">
        <f>IF(1*('Production Matrix'!A:A="تكلفة انتاج الوحدة")*ROW('Production Matrix'!#REF!)=0,1/0,1*('Production Matrix'!A:A="تكلفة انتاج الوحدة")*ROW('Production Matrix'!#REF!))</f>
        <v>#REF!</v>
      </c>
      <c r="D1386" s="11" t="str">
        <f>IFERROR(_xlfn.AGGREGATE(15,6,$C$3:$C$53,ROW('Production Matrix'!#REF!)),"")</f>
        <v/>
      </c>
      <c r="E1386" s="11" t="str">
        <f t="shared" si="30"/>
        <v/>
      </c>
      <c r="F1386" s="12">
        <f>IFERROR(INDEX('Production Matrix'!$B:$B,E1386,0),0)</f>
        <v>0</v>
      </c>
    </row>
    <row r="1387" spans="3:6">
      <c r="C1387" s="11" t="e">
        <f>IF(1*('Production Matrix'!A:A="تكلفة انتاج الوحدة")*ROW('Production Matrix'!#REF!)=0,1/0,1*('Production Matrix'!A:A="تكلفة انتاج الوحدة")*ROW('Production Matrix'!#REF!))</f>
        <v>#REF!</v>
      </c>
      <c r="D1387" s="11" t="str">
        <f>IFERROR(_xlfn.AGGREGATE(15,6,$C$3:$C$53,ROW('Production Matrix'!#REF!)),"")</f>
        <v/>
      </c>
      <c r="E1387" s="11" t="str">
        <f t="shared" si="30"/>
        <v/>
      </c>
      <c r="F1387" s="12">
        <f>IFERROR(INDEX('Production Matrix'!$B:$B,E1387,0),0)</f>
        <v>0</v>
      </c>
    </row>
    <row r="1388" spans="3:6">
      <c r="C1388" s="11" t="e">
        <f>IF(1*('Production Matrix'!A:A="تكلفة انتاج الوحدة")*ROW('Production Matrix'!#REF!)=0,1/0,1*('Production Matrix'!A:A="تكلفة انتاج الوحدة")*ROW('Production Matrix'!#REF!))</f>
        <v>#REF!</v>
      </c>
      <c r="D1388" s="11" t="str">
        <f>IFERROR(_xlfn.AGGREGATE(15,6,$C$3:$C$53,ROW('Production Matrix'!#REF!)),"")</f>
        <v/>
      </c>
      <c r="E1388" s="11" t="str">
        <f t="shared" si="30"/>
        <v/>
      </c>
      <c r="F1388" s="12">
        <f>IFERROR(INDEX('Production Matrix'!$B:$B,E1388,0),0)</f>
        <v>0</v>
      </c>
    </row>
    <row r="1389" spans="3:6">
      <c r="C1389" s="11" t="e">
        <f>IF(1*('Production Matrix'!A:A="تكلفة انتاج الوحدة")*ROW('Production Matrix'!#REF!)=0,1/0,1*('Production Matrix'!A:A="تكلفة انتاج الوحدة")*ROW('Production Matrix'!#REF!))</f>
        <v>#REF!</v>
      </c>
      <c r="D1389" s="11" t="str">
        <f>IFERROR(_xlfn.AGGREGATE(15,6,$C$3:$C$53,ROW('Production Matrix'!#REF!)),"")</f>
        <v/>
      </c>
      <c r="E1389" s="11" t="str">
        <f t="shared" si="30"/>
        <v/>
      </c>
      <c r="F1389" s="12">
        <f>IFERROR(INDEX('Production Matrix'!$B:$B,E1389,0),0)</f>
        <v>0</v>
      </c>
    </row>
    <row r="1390" spans="3:6">
      <c r="C1390" s="11" t="e">
        <f>IF(1*('Production Matrix'!A:A="تكلفة انتاج الوحدة")*ROW('Production Matrix'!#REF!)=0,1/0,1*('Production Matrix'!A:A="تكلفة انتاج الوحدة")*ROW('Production Matrix'!#REF!))</f>
        <v>#REF!</v>
      </c>
      <c r="D1390" s="11" t="str">
        <f>IFERROR(_xlfn.AGGREGATE(15,6,$C$3:$C$53,ROW('Production Matrix'!#REF!)),"")</f>
        <v/>
      </c>
      <c r="E1390" s="11" t="str">
        <f t="shared" si="30"/>
        <v/>
      </c>
      <c r="F1390" s="12">
        <f>IFERROR(INDEX('Production Matrix'!$B:$B,E1390,0),0)</f>
        <v>0</v>
      </c>
    </row>
    <row r="1391" spans="3:6">
      <c r="C1391" s="11" t="e">
        <f>IF(1*('Production Matrix'!A:A="تكلفة انتاج الوحدة")*ROW('Production Matrix'!#REF!)=0,1/0,1*('Production Matrix'!A:A="تكلفة انتاج الوحدة")*ROW('Production Matrix'!#REF!))</f>
        <v>#REF!</v>
      </c>
      <c r="D1391" s="11" t="str">
        <f>IFERROR(_xlfn.AGGREGATE(15,6,$C$3:$C$53,ROW('Production Matrix'!#REF!)),"")</f>
        <v/>
      </c>
      <c r="E1391" s="11" t="str">
        <f t="shared" si="30"/>
        <v/>
      </c>
      <c r="F1391" s="12">
        <f>IFERROR(INDEX('Production Matrix'!$B:$B,E1391,0),0)</f>
        <v>0</v>
      </c>
    </row>
    <row r="1392" spans="3:6">
      <c r="C1392" s="11" t="e">
        <f>IF(1*('Production Matrix'!A:A="تكلفة انتاج الوحدة")*ROW('Production Matrix'!#REF!)=0,1/0,1*('Production Matrix'!A:A="تكلفة انتاج الوحدة")*ROW('Production Matrix'!#REF!))</f>
        <v>#REF!</v>
      </c>
      <c r="D1392" s="11" t="str">
        <f>IFERROR(_xlfn.AGGREGATE(15,6,$C$3:$C$53,ROW('Production Matrix'!#REF!)),"")</f>
        <v/>
      </c>
      <c r="E1392" s="11" t="str">
        <f t="shared" si="30"/>
        <v/>
      </c>
      <c r="F1392" s="12">
        <f>IFERROR(INDEX('Production Matrix'!$B:$B,E1392,0),0)</f>
        <v>0</v>
      </c>
    </row>
    <row r="1393" spans="3:6">
      <c r="C1393" s="11" t="e">
        <f>IF(1*('Production Matrix'!A:A="تكلفة انتاج الوحدة")*ROW('Production Matrix'!#REF!)=0,1/0,1*('Production Matrix'!A:A="تكلفة انتاج الوحدة")*ROW('Production Matrix'!#REF!))</f>
        <v>#REF!</v>
      </c>
      <c r="D1393" s="11" t="str">
        <f>IFERROR(_xlfn.AGGREGATE(15,6,$C$3:$C$53,ROW('Production Matrix'!#REF!)),"")</f>
        <v/>
      </c>
      <c r="E1393" s="11" t="str">
        <f t="shared" si="30"/>
        <v/>
      </c>
      <c r="F1393" s="12">
        <f>IFERROR(INDEX('Production Matrix'!$B:$B,E1393,0),0)</f>
        <v>0</v>
      </c>
    </row>
    <row r="1394" spans="3:6">
      <c r="C1394" s="11" t="e">
        <f>IF(1*('Production Matrix'!A:A="تكلفة انتاج الوحدة")*ROW('Production Matrix'!#REF!)=0,1/0,1*('Production Matrix'!A:A="تكلفة انتاج الوحدة")*ROW('Production Matrix'!#REF!))</f>
        <v>#REF!</v>
      </c>
      <c r="D1394" s="11" t="str">
        <f>IFERROR(_xlfn.AGGREGATE(15,6,$C$3:$C$53,ROW('Production Matrix'!#REF!)),"")</f>
        <v/>
      </c>
      <c r="E1394" s="11" t="str">
        <f t="shared" si="30"/>
        <v/>
      </c>
      <c r="F1394" s="12">
        <f>IFERROR(INDEX('Production Matrix'!$B:$B,E1394,0),0)</f>
        <v>0</v>
      </c>
    </row>
    <row r="1395" spans="3:6">
      <c r="C1395" s="11" t="e">
        <f>IF(1*('Production Matrix'!A:A="تكلفة انتاج الوحدة")*ROW('Production Matrix'!#REF!)=0,1/0,1*('Production Matrix'!A:A="تكلفة انتاج الوحدة")*ROW('Production Matrix'!#REF!))</f>
        <v>#REF!</v>
      </c>
      <c r="D1395" s="11" t="str">
        <f>IFERROR(_xlfn.AGGREGATE(15,6,$C$3:$C$53,ROW('Production Matrix'!#REF!)),"")</f>
        <v/>
      </c>
      <c r="E1395" s="11" t="str">
        <f t="shared" si="30"/>
        <v/>
      </c>
      <c r="F1395" s="12">
        <f>IFERROR(INDEX('Production Matrix'!$B:$B,E1395,0),0)</f>
        <v>0</v>
      </c>
    </row>
    <row r="1396" spans="3:6">
      <c r="C1396" s="11" t="e">
        <f>IF(1*('Production Matrix'!A:A="تكلفة انتاج الوحدة")*ROW('Production Matrix'!#REF!)=0,1/0,1*('Production Matrix'!A:A="تكلفة انتاج الوحدة")*ROW('Production Matrix'!#REF!))</f>
        <v>#REF!</v>
      </c>
      <c r="D1396" s="11" t="str">
        <f>IFERROR(_xlfn.AGGREGATE(15,6,$C$3:$C$53,ROW('Production Matrix'!#REF!)),"")</f>
        <v/>
      </c>
      <c r="E1396" s="11" t="str">
        <f t="shared" si="30"/>
        <v/>
      </c>
      <c r="F1396" s="12">
        <f>IFERROR(INDEX('Production Matrix'!$B:$B,E1396,0),0)</f>
        <v>0</v>
      </c>
    </row>
    <row r="1397" spans="3:6">
      <c r="C1397" s="11" t="e">
        <f>IF(1*('Production Matrix'!A:A="تكلفة انتاج الوحدة")*ROW('Production Matrix'!#REF!)=0,1/0,1*('Production Matrix'!A:A="تكلفة انتاج الوحدة")*ROW('Production Matrix'!#REF!))</f>
        <v>#REF!</v>
      </c>
      <c r="D1397" s="11" t="str">
        <f>IFERROR(_xlfn.AGGREGATE(15,6,$C$3:$C$53,ROW('Production Matrix'!#REF!)),"")</f>
        <v/>
      </c>
      <c r="E1397" s="11" t="str">
        <f t="shared" si="30"/>
        <v/>
      </c>
      <c r="F1397" s="12">
        <f>IFERROR(INDEX('Production Matrix'!$B:$B,E1397,0),0)</f>
        <v>0</v>
      </c>
    </row>
    <row r="1398" spans="3:6">
      <c r="C1398" s="11" t="e">
        <f>IF(1*('Production Matrix'!A:A="تكلفة انتاج الوحدة")*ROW('Production Matrix'!#REF!)=0,1/0,1*('Production Matrix'!A:A="تكلفة انتاج الوحدة")*ROW('Production Matrix'!#REF!))</f>
        <v>#REF!</v>
      </c>
      <c r="D1398" s="11" t="str">
        <f>IFERROR(_xlfn.AGGREGATE(15,6,$C$3:$C$53,ROW('Production Matrix'!#REF!)),"")</f>
        <v/>
      </c>
      <c r="E1398" s="11" t="str">
        <f t="shared" si="30"/>
        <v/>
      </c>
      <c r="F1398" s="12">
        <f>IFERROR(INDEX('Production Matrix'!$B:$B,E1398,0),0)</f>
        <v>0</v>
      </c>
    </row>
    <row r="1399" spans="3:6">
      <c r="C1399" s="11" t="e">
        <f>IF(1*('Production Matrix'!A:A="تكلفة انتاج الوحدة")*ROW('Production Matrix'!#REF!)=0,1/0,1*('Production Matrix'!A:A="تكلفة انتاج الوحدة")*ROW('Production Matrix'!#REF!))</f>
        <v>#REF!</v>
      </c>
      <c r="D1399" s="11" t="str">
        <f>IFERROR(_xlfn.AGGREGATE(15,6,$C$3:$C$53,ROW('Production Matrix'!#REF!)),"")</f>
        <v/>
      </c>
      <c r="E1399" s="11" t="str">
        <f t="shared" si="30"/>
        <v/>
      </c>
      <c r="F1399" s="12">
        <f>IFERROR(INDEX('Production Matrix'!$B:$B,E1399,0),0)</f>
        <v>0</v>
      </c>
    </row>
    <row r="1400" spans="3:6">
      <c r="C1400" s="11" t="e">
        <f>IF(1*('Production Matrix'!A:A="تكلفة انتاج الوحدة")*ROW('Production Matrix'!#REF!)=0,1/0,1*('Production Matrix'!A:A="تكلفة انتاج الوحدة")*ROW('Production Matrix'!#REF!))</f>
        <v>#REF!</v>
      </c>
      <c r="D1400" s="11" t="str">
        <f>IFERROR(_xlfn.AGGREGATE(15,6,$C$3:$C$53,ROW('Production Matrix'!#REF!)),"")</f>
        <v/>
      </c>
      <c r="E1400" s="11" t="str">
        <f t="shared" si="30"/>
        <v/>
      </c>
      <c r="F1400" s="12">
        <f>IFERROR(INDEX('Production Matrix'!$B:$B,E1400,0),0)</f>
        <v>0</v>
      </c>
    </row>
    <row r="1401" spans="3:6">
      <c r="C1401" s="11" t="e">
        <f>IF(1*('Production Matrix'!A:A="تكلفة انتاج الوحدة")*ROW('Production Matrix'!#REF!)=0,1/0,1*('Production Matrix'!A:A="تكلفة انتاج الوحدة")*ROW('Production Matrix'!#REF!))</f>
        <v>#REF!</v>
      </c>
      <c r="D1401" s="11" t="str">
        <f>IFERROR(_xlfn.AGGREGATE(15,6,$C$3:$C$53,ROW('Production Matrix'!#REF!)),"")</f>
        <v/>
      </c>
      <c r="E1401" s="11" t="str">
        <f t="shared" si="30"/>
        <v/>
      </c>
      <c r="F1401" s="12">
        <f>IFERROR(INDEX('Production Matrix'!$B:$B,E1401,0),0)</f>
        <v>0</v>
      </c>
    </row>
    <row r="1402" spans="3:6">
      <c r="C1402" s="11" t="e">
        <f>IF(1*('Production Matrix'!A:A="تكلفة انتاج الوحدة")*ROW('Production Matrix'!#REF!)=0,1/0,1*('Production Matrix'!A:A="تكلفة انتاج الوحدة")*ROW('Production Matrix'!#REF!))</f>
        <v>#REF!</v>
      </c>
      <c r="D1402" s="11" t="str">
        <f>IFERROR(_xlfn.AGGREGATE(15,6,$C$3:$C$53,ROW('Production Matrix'!#REF!)),"")</f>
        <v/>
      </c>
      <c r="E1402" s="11" t="str">
        <f t="shared" si="30"/>
        <v/>
      </c>
      <c r="F1402" s="12">
        <f>IFERROR(INDEX('Production Matrix'!$B:$B,E1402,0),0)</f>
        <v>0</v>
      </c>
    </row>
    <row r="1403" spans="3:6">
      <c r="C1403" s="11" t="e">
        <f>IF(1*('Production Matrix'!A:A="تكلفة انتاج الوحدة")*ROW('Production Matrix'!#REF!)=0,1/0,1*('Production Matrix'!A:A="تكلفة انتاج الوحدة")*ROW('Production Matrix'!#REF!))</f>
        <v>#REF!</v>
      </c>
      <c r="D1403" s="11" t="str">
        <f>IFERROR(_xlfn.AGGREGATE(15,6,$C$3:$C$53,ROW('Production Matrix'!#REF!)),"")</f>
        <v/>
      </c>
      <c r="E1403" s="11" t="str">
        <f t="shared" si="30"/>
        <v/>
      </c>
      <c r="F1403" s="12">
        <f>IFERROR(INDEX('Production Matrix'!$B:$B,E1403,0),0)</f>
        <v>0</v>
      </c>
    </row>
    <row r="1404" spans="3:6">
      <c r="C1404" s="11" t="e">
        <f>IF(1*('Production Matrix'!A:A="تكلفة انتاج الوحدة")*ROW('Production Matrix'!#REF!)=0,1/0,1*('Production Matrix'!A:A="تكلفة انتاج الوحدة")*ROW('Production Matrix'!#REF!))</f>
        <v>#REF!</v>
      </c>
      <c r="D1404" s="11" t="str">
        <f>IFERROR(_xlfn.AGGREGATE(15,6,$C$3:$C$53,ROW('Production Matrix'!#REF!)),"")</f>
        <v/>
      </c>
      <c r="E1404" s="11" t="str">
        <f t="shared" si="30"/>
        <v/>
      </c>
      <c r="F1404" s="12">
        <f>IFERROR(INDEX('Production Matrix'!$B:$B,E1404,0),0)</f>
        <v>0</v>
      </c>
    </row>
    <row r="1405" spans="3:6">
      <c r="C1405" s="11" t="e">
        <f>IF(1*('Production Matrix'!A:A="تكلفة انتاج الوحدة")*ROW('Production Matrix'!#REF!)=0,1/0,1*('Production Matrix'!A:A="تكلفة انتاج الوحدة")*ROW('Production Matrix'!#REF!))</f>
        <v>#REF!</v>
      </c>
      <c r="D1405" s="11" t="str">
        <f>IFERROR(_xlfn.AGGREGATE(15,6,$C$3:$C$53,ROW('Production Matrix'!#REF!)),"")</f>
        <v/>
      </c>
      <c r="E1405" s="11" t="str">
        <f t="shared" si="30"/>
        <v/>
      </c>
      <c r="F1405" s="12">
        <f>IFERROR(INDEX('Production Matrix'!$B:$B,E1405,0),0)</f>
        <v>0</v>
      </c>
    </row>
    <row r="1406" spans="3:6">
      <c r="C1406" s="11" t="e">
        <f>IF(1*('Production Matrix'!A:A="تكلفة انتاج الوحدة")*ROW('Production Matrix'!#REF!)=0,1/0,1*('Production Matrix'!A:A="تكلفة انتاج الوحدة")*ROW('Production Matrix'!#REF!))</f>
        <v>#REF!</v>
      </c>
      <c r="D1406" s="11" t="str">
        <f>IFERROR(_xlfn.AGGREGATE(15,6,$C$3:$C$53,ROW('Production Matrix'!#REF!)),"")</f>
        <v/>
      </c>
      <c r="E1406" s="11" t="str">
        <f t="shared" si="30"/>
        <v/>
      </c>
      <c r="F1406" s="12">
        <f>IFERROR(INDEX('Production Matrix'!$B:$B,E1406,0),0)</f>
        <v>0</v>
      </c>
    </row>
    <row r="1407" spans="3:6">
      <c r="C1407" s="11" t="e">
        <f>IF(1*('Production Matrix'!A:A="تكلفة انتاج الوحدة")*ROW('Production Matrix'!#REF!)=0,1/0,1*('Production Matrix'!A:A="تكلفة انتاج الوحدة")*ROW('Production Matrix'!#REF!))</f>
        <v>#REF!</v>
      </c>
      <c r="D1407" s="11" t="str">
        <f>IFERROR(_xlfn.AGGREGATE(15,6,$C$3:$C$53,ROW('Production Matrix'!#REF!)),"")</f>
        <v/>
      </c>
      <c r="E1407" s="11" t="str">
        <f t="shared" si="30"/>
        <v/>
      </c>
      <c r="F1407" s="12">
        <f>IFERROR(INDEX('Production Matrix'!$B:$B,E1407,0),0)</f>
        <v>0</v>
      </c>
    </row>
    <row r="1408" spans="3:6">
      <c r="C1408" s="11" t="e">
        <f>IF(1*('Production Matrix'!A:A="تكلفة انتاج الوحدة")*ROW('Production Matrix'!#REF!)=0,1/0,1*('Production Matrix'!A:A="تكلفة انتاج الوحدة")*ROW('Production Matrix'!#REF!))</f>
        <v>#REF!</v>
      </c>
      <c r="D1408" s="11" t="str">
        <f>IFERROR(_xlfn.AGGREGATE(15,6,$C$3:$C$53,ROW('Production Matrix'!#REF!)),"")</f>
        <v/>
      </c>
      <c r="E1408" s="11" t="str">
        <f t="shared" si="30"/>
        <v/>
      </c>
      <c r="F1408" s="12">
        <f>IFERROR(INDEX('Production Matrix'!$B:$B,E1408,0),0)</f>
        <v>0</v>
      </c>
    </row>
    <row r="1409" spans="3:6">
      <c r="C1409" s="11" t="e">
        <f>IF(1*('Production Matrix'!A:A="تكلفة انتاج الوحدة")*ROW('Production Matrix'!#REF!)=0,1/0,1*('Production Matrix'!A:A="تكلفة انتاج الوحدة")*ROW('Production Matrix'!#REF!))</f>
        <v>#REF!</v>
      </c>
      <c r="D1409" s="11" t="str">
        <f>IFERROR(_xlfn.AGGREGATE(15,6,$C$3:$C$53,ROW('Production Matrix'!#REF!)),"")</f>
        <v/>
      </c>
      <c r="E1409" s="11" t="str">
        <f t="shared" si="30"/>
        <v/>
      </c>
      <c r="F1409" s="12">
        <f>IFERROR(INDEX('Production Matrix'!$B:$B,E1409,0),0)</f>
        <v>0</v>
      </c>
    </row>
    <row r="1410" spans="3:6">
      <c r="C1410" s="11" t="e">
        <f>IF(1*('Production Matrix'!A:A="تكلفة انتاج الوحدة")*ROW('Production Matrix'!#REF!)=0,1/0,1*('Production Matrix'!A:A="تكلفة انتاج الوحدة")*ROW('Production Matrix'!#REF!))</f>
        <v>#REF!</v>
      </c>
      <c r="D1410" s="11" t="str">
        <f>IFERROR(_xlfn.AGGREGATE(15,6,$C$3:$C$53,ROW('Production Matrix'!#REF!)),"")</f>
        <v/>
      </c>
      <c r="E1410" s="11" t="str">
        <f t="shared" si="30"/>
        <v/>
      </c>
      <c r="F1410" s="12">
        <f>IFERROR(INDEX('Production Matrix'!$B:$B,E1410,0),0)</f>
        <v>0</v>
      </c>
    </row>
    <row r="1411" spans="3:6">
      <c r="C1411" s="11" t="e">
        <f>IF(1*('Production Matrix'!A:A="تكلفة انتاج الوحدة")*ROW('Production Matrix'!#REF!)=0,1/0,1*('Production Matrix'!A:A="تكلفة انتاج الوحدة")*ROW('Production Matrix'!#REF!))</f>
        <v>#REF!</v>
      </c>
      <c r="D1411" s="11" t="str">
        <f>IFERROR(_xlfn.AGGREGATE(15,6,$C$3:$C$53,ROW('Production Matrix'!#REF!)),"")</f>
        <v/>
      </c>
      <c r="E1411" s="11" t="str">
        <f t="shared" si="30"/>
        <v/>
      </c>
      <c r="F1411" s="12">
        <f>IFERROR(INDEX('Production Matrix'!$B:$B,E1411,0),0)</f>
        <v>0</v>
      </c>
    </row>
    <row r="1412" spans="3:6">
      <c r="C1412" s="11" t="e">
        <f>IF(1*('Production Matrix'!A:A="تكلفة انتاج الوحدة")*ROW('Production Matrix'!#REF!)=0,1/0,1*('Production Matrix'!A:A="تكلفة انتاج الوحدة")*ROW('Production Matrix'!#REF!))</f>
        <v>#REF!</v>
      </c>
      <c r="D1412" s="11" t="str">
        <f>IFERROR(_xlfn.AGGREGATE(15,6,$C$3:$C$53,ROW('Production Matrix'!#REF!)),"")</f>
        <v/>
      </c>
      <c r="E1412" s="11" t="str">
        <f t="shared" si="30"/>
        <v/>
      </c>
      <c r="F1412" s="12">
        <f>IFERROR(INDEX('Production Matrix'!$B:$B,E1412,0),0)</f>
        <v>0</v>
      </c>
    </row>
    <row r="1413" spans="3:6">
      <c r="C1413" s="11" t="e">
        <f>IF(1*('Production Matrix'!A:A="تكلفة انتاج الوحدة")*ROW('Production Matrix'!#REF!)=0,1/0,1*('Production Matrix'!A:A="تكلفة انتاج الوحدة")*ROW('Production Matrix'!#REF!))</f>
        <v>#REF!</v>
      </c>
      <c r="D1413" s="11" t="str">
        <f>IFERROR(_xlfn.AGGREGATE(15,6,$C$3:$C$53,ROW('Production Matrix'!#REF!)),"")</f>
        <v/>
      </c>
      <c r="E1413" s="11" t="str">
        <f t="shared" si="30"/>
        <v/>
      </c>
      <c r="F1413" s="12">
        <f>IFERROR(INDEX('Production Matrix'!$B:$B,E1413,0),0)</f>
        <v>0</v>
      </c>
    </row>
    <row r="1414" spans="3:6">
      <c r="C1414" s="11" t="e">
        <f>IF(1*('Production Matrix'!A:A="تكلفة انتاج الوحدة")*ROW('Production Matrix'!#REF!)=0,1/0,1*('Production Matrix'!A:A="تكلفة انتاج الوحدة")*ROW('Production Matrix'!#REF!))</f>
        <v>#REF!</v>
      </c>
      <c r="D1414" s="11" t="str">
        <f>IFERROR(_xlfn.AGGREGATE(15,6,$C$3:$C$53,ROW('Production Matrix'!#REF!)),"")</f>
        <v/>
      </c>
      <c r="E1414" s="11" t="str">
        <f t="shared" si="30"/>
        <v/>
      </c>
      <c r="F1414" s="12">
        <f>IFERROR(INDEX('Production Matrix'!$B:$B,E1414,0),0)</f>
        <v>0</v>
      </c>
    </row>
    <row r="1415" spans="3:6">
      <c r="C1415" s="11" t="e">
        <f>IF(1*('Production Matrix'!A:A="تكلفة انتاج الوحدة")*ROW('Production Matrix'!#REF!)=0,1/0,1*('Production Matrix'!A:A="تكلفة انتاج الوحدة")*ROW('Production Matrix'!#REF!))</f>
        <v>#REF!</v>
      </c>
      <c r="D1415" s="11" t="str">
        <f>IFERROR(_xlfn.AGGREGATE(15,6,$C$3:$C$53,ROW('Production Matrix'!#REF!)),"")</f>
        <v/>
      </c>
      <c r="E1415" s="11" t="str">
        <f t="shared" ref="E1415:E1478" si="31">IFERROR(D1415+3,"")</f>
        <v/>
      </c>
      <c r="F1415" s="12">
        <f>IFERROR(INDEX('Production Matrix'!$B:$B,E1415,0),0)</f>
        <v>0</v>
      </c>
    </row>
    <row r="1416" spans="3:6">
      <c r="C1416" s="11" t="e">
        <f>IF(1*('Production Matrix'!A:A="تكلفة انتاج الوحدة")*ROW('Production Matrix'!#REF!)=0,1/0,1*('Production Matrix'!A:A="تكلفة انتاج الوحدة")*ROW('Production Matrix'!#REF!))</f>
        <v>#REF!</v>
      </c>
      <c r="D1416" s="11" t="str">
        <f>IFERROR(_xlfn.AGGREGATE(15,6,$C$3:$C$53,ROW('Production Matrix'!#REF!)),"")</f>
        <v/>
      </c>
      <c r="E1416" s="11" t="str">
        <f t="shared" si="31"/>
        <v/>
      </c>
      <c r="F1416" s="12">
        <f>IFERROR(INDEX('Production Matrix'!$B:$B,E1416,0),0)</f>
        <v>0</v>
      </c>
    </row>
    <row r="1417" spans="3:6">
      <c r="C1417" s="11" t="e">
        <f>IF(1*('Production Matrix'!A:A="تكلفة انتاج الوحدة")*ROW('Production Matrix'!#REF!)=0,1/0,1*('Production Matrix'!A:A="تكلفة انتاج الوحدة")*ROW('Production Matrix'!#REF!))</f>
        <v>#REF!</v>
      </c>
      <c r="D1417" s="11" t="str">
        <f>IFERROR(_xlfn.AGGREGATE(15,6,$C$3:$C$53,ROW('Production Matrix'!#REF!)),"")</f>
        <v/>
      </c>
      <c r="E1417" s="11" t="str">
        <f t="shared" si="31"/>
        <v/>
      </c>
      <c r="F1417" s="12">
        <f>IFERROR(INDEX('Production Matrix'!$B:$B,E1417,0),0)</f>
        <v>0</v>
      </c>
    </row>
    <row r="1418" spans="3:6">
      <c r="C1418" s="11" t="e">
        <f>IF(1*('Production Matrix'!A:A="تكلفة انتاج الوحدة")*ROW('Production Matrix'!#REF!)=0,1/0,1*('Production Matrix'!A:A="تكلفة انتاج الوحدة")*ROW('Production Matrix'!#REF!))</f>
        <v>#REF!</v>
      </c>
      <c r="D1418" s="11" t="str">
        <f>IFERROR(_xlfn.AGGREGATE(15,6,$C$3:$C$53,ROW('Production Matrix'!#REF!)),"")</f>
        <v/>
      </c>
      <c r="E1418" s="11" t="str">
        <f t="shared" si="31"/>
        <v/>
      </c>
      <c r="F1418" s="12">
        <f>IFERROR(INDEX('Production Matrix'!$B:$B,E1418,0),0)</f>
        <v>0</v>
      </c>
    </row>
    <row r="1419" spans="3:6">
      <c r="C1419" s="11" t="e">
        <f>IF(1*('Production Matrix'!A:A="تكلفة انتاج الوحدة")*ROW('Production Matrix'!#REF!)=0,1/0,1*('Production Matrix'!A:A="تكلفة انتاج الوحدة")*ROW('Production Matrix'!#REF!))</f>
        <v>#REF!</v>
      </c>
      <c r="D1419" s="11" t="str">
        <f>IFERROR(_xlfn.AGGREGATE(15,6,$C$3:$C$53,ROW('Production Matrix'!#REF!)),"")</f>
        <v/>
      </c>
      <c r="E1419" s="11" t="str">
        <f t="shared" si="31"/>
        <v/>
      </c>
      <c r="F1419" s="12">
        <f>IFERROR(INDEX('Production Matrix'!$B:$B,E1419,0),0)</f>
        <v>0</v>
      </c>
    </row>
    <row r="1420" spans="3:6">
      <c r="C1420" s="11" t="e">
        <f>IF(1*('Production Matrix'!A:A="تكلفة انتاج الوحدة")*ROW('Production Matrix'!#REF!)=0,1/0,1*('Production Matrix'!A:A="تكلفة انتاج الوحدة")*ROW('Production Matrix'!#REF!))</f>
        <v>#REF!</v>
      </c>
      <c r="D1420" s="11" t="str">
        <f>IFERROR(_xlfn.AGGREGATE(15,6,$C$3:$C$53,ROW('Production Matrix'!#REF!)),"")</f>
        <v/>
      </c>
      <c r="E1420" s="11" t="str">
        <f t="shared" si="31"/>
        <v/>
      </c>
      <c r="F1420" s="12">
        <f>IFERROR(INDEX('Production Matrix'!$B:$B,E1420,0),0)</f>
        <v>0</v>
      </c>
    </row>
    <row r="1421" spans="3:6">
      <c r="C1421" s="11" t="e">
        <f>IF(1*('Production Matrix'!A:A="تكلفة انتاج الوحدة")*ROW('Production Matrix'!#REF!)=0,1/0,1*('Production Matrix'!A:A="تكلفة انتاج الوحدة")*ROW('Production Matrix'!#REF!))</f>
        <v>#REF!</v>
      </c>
      <c r="D1421" s="11" t="str">
        <f>IFERROR(_xlfn.AGGREGATE(15,6,$C$3:$C$53,ROW('Production Matrix'!#REF!)),"")</f>
        <v/>
      </c>
      <c r="E1421" s="11" t="str">
        <f t="shared" si="31"/>
        <v/>
      </c>
      <c r="F1421" s="12">
        <f>IFERROR(INDEX('Production Matrix'!$B:$B,E1421,0),0)</f>
        <v>0</v>
      </c>
    </row>
    <row r="1422" spans="3:6">
      <c r="C1422" s="11" t="e">
        <f>IF(1*('Production Matrix'!A:A="تكلفة انتاج الوحدة")*ROW('Production Matrix'!#REF!)=0,1/0,1*('Production Matrix'!A:A="تكلفة انتاج الوحدة")*ROW('Production Matrix'!#REF!))</f>
        <v>#REF!</v>
      </c>
      <c r="D1422" s="11" t="str">
        <f>IFERROR(_xlfn.AGGREGATE(15,6,$C$3:$C$53,ROW('Production Matrix'!#REF!)),"")</f>
        <v/>
      </c>
      <c r="E1422" s="11" t="str">
        <f t="shared" si="31"/>
        <v/>
      </c>
      <c r="F1422" s="12">
        <f>IFERROR(INDEX('Production Matrix'!$B:$B,E1422,0),0)</f>
        <v>0</v>
      </c>
    </row>
    <row r="1423" spans="3:6">
      <c r="C1423" s="11" t="e">
        <f>IF(1*('Production Matrix'!A:A="تكلفة انتاج الوحدة")*ROW('Production Matrix'!#REF!)=0,1/0,1*('Production Matrix'!A:A="تكلفة انتاج الوحدة")*ROW('Production Matrix'!#REF!))</f>
        <v>#REF!</v>
      </c>
      <c r="D1423" s="11" t="str">
        <f>IFERROR(_xlfn.AGGREGATE(15,6,$C$3:$C$53,ROW('Production Matrix'!#REF!)),"")</f>
        <v/>
      </c>
      <c r="E1423" s="11" t="str">
        <f t="shared" si="31"/>
        <v/>
      </c>
      <c r="F1423" s="12">
        <f>IFERROR(INDEX('Production Matrix'!$B:$B,E1423,0),0)</f>
        <v>0</v>
      </c>
    </row>
    <row r="1424" spans="3:6">
      <c r="C1424" s="11" t="e">
        <f>IF(1*('Production Matrix'!A:A="تكلفة انتاج الوحدة")*ROW('Production Matrix'!#REF!)=0,1/0,1*('Production Matrix'!A:A="تكلفة انتاج الوحدة")*ROW('Production Matrix'!#REF!))</f>
        <v>#REF!</v>
      </c>
      <c r="D1424" s="11" t="str">
        <f>IFERROR(_xlfn.AGGREGATE(15,6,$C$3:$C$53,ROW('Production Matrix'!#REF!)),"")</f>
        <v/>
      </c>
      <c r="E1424" s="11" t="str">
        <f t="shared" si="31"/>
        <v/>
      </c>
      <c r="F1424" s="12">
        <f>IFERROR(INDEX('Production Matrix'!$B:$B,E1424,0),0)</f>
        <v>0</v>
      </c>
    </row>
    <row r="1425" spans="3:6">
      <c r="C1425" s="11" t="e">
        <f>IF(1*('Production Matrix'!A:A="تكلفة انتاج الوحدة")*ROW('Production Matrix'!#REF!)=0,1/0,1*('Production Matrix'!A:A="تكلفة انتاج الوحدة")*ROW('Production Matrix'!#REF!))</f>
        <v>#REF!</v>
      </c>
      <c r="D1425" s="11" t="str">
        <f>IFERROR(_xlfn.AGGREGATE(15,6,$C$3:$C$53,ROW('Production Matrix'!#REF!)),"")</f>
        <v/>
      </c>
      <c r="E1425" s="11" t="str">
        <f t="shared" si="31"/>
        <v/>
      </c>
      <c r="F1425" s="12">
        <f>IFERROR(INDEX('Production Matrix'!$B:$B,E1425,0),0)</f>
        <v>0</v>
      </c>
    </row>
    <row r="1426" spans="3:6">
      <c r="C1426" s="11" t="e">
        <f>IF(1*('Production Matrix'!A:A="تكلفة انتاج الوحدة")*ROW('Production Matrix'!#REF!)=0,1/0,1*('Production Matrix'!A:A="تكلفة انتاج الوحدة")*ROW('Production Matrix'!#REF!))</f>
        <v>#REF!</v>
      </c>
      <c r="D1426" s="11" t="str">
        <f>IFERROR(_xlfn.AGGREGATE(15,6,$C$3:$C$53,ROW('Production Matrix'!#REF!)),"")</f>
        <v/>
      </c>
      <c r="E1426" s="11" t="str">
        <f t="shared" si="31"/>
        <v/>
      </c>
      <c r="F1426" s="12">
        <f>IFERROR(INDEX('Production Matrix'!$B:$B,E1426,0),0)</f>
        <v>0</v>
      </c>
    </row>
    <row r="1427" spans="3:6">
      <c r="C1427" s="11" t="e">
        <f>IF(1*('Production Matrix'!A:A="تكلفة انتاج الوحدة")*ROW('Production Matrix'!#REF!)=0,1/0,1*('Production Matrix'!A:A="تكلفة انتاج الوحدة")*ROW('Production Matrix'!#REF!))</f>
        <v>#REF!</v>
      </c>
      <c r="D1427" s="11" t="str">
        <f>IFERROR(_xlfn.AGGREGATE(15,6,$C$3:$C$53,ROW('Production Matrix'!#REF!)),"")</f>
        <v/>
      </c>
      <c r="E1427" s="11" t="str">
        <f t="shared" si="31"/>
        <v/>
      </c>
      <c r="F1427" s="12">
        <f>IFERROR(INDEX('Production Matrix'!$B:$B,E1427,0),0)</f>
        <v>0</v>
      </c>
    </row>
    <row r="1428" spans="3:6">
      <c r="C1428" s="11" t="e">
        <f>IF(1*('Production Matrix'!A:A="تكلفة انتاج الوحدة")*ROW('Production Matrix'!#REF!)=0,1/0,1*('Production Matrix'!A:A="تكلفة انتاج الوحدة")*ROW('Production Matrix'!#REF!))</f>
        <v>#REF!</v>
      </c>
      <c r="D1428" s="11" t="str">
        <f>IFERROR(_xlfn.AGGREGATE(15,6,$C$3:$C$53,ROW('Production Matrix'!#REF!)),"")</f>
        <v/>
      </c>
      <c r="E1428" s="11" t="str">
        <f t="shared" si="31"/>
        <v/>
      </c>
      <c r="F1428" s="12">
        <f>IFERROR(INDEX('Production Matrix'!$B:$B,E1428,0),0)</f>
        <v>0</v>
      </c>
    </row>
    <row r="1429" spans="3:6">
      <c r="C1429" s="11" t="e">
        <f>IF(1*('Production Matrix'!A:A="تكلفة انتاج الوحدة")*ROW('Production Matrix'!#REF!)=0,1/0,1*('Production Matrix'!A:A="تكلفة انتاج الوحدة")*ROW('Production Matrix'!#REF!))</f>
        <v>#REF!</v>
      </c>
      <c r="D1429" s="11" t="str">
        <f>IFERROR(_xlfn.AGGREGATE(15,6,$C$3:$C$53,ROW('Production Matrix'!#REF!)),"")</f>
        <v/>
      </c>
      <c r="E1429" s="11" t="str">
        <f t="shared" si="31"/>
        <v/>
      </c>
      <c r="F1429" s="12">
        <f>IFERROR(INDEX('Production Matrix'!$B:$B,E1429,0),0)</f>
        <v>0</v>
      </c>
    </row>
    <row r="1430" spans="3:6">
      <c r="C1430" s="11" t="e">
        <f>IF(1*('Production Matrix'!A:A="تكلفة انتاج الوحدة")*ROW('Production Matrix'!#REF!)=0,1/0,1*('Production Matrix'!A:A="تكلفة انتاج الوحدة")*ROW('Production Matrix'!#REF!))</f>
        <v>#REF!</v>
      </c>
      <c r="D1430" s="11" t="str">
        <f>IFERROR(_xlfn.AGGREGATE(15,6,$C$3:$C$53,ROW('Production Matrix'!#REF!)),"")</f>
        <v/>
      </c>
      <c r="E1430" s="11" t="str">
        <f t="shared" si="31"/>
        <v/>
      </c>
      <c r="F1430" s="12">
        <f>IFERROR(INDEX('Production Matrix'!$B:$B,E1430,0),0)</f>
        <v>0</v>
      </c>
    </row>
    <row r="1431" spans="3:6">
      <c r="C1431" s="11" t="e">
        <f>IF(1*('Production Matrix'!A:A="تكلفة انتاج الوحدة")*ROW('Production Matrix'!#REF!)=0,1/0,1*('Production Matrix'!A:A="تكلفة انتاج الوحدة")*ROW('Production Matrix'!#REF!))</f>
        <v>#REF!</v>
      </c>
      <c r="D1431" s="11" t="str">
        <f>IFERROR(_xlfn.AGGREGATE(15,6,$C$3:$C$53,ROW('Production Matrix'!#REF!)),"")</f>
        <v/>
      </c>
      <c r="E1431" s="11" t="str">
        <f t="shared" si="31"/>
        <v/>
      </c>
      <c r="F1431" s="12">
        <f>IFERROR(INDEX('Production Matrix'!$B:$B,E1431,0),0)</f>
        <v>0</v>
      </c>
    </row>
    <row r="1432" spans="3:6">
      <c r="C1432" s="11" t="e">
        <f>IF(1*('Production Matrix'!A:A="تكلفة انتاج الوحدة")*ROW('Production Matrix'!#REF!)=0,1/0,1*('Production Matrix'!A:A="تكلفة انتاج الوحدة")*ROW('Production Matrix'!#REF!))</f>
        <v>#REF!</v>
      </c>
      <c r="D1432" s="11" t="str">
        <f>IFERROR(_xlfn.AGGREGATE(15,6,$C$3:$C$53,ROW('Production Matrix'!#REF!)),"")</f>
        <v/>
      </c>
      <c r="E1432" s="11" t="str">
        <f t="shared" si="31"/>
        <v/>
      </c>
      <c r="F1432" s="12">
        <f>IFERROR(INDEX('Production Matrix'!$B:$B,E1432,0),0)</f>
        <v>0</v>
      </c>
    </row>
    <row r="1433" spans="3:6">
      <c r="C1433" s="11" t="e">
        <f>IF(1*('Production Matrix'!A:A="تكلفة انتاج الوحدة")*ROW('Production Matrix'!#REF!)=0,1/0,1*('Production Matrix'!A:A="تكلفة انتاج الوحدة")*ROW('Production Matrix'!#REF!))</f>
        <v>#REF!</v>
      </c>
      <c r="D1433" s="11" t="str">
        <f>IFERROR(_xlfn.AGGREGATE(15,6,$C$3:$C$53,ROW('Production Matrix'!#REF!)),"")</f>
        <v/>
      </c>
      <c r="E1433" s="11" t="str">
        <f t="shared" si="31"/>
        <v/>
      </c>
      <c r="F1433" s="12">
        <f>IFERROR(INDEX('Production Matrix'!$B:$B,E1433,0),0)</f>
        <v>0</v>
      </c>
    </row>
    <row r="1434" spans="3:6">
      <c r="C1434" s="11" t="e">
        <f>IF(1*('Production Matrix'!A:A="تكلفة انتاج الوحدة")*ROW('Production Matrix'!#REF!)=0,1/0,1*('Production Matrix'!A:A="تكلفة انتاج الوحدة")*ROW('Production Matrix'!#REF!))</f>
        <v>#REF!</v>
      </c>
      <c r="D1434" s="11" t="str">
        <f>IFERROR(_xlfn.AGGREGATE(15,6,$C$3:$C$53,ROW('Production Matrix'!#REF!)),"")</f>
        <v/>
      </c>
      <c r="E1434" s="11" t="str">
        <f t="shared" si="31"/>
        <v/>
      </c>
      <c r="F1434" s="12">
        <f>IFERROR(INDEX('Production Matrix'!$B:$B,E1434,0),0)</f>
        <v>0</v>
      </c>
    </row>
    <row r="1435" spans="3:6">
      <c r="C1435" s="11" t="e">
        <f>IF(1*('Production Matrix'!A:A="تكلفة انتاج الوحدة")*ROW('Production Matrix'!#REF!)=0,1/0,1*('Production Matrix'!A:A="تكلفة انتاج الوحدة")*ROW('Production Matrix'!#REF!))</f>
        <v>#REF!</v>
      </c>
      <c r="D1435" s="11" t="str">
        <f>IFERROR(_xlfn.AGGREGATE(15,6,$C$3:$C$53,ROW('Production Matrix'!#REF!)),"")</f>
        <v/>
      </c>
      <c r="E1435" s="11" t="str">
        <f t="shared" si="31"/>
        <v/>
      </c>
      <c r="F1435" s="12">
        <f>IFERROR(INDEX('Production Matrix'!$B:$B,E1435,0),0)</f>
        <v>0</v>
      </c>
    </row>
    <row r="1436" spans="3:6">
      <c r="C1436" s="11" t="e">
        <f>IF(1*('Production Matrix'!A:A="تكلفة انتاج الوحدة")*ROW('Production Matrix'!#REF!)=0,1/0,1*('Production Matrix'!A:A="تكلفة انتاج الوحدة")*ROW('Production Matrix'!#REF!))</f>
        <v>#REF!</v>
      </c>
      <c r="D1436" s="11" t="str">
        <f>IFERROR(_xlfn.AGGREGATE(15,6,$C$3:$C$53,ROW('Production Matrix'!#REF!)),"")</f>
        <v/>
      </c>
      <c r="E1436" s="11" t="str">
        <f t="shared" si="31"/>
        <v/>
      </c>
      <c r="F1436" s="12">
        <f>IFERROR(INDEX('Production Matrix'!$B:$B,E1436,0),0)</f>
        <v>0</v>
      </c>
    </row>
    <row r="1437" spans="3:6">
      <c r="C1437" s="11" t="e">
        <f>IF(1*('Production Matrix'!A:A="تكلفة انتاج الوحدة")*ROW('Production Matrix'!#REF!)=0,1/0,1*('Production Matrix'!A:A="تكلفة انتاج الوحدة")*ROW('Production Matrix'!#REF!))</f>
        <v>#REF!</v>
      </c>
      <c r="D1437" s="11" t="str">
        <f>IFERROR(_xlfn.AGGREGATE(15,6,$C$3:$C$53,ROW('Production Matrix'!#REF!)),"")</f>
        <v/>
      </c>
      <c r="E1437" s="11" t="str">
        <f t="shared" si="31"/>
        <v/>
      </c>
      <c r="F1437" s="12">
        <f>IFERROR(INDEX('Production Matrix'!$B:$B,E1437,0),0)</f>
        <v>0</v>
      </c>
    </row>
    <row r="1438" spans="3:6">
      <c r="C1438" s="11" t="e">
        <f>IF(1*('Production Matrix'!A:A="تكلفة انتاج الوحدة")*ROW('Production Matrix'!#REF!)=0,1/0,1*('Production Matrix'!A:A="تكلفة انتاج الوحدة")*ROW('Production Matrix'!#REF!))</f>
        <v>#REF!</v>
      </c>
      <c r="D1438" s="11" t="str">
        <f>IFERROR(_xlfn.AGGREGATE(15,6,$C$3:$C$53,ROW('Production Matrix'!#REF!)),"")</f>
        <v/>
      </c>
      <c r="E1438" s="11" t="str">
        <f t="shared" si="31"/>
        <v/>
      </c>
      <c r="F1438" s="12">
        <f>IFERROR(INDEX('Production Matrix'!$B:$B,E1438,0),0)</f>
        <v>0</v>
      </c>
    </row>
    <row r="1439" spans="3:6">
      <c r="C1439" s="11" t="e">
        <f>IF(1*('Production Matrix'!A:A="تكلفة انتاج الوحدة")*ROW('Production Matrix'!#REF!)=0,1/0,1*('Production Matrix'!A:A="تكلفة انتاج الوحدة")*ROW('Production Matrix'!#REF!))</f>
        <v>#REF!</v>
      </c>
      <c r="D1439" s="11" t="str">
        <f>IFERROR(_xlfn.AGGREGATE(15,6,$C$3:$C$53,ROW('Production Matrix'!#REF!)),"")</f>
        <v/>
      </c>
      <c r="E1439" s="11" t="str">
        <f t="shared" si="31"/>
        <v/>
      </c>
      <c r="F1439" s="12">
        <f>IFERROR(INDEX('Production Matrix'!$B:$B,E1439,0),0)</f>
        <v>0</v>
      </c>
    </row>
    <row r="1440" spans="3:6">
      <c r="C1440" s="11" t="e">
        <f>IF(1*('Production Matrix'!A:A="تكلفة انتاج الوحدة")*ROW('Production Matrix'!#REF!)=0,1/0,1*('Production Matrix'!A:A="تكلفة انتاج الوحدة")*ROW('Production Matrix'!#REF!))</f>
        <v>#REF!</v>
      </c>
      <c r="D1440" s="11" t="str">
        <f>IFERROR(_xlfn.AGGREGATE(15,6,$C$3:$C$53,ROW('Production Matrix'!#REF!)),"")</f>
        <v/>
      </c>
      <c r="E1440" s="11" t="str">
        <f t="shared" si="31"/>
        <v/>
      </c>
      <c r="F1440" s="12">
        <f>IFERROR(INDEX('Production Matrix'!$B:$B,E1440,0),0)</f>
        <v>0</v>
      </c>
    </row>
    <row r="1441" spans="3:6">
      <c r="C1441" s="11" t="e">
        <f>IF(1*('Production Matrix'!A:A="تكلفة انتاج الوحدة")*ROW('Production Matrix'!#REF!)=0,1/0,1*('Production Matrix'!A:A="تكلفة انتاج الوحدة")*ROW('Production Matrix'!#REF!))</f>
        <v>#REF!</v>
      </c>
      <c r="D1441" s="11" t="str">
        <f>IFERROR(_xlfn.AGGREGATE(15,6,$C$3:$C$53,ROW('Production Matrix'!#REF!)),"")</f>
        <v/>
      </c>
      <c r="E1441" s="11" t="str">
        <f t="shared" si="31"/>
        <v/>
      </c>
      <c r="F1441" s="12">
        <f>IFERROR(INDEX('Production Matrix'!$B:$B,E1441,0),0)</f>
        <v>0</v>
      </c>
    </row>
    <row r="1442" spans="3:6">
      <c r="C1442" s="11" t="e">
        <f>IF(1*('Production Matrix'!A:A="تكلفة انتاج الوحدة")*ROW('Production Matrix'!#REF!)=0,1/0,1*('Production Matrix'!A:A="تكلفة انتاج الوحدة")*ROW('Production Matrix'!#REF!))</f>
        <v>#REF!</v>
      </c>
      <c r="D1442" s="11" t="str">
        <f>IFERROR(_xlfn.AGGREGATE(15,6,$C$3:$C$53,ROW('Production Matrix'!#REF!)),"")</f>
        <v/>
      </c>
      <c r="E1442" s="11" t="str">
        <f t="shared" si="31"/>
        <v/>
      </c>
      <c r="F1442" s="12">
        <f>IFERROR(INDEX('Production Matrix'!$B:$B,E1442,0),0)</f>
        <v>0</v>
      </c>
    </row>
    <row r="1443" spans="3:6">
      <c r="C1443" s="11" t="e">
        <f>IF(1*('Production Matrix'!A:A="تكلفة انتاج الوحدة")*ROW('Production Matrix'!#REF!)=0,1/0,1*('Production Matrix'!A:A="تكلفة انتاج الوحدة")*ROW('Production Matrix'!#REF!))</f>
        <v>#REF!</v>
      </c>
      <c r="D1443" s="11" t="str">
        <f>IFERROR(_xlfn.AGGREGATE(15,6,$C$3:$C$53,ROW('Production Matrix'!#REF!)),"")</f>
        <v/>
      </c>
      <c r="E1443" s="11" t="str">
        <f t="shared" si="31"/>
        <v/>
      </c>
      <c r="F1443" s="12">
        <f>IFERROR(INDEX('Production Matrix'!$B:$B,E1443,0),0)</f>
        <v>0</v>
      </c>
    </row>
    <row r="1444" spans="3:6">
      <c r="C1444" s="11" t="e">
        <f>IF(1*('Production Matrix'!A:A="تكلفة انتاج الوحدة")*ROW('Production Matrix'!#REF!)=0,1/0,1*('Production Matrix'!A:A="تكلفة انتاج الوحدة")*ROW('Production Matrix'!#REF!))</f>
        <v>#REF!</v>
      </c>
      <c r="D1444" s="11" t="str">
        <f>IFERROR(_xlfn.AGGREGATE(15,6,$C$3:$C$53,ROW('Production Matrix'!#REF!)),"")</f>
        <v/>
      </c>
      <c r="E1444" s="11" t="str">
        <f t="shared" si="31"/>
        <v/>
      </c>
      <c r="F1444" s="12">
        <f>IFERROR(INDEX('Production Matrix'!$B:$B,E1444,0),0)</f>
        <v>0</v>
      </c>
    </row>
    <row r="1445" spans="3:6">
      <c r="C1445" s="11" t="e">
        <f>IF(1*('Production Matrix'!A:A="تكلفة انتاج الوحدة")*ROW('Production Matrix'!#REF!)=0,1/0,1*('Production Matrix'!A:A="تكلفة انتاج الوحدة")*ROW('Production Matrix'!#REF!))</f>
        <v>#REF!</v>
      </c>
      <c r="D1445" s="11" t="str">
        <f>IFERROR(_xlfn.AGGREGATE(15,6,$C$3:$C$53,ROW('Production Matrix'!#REF!)),"")</f>
        <v/>
      </c>
      <c r="E1445" s="11" t="str">
        <f t="shared" si="31"/>
        <v/>
      </c>
      <c r="F1445" s="12">
        <f>IFERROR(INDEX('Production Matrix'!$B:$B,E1445,0),0)</f>
        <v>0</v>
      </c>
    </row>
    <row r="1446" spans="3:6">
      <c r="C1446" s="11" t="e">
        <f>IF(1*('Production Matrix'!A:A="تكلفة انتاج الوحدة")*ROW('Production Matrix'!#REF!)=0,1/0,1*('Production Matrix'!A:A="تكلفة انتاج الوحدة")*ROW('Production Matrix'!#REF!))</f>
        <v>#REF!</v>
      </c>
      <c r="D1446" s="11" t="str">
        <f>IFERROR(_xlfn.AGGREGATE(15,6,$C$3:$C$53,ROW('Production Matrix'!#REF!)),"")</f>
        <v/>
      </c>
      <c r="E1446" s="11" t="str">
        <f t="shared" si="31"/>
        <v/>
      </c>
      <c r="F1446" s="12">
        <f>IFERROR(INDEX('Production Matrix'!$B:$B,E1446,0),0)</f>
        <v>0</v>
      </c>
    </row>
    <row r="1447" spans="3:6">
      <c r="C1447" s="11" t="e">
        <f>IF(1*('Production Matrix'!A:A="تكلفة انتاج الوحدة")*ROW('Production Matrix'!#REF!)=0,1/0,1*('Production Matrix'!A:A="تكلفة انتاج الوحدة")*ROW('Production Matrix'!#REF!))</f>
        <v>#REF!</v>
      </c>
      <c r="D1447" s="11" t="str">
        <f>IFERROR(_xlfn.AGGREGATE(15,6,$C$3:$C$53,ROW('Production Matrix'!#REF!)),"")</f>
        <v/>
      </c>
      <c r="E1447" s="11" t="str">
        <f t="shared" si="31"/>
        <v/>
      </c>
      <c r="F1447" s="12">
        <f>IFERROR(INDEX('Production Matrix'!$B:$B,E1447,0),0)</f>
        <v>0</v>
      </c>
    </row>
    <row r="1448" spans="3:6">
      <c r="C1448" s="11" t="e">
        <f>IF(1*('Production Matrix'!A:A="تكلفة انتاج الوحدة")*ROW('Production Matrix'!#REF!)=0,1/0,1*('Production Matrix'!A:A="تكلفة انتاج الوحدة")*ROW('Production Matrix'!#REF!))</f>
        <v>#REF!</v>
      </c>
      <c r="D1448" s="11" t="str">
        <f>IFERROR(_xlfn.AGGREGATE(15,6,$C$3:$C$53,ROW('Production Matrix'!#REF!)),"")</f>
        <v/>
      </c>
      <c r="E1448" s="11" t="str">
        <f t="shared" si="31"/>
        <v/>
      </c>
      <c r="F1448" s="12">
        <f>IFERROR(INDEX('Production Matrix'!$B:$B,E1448,0),0)</f>
        <v>0</v>
      </c>
    </row>
    <row r="1449" spans="3:6">
      <c r="C1449" s="11" t="e">
        <f>IF(1*('Production Matrix'!A:A="تكلفة انتاج الوحدة")*ROW('Production Matrix'!#REF!)=0,1/0,1*('Production Matrix'!A:A="تكلفة انتاج الوحدة")*ROW('Production Matrix'!#REF!))</f>
        <v>#REF!</v>
      </c>
      <c r="D1449" s="11" t="str">
        <f>IFERROR(_xlfn.AGGREGATE(15,6,$C$3:$C$53,ROW('Production Matrix'!#REF!)),"")</f>
        <v/>
      </c>
      <c r="E1449" s="11" t="str">
        <f t="shared" si="31"/>
        <v/>
      </c>
      <c r="F1449" s="12">
        <f>IFERROR(INDEX('Production Matrix'!$B:$B,E1449,0),0)</f>
        <v>0</v>
      </c>
    </row>
    <row r="1450" spans="3:6">
      <c r="C1450" s="11" t="e">
        <f>IF(1*('Production Matrix'!A:A="تكلفة انتاج الوحدة")*ROW('Production Matrix'!#REF!)=0,1/0,1*('Production Matrix'!A:A="تكلفة انتاج الوحدة")*ROW('Production Matrix'!#REF!))</f>
        <v>#REF!</v>
      </c>
      <c r="D1450" s="11" t="str">
        <f>IFERROR(_xlfn.AGGREGATE(15,6,$C$3:$C$53,ROW('Production Matrix'!#REF!)),"")</f>
        <v/>
      </c>
      <c r="E1450" s="11" t="str">
        <f t="shared" si="31"/>
        <v/>
      </c>
      <c r="F1450" s="12">
        <f>IFERROR(INDEX('Production Matrix'!$B:$B,E1450,0),0)</f>
        <v>0</v>
      </c>
    </row>
    <row r="1451" spans="3:6">
      <c r="C1451" s="11" t="e">
        <f>IF(1*('Production Matrix'!A:A="تكلفة انتاج الوحدة")*ROW('Production Matrix'!#REF!)=0,1/0,1*('Production Matrix'!A:A="تكلفة انتاج الوحدة")*ROW('Production Matrix'!#REF!))</f>
        <v>#REF!</v>
      </c>
      <c r="D1451" s="11" t="str">
        <f>IFERROR(_xlfn.AGGREGATE(15,6,$C$3:$C$53,ROW('Production Matrix'!#REF!)),"")</f>
        <v/>
      </c>
      <c r="E1451" s="11" t="str">
        <f t="shared" si="31"/>
        <v/>
      </c>
      <c r="F1451" s="12">
        <f>IFERROR(INDEX('Production Matrix'!$B:$B,E1451,0),0)</f>
        <v>0</v>
      </c>
    </row>
    <row r="1452" spans="3:6">
      <c r="C1452" s="11" t="e">
        <f>IF(1*('Production Matrix'!A:A="تكلفة انتاج الوحدة")*ROW('Production Matrix'!#REF!)=0,1/0,1*('Production Matrix'!A:A="تكلفة انتاج الوحدة")*ROW('Production Matrix'!#REF!))</f>
        <v>#REF!</v>
      </c>
      <c r="D1452" s="11" t="str">
        <f>IFERROR(_xlfn.AGGREGATE(15,6,$C$3:$C$53,ROW('Production Matrix'!#REF!)),"")</f>
        <v/>
      </c>
      <c r="E1452" s="11" t="str">
        <f t="shared" si="31"/>
        <v/>
      </c>
      <c r="F1452" s="12">
        <f>IFERROR(INDEX('Production Matrix'!$B:$B,E1452,0),0)</f>
        <v>0</v>
      </c>
    </row>
    <row r="1453" spans="3:6">
      <c r="C1453" s="11" t="e">
        <f>IF(1*('Production Matrix'!A:A="تكلفة انتاج الوحدة")*ROW('Production Matrix'!#REF!)=0,1/0,1*('Production Matrix'!A:A="تكلفة انتاج الوحدة")*ROW('Production Matrix'!#REF!))</f>
        <v>#REF!</v>
      </c>
      <c r="D1453" s="11" t="str">
        <f>IFERROR(_xlfn.AGGREGATE(15,6,$C$3:$C$53,ROW('Production Matrix'!#REF!)),"")</f>
        <v/>
      </c>
      <c r="E1453" s="11" t="str">
        <f t="shared" si="31"/>
        <v/>
      </c>
      <c r="F1453" s="12">
        <f>IFERROR(INDEX('Production Matrix'!$B:$B,E1453,0),0)</f>
        <v>0</v>
      </c>
    </row>
    <row r="1454" spans="3:6">
      <c r="C1454" s="11" t="e">
        <f>IF(1*('Production Matrix'!A:A="تكلفة انتاج الوحدة")*ROW('Production Matrix'!#REF!)=0,1/0,1*('Production Matrix'!A:A="تكلفة انتاج الوحدة")*ROW('Production Matrix'!#REF!))</f>
        <v>#REF!</v>
      </c>
      <c r="D1454" s="11" t="str">
        <f>IFERROR(_xlfn.AGGREGATE(15,6,$C$3:$C$53,ROW('Production Matrix'!#REF!)),"")</f>
        <v/>
      </c>
      <c r="E1454" s="11" t="str">
        <f t="shared" si="31"/>
        <v/>
      </c>
      <c r="F1454" s="12">
        <f>IFERROR(INDEX('Production Matrix'!$B:$B,E1454,0),0)</f>
        <v>0</v>
      </c>
    </row>
    <row r="1455" spans="3:6">
      <c r="C1455" s="11" t="e">
        <f>IF(1*('Production Matrix'!A:A="تكلفة انتاج الوحدة")*ROW('Production Matrix'!#REF!)=0,1/0,1*('Production Matrix'!A:A="تكلفة انتاج الوحدة")*ROW('Production Matrix'!#REF!))</f>
        <v>#REF!</v>
      </c>
      <c r="D1455" s="11" t="str">
        <f>IFERROR(_xlfn.AGGREGATE(15,6,$C$3:$C$53,ROW('Production Matrix'!#REF!)),"")</f>
        <v/>
      </c>
      <c r="E1455" s="11" t="str">
        <f t="shared" si="31"/>
        <v/>
      </c>
      <c r="F1455" s="12">
        <f>IFERROR(INDEX('Production Matrix'!$B:$B,E1455,0),0)</f>
        <v>0</v>
      </c>
    </row>
    <row r="1456" spans="3:6">
      <c r="C1456" s="11" t="e">
        <f>IF(1*('Production Matrix'!A:A="تكلفة انتاج الوحدة")*ROW('Production Matrix'!#REF!)=0,1/0,1*('Production Matrix'!A:A="تكلفة انتاج الوحدة")*ROW('Production Matrix'!#REF!))</f>
        <v>#REF!</v>
      </c>
      <c r="D1456" s="11" t="str">
        <f>IFERROR(_xlfn.AGGREGATE(15,6,$C$3:$C$53,ROW('Production Matrix'!#REF!)),"")</f>
        <v/>
      </c>
      <c r="E1456" s="11" t="str">
        <f t="shared" si="31"/>
        <v/>
      </c>
      <c r="F1456" s="12">
        <f>IFERROR(INDEX('Production Matrix'!$B:$B,E1456,0),0)</f>
        <v>0</v>
      </c>
    </row>
    <row r="1457" spans="3:6">
      <c r="C1457" s="11" t="e">
        <f>IF(1*('Production Matrix'!A:A="تكلفة انتاج الوحدة")*ROW('Production Matrix'!#REF!)=0,1/0,1*('Production Matrix'!A:A="تكلفة انتاج الوحدة")*ROW('Production Matrix'!#REF!))</f>
        <v>#REF!</v>
      </c>
      <c r="D1457" s="11" t="str">
        <f>IFERROR(_xlfn.AGGREGATE(15,6,$C$3:$C$53,ROW('Production Matrix'!#REF!)),"")</f>
        <v/>
      </c>
      <c r="E1457" s="11" t="str">
        <f t="shared" si="31"/>
        <v/>
      </c>
      <c r="F1457" s="12">
        <f>IFERROR(INDEX('Production Matrix'!$B:$B,E1457,0),0)</f>
        <v>0</v>
      </c>
    </row>
    <row r="1458" spans="3:6">
      <c r="C1458" s="11" t="e">
        <f>IF(1*('Production Matrix'!A:A="تكلفة انتاج الوحدة")*ROW('Production Matrix'!#REF!)=0,1/0,1*('Production Matrix'!A:A="تكلفة انتاج الوحدة")*ROW('Production Matrix'!#REF!))</f>
        <v>#REF!</v>
      </c>
      <c r="D1458" s="11" t="str">
        <f>IFERROR(_xlfn.AGGREGATE(15,6,$C$3:$C$53,ROW('Production Matrix'!#REF!)),"")</f>
        <v/>
      </c>
      <c r="E1458" s="11" t="str">
        <f t="shared" si="31"/>
        <v/>
      </c>
      <c r="F1458" s="12">
        <f>IFERROR(INDEX('Production Matrix'!$B:$B,E1458,0),0)</f>
        <v>0</v>
      </c>
    </row>
    <row r="1459" spans="3:6">
      <c r="C1459" s="11" t="e">
        <f>IF(1*('Production Matrix'!A:A="تكلفة انتاج الوحدة")*ROW('Production Matrix'!#REF!)=0,1/0,1*('Production Matrix'!A:A="تكلفة انتاج الوحدة")*ROW('Production Matrix'!#REF!))</f>
        <v>#REF!</v>
      </c>
      <c r="D1459" s="11" t="str">
        <f>IFERROR(_xlfn.AGGREGATE(15,6,$C$3:$C$53,ROW('Production Matrix'!#REF!)),"")</f>
        <v/>
      </c>
      <c r="E1459" s="11" t="str">
        <f t="shared" si="31"/>
        <v/>
      </c>
      <c r="F1459" s="12">
        <f>IFERROR(INDEX('Production Matrix'!$B:$B,E1459,0),0)</f>
        <v>0</v>
      </c>
    </row>
    <row r="1460" spans="3:6">
      <c r="C1460" s="11" t="e">
        <f>IF(1*('Production Matrix'!A:A="تكلفة انتاج الوحدة")*ROW('Production Matrix'!#REF!)=0,1/0,1*('Production Matrix'!A:A="تكلفة انتاج الوحدة")*ROW('Production Matrix'!#REF!))</f>
        <v>#REF!</v>
      </c>
      <c r="D1460" s="11" t="str">
        <f>IFERROR(_xlfn.AGGREGATE(15,6,$C$3:$C$53,ROW('Production Matrix'!#REF!)),"")</f>
        <v/>
      </c>
      <c r="E1460" s="11" t="str">
        <f t="shared" si="31"/>
        <v/>
      </c>
      <c r="F1460" s="12">
        <f>IFERROR(INDEX('Production Matrix'!$B:$B,E1460,0),0)</f>
        <v>0</v>
      </c>
    </row>
    <row r="1461" spans="3:6">
      <c r="C1461" s="11" t="e">
        <f>IF(1*('Production Matrix'!A:A="تكلفة انتاج الوحدة")*ROW('Production Matrix'!#REF!)=0,1/0,1*('Production Matrix'!A:A="تكلفة انتاج الوحدة")*ROW('Production Matrix'!#REF!))</f>
        <v>#REF!</v>
      </c>
      <c r="D1461" s="11" t="str">
        <f>IFERROR(_xlfn.AGGREGATE(15,6,$C$3:$C$53,ROW('Production Matrix'!#REF!)),"")</f>
        <v/>
      </c>
      <c r="E1461" s="11" t="str">
        <f t="shared" si="31"/>
        <v/>
      </c>
      <c r="F1461" s="12">
        <f>IFERROR(INDEX('Production Matrix'!$B:$B,E1461,0),0)</f>
        <v>0</v>
      </c>
    </row>
    <row r="1462" spans="3:6">
      <c r="C1462" s="11" t="e">
        <f>IF(1*('Production Matrix'!A:A="تكلفة انتاج الوحدة")*ROW('Production Matrix'!#REF!)=0,1/0,1*('Production Matrix'!A:A="تكلفة انتاج الوحدة")*ROW('Production Matrix'!#REF!))</f>
        <v>#REF!</v>
      </c>
      <c r="D1462" s="11" t="str">
        <f>IFERROR(_xlfn.AGGREGATE(15,6,$C$3:$C$53,ROW('Production Matrix'!#REF!)),"")</f>
        <v/>
      </c>
      <c r="E1462" s="11" t="str">
        <f t="shared" si="31"/>
        <v/>
      </c>
      <c r="F1462" s="12">
        <f>IFERROR(INDEX('Production Matrix'!$B:$B,E1462,0),0)</f>
        <v>0</v>
      </c>
    </row>
    <row r="1463" spans="3:6">
      <c r="C1463" s="11" t="e">
        <f>IF(1*('Production Matrix'!A:A="تكلفة انتاج الوحدة")*ROW('Production Matrix'!#REF!)=0,1/0,1*('Production Matrix'!A:A="تكلفة انتاج الوحدة")*ROW('Production Matrix'!#REF!))</f>
        <v>#REF!</v>
      </c>
      <c r="D1463" s="11" t="str">
        <f>IFERROR(_xlfn.AGGREGATE(15,6,$C$3:$C$53,ROW('Production Matrix'!#REF!)),"")</f>
        <v/>
      </c>
      <c r="E1463" s="11" t="str">
        <f t="shared" si="31"/>
        <v/>
      </c>
      <c r="F1463" s="12">
        <f>IFERROR(INDEX('Production Matrix'!$B:$B,E1463,0),0)</f>
        <v>0</v>
      </c>
    </row>
    <row r="1464" spans="3:6">
      <c r="C1464" s="11" t="e">
        <f>IF(1*('Production Matrix'!A:A="تكلفة انتاج الوحدة")*ROW('Production Matrix'!#REF!)=0,1/0,1*('Production Matrix'!A:A="تكلفة انتاج الوحدة")*ROW('Production Matrix'!#REF!))</f>
        <v>#REF!</v>
      </c>
      <c r="D1464" s="11" t="str">
        <f>IFERROR(_xlfn.AGGREGATE(15,6,$C$3:$C$53,ROW('Production Matrix'!#REF!)),"")</f>
        <v/>
      </c>
      <c r="E1464" s="11" t="str">
        <f t="shared" si="31"/>
        <v/>
      </c>
      <c r="F1464" s="12">
        <f>IFERROR(INDEX('Production Matrix'!$B:$B,E1464,0),0)</f>
        <v>0</v>
      </c>
    </row>
    <row r="1465" spans="3:6">
      <c r="C1465" s="11" t="e">
        <f>IF(1*('Production Matrix'!A:A="تكلفة انتاج الوحدة")*ROW('Production Matrix'!#REF!)=0,1/0,1*('Production Matrix'!A:A="تكلفة انتاج الوحدة")*ROW('Production Matrix'!#REF!))</f>
        <v>#REF!</v>
      </c>
      <c r="D1465" s="11" t="str">
        <f>IFERROR(_xlfn.AGGREGATE(15,6,$C$3:$C$53,ROW('Production Matrix'!#REF!)),"")</f>
        <v/>
      </c>
      <c r="E1465" s="11" t="str">
        <f t="shared" si="31"/>
        <v/>
      </c>
      <c r="F1465" s="12">
        <f>IFERROR(INDEX('Production Matrix'!$B:$B,E1465,0),0)</f>
        <v>0</v>
      </c>
    </row>
    <row r="1466" spans="3:6">
      <c r="C1466" s="11" t="e">
        <f>IF(1*('Production Matrix'!A:A="تكلفة انتاج الوحدة")*ROW('Production Matrix'!#REF!)=0,1/0,1*('Production Matrix'!A:A="تكلفة انتاج الوحدة")*ROW('Production Matrix'!#REF!))</f>
        <v>#REF!</v>
      </c>
      <c r="D1466" s="11" t="str">
        <f>IFERROR(_xlfn.AGGREGATE(15,6,$C$3:$C$53,ROW('Production Matrix'!#REF!)),"")</f>
        <v/>
      </c>
      <c r="E1466" s="11" t="str">
        <f t="shared" si="31"/>
        <v/>
      </c>
      <c r="F1466" s="12">
        <f>IFERROR(INDEX('Production Matrix'!$B:$B,E1466,0),0)</f>
        <v>0</v>
      </c>
    </row>
    <row r="1467" spans="3:6">
      <c r="C1467" s="11" t="e">
        <f>IF(1*('Production Matrix'!A:A="تكلفة انتاج الوحدة")*ROW('Production Matrix'!#REF!)=0,1/0,1*('Production Matrix'!A:A="تكلفة انتاج الوحدة")*ROW('Production Matrix'!#REF!))</f>
        <v>#REF!</v>
      </c>
      <c r="D1467" s="11" t="str">
        <f>IFERROR(_xlfn.AGGREGATE(15,6,$C$3:$C$53,ROW('Production Matrix'!#REF!)),"")</f>
        <v/>
      </c>
      <c r="E1467" s="11" t="str">
        <f t="shared" si="31"/>
        <v/>
      </c>
      <c r="F1467" s="12">
        <f>IFERROR(INDEX('Production Matrix'!$B:$B,E1467,0),0)</f>
        <v>0</v>
      </c>
    </row>
    <row r="1468" spans="3:6">
      <c r="C1468" s="11" t="e">
        <f>IF(1*('Production Matrix'!A:A="تكلفة انتاج الوحدة")*ROW('Production Matrix'!#REF!)=0,1/0,1*('Production Matrix'!A:A="تكلفة انتاج الوحدة")*ROW('Production Matrix'!#REF!))</f>
        <v>#REF!</v>
      </c>
      <c r="D1468" s="11" t="str">
        <f>IFERROR(_xlfn.AGGREGATE(15,6,$C$3:$C$53,ROW('Production Matrix'!#REF!)),"")</f>
        <v/>
      </c>
      <c r="E1468" s="11" t="str">
        <f t="shared" si="31"/>
        <v/>
      </c>
      <c r="F1468" s="12">
        <f>IFERROR(INDEX('Production Matrix'!$B:$B,E1468,0),0)</f>
        <v>0</v>
      </c>
    </row>
    <row r="1469" spans="3:6">
      <c r="C1469" s="11" t="e">
        <f>IF(1*('Production Matrix'!A:A="تكلفة انتاج الوحدة")*ROW('Production Matrix'!#REF!)=0,1/0,1*('Production Matrix'!A:A="تكلفة انتاج الوحدة")*ROW('Production Matrix'!#REF!))</f>
        <v>#REF!</v>
      </c>
      <c r="D1469" s="11" t="str">
        <f>IFERROR(_xlfn.AGGREGATE(15,6,$C$3:$C$53,ROW('Production Matrix'!#REF!)),"")</f>
        <v/>
      </c>
      <c r="E1469" s="11" t="str">
        <f t="shared" si="31"/>
        <v/>
      </c>
      <c r="F1469" s="12">
        <f>IFERROR(INDEX('Production Matrix'!$B:$B,E1469,0),0)</f>
        <v>0</v>
      </c>
    </row>
    <row r="1470" spans="3:6">
      <c r="C1470" s="11" t="e">
        <f>IF(1*('Production Matrix'!A:A="تكلفة انتاج الوحدة")*ROW('Production Matrix'!#REF!)=0,1/0,1*('Production Matrix'!A:A="تكلفة انتاج الوحدة")*ROW('Production Matrix'!#REF!))</f>
        <v>#REF!</v>
      </c>
      <c r="D1470" s="11" t="str">
        <f>IFERROR(_xlfn.AGGREGATE(15,6,$C$3:$C$53,ROW('Production Matrix'!#REF!)),"")</f>
        <v/>
      </c>
      <c r="E1470" s="11" t="str">
        <f t="shared" si="31"/>
        <v/>
      </c>
      <c r="F1470" s="12">
        <f>IFERROR(INDEX('Production Matrix'!$B:$B,E1470,0),0)</f>
        <v>0</v>
      </c>
    </row>
    <row r="1471" spans="3:6">
      <c r="C1471" s="11" t="e">
        <f>IF(1*('Production Matrix'!A:A="تكلفة انتاج الوحدة")*ROW('Production Matrix'!#REF!)=0,1/0,1*('Production Matrix'!A:A="تكلفة انتاج الوحدة")*ROW('Production Matrix'!#REF!))</f>
        <v>#REF!</v>
      </c>
      <c r="D1471" s="11" t="str">
        <f>IFERROR(_xlfn.AGGREGATE(15,6,$C$3:$C$53,ROW('Production Matrix'!#REF!)),"")</f>
        <v/>
      </c>
      <c r="E1471" s="11" t="str">
        <f t="shared" si="31"/>
        <v/>
      </c>
      <c r="F1471" s="12">
        <f>IFERROR(INDEX('Production Matrix'!$B:$B,E1471,0),0)</f>
        <v>0</v>
      </c>
    </row>
    <row r="1472" spans="3:6">
      <c r="C1472" s="11" t="e">
        <f>IF(1*('Production Matrix'!A:A="تكلفة انتاج الوحدة")*ROW('Production Matrix'!#REF!)=0,1/0,1*('Production Matrix'!A:A="تكلفة انتاج الوحدة")*ROW('Production Matrix'!#REF!))</f>
        <v>#REF!</v>
      </c>
      <c r="D1472" s="11" t="str">
        <f>IFERROR(_xlfn.AGGREGATE(15,6,$C$3:$C$53,ROW('Production Matrix'!#REF!)),"")</f>
        <v/>
      </c>
      <c r="E1472" s="11" t="str">
        <f t="shared" si="31"/>
        <v/>
      </c>
      <c r="F1472" s="12">
        <f>IFERROR(INDEX('Production Matrix'!$B:$B,E1472,0),0)</f>
        <v>0</v>
      </c>
    </row>
    <row r="1473" spans="3:6">
      <c r="C1473" s="11" t="e">
        <f>IF(1*('Production Matrix'!A:A="تكلفة انتاج الوحدة")*ROW('Production Matrix'!#REF!)=0,1/0,1*('Production Matrix'!A:A="تكلفة انتاج الوحدة")*ROW('Production Matrix'!#REF!))</f>
        <v>#REF!</v>
      </c>
      <c r="D1473" s="11" t="str">
        <f>IFERROR(_xlfn.AGGREGATE(15,6,$C$3:$C$53,ROW('Production Matrix'!#REF!)),"")</f>
        <v/>
      </c>
      <c r="E1473" s="11" t="str">
        <f t="shared" si="31"/>
        <v/>
      </c>
      <c r="F1473" s="12">
        <f>IFERROR(INDEX('Production Matrix'!$B:$B,E1473,0),0)</f>
        <v>0</v>
      </c>
    </row>
    <row r="1474" spans="3:6">
      <c r="C1474" s="11" t="e">
        <f>IF(1*('Production Matrix'!A:A="تكلفة انتاج الوحدة")*ROW('Production Matrix'!#REF!)=0,1/0,1*('Production Matrix'!A:A="تكلفة انتاج الوحدة")*ROW('Production Matrix'!#REF!))</f>
        <v>#REF!</v>
      </c>
      <c r="D1474" s="11" t="str">
        <f>IFERROR(_xlfn.AGGREGATE(15,6,$C$3:$C$53,ROW('Production Matrix'!#REF!)),"")</f>
        <v/>
      </c>
      <c r="E1474" s="11" t="str">
        <f t="shared" si="31"/>
        <v/>
      </c>
      <c r="F1474" s="12">
        <f>IFERROR(INDEX('Production Matrix'!$B:$B,E1474,0),0)</f>
        <v>0</v>
      </c>
    </row>
    <row r="1475" spans="3:6">
      <c r="C1475" s="11" t="e">
        <f>IF(1*('Production Matrix'!A:A="تكلفة انتاج الوحدة")*ROW('Production Matrix'!#REF!)=0,1/0,1*('Production Matrix'!A:A="تكلفة انتاج الوحدة")*ROW('Production Matrix'!#REF!))</f>
        <v>#REF!</v>
      </c>
      <c r="D1475" s="11" t="str">
        <f>IFERROR(_xlfn.AGGREGATE(15,6,$C$3:$C$53,ROW('Production Matrix'!#REF!)),"")</f>
        <v/>
      </c>
      <c r="E1475" s="11" t="str">
        <f t="shared" si="31"/>
        <v/>
      </c>
      <c r="F1475" s="12">
        <f>IFERROR(INDEX('Production Matrix'!$B:$B,E1475,0),0)</f>
        <v>0</v>
      </c>
    </row>
    <row r="1476" spans="3:6">
      <c r="C1476" s="11" t="e">
        <f>IF(1*('Production Matrix'!A:A="تكلفة انتاج الوحدة")*ROW('Production Matrix'!#REF!)=0,1/0,1*('Production Matrix'!A:A="تكلفة انتاج الوحدة")*ROW('Production Matrix'!#REF!))</f>
        <v>#REF!</v>
      </c>
      <c r="D1476" s="11" t="str">
        <f>IFERROR(_xlfn.AGGREGATE(15,6,$C$3:$C$53,ROW('Production Matrix'!#REF!)),"")</f>
        <v/>
      </c>
      <c r="E1476" s="11" t="str">
        <f t="shared" si="31"/>
        <v/>
      </c>
      <c r="F1476" s="12">
        <f>IFERROR(INDEX('Production Matrix'!$B:$B,E1476,0),0)</f>
        <v>0</v>
      </c>
    </row>
    <row r="1477" spans="3:6">
      <c r="C1477" s="11" t="e">
        <f>IF(1*('Production Matrix'!A:A="تكلفة انتاج الوحدة")*ROW('Production Matrix'!#REF!)=0,1/0,1*('Production Matrix'!A:A="تكلفة انتاج الوحدة")*ROW('Production Matrix'!#REF!))</f>
        <v>#REF!</v>
      </c>
      <c r="D1477" s="11" t="str">
        <f>IFERROR(_xlfn.AGGREGATE(15,6,$C$3:$C$53,ROW('Production Matrix'!#REF!)),"")</f>
        <v/>
      </c>
      <c r="E1477" s="11" t="str">
        <f t="shared" si="31"/>
        <v/>
      </c>
      <c r="F1477" s="12">
        <f>IFERROR(INDEX('Production Matrix'!$B:$B,E1477,0),0)</f>
        <v>0</v>
      </c>
    </row>
    <row r="1478" spans="3:6">
      <c r="C1478" s="11" t="e">
        <f>IF(1*('Production Matrix'!A:A="تكلفة انتاج الوحدة")*ROW('Production Matrix'!#REF!)=0,1/0,1*('Production Matrix'!A:A="تكلفة انتاج الوحدة")*ROW('Production Matrix'!#REF!))</f>
        <v>#REF!</v>
      </c>
      <c r="D1478" s="11" t="str">
        <f>IFERROR(_xlfn.AGGREGATE(15,6,$C$3:$C$53,ROW('Production Matrix'!#REF!)),"")</f>
        <v/>
      </c>
      <c r="E1478" s="11" t="str">
        <f t="shared" si="31"/>
        <v/>
      </c>
      <c r="F1478" s="12">
        <f>IFERROR(INDEX('Production Matrix'!$B:$B,E1478,0),0)</f>
        <v>0</v>
      </c>
    </row>
    <row r="1479" spans="3:6">
      <c r="C1479" s="11" t="e">
        <f>IF(1*('Production Matrix'!A:A="تكلفة انتاج الوحدة")*ROW('Production Matrix'!#REF!)=0,1/0,1*('Production Matrix'!A:A="تكلفة انتاج الوحدة")*ROW('Production Matrix'!#REF!))</f>
        <v>#REF!</v>
      </c>
      <c r="D1479" s="11" t="str">
        <f>IFERROR(_xlfn.AGGREGATE(15,6,$C$3:$C$53,ROW('Production Matrix'!#REF!)),"")</f>
        <v/>
      </c>
      <c r="E1479" s="11" t="str">
        <f t="shared" ref="E1479:E1542" si="32">IFERROR(D1479+3,"")</f>
        <v/>
      </c>
      <c r="F1479" s="12">
        <f>IFERROR(INDEX('Production Matrix'!$B:$B,E1479,0),0)</f>
        <v>0</v>
      </c>
    </row>
    <row r="1480" spans="3:6">
      <c r="C1480" s="11" t="e">
        <f>IF(1*('Production Matrix'!A:A="تكلفة انتاج الوحدة")*ROW('Production Matrix'!#REF!)=0,1/0,1*('Production Matrix'!A:A="تكلفة انتاج الوحدة")*ROW('Production Matrix'!#REF!))</f>
        <v>#REF!</v>
      </c>
      <c r="D1480" s="11" t="str">
        <f>IFERROR(_xlfn.AGGREGATE(15,6,$C$3:$C$53,ROW('Production Matrix'!#REF!)),"")</f>
        <v/>
      </c>
      <c r="E1480" s="11" t="str">
        <f t="shared" si="32"/>
        <v/>
      </c>
      <c r="F1480" s="12">
        <f>IFERROR(INDEX('Production Matrix'!$B:$B,E1480,0),0)</f>
        <v>0</v>
      </c>
    </row>
    <row r="1481" spans="3:6">
      <c r="C1481" s="11" t="e">
        <f>IF(1*('Production Matrix'!A:A="تكلفة انتاج الوحدة")*ROW('Production Matrix'!#REF!)=0,1/0,1*('Production Matrix'!A:A="تكلفة انتاج الوحدة")*ROW('Production Matrix'!#REF!))</f>
        <v>#REF!</v>
      </c>
      <c r="D1481" s="11" t="str">
        <f>IFERROR(_xlfn.AGGREGATE(15,6,$C$3:$C$53,ROW('Production Matrix'!#REF!)),"")</f>
        <v/>
      </c>
      <c r="E1481" s="11" t="str">
        <f t="shared" si="32"/>
        <v/>
      </c>
      <c r="F1481" s="12">
        <f>IFERROR(INDEX('Production Matrix'!$B:$B,E1481,0),0)</f>
        <v>0</v>
      </c>
    </row>
    <row r="1482" spans="3:6">
      <c r="C1482" s="11" t="e">
        <f>IF(1*('Production Matrix'!A:A="تكلفة انتاج الوحدة")*ROW('Production Matrix'!#REF!)=0,1/0,1*('Production Matrix'!A:A="تكلفة انتاج الوحدة")*ROW('Production Matrix'!#REF!))</f>
        <v>#REF!</v>
      </c>
      <c r="D1482" s="11" t="str">
        <f>IFERROR(_xlfn.AGGREGATE(15,6,$C$3:$C$53,ROW('Production Matrix'!#REF!)),"")</f>
        <v/>
      </c>
      <c r="E1482" s="11" t="str">
        <f t="shared" si="32"/>
        <v/>
      </c>
      <c r="F1482" s="12">
        <f>IFERROR(INDEX('Production Matrix'!$B:$B,E1482,0),0)</f>
        <v>0</v>
      </c>
    </row>
    <row r="1483" spans="3:6">
      <c r="C1483" s="11" t="e">
        <f>IF(1*('Production Matrix'!A:A="تكلفة انتاج الوحدة")*ROW('Production Matrix'!#REF!)=0,1/0,1*('Production Matrix'!A:A="تكلفة انتاج الوحدة")*ROW('Production Matrix'!#REF!))</f>
        <v>#REF!</v>
      </c>
      <c r="D1483" s="11" t="str">
        <f>IFERROR(_xlfn.AGGREGATE(15,6,$C$3:$C$53,ROW('Production Matrix'!#REF!)),"")</f>
        <v/>
      </c>
      <c r="E1483" s="11" t="str">
        <f t="shared" si="32"/>
        <v/>
      </c>
      <c r="F1483" s="12">
        <f>IFERROR(INDEX('Production Matrix'!$B:$B,E1483,0),0)</f>
        <v>0</v>
      </c>
    </row>
    <row r="1484" spans="3:6">
      <c r="C1484" s="11" t="e">
        <f>IF(1*('Production Matrix'!A:A="تكلفة انتاج الوحدة")*ROW('Production Matrix'!#REF!)=0,1/0,1*('Production Matrix'!A:A="تكلفة انتاج الوحدة")*ROW('Production Matrix'!#REF!))</f>
        <v>#REF!</v>
      </c>
      <c r="D1484" s="11" t="str">
        <f>IFERROR(_xlfn.AGGREGATE(15,6,$C$3:$C$53,ROW('Production Matrix'!#REF!)),"")</f>
        <v/>
      </c>
      <c r="E1484" s="11" t="str">
        <f t="shared" si="32"/>
        <v/>
      </c>
      <c r="F1484" s="12">
        <f>IFERROR(INDEX('Production Matrix'!$B:$B,E1484,0),0)</f>
        <v>0</v>
      </c>
    </row>
    <row r="1485" spans="3:6">
      <c r="C1485" s="11" t="e">
        <f>IF(1*('Production Matrix'!A:A="تكلفة انتاج الوحدة")*ROW('Production Matrix'!#REF!)=0,1/0,1*('Production Matrix'!A:A="تكلفة انتاج الوحدة")*ROW('Production Matrix'!#REF!))</f>
        <v>#REF!</v>
      </c>
      <c r="D1485" s="11" t="str">
        <f>IFERROR(_xlfn.AGGREGATE(15,6,$C$3:$C$53,ROW('Production Matrix'!#REF!)),"")</f>
        <v/>
      </c>
      <c r="E1485" s="11" t="str">
        <f t="shared" si="32"/>
        <v/>
      </c>
      <c r="F1485" s="12">
        <f>IFERROR(INDEX('Production Matrix'!$B:$B,E1485,0),0)</f>
        <v>0</v>
      </c>
    </row>
    <row r="1486" spans="3:6">
      <c r="C1486" s="11" t="e">
        <f>IF(1*('Production Matrix'!A:A="تكلفة انتاج الوحدة")*ROW('Production Matrix'!#REF!)=0,1/0,1*('Production Matrix'!A:A="تكلفة انتاج الوحدة")*ROW('Production Matrix'!#REF!))</f>
        <v>#REF!</v>
      </c>
      <c r="D1486" s="11" t="str">
        <f>IFERROR(_xlfn.AGGREGATE(15,6,$C$3:$C$53,ROW('Production Matrix'!#REF!)),"")</f>
        <v/>
      </c>
      <c r="E1486" s="11" t="str">
        <f t="shared" si="32"/>
        <v/>
      </c>
      <c r="F1486" s="12">
        <f>IFERROR(INDEX('Production Matrix'!$B:$B,E1486,0),0)</f>
        <v>0</v>
      </c>
    </row>
    <row r="1487" spans="3:6">
      <c r="C1487" s="11" t="e">
        <f>IF(1*('Production Matrix'!A:A="تكلفة انتاج الوحدة")*ROW('Production Matrix'!#REF!)=0,1/0,1*('Production Matrix'!A:A="تكلفة انتاج الوحدة")*ROW('Production Matrix'!#REF!))</f>
        <v>#REF!</v>
      </c>
      <c r="D1487" s="11" t="str">
        <f>IFERROR(_xlfn.AGGREGATE(15,6,$C$3:$C$53,ROW('Production Matrix'!#REF!)),"")</f>
        <v/>
      </c>
      <c r="E1487" s="11" t="str">
        <f t="shared" si="32"/>
        <v/>
      </c>
      <c r="F1487" s="12">
        <f>IFERROR(INDEX('Production Matrix'!$B:$B,E1487,0),0)</f>
        <v>0</v>
      </c>
    </row>
    <row r="1488" spans="3:6">
      <c r="C1488" s="11" t="e">
        <f>IF(1*('Production Matrix'!A:A="تكلفة انتاج الوحدة")*ROW('Production Matrix'!#REF!)=0,1/0,1*('Production Matrix'!A:A="تكلفة انتاج الوحدة")*ROW('Production Matrix'!#REF!))</f>
        <v>#REF!</v>
      </c>
      <c r="D1488" s="11" t="str">
        <f>IFERROR(_xlfn.AGGREGATE(15,6,$C$3:$C$53,ROW('Production Matrix'!#REF!)),"")</f>
        <v/>
      </c>
      <c r="E1488" s="11" t="str">
        <f t="shared" si="32"/>
        <v/>
      </c>
      <c r="F1488" s="12">
        <f>IFERROR(INDEX('Production Matrix'!$B:$B,E1488,0),0)</f>
        <v>0</v>
      </c>
    </row>
    <row r="1489" spans="3:6">
      <c r="C1489" s="11" t="e">
        <f>IF(1*('Production Matrix'!A:A="تكلفة انتاج الوحدة")*ROW('Production Matrix'!#REF!)=0,1/0,1*('Production Matrix'!A:A="تكلفة انتاج الوحدة")*ROW('Production Matrix'!#REF!))</f>
        <v>#REF!</v>
      </c>
      <c r="D1489" s="11" t="str">
        <f>IFERROR(_xlfn.AGGREGATE(15,6,$C$3:$C$53,ROW('Production Matrix'!#REF!)),"")</f>
        <v/>
      </c>
      <c r="E1489" s="11" t="str">
        <f t="shared" si="32"/>
        <v/>
      </c>
      <c r="F1489" s="12">
        <f>IFERROR(INDEX('Production Matrix'!$B:$B,E1489,0),0)</f>
        <v>0</v>
      </c>
    </row>
    <row r="1490" spans="3:6">
      <c r="C1490" s="11" t="e">
        <f>IF(1*('Production Matrix'!A:A="تكلفة انتاج الوحدة")*ROW('Production Matrix'!#REF!)=0,1/0,1*('Production Matrix'!A:A="تكلفة انتاج الوحدة")*ROW('Production Matrix'!#REF!))</f>
        <v>#REF!</v>
      </c>
      <c r="D1490" s="11" t="str">
        <f>IFERROR(_xlfn.AGGREGATE(15,6,$C$3:$C$53,ROW('Production Matrix'!#REF!)),"")</f>
        <v/>
      </c>
      <c r="E1490" s="11" t="str">
        <f t="shared" si="32"/>
        <v/>
      </c>
      <c r="F1490" s="12">
        <f>IFERROR(INDEX('Production Matrix'!$B:$B,E1490,0),0)</f>
        <v>0</v>
      </c>
    </row>
    <row r="1491" spans="3:6">
      <c r="C1491" s="11" t="e">
        <f>IF(1*('Production Matrix'!A:A="تكلفة انتاج الوحدة")*ROW('Production Matrix'!#REF!)=0,1/0,1*('Production Matrix'!A:A="تكلفة انتاج الوحدة")*ROW('Production Matrix'!#REF!))</f>
        <v>#REF!</v>
      </c>
      <c r="D1491" s="11" t="str">
        <f>IFERROR(_xlfn.AGGREGATE(15,6,$C$3:$C$53,ROW('Production Matrix'!#REF!)),"")</f>
        <v/>
      </c>
      <c r="E1491" s="11" t="str">
        <f t="shared" si="32"/>
        <v/>
      </c>
      <c r="F1491" s="12">
        <f>IFERROR(INDEX('Production Matrix'!$B:$B,E1491,0),0)</f>
        <v>0</v>
      </c>
    </row>
    <row r="1492" spans="3:6">
      <c r="C1492" s="11" t="e">
        <f>IF(1*('Production Matrix'!A:A="تكلفة انتاج الوحدة")*ROW('Production Matrix'!#REF!)=0,1/0,1*('Production Matrix'!A:A="تكلفة انتاج الوحدة")*ROW('Production Matrix'!#REF!))</f>
        <v>#REF!</v>
      </c>
      <c r="D1492" s="11" t="str">
        <f>IFERROR(_xlfn.AGGREGATE(15,6,$C$3:$C$53,ROW('Production Matrix'!#REF!)),"")</f>
        <v/>
      </c>
      <c r="E1492" s="11" t="str">
        <f t="shared" si="32"/>
        <v/>
      </c>
      <c r="F1492" s="12">
        <f>IFERROR(INDEX('Production Matrix'!$B:$B,E1492,0),0)</f>
        <v>0</v>
      </c>
    </row>
    <row r="1493" spans="3:6">
      <c r="C1493" s="11" t="e">
        <f>IF(1*('Production Matrix'!A:A="تكلفة انتاج الوحدة")*ROW('Production Matrix'!#REF!)=0,1/0,1*('Production Matrix'!A:A="تكلفة انتاج الوحدة")*ROW('Production Matrix'!#REF!))</f>
        <v>#REF!</v>
      </c>
      <c r="D1493" s="11" t="str">
        <f>IFERROR(_xlfn.AGGREGATE(15,6,$C$3:$C$53,ROW('Production Matrix'!#REF!)),"")</f>
        <v/>
      </c>
      <c r="E1493" s="11" t="str">
        <f t="shared" si="32"/>
        <v/>
      </c>
      <c r="F1493" s="12">
        <f>IFERROR(INDEX('Production Matrix'!$B:$B,E1493,0),0)</f>
        <v>0</v>
      </c>
    </row>
    <row r="1494" spans="3:6">
      <c r="C1494" s="11" t="e">
        <f>IF(1*('Production Matrix'!A:A="تكلفة انتاج الوحدة")*ROW('Production Matrix'!#REF!)=0,1/0,1*('Production Matrix'!A:A="تكلفة انتاج الوحدة")*ROW('Production Matrix'!#REF!))</f>
        <v>#REF!</v>
      </c>
      <c r="D1494" s="11" t="str">
        <f>IFERROR(_xlfn.AGGREGATE(15,6,$C$3:$C$53,ROW('Production Matrix'!#REF!)),"")</f>
        <v/>
      </c>
      <c r="E1494" s="11" t="str">
        <f t="shared" si="32"/>
        <v/>
      </c>
      <c r="F1494" s="12">
        <f>IFERROR(INDEX('Production Matrix'!$B:$B,E1494,0),0)</f>
        <v>0</v>
      </c>
    </row>
    <row r="1495" spans="3:6">
      <c r="C1495" s="11" t="e">
        <f>IF(1*('Production Matrix'!A:A="تكلفة انتاج الوحدة")*ROW('Production Matrix'!#REF!)=0,1/0,1*('Production Matrix'!A:A="تكلفة انتاج الوحدة")*ROW('Production Matrix'!#REF!))</f>
        <v>#REF!</v>
      </c>
      <c r="D1495" s="11" t="str">
        <f>IFERROR(_xlfn.AGGREGATE(15,6,$C$3:$C$53,ROW('Production Matrix'!#REF!)),"")</f>
        <v/>
      </c>
      <c r="E1495" s="11" t="str">
        <f t="shared" si="32"/>
        <v/>
      </c>
      <c r="F1495" s="12">
        <f>IFERROR(INDEX('Production Matrix'!$B:$B,E1495,0),0)</f>
        <v>0</v>
      </c>
    </row>
    <row r="1496" spans="3:6">
      <c r="C1496" s="11" t="e">
        <f>IF(1*('Production Matrix'!A:A="تكلفة انتاج الوحدة")*ROW('Production Matrix'!#REF!)=0,1/0,1*('Production Matrix'!A:A="تكلفة انتاج الوحدة")*ROW('Production Matrix'!#REF!))</f>
        <v>#REF!</v>
      </c>
      <c r="D1496" s="11" t="str">
        <f>IFERROR(_xlfn.AGGREGATE(15,6,$C$3:$C$53,ROW('Production Matrix'!#REF!)),"")</f>
        <v/>
      </c>
      <c r="E1496" s="11" t="str">
        <f t="shared" si="32"/>
        <v/>
      </c>
      <c r="F1496" s="12">
        <f>IFERROR(INDEX('Production Matrix'!$B:$B,E1496,0),0)</f>
        <v>0</v>
      </c>
    </row>
    <row r="1497" spans="3:6">
      <c r="C1497" s="11" t="e">
        <f>IF(1*('Production Matrix'!A:A="تكلفة انتاج الوحدة")*ROW('Production Matrix'!#REF!)=0,1/0,1*('Production Matrix'!A:A="تكلفة انتاج الوحدة")*ROW('Production Matrix'!#REF!))</f>
        <v>#REF!</v>
      </c>
      <c r="D1497" s="11" t="str">
        <f>IFERROR(_xlfn.AGGREGATE(15,6,$C$3:$C$53,ROW('Production Matrix'!#REF!)),"")</f>
        <v/>
      </c>
      <c r="E1497" s="11" t="str">
        <f t="shared" si="32"/>
        <v/>
      </c>
      <c r="F1497" s="12">
        <f>IFERROR(INDEX('Production Matrix'!$B:$B,E1497,0),0)</f>
        <v>0</v>
      </c>
    </row>
    <row r="1498" spans="3:6">
      <c r="C1498" s="11" t="e">
        <f>IF(1*('Production Matrix'!A:A="تكلفة انتاج الوحدة")*ROW('Production Matrix'!#REF!)=0,1/0,1*('Production Matrix'!A:A="تكلفة انتاج الوحدة")*ROW('Production Matrix'!#REF!))</f>
        <v>#REF!</v>
      </c>
      <c r="D1498" s="11" t="str">
        <f>IFERROR(_xlfn.AGGREGATE(15,6,$C$3:$C$53,ROW('Production Matrix'!#REF!)),"")</f>
        <v/>
      </c>
      <c r="E1498" s="11" t="str">
        <f t="shared" si="32"/>
        <v/>
      </c>
      <c r="F1498" s="12">
        <f>IFERROR(INDEX('Production Matrix'!$B:$B,E1498,0),0)</f>
        <v>0</v>
      </c>
    </row>
    <row r="1499" spans="3:6">
      <c r="C1499" s="11" t="e">
        <f>IF(1*('Production Matrix'!A:A="تكلفة انتاج الوحدة")*ROW('Production Matrix'!#REF!)=0,1/0,1*('Production Matrix'!A:A="تكلفة انتاج الوحدة")*ROW('Production Matrix'!#REF!))</f>
        <v>#REF!</v>
      </c>
      <c r="D1499" s="11" t="str">
        <f>IFERROR(_xlfn.AGGREGATE(15,6,$C$3:$C$53,ROW('Production Matrix'!#REF!)),"")</f>
        <v/>
      </c>
      <c r="E1499" s="11" t="str">
        <f t="shared" si="32"/>
        <v/>
      </c>
      <c r="F1499" s="12">
        <f>IFERROR(INDEX('Production Matrix'!$B:$B,E1499,0),0)</f>
        <v>0</v>
      </c>
    </row>
    <row r="1500" spans="3:6">
      <c r="C1500" s="11" t="e">
        <f>IF(1*('Production Matrix'!A:A="تكلفة انتاج الوحدة")*ROW('Production Matrix'!#REF!)=0,1/0,1*('Production Matrix'!A:A="تكلفة انتاج الوحدة")*ROW('Production Matrix'!#REF!))</f>
        <v>#REF!</v>
      </c>
      <c r="D1500" s="11" t="str">
        <f>IFERROR(_xlfn.AGGREGATE(15,6,$C$3:$C$53,ROW('Production Matrix'!#REF!)),"")</f>
        <v/>
      </c>
      <c r="E1500" s="11" t="str">
        <f t="shared" si="32"/>
        <v/>
      </c>
      <c r="F1500" s="12">
        <f>IFERROR(INDEX('Production Matrix'!$B:$B,E1500,0),0)</f>
        <v>0</v>
      </c>
    </row>
    <row r="1501" spans="3:6">
      <c r="C1501" s="11" t="e">
        <f>IF(1*('Production Matrix'!A:A="تكلفة انتاج الوحدة")*ROW('Production Matrix'!#REF!)=0,1/0,1*('Production Matrix'!A:A="تكلفة انتاج الوحدة")*ROW('Production Matrix'!#REF!))</f>
        <v>#REF!</v>
      </c>
      <c r="D1501" s="11" t="str">
        <f>IFERROR(_xlfn.AGGREGATE(15,6,$C$3:$C$53,ROW('Production Matrix'!#REF!)),"")</f>
        <v/>
      </c>
      <c r="E1501" s="11" t="str">
        <f t="shared" si="32"/>
        <v/>
      </c>
      <c r="F1501" s="12">
        <f>IFERROR(INDEX('Production Matrix'!$B:$B,E1501,0),0)</f>
        <v>0</v>
      </c>
    </row>
    <row r="1502" spans="3:6">
      <c r="C1502" s="11" t="e">
        <f>IF(1*('Production Matrix'!A:A="تكلفة انتاج الوحدة")*ROW('Production Matrix'!#REF!)=0,1/0,1*('Production Matrix'!A:A="تكلفة انتاج الوحدة")*ROW('Production Matrix'!#REF!))</f>
        <v>#REF!</v>
      </c>
      <c r="D1502" s="11" t="str">
        <f>IFERROR(_xlfn.AGGREGATE(15,6,$C$3:$C$53,ROW('Production Matrix'!#REF!)),"")</f>
        <v/>
      </c>
      <c r="E1502" s="11" t="str">
        <f t="shared" si="32"/>
        <v/>
      </c>
      <c r="F1502" s="12">
        <f>IFERROR(INDEX('Production Matrix'!$B:$B,E1502,0),0)</f>
        <v>0</v>
      </c>
    </row>
    <row r="1503" spans="3:6">
      <c r="C1503" s="11" t="e">
        <f>IF(1*('Production Matrix'!A:A="تكلفة انتاج الوحدة")*ROW('Production Matrix'!#REF!)=0,1/0,1*('Production Matrix'!A:A="تكلفة انتاج الوحدة")*ROW('Production Matrix'!#REF!))</f>
        <v>#REF!</v>
      </c>
      <c r="D1503" s="11" t="str">
        <f>IFERROR(_xlfn.AGGREGATE(15,6,$C$3:$C$53,ROW('Production Matrix'!#REF!)),"")</f>
        <v/>
      </c>
      <c r="E1503" s="11" t="str">
        <f t="shared" si="32"/>
        <v/>
      </c>
      <c r="F1503" s="12">
        <f>IFERROR(INDEX('Production Matrix'!$B:$B,E1503,0),0)</f>
        <v>0</v>
      </c>
    </row>
    <row r="1504" spans="3:6">
      <c r="C1504" s="11" t="e">
        <f>IF(1*('Production Matrix'!A:A="تكلفة انتاج الوحدة")*ROW('Production Matrix'!#REF!)=0,1/0,1*('Production Matrix'!A:A="تكلفة انتاج الوحدة")*ROW('Production Matrix'!#REF!))</f>
        <v>#REF!</v>
      </c>
      <c r="D1504" s="11" t="str">
        <f>IFERROR(_xlfn.AGGREGATE(15,6,$C$3:$C$53,ROW('Production Matrix'!#REF!)),"")</f>
        <v/>
      </c>
      <c r="E1504" s="11" t="str">
        <f t="shared" si="32"/>
        <v/>
      </c>
      <c r="F1504" s="12">
        <f>IFERROR(INDEX('Production Matrix'!$B:$B,E1504,0),0)</f>
        <v>0</v>
      </c>
    </row>
    <row r="1505" spans="3:6">
      <c r="C1505" s="11" t="e">
        <f>IF(1*('Production Matrix'!A:A="تكلفة انتاج الوحدة")*ROW('Production Matrix'!#REF!)=0,1/0,1*('Production Matrix'!A:A="تكلفة انتاج الوحدة")*ROW('Production Matrix'!#REF!))</f>
        <v>#REF!</v>
      </c>
      <c r="D1505" s="11" t="str">
        <f>IFERROR(_xlfn.AGGREGATE(15,6,$C$3:$C$53,ROW('Production Matrix'!#REF!)),"")</f>
        <v/>
      </c>
      <c r="E1505" s="11" t="str">
        <f t="shared" si="32"/>
        <v/>
      </c>
      <c r="F1505" s="12">
        <f>IFERROR(INDEX('Production Matrix'!$B:$B,E1505,0),0)</f>
        <v>0</v>
      </c>
    </row>
    <row r="1506" spans="3:6">
      <c r="C1506" s="11" t="e">
        <f>IF(1*('Production Matrix'!A:A="تكلفة انتاج الوحدة")*ROW('Production Matrix'!#REF!)=0,1/0,1*('Production Matrix'!A:A="تكلفة انتاج الوحدة")*ROW('Production Matrix'!#REF!))</f>
        <v>#REF!</v>
      </c>
      <c r="D1506" s="11" t="str">
        <f>IFERROR(_xlfn.AGGREGATE(15,6,$C$3:$C$53,ROW('Production Matrix'!#REF!)),"")</f>
        <v/>
      </c>
      <c r="E1506" s="11" t="str">
        <f t="shared" si="32"/>
        <v/>
      </c>
      <c r="F1506" s="12">
        <f>IFERROR(INDEX('Production Matrix'!$B:$B,E1506,0),0)</f>
        <v>0</v>
      </c>
    </row>
    <row r="1507" spans="3:6">
      <c r="C1507" s="11" t="e">
        <f>IF(1*('Production Matrix'!A:A="تكلفة انتاج الوحدة")*ROW('Production Matrix'!#REF!)=0,1/0,1*('Production Matrix'!A:A="تكلفة انتاج الوحدة")*ROW('Production Matrix'!#REF!))</f>
        <v>#REF!</v>
      </c>
      <c r="D1507" s="11" t="str">
        <f>IFERROR(_xlfn.AGGREGATE(15,6,$C$3:$C$53,ROW('Production Matrix'!#REF!)),"")</f>
        <v/>
      </c>
      <c r="E1507" s="11" t="str">
        <f t="shared" si="32"/>
        <v/>
      </c>
      <c r="F1507" s="12">
        <f>IFERROR(INDEX('Production Matrix'!$B:$B,E1507,0),0)</f>
        <v>0</v>
      </c>
    </row>
    <row r="1508" spans="3:6">
      <c r="C1508" s="11" t="e">
        <f>IF(1*('Production Matrix'!A:A="تكلفة انتاج الوحدة")*ROW('Production Matrix'!#REF!)=0,1/0,1*('Production Matrix'!A:A="تكلفة انتاج الوحدة")*ROW('Production Matrix'!#REF!))</f>
        <v>#REF!</v>
      </c>
      <c r="D1508" s="11" t="str">
        <f>IFERROR(_xlfn.AGGREGATE(15,6,$C$3:$C$53,ROW('Production Matrix'!#REF!)),"")</f>
        <v/>
      </c>
      <c r="E1508" s="11" t="str">
        <f t="shared" si="32"/>
        <v/>
      </c>
      <c r="F1508" s="12">
        <f>IFERROR(INDEX('Production Matrix'!$B:$B,E1508,0),0)</f>
        <v>0</v>
      </c>
    </row>
    <row r="1509" spans="3:6">
      <c r="C1509" s="11" t="e">
        <f>IF(1*('Production Matrix'!A:A="تكلفة انتاج الوحدة")*ROW('Production Matrix'!#REF!)=0,1/0,1*('Production Matrix'!A:A="تكلفة انتاج الوحدة")*ROW('Production Matrix'!#REF!))</f>
        <v>#REF!</v>
      </c>
      <c r="D1509" s="11" t="str">
        <f>IFERROR(_xlfn.AGGREGATE(15,6,$C$3:$C$53,ROW('Production Matrix'!#REF!)),"")</f>
        <v/>
      </c>
      <c r="E1509" s="11" t="str">
        <f t="shared" si="32"/>
        <v/>
      </c>
      <c r="F1509" s="12">
        <f>IFERROR(INDEX('Production Matrix'!$B:$B,E1509,0),0)</f>
        <v>0</v>
      </c>
    </row>
    <row r="1510" spans="3:6">
      <c r="C1510" s="11" t="e">
        <f>IF(1*('Production Matrix'!A:A="تكلفة انتاج الوحدة")*ROW('Production Matrix'!#REF!)=0,1/0,1*('Production Matrix'!A:A="تكلفة انتاج الوحدة")*ROW('Production Matrix'!#REF!))</f>
        <v>#REF!</v>
      </c>
      <c r="D1510" s="11" t="str">
        <f>IFERROR(_xlfn.AGGREGATE(15,6,$C$3:$C$53,ROW('Production Matrix'!#REF!)),"")</f>
        <v/>
      </c>
      <c r="E1510" s="11" t="str">
        <f t="shared" si="32"/>
        <v/>
      </c>
      <c r="F1510" s="12">
        <f>IFERROR(INDEX('Production Matrix'!$B:$B,E1510,0),0)</f>
        <v>0</v>
      </c>
    </row>
    <row r="1511" spans="3:6">
      <c r="C1511" s="11" t="e">
        <f>IF(1*('Production Matrix'!A:A="تكلفة انتاج الوحدة")*ROW('Production Matrix'!#REF!)=0,1/0,1*('Production Matrix'!A:A="تكلفة انتاج الوحدة")*ROW('Production Matrix'!#REF!))</f>
        <v>#REF!</v>
      </c>
      <c r="D1511" s="11" t="str">
        <f>IFERROR(_xlfn.AGGREGATE(15,6,$C$3:$C$53,ROW('Production Matrix'!#REF!)),"")</f>
        <v/>
      </c>
      <c r="E1511" s="11" t="str">
        <f t="shared" si="32"/>
        <v/>
      </c>
      <c r="F1511" s="12">
        <f>IFERROR(INDEX('Production Matrix'!$B:$B,E1511,0),0)</f>
        <v>0</v>
      </c>
    </row>
    <row r="1512" spans="3:6">
      <c r="C1512" s="11" t="e">
        <f>IF(1*('Production Matrix'!A:A="تكلفة انتاج الوحدة")*ROW('Production Matrix'!#REF!)=0,1/0,1*('Production Matrix'!A:A="تكلفة انتاج الوحدة")*ROW('Production Matrix'!#REF!))</f>
        <v>#REF!</v>
      </c>
      <c r="D1512" s="11" t="str">
        <f>IFERROR(_xlfn.AGGREGATE(15,6,$C$3:$C$53,ROW('Production Matrix'!#REF!)),"")</f>
        <v/>
      </c>
      <c r="E1512" s="11" t="str">
        <f t="shared" si="32"/>
        <v/>
      </c>
      <c r="F1512" s="12">
        <f>IFERROR(INDEX('Production Matrix'!$B:$B,E1512,0),0)</f>
        <v>0</v>
      </c>
    </row>
    <row r="1513" spans="3:6">
      <c r="C1513" s="11" t="e">
        <f>IF(1*('Production Matrix'!A:A="تكلفة انتاج الوحدة")*ROW('Production Matrix'!#REF!)=0,1/0,1*('Production Matrix'!A:A="تكلفة انتاج الوحدة")*ROW('Production Matrix'!#REF!))</f>
        <v>#REF!</v>
      </c>
      <c r="D1513" s="11" t="str">
        <f>IFERROR(_xlfn.AGGREGATE(15,6,$C$3:$C$53,ROW('Production Matrix'!#REF!)),"")</f>
        <v/>
      </c>
      <c r="E1513" s="11" t="str">
        <f t="shared" si="32"/>
        <v/>
      </c>
      <c r="F1513" s="12">
        <f>IFERROR(INDEX('Production Matrix'!$B:$B,E1513,0),0)</f>
        <v>0</v>
      </c>
    </row>
    <row r="1514" spans="3:6">
      <c r="C1514" s="11" t="e">
        <f>IF(1*('Production Matrix'!A:A="تكلفة انتاج الوحدة")*ROW('Production Matrix'!#REF!)=0,1/0,1*('Production Matrix'!A:A="تكلفة انتاج الوحدة")*ROW('Production Matrix'!#REF!))</f>
        <v>#REF!</v>
      </c>
      <c r="D1514" s="11" t="str">
        <f>IFERROR(_xlfn.AGGREGATE(15,6,$C$3:$C$53,ROW('Production Matrix'!#REF!)),"")</f>
        <v/>
      </c>
      <c r="E1514" s="11" t="str">
        <f t="shared" si="32"/>
        <v/>
      </c>
      <c r="F1514" s="12">
        <f>IFERROR(INDEX('Production Matrix'!$B:$B,E1514,0),0)</f>
        <v>0</v>
      </c>
    </row>
    <row r="1515" spans="3:6">
      <c r="C1515" s="11" t="e">
        <f>IF(1*('Production Matrix'!A:A="تكلفة انتاج الوحدة")*ROW('Production Matrix'!#REF!)=0,1/0,1*('Production Matrix'!A:A="تكلفة انتاج الوحدة")*ROW('Production Matrix'!#REF!))</f>
        <v>#REF!</v>
      </c>
      <c r="D1515" s="11" t="str">
        <f>IFERROR(_xlfn.AGGREGATE(15,6,$C$3:$C$53,ROW('Production Matrix'!#REF!)),"")</f>
        <v/>
      </c>
      <c r="E1515" s="11" t="str">
        <f t="shared" si="32"/>
        <v/>
      </c>
      <c r="F1515" s="12">
        <f>IFERROR(INDEX('Production Matrix'!$B:$B,E1515,0),0)</f>
        <v>0</v>
      </c>
    </row>
    <row r="1516" spans="3:6">
      <c r="C1516" s="11" t="e">
        <f>IF(1*('Production Matrix'!A:A="تكلفة انتاج الوحدة")*ROW('Production Matrix'!#REF!)=0,1/0,1*('Production Matrix'!A:A="تكلفة انتاج الوحدة")*ROW('Production Matrix'!#REF!))</f>
        <v>#REF!</v>
      </c>
      <c r="D1516" s="11" t="str">
        <f>IFERROR(_xlfn.AGGREGATE(15,6,$C$3:$C$53,ROW('Production Matrix'!#REF!)),"")</f>
        <v/>
      </c>
      <c r="E1516" s="11" t="str">
        <f t="shared" si="32"/>
        <v/>
      </c>
      <c r="F1516" s="12">
        <f>IFERROR(INDEX('Production Matrix'!$B:$B,E1516,0),0)</f>
        <v>0</v>
      </c>
    </row>
    <row r="1517" spans="3:6">
      <c r="C1517" s="11" t="e">
        <f>IF(1*('Production Matrix'!A:A="تكلفة انتاج الوحدة")*ROW('Production Matrix'!#REF!)=0,1/0,1*('Production Matrix'!A:A="تكلفة انتاج الوحدة")*ROW('Production Matrix'!#REF!))</f>
        <v>#REF!</v>
      </c>
      <c r="D1517" s="11" t="str">
        <f>IFERROR(_xlfn.AGGREGATE(15,6,$C$3:$C$53,ROW('Production Matrix'!#REF!)),"")</f>
        <v/>
      </c>
      <c r="E1517" s="11" t="str">
        <f t="shared" si="32"/>
        <v/>
      </c>
      <c r="F1517" s="12">
        <f>IFERROR(INDEX('Production Matrix'!$B:$B,E1517,0),0)</f>
        <v>0</v>
      </c>
    </row>
    <row r="1518" spans="3:6">
      <c r="C1518" s="11" t="e">
        <f>IF(1*('Production Matrix'!A:A="تكلفة انتاج الوحدة")*ROW('Production Matrix'!#REF!)=0,1/0,1*('Production Matrix'!A:A="تكلفة انتاج الوحدة")*ROW('Production Matrix'!#REF!))</f>
        <v>#REF!</v>
      </c>
      <c r="D1518" s="11" t="str">
        <f>IFERROR(_xlfn.AGGREGATE(15,6,$C$3:$C$53,ROW('Production Matrix'!#REF!)),"")</f>
        <v/>
      </c>
      <c r="E1518" s="11" t="str">
        <f t="shared" si="32"/>
        <v/>
      </c>
      <c r="F1518" s="12">
        <f>IFERROR(INDEX('Production Matrix'!$B:$B,E1518,0),0)</f>
        <v>0</v>
      </c>
    </row>
    <row r="1519" spans="3:6">
      <c r="C1519" s="11" t="e">
        <f>IF(1*('Production Matrix'!A:A="تكلفة انتاج الوحدة")*ROW('Production Matrix'!#REF!)=0,1/0,1*('Production Matrix'!A:A="تكلفة انتاج الوحدة")*ROW('Production Matrix'!#REF!))</f>
        <v>#REF!</v>
      </c>
      <c r="D1519" s="11" t="str">
        <f>IFERROR(_xlfn.AGGREGATE(15,6,$C$3:$C$53,ROW('Production Matrix'!#REF!)),"")</f>
        <v/>
      </c>
      <c r="E1519" s="11" t="str">
        <f t="shared" si="32"/>
        <v/>
      </c>
      <c r="F1519" s="12">
        <f>IFERROR(INDEX('Production Matrix'!$B:$B,E1519,0),0)</f>
        <v>0</v>
      </c>
    </row>
    <row r="1520" spans="3:6">
      <c r="C1520" s="11" t="e">
        <f>IF(1*('Production Matrix'!A:A="تكلفة انتاج الوحدة")*ROW('Production Matrix'!#REF!)=0,1/0,1*('Production Matrix'!A:A="تكلفة انتاج الوحدة")*ROW('Production Matrix'!#REF!))</f>
        <v>#REF!</v>
      </c>
      <c r="D1520" s="11" t="str">
        <f>IFERROR(_xlfn.AGGREGATE(15,6,$C$3:$C$53,ROW('Production Matrix'!#REF!)),"")</f>
        <v/>
      </c>
      <c r="E1520" s="11" t="str">
        <f t="shared" si="32"/>
        <v/>
      </c>
      <c r="F1520" s="12">
        <f>IFERROR(INDEX('Production Matrix'!$B:$B,E1520,0),0)</f>
        <v>0</v>
      </c>
    </row>
    <row r="1521" spans="3:6">
      <c r="C1521" s="11" t="e">
        <f>IF(1*('Production Matrix'!A:A="تكلفة انتاج الوحدة")*ROW('Production Matrix'!#REF!)=0,1/0,1*('Production Matrix'!A:A="تكلفة انتاج الوحدة")*ROW('Production Matrix'!#REF!))</f>
        <v>#REF!</v>
      </c>
      <c r="D1521" s="11" t="str">
        <f>IFERROR(_xlfn.AGGREGATE(15,6,$C$3:$C$53,ROW('Production Matrix'!#REF!)),"")</f>
        <v/>
      </c>
      <c r="E1521" s="11" t="str">
        <f t="shared" si="32"/>
        <v/>
      </c>
      <c r="F1521" s="12">
        <f>IFERROR(INDEX('Production Matrix'!$B:$B,E1521,0),0)</f>
        <v>0</v>
      </c>
    </row>
    <row r="1522" spans="3:6">
      <c r="C1522" s="11" t="e">
        <f>IF(1*('Production Matrix'!A:A="تكلفة انتاج الوحدة")*ROW('Production Matrix'!#REF!)=0,1/0,1*('Production Matrix'!A:A="تكلفة انتاج الوحدة")*ROW('Production Matrix'!#REF!))</f>
        <v>#REF!</v>
      </c>
      <c r="D1522" s="11" t="str">
        <f>IFERROR(_xlfn.AGGREGATE(15,6,$C$3:$C$53,ROW('Production Matrix'!#REF!)),"")</f>
        <v/>
      </c>
      <c r="E1522" s="11" t="str">
        <f t="shared" si="32"/>
        <v/>
      </c>
      <c r="F1522" s="12">
        <f>IFERROR(INDEX('Production Matrix'!$B:$B,E1522,0),0)</f>
        <v>0</v>
      </c>
    </row>
    <row r="1523" spans="3:6">
      <c r="C1523" s="11" t="e">
        <f>IF(1*('Production Matrix'!A:A="تكلفة انتاج الوحدة")*ROW('Production Matrix'!#REF!)=0,1/0,1*('Production Matrix'!A:A="تكلفة انتاج الوحدة")*ROW('Production Matrix'!#REF!))</f>
        <v>#REF!</v>
      </c>
      <c r="D1523" s="11" t="str">
        <f>IFERROR(_xlfn.AGGREGATE(15,6,$C$3:$C$53,ROW('Production Matrix'!#REF!)),"")</f>
        <v/>
      </c>
      <c r="E1523" s="11" t="str">
        <f t="shared" si="32"/>
        <v/>
      </c>
      <c r="F1523" s="12">
        <f>IFERROR(INDEX('Production Matrix'!$B:$B,E1523,0),0)</f>
        <v>0</v>
      </c>
    </row>
    <row r="1524" spans="3:6">
      <c r="C1524" s="11" t="e">
        <f>IF(1*('Production Matrix'!A:A="تكلفة انتاج الوحدة")*ROW('Production Matrix'!#REF!)=0,1/0,1*('Production Matrix'!A:A="تكلفة انتاج الوحدة")*ROW('Production Matrix'!#REF!))</f>
        <v>#REF!</v>
      </c>
      <c r="D1524" s="11" t="str">
        <f>IFERROR(_xlfn.AGGREGATE(15,6,$C$3:$C$53,ROW('Production Matrix'!#REF!)),"")</f>
        <v/>
      </c>
      <c r="E1524" s="11" t="str">
        <f t="shared" si="32"/>
        <v/>
      </c>
      <c r="F1524" s="12">
        <f>IFERROR(INDEX('Production Matrix'!$B:$B,E1524,0),0)</f>
        <v>0</v>
      </c>
    </row>
    <row r="1525" spans="3:6">
      <c r="C1525" s="11" t="e">
        <f>IF(1*('Production Matrix'!A:A="تكلفة انتاج الوحدة")*ROW('Production Matrix'!#REF!)=0,1/0,1*('Production Matrix'!A:A="تكلفة انتاج الوحدة")*ROW('Production Matrix'!#REF!))</f>
        <v>#REF!</v>
      </c>
      <c r="D1525" s="11" t="str">
        <f>IFERROR(_xlfn.AGGREGATE(15,6,$C$3:$C$53,ROW('Production Matrix'!#REF!)),"")</f>
        <v/>
      </c>
      <c r="E1525" s="11" t="str">
        <f t="shared" si="32"/>
        <v/>
      </c>
      <c r="F1525" s="12">
        <f>IFERROR(INDEX('Production Matrix'!$B:$B,E1525,0),0)</f>
        <v>0</v>
      </c>
    </row>
    <row r="1526" spans="3:6">
      <c r="C1526" s="11" t="e">
        <f>IF(1*('Production Matrix'!A:A="تكلفة انتاج الوحدة")*ROW('Production Matrix'!#REF!)=0,1/0,1*('Production Matrix'!A:A="تكلفة انتاج الوحدة")*ROW('Production Matrix'!#REF!))</f>
        <v>#REF!</v>
      </c>
      <c r="D1526" s="11" t="str">
        <f>IFERROR(_xlfn.AGGREGATE(15,6,$C$3:$C$53,ROW('Production Matrix'!#REF!)),"")</f>
        <v/>
      </c>
      <c r="E1526" s="11" t="str">
        <f t="shared" si="32"/>
        <v/>
      </c>
      <c r="F1526" s="12">
        <f>IFERROR(INDEX('Production Matrix'!$B:$B,E1526,0),0)</f>
        <v>0</v>
      </c>
    </row>
    <row r="1527" spans="3:6">
      <c r="C1527" s="11" t="e">
        <f>IF(1*('Production Matrix'!A:A="تكلفة انتاج الوحدة")*ROW('Production Matrix'!#REF!)=0,1/0,1*('Production Matrix'!A:A="تكلفة انتاج الوحدة")*ROW('Production Matrix'!#REF!))</f>
        <v>#REF!</v>
      </c>
      <c r="D1527" s="11" t="str">
        <f>IFERROR(_xlfn.AGGREGATE(15,6,$C$3:$C$53,ROW('Production Matrix'!#REF!)),"")</f>
        <v/>
      </c>
      <c r="E1527" s="11" t="str">
        <f t="shared" si="32"/>
        <v/>
      </c>
      <c r="F1527" s="12">
        <f>IFERROR(INDEX('Production Matrix'!$B:$B,E1527,0),0)</f>
        <v>0</v>
      </c>
    </row>
    <row r="1528" spans="3:6">
      <c r="C1528" s="11" t="e">
        <f>IF(1*('Production Matrix'!A:A="تكلفة انتاج الوحدة")*ROW('Production Matrix'!#REF!)=0,1/0,1*('Production Matrix'!A:A="تكلفة انتاج الوحدة")*ROW('Production Matrix'!#REF!))</f>
        <v>#REF!</v>
      </c>
      <c r="D1528" s="11" t="str">
        <f>IFERROR(_xlfn.AGGREGATE(15,6,$C$3:$C$53,ROW('Production Matrix'!#REF!)),"")</f>
        <v/>
      </c>
      <c r="E1528" s="11" t="str">
        <f t="shared" si="32"/>
        <v/>
      </c>
      <c r="F1528" s="12">
        <f>IFERROR(INDEX('Production Matrix'!$B:$B,E1528,0),0)</f>
        <v>0</v>
      </c>
    </row>
    <row r="1529" spans="3:6">
      <c r="C1529" s="11" t="e">
        <f>IF(1*('Production Matrix'!A:A="تكلفة انتاج الوحدة")*ROW('Production Matrix'!#REF!)=0,1/0,1*('Production Matrix'!A:A="تكلفة انتاج الوحدة")*ROW('Production Matrix'!#REF!))</f>
        <v>#REF!</v>
      </c>
      <c r="D1529" s="11" t="str">
        <f>IFERROR(_xlfn.AGGREGATE(15,6,$C$3:$C$53,ROW('Production Matrix'!#REF!)),"")</f>
        <v/>
      </c>
      <c r="E1529" s="11" t="str">
        <f t="shared" si="32"/>
        <v/>
      </c>
      <c r="F1529" s="12">
        <f>IFERROR(INDEX('Production Matrix'!$B:$B,E1529,0),0)</f>
        <v>0</v>
      </c>
    </row>
    <row r="1530" spans="3:6">
      <c r="C1530" s="11" t="e">
        <f>IF(1*('Production Matrix'!A:A="تكلفة انتاج الوحدة")*ROW('Production Matrix'!#REF!)=0,1/0,1*('Production Matrix'!A:A="تكلفة انتاج الوحدة")*ROW('Production Matrix'!#REF!))</f>
        <v>#REF!</v>
      </c>
      <c r="D1530" s="11" t="str">
        <f>IFERROR(_xlfn.AGGREGATE(15,6,$C$3:$C$53,ROW('Production Matrix'!#REF!)),"")</f>
        <v/>
      </c>
      <c r="E1530" s="11" t="str">
        <f t="shared" si="32"/>
        <v/>
      </c>
      <c r="F1530" s="12">
        <f>IFERROR(INDEX('Production Matrix'!$B:$B,E1530,0),0)</f>
        <v>0</v>
      </c>
    </row>
    <row r="1531" spans="3:6">
      <c r="C1531" s="11" t="e">
        <f>IF(1*('Production Matrix'!A:A="تكلفة انتاج الوحدة")*ROW('Production Matrix'!#REF!)=0,1/0,1*('Production Matrix'!A:A="تكلفة انتاج الوحدة")*ROW('Production Matrix'!#REF!))</f>
        <v>#REF!</v>
      </c>
      <c r="D1531" s="11" t="str">
        <f>IFERROR(_xlfn.AGGREGATE(15,6,$C$3:$C$53,ROW('Production Matrix'!#REF!)),"")</f>
        <v/>
      </c>
      <c r="E1531" s="11" t="str">
        <f t="shared" si="32"/>
        <v/>
      </c>
      <c r="F1531" s="12">
        <f>IFERROR(INDEX('Production Matrix'!$B:$B,E1531,0),0)</f>
        <v>0</v>
      </c>
    </row>
    <row r="1532" spans="3:6">
      <c r="C1532" s="11" t="e">
        <f>IF(1*('Production Matrix'!A:A="تكلفة انتاج الوحدة")*ROW('Production Matrix'!#REF!)=0,1/0,1*('Production Matrix'!A:A="تكلفة انتاج الوحدة")*ROW('Production Matrix'!#REF!))</f>
        <v>#REF!</v>
      </c>
      <c r="D1532" s="11" t="str">
        <f>IFERROR(_xlfn.AGGREGATE(15,6,$C$3:$C$53,ROW('Production Matrix'!#REF!)),"")</f>
        <v/>
      </c>
      <c r="E1532" s="11" t="str">
        <f t="shared" si="32"/>
        <v/>
      </c>
      <c r="F1532" s="12">
        <f>IFERROR(INDEX('Production Matrix'!$B:$B,E1532,0),0)</f>
        <v>0</v>
      </c>
    </row>
    <row r="1533" spans="3:6">
      <c r="C1533" s="11" t="e">
        <f>IF(1*('Production Matrix'!A:A="تكلفة انتاج الوحدة")*ROW('Production Matrix'!#REF!)=0,1/0,1*('Production Matrix'!A:A="تكلفة انتاج الوحدة")*ROW('Production Matrix'!#REF!))</f>
        <v>#REF!</v>
      </c>
      <c r="D1533" s="11" t="str">
        <f>IFERROR(_xlfn.AGGREGATE(15,6,$C$3:$C$53,ROW('Production Matrix'!#REF!)),"")</f>
        <v/>
      </c>
      <c r="E1533" s="11" t="str">
        <f t="shared" si="32"/>
        <v/>
      </c>
      <c r="F1533" s="12">
        <f>IFERROR(INDEX('Production Matrix'!$B:$B,E1533,0),0)</f>
        <v>0</v>
      </c>
    </row>
    <row r="1534" spans="3:6">
      <c r="C1534" s="11" t="e">
        <f>IF(1*('Production Matrix'!A:A="تكلفة انتاج الوحدة")*ROW('Production Matrix'!#REF!)=0,1/0,1*('Production Matrix'!A:A="تكلفة انتاج الوحدة")*ROW('Production Matrix'!#REF!))</f>
        <v>#REF!</v>
      </c>
      <c r="D1534" s="11" t="str">
        <f>IFERROR(_xlfn.AGGREGATE(15,6,$C$3:$C$53,ROW('Production Matrix'!#REF!)),"")</f>
        <v/>
      </c>
      <c r="E1534" s="11" t="str">
        <f t="shared" si="32"/>
        <v/>
      </c>
      <c r="F1534" s="12">
        <f>IFERROR(INDEX('Production Matrix'!$B:$B,E1534,0),0)</f>
        <v>0</v>
      </c>
    </row>
    <row r="1535" spans="3:6">
      <c r="C1535" s="11" t="e">
        <f>IF(1*('Production Matrix'!A:A="تكلفة انتاج الوحدة")*ROW('Production Matrix'!#REF!)=0,1/0,1*('Production Matrix'!A:A="تكلفة انتاج الوحدة")*ROW('Production Matrix'!#REF!))</f>
        <v>#REF!</v>
      </c>
      <c r="D1535" s="11" t="str">
        <f>IFERROR(_xlfn.AGGREGATE(15,6,$C$3:$C$53,ROW('Production Matrix'!#REF!)),"")</f>
        <v/>
      </c>
      <c r="E1535" s="11" t="str">
        <f t="shared" si="32"/>
        <v/>
      </c>
      <c r="F1535" s="12">
        <f>IFERROR(INDEX('Production Matrix'!$B:$B,E1535,0),0)</f>
        <v>0</v>
      </c>
    </row>
    <row r="1536" spans="3:6">
      <c r="C1536" s="11" t="e">
        <f>IF(1*('Production Matrix'!A:A="تكلفة انتاج الوحدة")*ROW('Production Matrix'!#REF!)=0,1/0,1*('Production Matrix'!A:A="تكلفة انتاج الوحدة")*ROW('Production Matrix'!#REF!))</f>
        <v>#REF!</v>
      </c>
      <c r="D1536" s="11" t="str">
        <f>IFERROR(_xlfn.AGGREGATE(15,6,$C$3:$C$53,ROW('Production Matrix'!#REF!)),"")</f>
        <v/>
      </c>
      <c r="E1536" s="11" t="str">
        <f t="shared" si="32"/>
        <v/>
      </c>
      <c r="F1536" s="12">
        <f>IFERROR(INDEX('Production Matrix'!$B:$B,E1536,0),0)</f>
        <v>0</v>
      </c>
    </row>
    <row r="1537" spans="3:6">
      <c r="C1537" s="11" t="e">
        <f>IF(1*('Production Matrix'!A:A="تكلفة انتاج الوحدة")*ROW('Production Matrix'!#REF!)=0,1/0,1*('Production Matrix'!A:A="تكلفة انتاج الوحدة")*ROW('Production Matrix'!#REF!))</f>
        <v>#REF!</v>
      </c>
      <c r="D1537" s="11" t="str">
        <f>IFERROR(_xlfn.AGGREGATE(15,6,$C$3:$C$53,ROW('Production Matrix'!#REF!)),"")</f>
        <v/>
      </c>
      <c r="E1537" s="11" t="str">
        <f t="shared" si="32"/>
        <v/>
      </c>
      <c r="F1537" s="12">
        <f>IFERROR(INDEX('Production Matrix'!$B:$B,E1537,0),0)</f>
        <v>0</v>
      </c>
    </row>
    <row r="1538" spans="3:6">
      <c r="C1538" s="11" t="e">
        <f>IF(1*('Production Matrix'!A:A="تكلفة انتاج الوحدة")*ROW('Production Matrix'!#REF!)=0,1/0,1*('Production Matrix'!A:A="تكلفة انتاج الوحدة")*ROW('Production Matrix'!#REF!))</f>
        <v>#REF!</v>
      </c>
      <c r="D1538" s="11" t="str">
        <f>IFERROR(_xlfn.AGGREGATE(15,6,$C$3:$C$53,ROW('Production Matrix'!#REF!)),"")</f>
        <v/>
      </c>
      <c r="E1538" s="11" t="str">
        <f t="shared" si="32"/>
        <v/>
      </c>
      <c r="F1538" s="12">
        <f>IFERROR(INDEX('Production Matrix'!$B:$B,E1538,0),0)</f>
        <v>0</v>
      </c>
    </row>
    <row r="1539" spans="3:6">
      <c r="C1539" s="11" t="e">
        <f>IF(1*('Production Matrix'!A:A="تكلفة انتاج الوحدة")*ROW('Production Matrix'!#REF!)=0,1/0,1*('Production Matrix'!A:A="تكلفة انتاج الوحدة")*ROW('Production Matrix'!#REF!))</f>
        <v>#REF!</v>
      </c>
      <c r="D1539" s="11" t="str">
        <f>IFERROR(_xlfn.AGGREGATE(15,6,$C$3:$C$53,ROW('Production Matrix'!#REF!)),"")</f>
        <v/>
      </c>
      <c r="E1539" s="11" t="str">
        <f t="shared" si="32"/>
        <v/>
      </c>
      <c r="F1539" s="12">
        <f>IFERROR(INDEX('Production Matrix'!$B:$B,E1539,0),0)</f>
        <v>0</v>
      </c>
    </row>
    <row r="1540" spans="3:6">
      <c r="C1540" s="11" t="e">
        <f>IF(1*('Production Matrix'!A:A="تكلفة انتاج الوحدة")*ROW('Production Matrix'!#REF!)=0,1/0,1*('Production Matrix'!A:A="تكلفة انتاج الوحدة")*ROW('Production Matrix'!#REF!))</f>
        <v>#REF!</v>
      </c>
      <c r="D1540" s="11" t="str">
        <f>IFERROR(_xlfn.AGGREGATE(15,6,$C$3:$C$53,ROW('Production Matrix'!#REF!)),"")</f>
        <v/>
      </c>
      <c r="E1540" s="11" t="str">
        <f t="shared" si="32"/>
        <v/>
      </c>
      <c r="F1540" s="12">
        <f>IFERROR(INDEX('Production Matrix'!$B:$B,E1540,0),0)</f>
        <v>0</v>
      </c>
    </row>
    <row r="1541" spans="3:6">
      <c r="C1541" s="11" t="e">
        <f>IF(1*('Production Matrix'!A:A="تكلفة انتاج الوحدة")*ROW('Production Matrix'!#REF!)=0,1/0,1*('Production Matrix'!A:A="تكلفة انتاج الوحدة")*ROW('Production Matrix'!#REF!))</f>
        <v>#REF!</v>
      </c>
      <c r="D1541" s="11" t="str">
        <f>IFERROR(_xlfn.AGGREGATE(15,6,$C$3:$C$53,ROW('Production Matrix'!#REF!)),"")</f>
        <v/>
      </c>
      <c r="E1541" s="11" t="str">
        <f t="shared" si="32"/>
        <v/>
      </c>
      <c r="F1541" s="12">
        <f>IFERROR(INDEX('Production Matrix'!$B:$B,E1541,0),0)</f>
        <v>0</v>
      </c>
    </row>
    <row r="1542" spans="3:6">
      <c r="C1542" s="11" t="e">
        <f>IF(1*('Production Matrix'!A:A="تكلفة انتاج الوحدة")*ROW('Production Matrix'!#REF!)=0,1/0,1*('Production Matrix'!A:A="تكلفة انتاج الوحدة")*ROW('Production Matrix'!#REF!))</f>
        <v>#REF!</v>
      </c>
      <c r="D1542" s="11" t="str">
        <f>IFERROR(_xlfn.AGGREGATE(15,6,$C$3:$C$53,ROW('Production Matrix'!#REF!)),"")</f>
        <v/>
      </c>
      <c r="E1542" s="11" t="str">
        <f t="shared" si="32"/>
        <v/>
      </c>
      <c r="F1542" s="12">
        <f>IFERROR(INDEX('Production Matrix'!$B:$B,E1542,0),0)</f>
        <v>0</v>
      </c>
    </row>
    <row r="1543" spans="3:6">
      <c r="C1543" s="11" t="e">
        <f>IF(1*('Production Matrix'!A:A="تكلفة انتاج الوحدة")*ROW('Production Matrix'!#REF!)=0,1/0,1*('Production Matrix'!A:A="تكلفة انتاج الوحدة")*ROW('Production Matrix'!#REF!))</f>
        <v>#REF!</v>
      </c>
      <c r="D1543" s="11" t="str">
        <f>IFERROR(_xlfn.AGGREGATE(15,6,$C$3:$C$53,ROW('Production Matrix'!#REF!)),"")</f>
        <v/>
      </c>
      <c r="E1543" s="11" t="str">
        <f t="shared" ref="E1543:E1606" si="33">IFERROR(D1543+3,"")</f>
        <v/>
      </c>
      <c r="F1543" s="12">
        <f>IFERROR(INDEX('Production Matrix'!$B:$B,E1543,0),0)</f>
        <v>0</v>
      </c>
    </row>
    <row r="1544" spans="3:6">
      <c r="C1544" s="11" t="e">
        <f>IF(1*('Production Matrix'!A:A="تكلفة انتاج الوحدة")*ROW('Production Matrix'!#REF!)=0,1/0,1*('Production Matrix'!A:A="تكلفة انتاج الوحدة")*ROW('Production Matrix'!#REF!))</f>
        <v>#REF!</v>
      </c>
      <c r="D1544" s="11" t="str">
        <f>IFERROR(_xlfn.AGGREGATE(15,6,$C$3:$C$53,ROW('Production Matrix'!#REF!)),"")</f>
        <v/>
      </c>
      <c r="E1544" s="11" t="str">
        <f t="shared" si="33"/>
        <v/>
      </c>
      <c r="F1544" s="12">
        <f>IFERROR(INDEX('Production Matrix'!$B:$B,E1544,0),0)</f>
        <v>0</v>
      </c>
    </row>
    <row r="1545" spans="3:6">
      <c r="C1545" s="11" t="e">
        <f>IF(1*('Production Matrix'!A:A="تكلفة انتاج الوحدة")*ROW('Production Matrix'!#REF!)=0,1/0,1*('Production Matrix'!A:A="تكلفة انتاج الوحدة")*ROW('Production Matrix'!#REF!))</f>
        <v>#REF!</v>
      </c>
      <c r="D1545" s="11" t="str">
        <f>IFERROR(_xlfn.AGGREGATE(15,6,$C$3:$C$53,ROW('Production Matrix'!#REF!)),"")</f>
        <v/>
      </c>
      <c r="E1545" s="11" t="str">
        <f t="shared" si="33"/>
        <v/>
      </c>
      <c r="F1545" s="12">
        <f>IFERROR(INDEX('Production Matrix'!$B:$B,E1545,0),0)</f>
        <v>0</v>
      </c>
    </row>
    <row r="1546" spans="3:6">
      <c r="C1546" s="11" t="e">
        <f>IF(1*('Production Matrix'!A:A="تكلفة انتاج الوحدة")*ROW('Production Matrix'!#REF!)=0,1/0,1*('Production Matrix'!A:A="تكلفة انتاج الوحدة")*ROW('Production Matrix'!#REF!))</f>
        <v>#REF!</v>
      </c>
      <c r="D1546" s="11" t="str">
        <f>IFERROR(_xlfn.AGGREGATE(15,6,$C$3:$C$53,ROW('Production Matrix'!#REF!)),"")</f>
        <v/>
      </c>
      <c r="E1546" s="11" t="str">
        <f t="shared" si="33"/>
        <v/>
      </c>
      <c r="F1546" s="12">
        <f>IFERROR(INDEX('Production Matrix'!$B:$B,E1546,0),0)</f>
        <v>0</v>
      </c>
    </row>
    <row r="1547" spans="3:6">
      <c r="C1547" s="11" t="e">
        <f>IF(1*('Production Matrix'!A:A="تكلفة انتاج الوحدة")*ROW('Production Matrix'!#REF!)=0,1/0,1*('Production Matrix'!A:A="تكلفة انتاج الوحدة")*ROW('Production Matrix'!#REF!))</f>
        <v>#REF!</v>
      </c>
      <c r="D1547" s="11" t="str">
        <f>IFERROR(_xlfn.AGGREGATE(15,6,$C$3:$C$53,ROW('Production Matrix'!#REF!)),"")</f>
        <v/>
      </c>
      <c r="E1547" s="11" t="str">
        <f t="shared" si="33"/>
        <v/>
      </c>
      <c r="F1547" s="12">
        <f>IFERROR(INDEX('Production Matrix'!$B:$B,E1547,0),0)</f>
        <v>0</v>
      </c>
    </row>
    <row r="1548" spans="3:6">
      <c r="C1548" s="11" t="e">
        <f>IF(1*('Production Matrix'!A:A="تكلفة انتاج الوحدة")*ROW('Production Matrix'!#REF!)=0,1/0,1*('Production Matrix'!A:A="تكلفة انتاج الوحدة")*ROW('Production Matrix'!#REF!))</f>
        <v>#REF!</v>
      </c>
      <c r="D1548" s="11" t="str">
        <f>IFERROR(_xlfn.AGGREGATE(15,6,$C$3:$C$53,ROW('Production Matrix'!#REF!)),"")</f>
        <v/>
      </c>
      <c r="E1548" s="11" t="str">
        <f t="shared" si="33"/>
        <v/>
      </c>
      <c r="F1548" s="12">
        <f>IFERROR(INDEX('Production Matrix'!$B:$B,E1548,0),0)</f>
        <v>0</v>
      </c>
    </row>
    <row r="1549" spans="3:6">
      <c r="C1549" s="11" t="e">
        <f>IF(1*('Production Matrix'!A:A="تكلفة انتاج الوحدة")*ROW('Production Matrix'!#REF!)=0,1/0,1*('Production Matrix'!A:A="تكلفة انتاج الوحدة")*ROW('Production Matrix'!#REF!))</f>
        <v>#REF!</v>
      </c>
      <c r="D1549" s="11" t="str">
        <f>IFERROR(_xlfn.AGGREGATE(15,6,$C$3:$C$53,ROW('Production Matrix'!#REF!)),"")</f>
        <v/>
      </c>
      <c r="E1549" s="11" t="str">
        <f t="shared" si="33"/>
        <v/>
      </c>
      <c r="F1549" s="12">
        <f>IFERROR(INDEX('Production Matrix'!$B:$B,E1549,0),0)</f>
        <v>0</v>
      </c>
    </row>
    <row r="1550" spans="3:6">
      <c r="C1550" s="11" t="e">
        <f>IF(1*('Production Matrix'!A:A="تكلفة انتاج الوحدة")*ROW('Production Matrix'!#REF!)=0,1/0,1*('Production Matrix'!A:A="تكلفة انتاج الوحدة")*ROW('Production Matrix'!#REF!))</f>
        <v>#REF!</v>
      </c>
      <c r="D1550" s="11" t="str">
        <f>IFERROR(_xlfn.AGGREGATE(15,6,$C$3:$C$53,ROW('Production Matrix'!#REF!)),"")</f>
        <v/>
      </c>
      <c r="E1550" s="11" t="str">
        <f t="shared" si="33"/>
        <v/>
      </c>
      <c r="F1550" s="12">
        <f>IFERROR(INDEX('Production Matrix'!$B:$B,E1550,0),0)</f>
        <v>0</v>
      </c>
    </row>
    <row r="1551" spans="3:6">
      <c r="C1551" s="11" t="e">
        <f>IF(1*('Production Matrix'!A:A="تكلفة انتاج الوحدة")*ROW('Production Matrix'!#REF!)=0,1/0,1*('Production Matrix'!A:A="تكلفة انتاج الوحدة")*ROW('Production Matrix'!#REF!))</f>
        <v>#REF!</v>
      </c>
      <c r="D1551" s="11" t="str">
        <f>IFERROR(_xlfn.AGGREGATE(15,6,$C$3:$C$53,ROW('Production Matrix'!#REF!)),"")</f>
        <v/>
      </c>
      <c r="E1551" s="11" t="str">
        <f t="shared" si="33"/>
        <v/>
      </c>
      <c r="F1551" s="12">
        <f>IFERROR(INDEX('Production Matrix'!$B:$B,E1551,0),0)</f>
        <v>0</v>
      </c>
    </row>
    <row r="1552" spans="3:6">
      <c r="C1552" s="11" t="e">
        <f>IF(1*('Production Matrix'!A:A="تكلفة انتاج الوحدة")*ROW('Production Matrix'!#REF!)=0,1/0,1*('Production Matrix'!A:A="تكلفة انتاج الوحدة")*ROW('Production Matrix'!#REF!))</f>
        <v>#REF!</v>
      </c>
      <c r="D1552" s="11" t="str">
        <f>IFERROR(_xlfn.AGGREGATE(15,6,$C$3:$C$53,ROW('Production Matrix'!#REF!)),"")</f>
        <v/>
      </c>
      <c r="E1552" s="11" t="str">
        <f t="shared" si="33"/>
        <v/>
      </c>
      <c r="F1552" s="12">
        <f>IFERROR(INDEX('Production Matrix'!$B:$B,E1552,0),0)</f>
        <v>0</v>
      </c>
    </row>
    <row r="1553" spans="3:6">
      <c r="C1553" s="11" t="e">
        <f>IF(1*('Production Matrix'!A:A="تكلفة انتاج الوحدة")*ROW('Production Matrix'!#REF!)=0,1/0,1*('Production Matrix'!A:A="تكلفة انتاج الوحدة")*ROW('Production Matrix'!#REF!))</f>
        <v>#REF!</v>
      </c>
      <c r="D1553" s="11" t="str">
        <f>IFERROR(_xlfn.AGGREGATE(15,6,$C$3:$C$53,ROW('Production Matrix'!#REF!)),"")</f>
        <v/>
      </c>
      <c r="E1553" s="11" t="str">
        <f t="shared" si="33"/>
        <v/>
      </c>
      <c r="F1553" s="12">
        <f>IFERROR(INDEX('Production Matrix'!$B:$B,E1553,0),0)</f>
        <v>0</v>
      </c>
    </row>
    <row r="1554" spans="3:6">
      <c r="C1554" s="11" t="e">
        <f>IF(1*('Production Matrix'!A:A="تكلفة انتاج الوحدة")*ROW('Production Matrix'!#REF!)=0,1/0,1*('Production Matrix'!A:A="تكلفة انتاج الوحدة")*ROW('Production Matrix'!#REF!))</f>
        <v>#REF!</v>
      </c>
      <c r="D1554" s="11" t="str">
        <f>IFERROR(_xlfn.AGGREGATE(15,6,$C$3:$C$53,ROW('Production Matrix'!#REF!)),"")</f>
        <v/>
      </c>
      <c r="E1554" s="11" t="str">
        <f t="shared" si="33"/>
        <v/>
      </c>
      <c r="F1554" s="12">
        <f>IFERROR(INDEX('Production Matrix'!$B:$B,E1554,0),0)</f>
        <v>0</v>
      </c>
    </row>
    <row r="1555" spans="3:6">
      <c r="C1555" s="11" t="e">
        <f>IF(1*('Production Matrix'!A:A="تكلفة انتاج الوحدة")*ROW('Production Matrix'!#REF!)=0,1/0,1*('Production Matrix'!A:A="تكلفة انتاج الوحدة")*ROW('Production Matrix'!#REF!))</f>
        <v>#REF!</v>
      </c>
      <c r="D1555" s="11" t="str">
        <f>IFERROR(_xlfn.AGGREGATE(15,6,$C$3:$C$53,ROW('Production Matrix'!#REF!)),"")</f>
        <v/>
      </c>
      <c r="E1555" s="11" t="str">
        <f t="shared" si="33"/>
        <v/>
      </c>
      <c r="F1555" s="12">
        <f>IFERROR(INDEX('Production Matrix'!$B:$B,E1555,0),0)</f>
        <v>0</v>
      </c>
    </row>
    <row r="1556" spans="3:6">
      <c r="C1556" s="11" t="e">
        <f>IF(1*('Production Matrix'!A:A="تكلفة انتاج الوحدة")*ROW('Production Matrix'!#REF!)=0,1/0,1*('Production Matrix'!A:A="تكلفة انتاج الوحدة")*ROW('Production Matrix'!#REF!))</f>
        <v>#REF!</v>
      </c>
      <c r="D1556" s="11" t="str">
        <f>IFERROR(_xlfn.AGGREGATE(15,6,$C$3:$C$53,ROW('Production Matrix'!#REF!)),"")</f>
        <v/>
      </c>
      <c r="E1556" s="11" t="str">
        <f t="shared" si="33"/>
        <v/>
      </c>
      <c r="F1556" s="12">
        <f>IFERROR(INDEX('Production Matrix'!$B:$B,E1556,0),0)</f>
        <v>0</v>
      </c>
    </row>
    <row r="1557" spans="3:6">
      <c r="C1557" s="11" t="e">
        <f>IF(1*('Production Matrix'!A:A="تكلفة انتاج الوحدة")*ROW('Production Matrix'!#REF!)=0,1/0,1*('Production Matrix'!A:A="تكلفة انتاج الوحدة")*ROW('Production Matrix'!#REF!))</f>
        <v>#REF!</v>
      </c>
      <c r="D1557" s="11" t="str">
        <f>IFERROR(_xlfn.AGGREGATE(15,6,$C$3:$C$53,ROW('Production Matrix'!#REF!)),"")</f>
        <v/>
      </c>
      <c r="E1557" s="11" t="str">
        <f t="shared" si="33"/>
        <v/>
      </c>
      <c r="F1557" s="12">
        <f>IFERROR(INDEX('Production Matrix'!$B:$B,E1557,0),0)</f>
        <v>0</v>
      </c>
    </row>
    <row r="1558" spans="3:6">
      <c r="C1558" s="11" t="e">
        <f>IF(1*('Production Matrix'!A:A="تكلفة انتاج الوحدة")*ROW('Production Matrix'!#REF!)=0,1/0,1*('Production Matrix'!A:A="تكلفة انتاج الوحدة")*ROW('Production Matrix'!#REF!))</f>
        <v>#REF!</v>
      </c>
      <c r="D1558" s="11" t="str">
        <f>IFERROR(_xlfn.AGGREGATE(15,6,$C$3:$C$53,ROW('Production Matrix'!#REF!)),"")</f>
        <v/>
      </c>
      <c r="E1558" s="11" t="str">
        <f t="shared" si="33"/>
        <v/>
      </c>
      <c r="F1558" s="12">
        <f>IFERROR(INDEX('Production Matrix'!$B:$B,E1558,0),0)</f>
        <v>0</v>
      </c>
    </row>
    <row r="1559" spans="3:6">
      <c r="C1559" s="11" t="e">
        <f>IF(1*('Production Matrix'!A:A="تكلفة انتاج الوحدة")*ROW('Production Matrix'!#REF!)=0,1/0,1*('Production Matrix'!A:A="تكلفة انتاج الوحدة")*ROW('Production Matrix'!#REF!))</f>
        <v>#REF!</v>
      </c>
      <c r="D1559" s="11" t="str">
        <f>IFERROR(_xlfn.AGGREGATE(15,6,$C$3:$C$53,ROW('Production Matrix'!#REF!)),"")</f>
        <v/>
      </c>
      <c r="E1559" s="11" t="str">
        <f t="shared" si="33"/>
        <v/>
      </c>
      <c r="F1559" s="12">
        <f>IFERROR(INDEX('Production Matrix'!$B:$B,E1559,0),0)</f>
        <v>0</v>
      </c>
    </row>
    <row r="1560" spans="3:6">
      <c r="C1560" s="11" t="e">
        <f>IF(1*('Production Matrix'!A:A="تكلفة انتاج الوحدة")*ROW('Production Matrix'!#REF!)=0,1/0,1*('Production Matrix'!A:A="تكلفة انتاج الوحدة")*ROW('Production Matrix'!#REF!))</f>
        <v>#REF!</v>
      </c>
      <c r="D1560" s="11" t="str">
        <f>IFERROR(_xlfn.AGGREGATE(15,6,$C$3:$C$53,ROW('Production Matrix'!#REF!)),"")</f>
        <v/>
      </c>
      <c r="E1560" s="11" t="str">
        <f t="shared" si="33"/>
        <v/>
      </c>
      <c r="F1560" s="12">
        <f>IFERROR(INDEX('Production Matrix'!$B:$B,E1560,0),0)</f>
        <v>0</v>
      </c>
    </row>
    <row r="1561" spans="3:6">
      <c r="C1561" s="11" t="e">
        <f>IF(1*('Production Matrix'!A:A="تكلفة انتاج الوحدة")*ROW('Production Matrix'!#REF!)=0,1/0,1*('Production Matrix'!A:A="تكلفة انتاج الوحدة")*ROW('Production Matrix'!#REF!))</f>
        <v>#REF!</v>
      </c>
      <c r="D1561" s="11" t="str">
        <f>IFERROR(_xlfn.AGGREGATE(15,6,$C$3:$C$53,ROW('Production Matrix'!#REF!)),"")</f>
        <v/>
      </c>
      <c r="E1561" s="11" t="str">
        <f t="shared" si="33"/>
        <v/>
      </c>
      <c r="F1561" s="12">
        <f>IFERROR(INDEX('Production Matrix'!$B:$B,E1561,0),0)</f>
        <v>0</v>
      </c>
    </row>
    <row r="1562" spans="3:6">
      <c r="C1562" s="11" t="e">
        <f>IF(1*('Production Matrix'!A:A="تكلفة انتاج الوحدة")*ROW('Production Matrix'!#REF!)=0,1/0,1*('Production Matrix'!A:A="تكلفة انتاج الوحدة")*ROW('Production Matrix'!#REF!))</f>
        <v>#REF!</v>
      </c>
      <c r="D1562" s="11" t="str">
        <f>IFERROR(_xlfn.AGGREGATE(15,6,$C$3:$C$53,ROW('Production Matrix'!#REF!)),"")</f>
        <v/>
      </c>
      <c r="E1562" s="11" t="str">
        <f t="shared" si="33"/>
        <v/>
      </c>
      <c r="F1562" s="12">
        <f>IFERROR(INDEX('Production Matrix'!$B:$B,E1562,0),0)</f>
        <v>0</v>
      </c>
    </row>
    <row r="1563" spans="3:6">
      <c r="C1563" s="11" t="e">
        <f>IF(1*('Production Matrix'!A:A="تكلفة انتاج الوحدة")*ROW('Production Matrix'!#REF!)=0,1/0,1*('Production Matrix'!A:A="تكلفة انتاج الوحدة")*ROW('Production Matrix'!#REF!))</f>
        <v>#REF!</v>
      </c>
      <c r="D1563" s="11" t="str">
        <f>IFERROR(_xlfn.AGGREGATE(15,6,$C$3:$C$53,ROW('Production Matrix'!#REF!)),"")</f>
        <v/>
      </c>
      <c r="E1563" s="11" t="str">
        <f t="shared" si="33"/>
        <v/>
      </c>
      <c r="F1563" s="12">
        <f>IFERROR(INDEX('Production Matrix'!$B:$B,E1563,0),0)</f>
        <v>0</v>
      </c>
    </row>
    <row r="1564" spans="3:6">
      <c r="C1564" s="11" t="e">
        <f>IF(1*('Production Matrix'!A:A="تكلفة انتاج الوحدة")*ROW('Production Matrix'!#REF!)=0,1/0,1*('Production Matrix'!A:A="تكلفة انتاج الوحدة")*ROW('Production Matrix'!#REF!))</f>
        <v>#REF!</v>
      </c>
      <c r="D1564" s="11" t="str">
        <f>IFERROR(_xlfn.AGGREGATE(15,6,$C$3:$C$53,ROW('Production Matrix'!#REF!)),"")</f>
        <v/>
      </c>
      <c r="E1564" s="11" t="str">
        <f t="shared" si="33"/>
        <v/>
      </c>
      <c r="F1564" s="12">
        <f>IFERROR(INDEX('Production Matrix'!$B:$B,E1564,0),0)</f>
        <v>0</v>
      </c>
    </row>
    <row r="1565" spans="3:6">
      <c r="C1565" s="11" t="e">
        <f>IF(1*('Production Matrix'!A:A="تكلفة انتاج الوحدة")*ROW('Production Matrix'!#REF!)=0,1/0,1*('Production Matrix'!A:A="تكلفة انتاج الوحدة")*ROW('Production Matrix'!#REF!))</f>
        <v>#REF!</v>
      </c>
      <c r="D1565" s="11" t="str">
        <f>IFERROR(_xlfn.AGGREGATE(15,6,$C$3:$C$53,ROW('Production Matrix'!#REF!)),"")</f>
        <v/>
      </c>
      <c r="E1565" s="11" t="str">
        <f t="shared" si="33"/>
        <v/>
      </c>
      <c r="F1565" s="12">
        <f>IFERROR(INDEX('Production Matrix'!$B:$B,E1565,0),0)</f>
        <v>0</v>
      </c>
    </row>
    <row r="1566" spans="3:6">
      <c r="C1566" s="11" t="e">
        <f>IF(1*('Production Matrix'!A:A="تكلفة انتاج الوحدة")*ROW('Production Matrix'!#REF!)=0,1/0,1*('Production Matrix'!A:A="تكلفة انتاج الوحدة")*ROW('Production Matrix'!#REF!))</f>
        <v>#REF!</v>
      </c>
      <c r="D1566" s="11" t="str">
        <f>IFERROR(_xlfn.AGGREGATE(15,6,$C$3:$C$53,ROW('Production Matrix'!#REF!)),"")</f>
        <v/>
      </c>
      <c r="E1566" s="11" t="str">
        <f t="shared" si="33"/>
        <v/>
      </c>
      <c r="F1566" s="12">
        <f>IFERROR(INDEX('Production Matrix'!$B:$B,E1566,0),0)</f>
        <v>0</v>
      </c>
    </row>
    <row r="1567" spans="3:6">
      <c r="C1567" s="11" t="e">
        <f>IF(1*('Production Matrix'!A:A="تكلفة انتاج الوحدة")*ROW('Production Matrix'!#REF!)=0,1/0,1*('Production Matrix'!A:A="تكلفة انتاج الوحدة")*ROW('Production Matrix'!#REF!))</f>
        <v>#REF!</v>
      </c>
      <c r="D1567" s="11" t="str">
        <f>IFERROR(_xlfn.AGGREGATE(15,6,$C$3:$C$53,ROW('Production Matrix'!#REF!)),"")</f>
        <v/>
      </c>
      <c r="E1567" s="11" t="str">
        <f t="shared" si="33"/>
        <v/>
      </c>
      <c r="F1567" s="12">
        <f>IFERROR(INDEX('Production Matrix'!$B:$B,E1567,0),0)</f>
        <v>0</v>
      </c>
    </row>
    <row r="1568" spans="3:6">
      <c r="C1568" s="11" t="e">
        <f>IF(1*('Production Matrix'!A:A="تكلفة انتاج الوحدة")*ROW('Production Matrix'!#REF!)=0,1/0,1*('Production Matrix'!A:A="تكلفة انتاج الوحدة")*ROW('Production Matrix'!#REF!))</f>
        <v>#REF!</v>
      </c>
      <c r="D1568" s="11" t="str">
        <f>IFERROR(_xlfn.AGGREGATE(15,6,$C$3:$C$53,ROW('Production Matrix'!#REF!)),"")</f>
        <v/>
      </c>
      <c r="E1568" s="11" t="str">
        <f t="shared" si="33"/>
        <v/>
      </c>
      <c r="F1568" s="12">
        <f>IFERROR(INDEX('Production Matrix'!$B:$B,E1568,0),0)</f>
        <v>0</v>
      </c>
    </row>
    <row r="1569" spans="3:6">
      <c r="C1569" s="11" t="e">
        <f>IF(1*('Production Matrix'!A:A="تكلفة انتاج الوحدة")*ROW('Production Matrix'!#REF!)=0,1/0,1*('Production Matrix'!A:A="تكلفة انتاج الوحدة")*ROW('Production Matrix'!#REF!))</f>
        <v>#REF!</v>
      </c>
      <c r="D1569" s="11" t="str">
        <f>IFERROR(_xlfn.AGGREGATE(15,6,$C$3:$C$53,ROW('Production Matrix'!#REF!)),"")</f>
        <v/>
      </c>
      <c r="E1569" s="11" t="str">
        <f t="shared" si="33"/>
        <v/>
      </c>
      <c r="F1569" s="12">
        <f>IFERROR(INDEX('Production Matrix'!$B:$B,E1569,0),0)</f>
        <v>0</v>
      </c>
    </row>
    <row r="1570" spans="3:6">
      <c r="C1570" s="11" t="e">
        <f>IF(1*('Production Matrix'!A:A="تكلفة انتاج الوحدة")*ROW('Production Matrix'!#REF!)=0,1/0,1*('Production Matrix'!A:A="تكلفة انتاج الوحدة")*ROW('Production Matrix'!#REF!))</f>
        <v>#REF!</v>
      </c>
      <c r="D1570" s="11" t="str">
        <f>IFERROR(_xlfn.AGGREGATE(15,6,$C$3:$C$53,ROW('Production Matrix'!#REF!)),"")</f>
        <v/>
      </c>
      <c r="E1570" s="11" t="str">
        <f t="shared" si="33"/>
        <v/>
      </c>
      <c r="F1570" s="12">
        <f>IFERROR(INDEX('Production Matrix'!$B:$B,E1570,0),0)</f>
        <v>0</v>
      </c>
    </row>
    <row r="1571" spans="3:6">
      <c r="C1571" s="11" t="e">
        <f>IF(1*('Production Matrix'!A:A="تكلفة انتاج الوحدة")*ROW('Production Matrix'!#REF!)=0,1/0,1*('Production Matrix'!A:A="تكلفة انتاج الوحدة")*ROW('Production Matrix'!#REF!))</f>
        <v>#REF!</v>
      </c>
      <c r="D1571" s="11" t="str">
        <f>IFERROR(_xlfn.AGGREGATE(15,6,$C$3:$C$53,ROW('Production Matrix'!#REF!)),"")</f>
        <v/>
      </c>
      <c r="E1571" s="11" t="str">
        <f t="shared" si="33"/>
        <v/>
      </c>
      <c r="F1571" s="12">
        <f>IFERROR(INDEX('Production Matrix'!$B:$B,E1571,0),0)</f>
        <v>0</v>
      </c>
    </row>
    <row r="1572" spans="3:6">
      <c r="C1572" s="11" t="e">
        <f>IF(1*('Production Matrix'!A:A="تكلفة انتاج الوحدة")*ROW('Production Matrix'!#REF!)=0,1/0,1*('Production Matrix'!A:A="تكلفة انتاج الوحدة")*ROW('Production Matrix'!#REF!))</f>
        <v>#REF!</v>
      </c>
      <c r="D1572" s="11" t="str">
        <f>IFERROR(_xlfn.AGGREGATE(15,6,$C$3:$C$53,ROW('Production Matrix'!#REF!)),"")</f>
        <v/>
      </c>
      <c r="E1572" s="11" t="str">
        <f t="shared" si="33"/>
        <v/>
      </c>
      <c r="F1572" s="12">
        <f>IFERROR(INDEX('Production Matrix'!$B:$B,E1572,0),0)</f>
        <v>0</v>
      </c>
    </row>
    <row r="1573" spans="3:6">
      <c r="C1573" s="11" t="e">
        <f>IF(1*('Production Matrix'!A:A="تكلفة انتاج الوحدة")*ROW('Production Matrix'!#REF!)=0,1/0,1*('Production Matrix'!A:A="تكلفة انتاج الوحدة")*ROW('Production Matrix'!#REF!))</f>
        <v>#REF!</v>
      </c>
      <c r="D1573" s="11" t="str">
        <f>IFERROR(_xlfn.AGGREGATE(15,6,$C$3:$C$53,ROW('Production Matrix'!#REF!)),"")</f>
        <v/>
      </c>
      <c r="E1573" s="11" t="str">
        <f t="shared" si="33"/>
        <v/>
      </c>
      <c r="F1573" s="12">
        <f>IFERROR(INDEX('Production Matrix'!$B:$B,E1573,0),0)</f>
        <v>0</v>
      </c>
    </row>
    <row r="1574" spans="3:6">
      <c r="C1574" s="11" t="e">
        <f>IF(1*('Production Matrix'!A:A="تكلفة انتاج الوحدة")*ROW('Production Matrix'!#REF!)=0,1/0,1*('Production Matrix'!A:A="تكلفة انتاج الوحدة")*ROW('Production Matrix'!#REF!))</f>
        <v>#REF!</v>
      </c>
      <c r="D1574" s="11" t="str">
        <f>IFERROR(_xlfn.AGGREGATE(15,6,$C$3:$C$53,ROW('Production Matrix'!#REF!)),"")</f>
        <v/>
      </c>
      <c r="E1574" s="11" t="str">
        <f t="shared" si="33"/>
        <v/>
      </c>
      <c r="F1574" s="12">
        <f>IFERROR(INDEX('Production Matrix'!$B:$B,E1574,0),0)</f>
        <v>0</v>
      </c>
    </row>
    <row r="1575" spans="3:6">
      <c r="C1575" s="11" t="e">
        <f>IF(1*('Production Matrix'!A:A="تكلفة انتاج الوحدة")*ROW('Production Matrix'!#REF!)=0,1/0,1*('Production Matrix'!A:A="تكلفة انتاج الوحدة")*ROW('Production Matrix'!#REF!))</f>
        <v>#REF!</v>
      </c>
      <c r="D1575" s="11" t="str">
        <f>IFERROR(_xlfn.AGGREGATE(15,6,$C$3:$C$53,ROW('Production Matrix'!#REF!)),"")</f>
        <v/>
      </c>
      <c r="E1575" s="11" t="str">
        <f t="shared" si="33"/>
        <v/>
      </c>
      <c r="F1575" s="12">
        <f>IFERROR(INDEX('Production Matrix'!$B:$B,E1575,0),0)</f>
        <v>0</v>
      </c>
    </row>
    <row r="1576" spans="3:6">
      <c r="C1576" s="11" t="e">
        <f>IF(1*('Production Matrix'!A:A="تكلفة انتاج الوحدة")*ROW('Production Matrix'!#REF!)=0,1/0,1*('Production Matrix'!A:A="تكلفة انتاج الوحدة")*ROW('Production Matrix'!#REF!))</f>
        <v>#REF!</v>
      </c>
      <c r="D1576" s="11" t="str">
        <f>IFERROR(_xlfn.AGGREGATE(15,6,$C$3:$C$53,ROW('Production Matrix'!#REF!)),"")</f>
        <v/>
      </c>
      <c r="E1576" s="11" t="str">
        <f t="shared" si="33"/>
        <v/>
      </c>
      <c r="F1576" s="12">
        <f>IFERROR(INDEX('Production Matrix'!$B:$B,E1576,0),0)</f>
        <v>0</v>
      </c>
    </row>
    <row r="1577" spans="3:6">
      <c r="C1577" s="11" t="e">
        <f>IF(1*('Production Matrix'!A:A="تكلفة انتاج الوحدة")*ROW('Production Matrix'!#REF!)=0,1/0,1*('Production Matrix'!A:A="تكلفة انتاج الوحدة")*ROW('Production Matrix'!#REF!))</f>
        <v>#REF!</v>
      </c>
      <c r="D1577" s="11" t="str">
        <f>IFERROR(_xlfn.AGGREGATE(15,6,$C$3:$C$53,ROW('Production Matrix'!#REF!)),"")</f>
        <v/>
      </c>
      <c r="E1577" s="11" t="str">
        <f t="shared" si="33"/>
        <v/>
      </c>
      <c r="F1577" s="12">
        <f>IFERROR(INDEX('Production Matrix'!$B:$B,E1577,0),0)</f>
        <v>0</v>
      </c>
    </row>
    <row r="1578" spans="3:6">
      <c r="C1578" s="11" t="e">
        <f>IF(1*('Production Matrix'!A:A="تكلفة انتاج الوحدة")*ROW('Production Matrix'!#REF!)=0,1/0,1*('Production Matrix'!A:A="تكلفة انتاج الوحدة")*ROW('Production Matrix'!#REF!))</f>
        <v>#REF!</v>
      </c>
      <c r="D1578" s="11" t="str">
        <f>IFERROR(_xlfn.AGGREGATE(15,6,$C$3:$C$53,ROW('Production Matrix'!#REF!)),"")</f>
        <v/>
      </c>
      <c r="E1578" s="11" t="str">
        <f t="shared" si="33"/>
        <v/>
      </c>
      <c r="F1578" s="12">
        <f>IFERROR(INDEX('Production Matrix'!$B:$B,E1578,0),0)</f>
        <v>0</v>
      </c>
    </row>
    <row r="1579" spans="3:6">
      <c r="C1579" s="11" t="e">
        <f>IF(1*('Production Matrix'!A:A="تكلفة انتاج الوحدة")*ROW('Production Matrix'!#REF!)=0,1/0,1*('Production Matrix'!A:A="تكلفة انتاج الوحدة")*ROW('Production Matrix'!#REF!))</f>
        <v>#REF!</v>
      </c>
      <c r="D1579" s="11" t="str">
        <f>IFERROR(_xlfn.AGGREGATE(15,6,$C$3:$C$53,ROW('Production Matrix'!#REF!)),"")</f>
        <v/>
      </c>
      <c r="E1579" s="11" t="str">
        <f t="shared" si="33"/>
        <v/>
      </c>
      <c r="F1579" s="12">
        <f>IFERROR(INDEX('Production Matrix'!$B:$B,E1579,0),0)</f>
        <v>0</v>
      </c>
    </row>
    <row r="1580" spans="3:6">
      <c r="C1580" s="11" t="e">
        <f>IF(1*('Production Matrix'!A:A="تكلفة انتاج الوحدة")*ROW('Production Matrix'!#REF!)=0,1/0,1*('Production Matrix'!A:A="تكلفة انتاج الوحدة")*ROW('Production Matrix'!#REF!))</f>
        <v>#REF!</v>
      </c>
      <c r="D1580" s="11" t="str">
        <f>IFERROR(_xlfn.AGGREGATE(15,6,$C$3:$C$53,ROW('Production Matrix'!#REF!)),"")</f>
        <v/>
      </c>
      <c r="E1580" s="11" t="str">
        <f t="shared" si="33"/>
        <v/>
      </c>
      <c r="F1580" s="12">
        <f>IFERROR(INDEX('Production Matrix'!$B:$B,E1580,0),0)</f>
        <v>0</v>
      </c>
    </row>
    <row r="1581" spans="3:6">
      <c r="C1581" s="11" t="e">
        <f>IF(1*('Production Matrix'!A:A="تكلفة انتاج الوحدة")*ROW('Production Matrix'!#REF!)=0,1/0,1*('Production Matrix'!A:A="تكلفة انتاج الوحدة")*ROW('Production Matrix'!#REF!))</f>
        <v>#REF!</v>
      </c>
      <c r="D1581" s="11" t="str">
        <f>IFERROR(_xlfn.AGGREGATE(15,6,$C$3:$C$53,ROW('Production Matrix'!#REF!)),"")</f>
        <v/>
      </c>
      <c r="E1581" s="11" t="str">
        <f t="shared" si="33"/>
        <v/>
      </c>
      <c r="F1581" s="12">
        <f>IFERROR(INDEX('Production Matrix'!$B:$B,E1581,0),0)</f>
        <v>0</v>
      </c>
    </row>
    <row r="1582" spans="3:6">
      <c r="C1582" s="11" t="e">
        <f>IF(1*('Production Matrix'!A:A="تكلفة انتاج الوحدة")*ROW('Production Matrix'!#REF!)=0,1/0,1*('Production Matrix'!A:A="تكلفة انتاج الوحدة")*ROW('Production Matrix'!#REF!))</f>
        <v>#REF!</v>
      </c>
      <c r="D1582" s="11" t="str">
        <f>IFERROR(_xlfn.AGGREGATE(15,6,$C$3:$C$53,ROW('Production Matrix'!#REF!)),"")</f>
        <v/>
      </c>
      <c r="E1582" s="11" t="str">
        <f t="shared" si="33"/>
        <v/>
      </c>
      <c r="F1582" s="12">
        <f>IFERROR(INDEX('Production Matrix'!$B:$B,E1582,0),0)</f>
        <v>0</v>
      </c>
    </row>
    <row r="1583" spans="3:6">
      <c r="C1583" s="11" t="e">
        <f>IF(1*('Production Matrix'!A:A="تكلفة انتاج الوحدة")*ROW('Production Matrix'!#REF!)=0,1/0,1*('Production Matrix'!A:A="تكلفة انتاج الوحدة")*ROW('Production Matrix'!#REF!))</f>
        <v>#REF!</v>
      </c>
      <c r="D1583" s="11" t="str">
        <f>IFERROR(_xlfn.AGGREGATE(15,6,$C$3:$C$53,ROW('Production Matrix'!#REF!)),"")</f>
        <v/>
      </c>
      <c r="E1583" s="11" t="str">
        <f t="shared" si="33"/>
        <v/>
      </c>
      <c r="F1583" s="12">
        <f>IFERROR(INDEX('Production Matrix'!$B:$B,E1583,0),0)</f>
        <v>0</v>
      </c>
    </row>
    <row r="1584" spans="3:6">
      <c r="C1584" s="11" t="e">
        <f>IF(1*('Production Matrix'!A:A="تكلفة انتاج الوحدة")*ROW('Production Matrix'!#REF!)=0,1/0,1*('Production Matrix'!A:A="تكلفة انتاج الوحدة")*ROW('Production Matrix'!#REF!))</f>
        <v>#REF!</v>
      </c>
      <c r="D1584" s="11" t="str">
        <f>IFERROR(_xlfn.AGGREGATE(15,6,$C$3:$C$53,ROW('Production Matrix'!#REF!)),"")</f>
        <v/>
      </c>
      <c r="E1584" s="11" t="str">
        <f t="shared" si="33"/>
        <v/>
      </c>
      <c r="F1584" s="12">
        <f>IFERROR(INDEX('Production Matrix'!$B:$B,E1584,0),0)</f>
        <v>0</v>
      </c>
    </row>
    <row r="1585" spans="3:6">
      <c r="C1585" s="11" t="e">
        <f>IF(1*('Production Matrix'!A:A="تكلفة انتاج الوحدة")*ROW('Production Matrix'!#REF!)=0,1/0,1*('Production Matrix'!A:A="تكلفة انتاج الوحدة")*ROW('Production Matrix'!#REF!))</f>
        <v>#REF!</v>
      </c>
      <c r="D1585" s="11" t="str">
        <f>IFERROR(_xlfn.AGGREGATE(15,6,$C$3:$C$53,ROW('Production Matrix'!#REF!)),"")</f>
        <v/>
      </c>
      <c r="E1585" s="11" t="str">
        <f t="shared" si="33"/>
        <v/>
      </c>
      <c r="F1585" s="12">
        <f>IFERROR(INDEX('Production Matrix'!$B:$B,E1585,0),0)</f>
        <v>0</v>
      </c>
    </row>
    <row r="1586" spans="3:6">
      <c r="C1586" s="11" t="e">
        <f>IF(1*('Production Matrix'!A:A="تكلفة انتاج الوحدة")*ROW('Production Matrix'!#REF!)=0,1/0,1*('Production Matrix'!A:A="تكلفة انتاج الوحدة")*ROW('Production Matrix'!#REF!))</f>
        <v>#REF!</v>
      </c>
      <c r="D1586" s="11" t="str">
        <f>IFERROR(_xlfn.AGGREGATE(15,6,$C$3:$C$53,ROW('Production Matrix'!#REF!)),"")</f>
        <v/>
      </c>
      <c r="E1586" s="11" t="str">
        <f t="shared" si="33"/>
        <v/>
      </c>
      <c r="F1586" s="12">
        <f>IFERROR(INDEX('Production Matrix'!$B:$B,E1586,0),0)</f>
        <v>0</v>
      </c>
    </row>
    <row r="1587" spans="3:6">
      <c r="C1587" s="11" t="e">
        <f>IF(1*('Production Matrix'!A:A="تكلفة انتاج الوحدة")*ROW('Production Matrix'!#REF!)=0,1/0,1*('Production Matrix'!A:A="تكلفة انتاج الوحدة")*ROW('Production Matrix'!#REF!))</f>
        <v>#REF!</v>
      </c>
      <c r="D1587" s="11" t="str">
        <f>IFERROR(_xlfn.AGGREGATE(15,6,$C$3:$C$53,ROW('Production Matrix'!#REF!)),"")</f>
        <v/>
      </c>
      <c r="E1587" s="11" t="str">
        <f t="shared" si="33"/>
        <v/>
      </c>
      <c r="F1587" s="12">
        <f>IFERROR(INDEX('Production Matrix'!$B:$B,E1587,0),0)</f>
        <v>0</v>
      </c>
    </row>
    <row r="1588" spans="3:6">
      <c r="C1588" s="11" t="e">
        <f>IF(1*('Production Matrix'!A:A="تكلفة انتاج الوحدة")*ROW('Production Matrix'!#REF!)=0,1/0,1*('Production Matrix'!A:A="تكلفة انتاج الوحدة")*ROW('Production Matrix'!#REF!))</f>
        <v>#REF!</v>
      </c>
      <c r="D1588" s="11" t="str">
        <f>IFERROR(_xlfn.AGGREGATE(15,6,$C$3:$C$53,ROW('Production Matrix'!#REF!)),"")</f>
        <v/>
      </c>
      <c r="E1588" s="11" t="str">
        <f t="shared" si="33"/>
        <v/>
      </c>
      <c r="F1588" s="12">
        <f>IFERROR(INDEX('Production Matrix'!$B:$B,E1588,0),0)</f>
        <v>0</v>
      </c>
    </row>
    <row r="1589" spans="3:6">
      <c r="C1589" s="11" t="e">
        <f>IF(1*('Production Matrix'!A:A="تكلفة انتاج الوحدة")*ROW('Production Matrix'!#REF!)=0,1/0,1*('Production Matrix'!A:A="تكلفة انتاج الوحدة")*ROW('Production Matrix'!#REF!))</f>
        <v>#REF!</v>
      </c>
      <c r="D1589" s="11" t="str">
        <f>IFERROR(_xlfn.AGGREGATE(15,6,$C$3:$C$53,ROW('Production Matrix'!#REF!)),"")</f>
        <v/>
      </c>
      <c r="E1589" s="11" t="str">
        <f t="shared" si="33"/>
        <v/>
      </c>
      <c r="F1589" s="12">
        <f>IFERROR(INDEX('Production Matrix'!$B:$B,E1589,0),0)</f>
        <v>0</v>
      </c>
    </row>
    <row r="1590" spans="3:6">
      <c r="C1590" s="11" t="e">
        <f>IF(1*('Production Matrix'!A:A="تكلفة انتاج الوحدة")*ROW('Production Matrix'!#REF!)=0,1/0,1*('Production Matrix'!A:A="تكلفة انتاج الوحدة")*ROW('Production Matrix'!#REF!))</f>
        <v>#REF!</v>
      </c>
      <c r="D1590" s="11" t="str">
        <f>IFERROR(_xlfn.AGGREGATE(15,6,$C$3:$C$53,ROW('Production Matrix'!#REF!)),"")</f>
        <v/>
      </c>
      <c r="E1590" s="11" t="str">
        <f t="shared" si="33"/>
        <v/>
      </c>
      <c r="F1590" s="12">
        <f>IFERROR(INDEX('Production Matrix'!$B:$B,E1590,0),0)</f>
        <v>0</v>
      </c>
    </row>
    <row r="1591" spans="3:6">
      <c r="C1591" s="11" t="e">
        <f>IF(1*('Production Matrix'!A:A="تكلفة انتاج الوحدة")*ROW('Production Matrix'!#REF!)=0,1/0,1*('Production Matrix'!A:A="تكلفة انتاج الوحدة")*ROW('Production Matrix'!#REF!))</f>
        <v>#REF!</v>
      </c>
      <c r="D1591" s="11" t="str">
        <f>IFERROR(_xlfn.AGGREGATE(15,6,$C$3:$C$53,ROW('Production Matrix'!#REF!)),"")</f>
        <v/>
      </c>
      <c r="E1591" s="11" t="str">
        <f t="shared" si="33"/>
        <v/>
      </c>
      <c r="F1591" s="12">
        <f>IFERROR(INDEX('Production Matrix'!$B:$B,E1591,0),0)</f>
        <v>0</v>
      </c>
    </row>
    <row r="1592" spans="3:6">
      <c r="C1592" s="11" t="e">
        <f>IF(1*('Production Matrix'!A:A="تكلفة انتاج الوحدة")*ROW('Production Matrix'!#REF!)=0,1/0,1*('Production Matrix'!A:A="تكلفة انتاج الوحدة")*ROW('Production Matrix'!#REF!))</f>
        <v>#REF!</v>
      </c>
      <c r="D1592" s="11" t="str">
        <f>IFERROR(_xlfn.AGGREGATE(15,6,$C$3:$C$53,ROW('Production Matrix'!#REF!)),"")</f>
        <v/>
      </c>
      <c r="E1592" s="11" t="str">
        <f t="shared" si="33"/>
        <v/>
      </c>
      <c r="F1592" s="12">
        <f>IFERROR(INDEX('Production Matrix'!$B:$B,E1592,0),0)</f>
        <v>0</v>
      </c>
    </row>
    <row r="1593" spans="3:6">
      <c r="C1593" s="11" t="e">
        <f>IF(1*('Production Matrix'!A:A="تكلفة انتاج الوحدة")*ROW('Production Matrix'!#REF!)=0,1/0,1*('Production Matrix'!A:A="تكلفة انتاج الوحدة")*ROW('Production Matrix'!#REF!))</f>
        <v>#REF!</v>
      </c>
      <c r="D1593" s="11" t="str">
        <f>IFERROR(_xlfn.AGGREGATE(15,6,$C$3:$C$53,ROW('Production Matrix'!#REF!)),"")</f>
        <v/>
      </c>
      <c r="E1593" s="11" t="str">
        <f t="shared" si="33"/>
        <v/>
      </c>
      <c r="F1593" s="12">
        <f>IFERROR(INDEX('Production Matrix'!$B:$B,E1593,0),0)</f>
        <v>0</v>
      </c>
    </row>
    <row r="1594" spans="3:6">
      <c r="C1594" s="11" t="e">
        <f>IF(1*('Production Matrix'!A:A="تكلفة انتاج الوحدة")*ROW('Production Matrix'!#REF!)=0,1/0,1*('Production Matrix'!A:A="تكلفة انتاج الوحدة")*ROW('Production Matrix'!#REF!))</f>
        <v>#REF!</v>
      </c>
      <c r="D1594" s="11" t="str">
        <f>IFERROR(_xlfn.AGGREGATE(15,6,$C$3:$C$53,ROW('Production Matrix'!#REF!)),"")</f>
        <v/>
      </c>
      <c r="E1594" s="11" t="str">
        <f t="shared" si="33"/>
        <v/>
      </c>
      <c r="F1594" s="12">
        <f>IFERROR(INDEX('Production Matrix'!$B:$B,E1594,0),0)</f>
        <v>0</v>
      </c>
    </row>
    <row r="1595" spans="3:6">
      <c r="C1595" s="11" t="e">
        <f>IF(1*('Production Matrix'!A:A="تكلفة انتاج الوحدة")*ROW('Production Matrix'!#REF!)=0,1/0,1*('Production Matrix'!A:A="تكلفة انتاج الوحدة")*ROW('Production Matrix'!#REF!))</f>
        <v>#REF!</v>
      </c>
      <c r="D1595" s="11" t="str">
        <f>IFERROR(_xlfn.AGGREGATE(15,6,$C$3:$C$53,ROW('Production Matrix'!#REF!)),"")</f>
        <v/>
      </c>
      <c r="E1595" s="11" t="str">
        <f t="shared" si="33"/>
        <v/>
      </c>
      <c r="F1595" s="12">
        <f>IFERROR(INDEX('Production Matrix'!$B:$B,E1595,0),0)</f>
        <v>0</v>
      </c>
    </row>
    <row r="1596" spans="3:6">
      <c r="C1596" s="11" t="e">
        <f>IF(1*('Production Matrix'!A:A="تكلفة انتاج الوحدة")*ROW('Production Matrix'!#REF!)=0,1/0,1*('Production Matrix'!A:A="تكلفة انتاج الوحدة")*ROW('Production Matrix'!#REF!))</f>
        <v>#REF!</v>
      </c>
      <c r="D1596" s="11" t="str">
        <f>IFERROR(_xlfn.AGGREGATE(15,6,$C$3:$C$53,ROW('Production Matrix'!#REF!)),"")</f>
        <v/>
      </c>
      <c r="E1596" s="11" t="str">
        <f t="shared" si="33"/>
        <v/>
      </c>
      <c r="F1596" s="12">
        <f>IFERROR(INDEX('Production Matrix'!$B:$B,E1596,0),0)</f>
        <v>0</v>
      </c>
    </row>
    <row r="1597" spans="3:6">
      <c r="C1597" s="11" t="e">
        <f>IF(1*('Production Matrix'!A:A="تكلفة انتاج الوحدة")*ROW('Production Matrix'!#REF!)=0,1/0,1*('Production Matrix'!A:A="تكلفة انتاج الوحدة")*ROW('Production Matrix'!#REF!))</f>
        <v>#REF!</v>
      </c>
      <c r="D1597" s="11" t="str">
        <f>IFERROR(_xlfn.AGGREGATE(15,6,$C$3:$C$53,ROW('Production Matrix'!#REF!)),"")</f>
        <v/>
      </c>
      <c r="E1597" s="11" t="str">
        <f t="shared" si="33"/>
        <v/>
      </c>
      <c r="F1597" s="12">
        <f>IFERROR(INDEX('Production Matrix'!$B:$B,E1597,0),0)</f>
        <v>0</v>
      </c>
    </row>
    <row r="1598" spans="3:6">
      <c r="C1598" s="11" t="e">
        <f>IF(1*('Production Matrix'!A:A="تكلفة انتاج الوحدة")*ROW('Production Matrix'!#REF!)=0,1/0,1*('Production Matrix'!A:A="تكلفة انتاج الوحدة")*ROW('Production Matrix'!#REF!))</f>
        <v>#REF!</v>
      </c>
      <c r="D1598" s="11" t="str">
        <f>IFERROR(_xlfn.AGGREGATE(15,6,$C$3:$C$53,ROW('Production Matrix'!#REF!)),"")</f>
        <v/>
      </c>
      <c r="E1598" s="11" t="str">
        <f t="shared" si="33"/>
        <v/>
      </c>
      <c r="F1598" s="12">
        <f>IFERROR(INDEX('Production Matrix'!$B:$B,E1598,0),0)</f>
        <v>0</v>
      </c>
    </row>
    <row r="1599" spans="3:6">
      <c r="C1599" s="11" t="e">
        <f>IF(1*('Production Matrix'!A:A="تكلفة انتاج الوحدة")*ROW('Production Matrix'!#REF!)=0,1/0,1*('Production Matrix'!A:A="تكلفة انتاج الوحدة")*ROW('Production Matrix'!#REF!))</f>
        <v>#REF!</v>
      </c>
      <c r="D1599" s="11" t="str">
        <f>IFERROR(_xlfn.AGGREGATE(15,6,$C$3:$C$53,ROW('Production Matrix'!#REF!)),"")</f>
        <v/>
      </c>
      <c r="E1599" s="11" t="str">
        <f t="shared" si="33"/>
        <v/>
      </c>
      <c r="F1599" s="12">
        <f>IFERROR(INDEX('Production Matrix'!$B:$B,E1599,0),0)</f>
        <v>0</v>
      </c>
    </row>
    <row r="1600" spans="3:6">
      <c r="C1600" s="11" t="e">
        <f>IF(1*('Production Matrix'!A:A="تكلفة انتاج الوحدة")*ROW('Production Matrix'!#REF!)=0,1/0,1*('Production Matrix'!A:A="تكلفة انتاج الوحدة")*ROW('Production Matrix'!#REF!))</f>
        <v>#REF!</v>
      </c>
      <c r="D1600" s="11" t="str">
        <f>IFERROR(_xlfn.AGGREGATE(15,6,$C$3:$C$53,ROW('Production Matrix'!#REF!)),"")</f>
        <v/>
      </c>
      <c r="E1600" s="11" t="str">
        <f t="shared" si="33"/>
        <v/>
      </c>
      <c r="F1600" s="12">
        <f>IFERROR(INDEX('Production Matrix'!$B:$B,E1600,0),0)</f>
        <v>0</v>
      </c>
    </row>
    <row r="1601" spans="3:6">
      <c r="C1601" s="11" t="e">
        <f>IF(1*('Production Matrix'!A:A="تكلفة انتاج الوحدة")*ROW('Production Matrix'!#REF!)=0,1/0,1*('Production Matrix'!A:A="تكلفة انتاج الوحدة")*ROW('Production Matrix'!#REF!))</f>
        <v>#REF!</v>
      </c>
      <c r="D1601" s="11" t="str">
        <f>IFERROR(_xlfn.AGGREGATE(15,6,$C$3:$C$53,ROW('Production Matrix'!#REF!)),"")</f>
        <v/>
      </c>
      <c r="E1601" s="11" t="str">
        <f t="shared" si="33"/>
        <v/>
      </c>
      <c r="F1601" s="12">
        <f>IFERROR(INDEX('Production Matrix'!$B:$B,E1601,0),0)</f>
        <v>0</v>
      </c>
    </row>
    <row r="1602" spans="3:6">
      <c r="C1602" s="11" t="e">
        <f>IF(1*('Production Matrix'!A:A="تكلفة انتاج الوحدة")*ROW('Production Matrix'!#REF!)=0,1/0,1*('Production Matrix'!A:A="تكلفة انتاج الوحدة")*ROW('Production Matrix'!#REF!))</f>
        <v>#REF!</v>
      </c>
      <c r="D1602" s="11" t="str">
        <f>IFERROR(_xlfn.AGGREGATE(15,6,$C$3:$C$53,ROW('Production Matrix'!#REF!)),"")</f>
        <v/>
      </c>
      <c r="E1602" s="11" t="str">
        <f t="shared" si="33"/>
        <v/>
      </c>
      <c r="F1602" s="12">
        <f>IFERROR(INDEX('Production Matrix'!$B:$B,E1602,0),0)</f>
        <v>0</v>
      </c>
    </row>
    <row r="1603" spans="3:6">
      <c r="C1603" s="11" t="e">
        <f>IF(1*('Production Matrix'!A:A="تكلفة انتاج الوحدة")*ROW('Production Matrix'!#REF!)=0,1/0,1*('Production Matrix'!A:A="تكلفة انتاج الوحدة")*ROW('Production Matrix'!#REF!))</f>
        <v>#REF!</v>
      </c>
      <c r="D1603" s="11" t="str">
        <f>IFERROR(_xlfn.AGGREGATE(15,6,$C$3:$C$53,ROW('Production Matrix'!#REF!)),"")</f>
        <v/>
      </c>
      <c r="E1603" s="11" t="str">
        <f t="shared" si="33"/>
        <v/>
      </c>
      <c r="F1603" s="12">
        <f>IFERROR(INDEX('Production Matrix'!$B:$B,E1603,0),0)</f>
        <v>0</v>
      </c>
    </row>
    <row r="1604" spans="3:6">
      <c r="C1604" s="11" t="e">
        <f>IF(1*('Production Matrix'!A:A="تكلفة انتاج الوحدة")*ROW('Production Matrix'!#REF!)=0,1/0,1*('Production Matrix'!A:A="تكلفة انتاج الوحدة")*ROW('Production Matrix'!#REF!))</f>
        <v>#REF!</v>
      </c>
      <c r="D1604" s="11" t="str">
        <f>IFERROR(_xlfn.AGGREGATE(15,6,$C$3:$C$53,ROW('Production Matrix'!#REF!)),"")</f>
        <v/>
      </c>
      <c r="E1604" s="11" t="str">
        <f t="shared" si="33"/>
        <v/>
      </c>
      <c r="F1604" s="12">
        <f>IFERROR(INDEX('Production Matrix'!$B:$B,E1604,0),0)</f>
        <v>0</v>
      </c>
    </row>
    <row r="1605" spans="3:6">
      <c r="C1605" s="11" t="e">
        <f>IF(1*('Production Matrix'!A:A="تكلفة انتاج الوحدة")*ROW('Production Matrix'!#REF!)=0,1/0,1*('Production Matrix'!A:A="تكلفة انتاج الوحدة")*ROW('Production Matrix'!#REF!))</f>
        <v>#REF!</v>
      </c>
      <c r="D1605" s="11" t="str">
        <f>IFERROR(_xlfn.AGGREGATE(15,6,$C$3:$C$53,ROW('Production Matrix'!#REF!)),"")</f>
        <v/>
      </c>
      <c r="E1605" s="11" t="str">
        <f t="shared" si="33"/>
        <v/>
      </c>
      <c r="F1605" s="12">
        <f>IFERROR(INDEX('Production Matrix'!$B:$B,E1605,0),0)</f>
        <v>0</v>
      </c>
    </row>
    <row r="1606" spans="3:6">
      <c r="C1606" s="11" t="e">
        <f>IF(1*('Production Matrix'!A:A="تكلفة انتاج الوحدة")*ROW('Production Matrix'!#REF!)=0,1/0,1*('Production Matrix'!A:A="تكلفة انتاج الوحدة")*ROW('Production Matrix'!#REF!))</f>
        <v>#REF!</v>
      </c>
      <c r="D1606" s="11" t="str">
        <f>IFERROR(_xlfn.AGGREGATE(15,6,$C$3:$C$53,ROW('Production Matrix'!#REF!)),"")</f>
        <v/>
      </c>
      <c r="E1606" s="11" t="str">
        <f t="shared" si="33"/>
        <v/>
      </c>
      <c r="F1606" s="12">
        <f>IFERROR(INDEX('Production Matrix'!$B:$B,E1606,0),0)</f>
        <v>0</v>
      </c>
    </row>
    <row r="1607" spans="3:6">
      <c r="C1607" s="11" t="e">
        <f>IF(1*('Production Matrix'!A:A="تكلفة انتاج الوحدة")*ROW('Production Matrix'!#REF!)=0,1/0,1*('Production Matrix'!A:A="تكلفة انتاج الوحدة")*ROW('Production Matrix'!#REF!))</f>
        <v>#REF!</v>
      </c>
      <c r="D1607" s="11" t="str">
        <f>IFERROR(_xlfn.AGGREGATE(15,6,$C$3:$C$53,ROW('Production Matrix'!#REF!)),"")</f>
        <v/>
      </c>
      <c r="E1607" s="11" t="str">
        <f t="shared" ref="E1607:E1670" si="34">IFERROR(D1607+3,"")</f>
        <v/>
      </c>
      <c r="F1607" s="12">
        <f>IFERROR(INDEX('Production Matrix'!$B:$B,E1607,0),0)</f>
        <v>0</v>
      </c>
    </row>
    <row r="1608" spans="3:6">
      <c r="C1608" s="11" t="e">
        <f>IF(1*('Production Matrix'!A:A="تكلفة انتاج الوحدة")*ROW('Production Matrix'!#REF!)=0,1/0,1*('Production Matrix'!A:A="تكلفة انتاج الوحدة")*ROW('Production Matrix'!#REF!))</f>
        <v>#REF!</v>
      </c>
      <c r="D1608" s="11" t="str">
        <f>IFERROR(_xlfn.AGGREGATE(15,6,$C$3:$C$53,ROW('Production Matrix'!#REF!)),"")</f>
        <v/>
      </c>
      <c r="E1608" s="11" t="str">
        <f t="shared" si="34"/>
        <v/>
      </c>
      <c r="F1608" s="12">
        <f>IFERROR(INDEX('Production Matrix'!$B:$B,E1608,0),0)</f>
        <v>0</v>
      </c>
    </row>
    <row r="1609" spans="3:6">
      <c r="C1609" s="11" t="e">
        <f>IF(1*('Production Matrix'!A:A="تكلفة انتاج الوحدة")*ROW('Production Matrix'!#REF!)=0,1/0,1*('Production Matrix'!A:A="تكلفة انتاج الوحدة")*ROW('Production Matrix'!#REF!))</f>
        <v>#REF!</v>
      </c>
      <c r="D1609" s="11" t="str">
        <f>IFERROR(_xlfn.AGGREGATE(15,6,$C$3:$C$53,ROW('Production Matrix'!#REF!)),"")</f>
        <v/>
      </c>
      <c r="E1609" s="11" t="str">
        <f t="shared" si="34"/>
        <v/>
      </c>
      <c r="F1609" s="12">
        <f>IFERROR(INDEX('Production Matrix'!$B:$B,E1609,0),0)</f>
        <v>0</v>
      </c>
    </row>
    <row r="1610" spans="3:6">
      <c r="C1610" s="11" t="e">
        <f>IF(1*('Production Matrix'!A:A="تكلفة انتاج الوحدة")*ROW('Production Matrix'!#REF!)=0,1/0,1*('Production Matrix'!A:A="تكلفة انتاج الوحدة")*ROW('Production Matrix'!#REF!))</f>
        <v>#REF!</v>
      </c>
      <c r="D1610" s="11" t="str">
        <f>IFERROR(_xlfn.AGGREGATE(15,6,$C$3:$C$53,ROW('Production Matrix'!#REF!)),"")</f>
        <v/>
      </c>
      <c r="E1610" s="11" t="str">
        <f t="shared" si="34"/>
        <v/>
      </c>
      <c r="F1610" s="12">
        <f>IFERROR(INDEX('Production Matrix'!$B:$B,E1610,0),0)</f>
        <v>0</v>
      </c>
    </row>
    <row r="1611" spans="3:6">
      <c r="C1611" s="11" t="e">
        <f>IF(1*('Production Matrix'!A:A="تكلفة انتاج الوحدة")*ROW('Production Matrix'!#REF!)=0,1/0,1*('Production Matrix'!A:A="تكلفة انتاج الوحدة")*ROW('Production Matrix'!#REF!))</f>
        <v>#REF!</v>
      </c>
      <c r="D1611" s="11" t="str">
        <f>IFERROR(_xlfn.AGGREGATE(15,6,$C$3:$C$53,ROW('Production Matrix'!#REF!)),"")</f>
        <v/>
      </c>
      <c r="E1611" s="11" t="str">
        <f t="shared" si="34"/>
        <v/>
      </c>
      <c r="F1611" s="12">
        <f>IFERROR(INDEX('Production Matrix'!$B:$B,E1611,0),0)</f>
        <v>0</v>
      </c>
    </row>
    <row r="1612" spans="3:6">
      <c r="C1612" s="11" t="e">
        <f>IF(1*('Production Matrix'!A:A="تكلفة انتاج الوحدة")*ROW('Production Matrix'!#REF!)=0,1/0,1*('Production Matrix'!A:A="تكلفة انتاج الوحدة")*ROW('Production Matrix'!#REF!))</f>
        <v>#REF!</v>
      </c>
      <c r="D1612" s="11" t="str">
        <f>IFERROR(_xlfn.AGGREGATE(15,6,$C$3:$C$53,ROW('Production Matrix'!#REF!)),"")</f>
        <v/>
      </c>
      <c r="E1612" s="11" t="str">
        <f t="shared" si="34"/>
        <v/>
      </c>
      <c r="F1612" s="12">
        <f>IFERROR(INDEX('Production Matrix'!$B:$B,E1612,0),0)</f>
        <v>0</v>
      </c>
    </row>
    <row r="1613" spans="3:6">
      <c r="C1613" s="11" t="e">
        <f>IF(1*('Production Matrix'!A:A="تكلفة انتاج الوحدة")*ROW('Production Matrix'!#REF!)=0,1/0,1*('Production Matrix'!A:A="تكلفة انتاج الوحدة")*ROW('Production Matrix'!#REF!))</f>
        <v>#REF!</v>
      </c>
      <c r="D1613" s="11" t="str">
        <f>IFERROR(_xlfn.AGGREGATE(15,6,$C$3:$C$53,ROW('Production Matrix'!#REF!)),"")</f>
        <v/>
      </c>
      <c r="E1613" s="11" t="str">
        <f t="shared" si="34"/>
        <v/>
      </c>
      <c r="F1613" s="12">
        <f>IFERROR(INDEX('Production Matrix'!$B:$B,E1613,0),0)</f>
        <v>0</v>
      </c>
    </row>
    <row r="1614" spans="3:6">
      <c r="C1614" s="11" t="e">
        <f>IF(1*('Production Matrix'!A:A="تكلفة انتاج الوحدة")*ROW('Production Matrix'!#REF!)=0,1/0,1*('Production Matrix'!A:A="تكلفة انتاج الوحدة")*ROW('Production Matrix'!#REF!))</f>
        <v>#REF!</v>
      </c>
      <c r="D1614" s="11" t="str">
        <f>IFERROR(_xlfn.AGGREGATE(15,6,$C$3:$C$53,ROW('Production Matrix'!#REF!)),"")</f>
        <v/>
      </c>
      <c r="E1614" s="11" t="str">
        <f t="shared" si="34"/>
        <v/>
      </c>
      <c r="F1614" s="12">
        <f>IFERROR(INDEX('Production Matrix'!$B:$B,E1614,0),0)</f>
        <v>0</v>
      </c>
    </row>
    <row r="1615" spans="3:6">
      <c r="C1615" s="11" t="e">
        <f>IF(1*('Production Matrix'!A:A="تكلفة انتاج الوحدة")*ROW('Production Matrix'!#REF!)=0,1/0,1*('Production Matrix'!A:A="تكلفة انتاج الوحدة")*ROW('Production Matrix'!#REF!))</f>
        <v>#REF!</v>
      </c>
      <c r="D1615" s="11" t="str">
        <f>IFERROR(_xlfn.AGGREGATE(15,6,$C$3:$C$53,ROW('Production Matrix'!#REF!)),"")</f>
        <v/>
      </c>
      <c r="E1615" s="11" t="str">
        <f t="shared" si="34"/>
        <v/>
      </c>
      <c r="F1615" s="12">
        <f>IFERROR(INDEX('Production Matrix'!$B:$B,E1615,0),0)</f>
        <v>0</v>
      </c>
    </row>
    <row r="1616" spans="3:6">
      <c r="C1616" s="11" t="e">
        <f>IF(1*('Production Matrix'!A:A="تكلفة انتاج الوحدة")*ROW('Production Matrix'!#REF!)=0,1/0,1*('Production Matrix'!A:A="تكلفة انتاج الوحدة")*ROW('Production Matrix'!#REF!))</f>
        <v>#REF!</v>
      </c>
      <c r="D1616" s="11" t="str">
        <f>IFERROR(_xlfn.AGGREGATE(15,6,$C$3:$C$53,ROW('Production Matrix'!#REF!)),"")</f>
        <v/>
      </c>
      <c r="E1616" s="11" t="str">
        <f t="shared" si="34"/>
        <v/>
      </c>
      <c r="F1616" s="12">
        <f>IFERROR(INDEX('Production Matrix'!$B:$B,E1616,0),0)</f>
        <v>0</v>
      </c>
    </row>
    <row r="1617" spans="3:6">
      <c r="C1617" s="11" t="e">
        <f>IF(1*('Production Matrix'!A:A="تكلفة انتاج الوحدة")*ROW('Production Matrix'!#REF!)=0,1/0,1*('Production Matrix'!A:A="تكلفة انتاج الوحدة")*ROW('Production Matrix'!#REF!))</f>
        <v>#REF!</v>
      </c>
      <c r="D1617" s="11" t="str">
        <f>IFERROR(_xlfn.AGGREGATE(15,6,$C$3:$C$53,ROW('Production Matrix'!#REF!)),"")</f>
        <v/>
      </c>
      <c r="E1617" s="11" t="str">
        <f t="shared" si="34"/>
        <v/>
      </c>
      <c r="F1617" s="12">
        <f>IFERROR(INDEX('Production Matrix'!$B:$B,E1617,0),0)</f>
        <v>0</v>
      </c>
    </row>
    <row r="1618" spans="3:6">
      <c r="C1618" s="11" t="e">
        <f>IF(1*('Production Matrix'!A:A="تكلفة انتاج الوحدة")*ROW('Production Matrix'!#REF!)=0,1/0,1*('Production Matrix'!A:A="تكلفة انتاج الوحدة")*ROW('Production Matrix'!#REF!))</f>
        <v>#REF!</v>
      </c>
      <c r="D1618" s="11" t="str">
        <f>IFERROR(_xlfn.AGGREGATE(15,6,$C$3:$C$53,ROW('Production Matrix'!#REF!)),"")</f>
        <v/>
      </c>
      <c r="E1618" s="11" t="str">
        <f t="shared" si="34"/>
        <v/>
      </c>
      <c r="F1618" s="12">
        <f>IFERROR(INDEX('Production Matrix'!$B:$B,E1618,0),0)</f>
        <v>0</v>
      </c>
    </row>
    <row r="1619" spans="3:6">
      <c r="C1619" s="11" t="e">
        <f>IF(1*('Production Matrix'!A:A="تكلفة انتاج الوحدة")*ROW('Production Matrix'!#REF!)=0,1/0,1*('Production Matrix'!A:A="تكلفة انتاج الوحدة")*ROW('Production Matrix'!#REF!))</f>
        <v>#REF!</v>
      </c>
      <c r="D1619" s="11" t="str">
        <f>IFERROR(_xlfn.AGGREGATE(15,6,$C$3:$C$53,ROW('Production Matrix'!#REF!)),"")</f>
        <v/>
      </c>
      <c r="E1619" s="11" t="str">
        <f t="shared" si="34"/>
        <v/>
      </c>
      <c r="F1619" s="12">
        <f>IFERROR(INDEX('Production Matrix'!$B:$B,E1619,0),0)</f>
        <v>0</v>
      </c>
    </row>
    <row r="1620" spans="3:6">
      <c r="C1620" s="11" t="e">
        <f>IF(1*('Production Matrix'!A:A="تكلفة انتاج الوحدة")*ROW('Production Matrix'!#REF!)=0,1/0,1*('Production Matrix'!A:A="تكلفة انتاج الوحدة")*ROW('Production Matrix'!#REF!))</f>
        <v>#REF!</v>
      </c>
      <c r="D1620" s="11" t="str">
        <f>IFERROR(_xlfn.AGGREGATE(15,6,$C$3:$C$53,ROW('Production Matrix'!#REF!)),"")</f>
        <v/>
      </c>
      <c r="E1620" s="11" t="str">
        <f t="shared" si="34"/>
        <v/>
      </c>
      <c r="F1620" s="12">
        <f>IFERROR(INDEX('Production Matrix'!$B:$B,E1620,0),0)</f>
        <v>0</v>
      </c>
    </row>
    <row r="1621" spans="3:6">
      <c r="C1621" s="11" t="e">
        <f>IF(1*('Production Matrix'!A:A="تكلفة انتاج الوحدة")*ROW('Production Matrix'!#REF!)=0,1/0,1*('Production Matrix'!A:A="تكلفة انتاج الوحدة")*ROW('Production Matrix'!#REF!))</f>
        <v>#REF!</v>
      </c>
      <c r="D1621" s="11" t="str">
        <f>IFERROR(_xlfn.AGGREGATE(15,6,$C$3:$C$53,ROW('Production Matrix'!#REF!)),"")</f>
        <v/>
      </c>
      <c r="E1621" s="11" t="str">
        <f t="shared" si="34"/>
        <v/>
      </c>
      <c r="F1621" s="12">
        <f>IFERROR(INDEX('Production Matrix'!$B:$B,E1621,0),0)</f>
        <v>0</v>
      </c>
    </row>
    <row r="1622" spans="3:6">
      <c r="C1622" s="11" t="e">
        <f>IF(1*('Production Matrix'!A:A="تكلفة انتاج الوحدة")*ROW('Production Matrix'!#REF!)=0,1/0,1*('Production Matrix'!A:A="تكلفة انتاج الوحدة")*ROW('Production Matrix'!#REF!))</f>
        <v>#REF!</v>
      </c>
      <c r="D1622" s="11" t="str">
        <f>IFERROR(_xlfn.AGGREGATE(15,6,$C$3:$C$53,ROW('Production Matrix'!#REF!)),"")</f>
        <v/>
      </c>
      <c r="E1622" s="11" t="str">
        <f t="shared" si="34"/>
        <v/>
      </c>
      <c r="F1622" s="12">
        <f>IFERROR(INDEX('Production Matrix'!$B:$B,E1622,0),0)</f>
        <v>0</v>
      </c>
    </row>
    <row r="1623" spans="3:6">
      <c r="C1623" s="11" t="e">
        <f>IF(1*('Production Matrix'!A:A="تكلفة انتاج الوحدة")*ROW('Production Matrix'!#REF!)=0,1/0,1*('Production Matrix'!A:A="تكلفة انتاج الوحدة")*ROW('Production Matrix'!#REF!))</f>
        <v>#REF!</v>
      </c>
      <c r="D1623" s="11" t="str">
        <f>IFERROR(_xlfn.AGGREGATE(15,6,$C$3:$C$53,ROW('Production Matrix'!#REF!)),"")</f>
        <v/>
      </c>
      <c r="E1623" s="11" t="str">
        <f t="shared" si="34"/>
        <v/>
      </c>
      <c r="F1623" s="12">
        <f>IFERROR(INDEX('Production Matrix'!$B:$B,E1623,0),0)</f>
        <v>0</v>
      </c>
    </row>
    <row r="1624" spans="3:6">
      <c r="C1624" s="11" t="e">
        <f>IF(1*('Production Matrix'!A:A="تكلفة انتاج الوحدة")*ROW('Production Matrix'!#REF!)=0,1/0,1*('Production Matrix'!A:A="تكلفة انتاج الوحدة")*ROW('Production Matrix'!#REF!))</f>
        <v>#REF!</v>
      </c>
      <c r="D1624" s="11" t="str">
        <f>IFERROR(_xlfn.AGGREGATE(15,6,$C$3:$C$53,ROW('Production Matrix'!#REF!)),"")</f>
        <v/>
      </c>
      <c r="E1624" s="11" t="str">
        <f t="shared" si="34"/>
        <v/>
      </c>
      <c r="F1624" s="12">
        <f>IFERROR(INDEX('Production Matrix'!$B:$B,E1624,0),0)</f>
        <v>0</v>
      </c>
    </row>
    <row r="1625" spans="3:6">
      <c r="C1625" s="11" t="e">
        <f>IF(1*('Production Matrix'!A:A="تكلفة انتاج الوحدة")*ROW('Production Matrix'!#REF!)=0,1/0,1*('Production Matrix'!A:A="تكلفة انتاج الوحدة")*ROW('Production Matrix'!#REF!))</f>
        <v>#REF!</v>
      </c>
      <c r="D1625" s="11" t="str">
        <f>IFERROR(_xlfn.AGGREGATE(15,6,$C$3:$C$53,ROW('Production Matrix'!#REF!)),"")</f>
        <v/>
      </c>
      <c r="E1625" s="11" t="str">
        <f t="shared" si="34"/>
        <v/>
      </c>
      <c r="F1625" s="12">
        <f>IFERROR(INDEX('Production Matrix'!$B:$B,E1625,0),0)</f>
        <v>0</v>
      </c>
    </row>
    <row r="1626" spans="3:6">
      <c r="C1626" s="11" t="e">
        <f>IF(1*('Production Matrix'!A:A="تكلفة انتاج الوحدة")*ROW('Production Matrix'!#REF!)=0,1/0,1*('Production Matrix'!A:A="تكلفة انتاج الوحدة")*ROW('Production Matrix'!#REF!))</f>
        <v>#REF!</v>
      </c>
      <c r="D1626" s="11" t="str">
        <f>IFERROR(_xlfn.AGGREGATE(15,6,$C$3:$C$53,ROW('Production Matrix'!#REF!)),"")</f>
        <v/>
      </c>
      <c r="E1626" s="11" t="str">
        <f t="shared" si="34"/>
        <v/>
      </c>
      <c r="F1626" s="12">
        <f>IFERROR(INDEX('Production Matrix'!$B:$B,E1626,0),0)</f>
        <v>0</v>
      </c>
    </row>
    <row r="1627" spans="3:6">
      <c r="C1627" s="11" t="e">
        <f>IF(1*('Production Matrix'!A:A="تكلفة انتاج الوحدة")*ROW('Production Matrix'!#REF!)=0,1/0,1*('Production Matrix'!A:A="تكلفة انتاج الوحدة")*ROW('Production Matrix'!#REF!))</f>
        <v>#REF!</v>
      </c>
      <c r="D1627" s="11" t="str">
        <f>IFERROR(_xlfn.AGGREGATE(15,6,$C$3:$C$53,ROW('Production Matrix'!#REF!)),"")</f>
        <v/>
      </c>
      <c r="E1627" s="11" t="str">
        <f t="shared" si="34"/>
        <v/>
      </c>
      <c r="F1627" s="12">
        <f>IFERROR(INDEX('Production Matrix'!$B:$B,E1627,0),0)</f>
        <v>0</v>
      </c>
    </row>
    <row r="1628" spans="3:6">
      <c r="C1628" s="11" t="e">
        <f>IF(1*('Production Matrix'!A:A="تكلفة انتاج الوحدة")*ROW('Production Matrix'!#REF!)=0,1/0,1*('Production Matrix'!A:A="تكلفة انتاج الوحدة")*ROW('Production Matrix'!#REF!))</f>
        <v>#REF!</v>
      </c>
      <c r="D1628" s="11" t="str">
        <f>IFERROR(_xlfn.AGGREGATE(15,6,$C$3:$C$53,ROW('Production Matrix'!#REF!)),"")</f>
        <v/>
      </c>
      <c r="E1628" s="11" t="str">
        <f t="shared" si="34"/>
        <v/>
      </c>
      <c r="F1628" s="12">
        <f>IFERROR(INDEX('Production Matrix'!$B:$B,E1628,0),0)</f>
        <v>0</v>
      </c>
    </row>
    <row r="1629" spans="3:6">
      <c r="C1629" s="11" t="e">
        <f>IF(1*('Production Matrix'!A:A="تكلفة انتاج الوحدة")*ROW('Production Matrix'!#REF!)=0,1/0,1*('Production Matrix'!A:A="تكلفة انتاج الوحدة")*ROW('Production Matrix'!#REF!))</f>
        <v>#REF!</v>
      </c>
      <c r="D1629" s="11" t="str">
        <f>IFERROR(_xlfn.AGGREGATE(15,6,$C$3:$C$53,ROW('Production Matrix'!#REF!)),"")</f>
        <v/>
      </c>
      <c r="E1629" s="11" t="str">
        <f t="shared" si="34"/>
        <v/>
      </c>
      <c r="F1629" s="12">
        <f>IFERROR(INDEX('Production Matrix'!$B:$B,E1629,0),0)</f>
        <v>0</v>
      </c>
    </row>
    <row r="1630" spans="3:6">
      <c r="C1630" s="11" t="e">
        <f>IF(1*('Production Matrix'!A:A="تكلفة انتاج الوحدة")*ROW('Production Matrix'!#REF!)=0,1/0,1*('Production Matrix'!A:A="تكلفة انتاج الوحدة")*ROW('Production Matrix'!#REF!))</f>
        <v>#REF!</v>
      </c>
      <c r="D1630" s="11" t="str">
        <f>IFERROR(_xlfn.AGGREGATE(15,6,$C$3:$C$53,ROW('Production Matrix'!#REF!)),"")</f>
        <v/>
      </c>
      <c r="E1630" s="11" t="str">
        <f t="shared" si="34"/>
        <v/>
      </c>
      <c r="F1630" s="12">
        <f>IFERROR(INDEX('Production Matrix'!$B:$B,E1630,0),0)</f>
        <v>0</v>
      </c>
    </row>
    <row r="1631" spans="3:6">
      <c r="C1631" s="11" t="e">
        <f>IF(1*('Production Matrix'!A:A="تكلفة انتاج الوحدة")*ROW('Production Matrix'!#REF!)=0,1/0,1*('Production Matrix'!A:A="تكلفة انتاج الوحدة")*ROW('Production Matrix'!#REF!))</f>
        <v>#REF!</v>
      </c>
      <c r="D1631" s="11" t="str">
        <f>IFERROR(_xlfn.AGGREGATE(15,6,$C$3:$C$53,ROW('Production Matrix'!#REF!)),"")</f>
        <v/>
      </c>
      <c r="E1631" s="11" t="str">
        <f t="shared" si="34"/>
        <v/>
      </c>
      <c r="F1631" s="12">
        <f>IFERROR(INDEX('Production Matrix'!$B:$B,E1631,0),0)</f>
        <v>0</v>
      </c>
    </row>
    <row r="1632" spans="3:6">
      <c r="C1632" s="11" t="e">
        <f>IF(1*('Production Matrix'!A:A="تكلفة انتاج الوحدة")*ROW('Production Matrix'!#REF!)=0,1/0,1*('Production Matrix'!A:A="تكلفة انتاج الوحدة")*ROW('Production Matrix'!#REF!))</f>
        <v>#REF!</v>
      </c>
      <c r="D1632" s="11" t="str">
        <f>IFERROR(_xlfn.AGGREGATE(15,6,$C$3:$C$53,ROW('Production Matrix'!#REF!)),"")</f>
        <v/>
      </c>
      <c r="E1632" s="11" t="str">
        <f t="shared" si="34"/>
        <v/>
      </c>
      <c r="F1632" s="12">
        <f>IFERROR(INDEX('Production Matrix'!$B:$B,E1632,0),0)</f>
        <v>0</v>
      </c>
    </row>
    <row r="1633" spans="3:6">
      <c r="C1633" s="11" t="e">
        <f>IF(1*('Production Matrix'!A:A="تكلفة انتاج الوحدة")*ROW('Production Matrix'!#REF!)=0,1/0,1*('Production Matrix'!A:A="تكلفة انتاج الوحدة")*ROW('Production Matrix'!#REF!))</f>
        <v>#REF!</v>
      </c>
      <c r="D1633" s="11" t="str">
        <f>IFERROR(_xlfn.AGGREGATE(15,6,$C$3:$C$53,ROW('Production Matrix'!#REF!)),"")</f>
        <v/>
      </c>
      <c r="E1633" s="11" t="str">
        <f t="shared" si="34"/>
        <v/>
      </c>
      <c r="F1633" s="12">
        <f>IFERROR(INDEX('Production Matrix'!$B:$B,E1633,0),0)</f>
        <v>0</v>
      </c>
    </row>
    <row r="1634" spans="3:6">
      <c r="C1634" s="11" t="e">
        <f>IF(1*('Production Matrix'!A:A="تكلفة انتاج الوحدة")*ROW('Production Matrix'!#REF!)=0,1/0,1*('Production Matrix'!A:A="تكلفة انتاج الوحدة")*ROW('Production Matrix'!#REF!))</f>
        <v>#REF!</v>
      </c>
      <c r="D1634" s="11" t="str">
        <f>IFERROR(_xlfn.AGGREGATE(15,6,$C$3:$C$53,ROW('Production Matrix'!#REF!)),"")</f>
        <v/>
      </c>
      <c r="E1634" s="11" t="str">
        <f t="shared" si="34"/>
        <v/>
      </c>
      <c r="F1634" s="12">
        <f>IFERROR(INDEX('Production Matrix'!$B:$B,E1634,0),0)</f>
        <v>0</v>
      </c>
    </row>
    <row r="1635" spans="3:6">
      <c r="C1635" s="11" t="e">
        <f>IF(1*('Production Matrix'!A:A="تكلفة انتاج الوحدة")*ROW('Production Matrix'!#REF!)=0,1/0,1*('Production Matrix'!A:A="تكلفة انتاج الوحدة")*ROW('Production Matrix'!#REF!))</f>
        <v>#REF!</v>
      </c>
      <c r="D1635" s="11" t="str">
        <f>IFERROR(_xlfn.AGGREGATE(15,6,$C$3:$C$53,ROW('Production Matrix'!#REF!)),"")</f>
        <v/>
      </c>
      <c r="E1635" s="11" t="str">
        <f t="shared" si="34"/>
        <v/>
      </c>
      <c r="F1635" s="12">
        <f>IFERROR(INDEX('Production Matrix'!$B:$B,E1635,0),0)</f>
        <v>0</v>
      </c>
    </row>
    <row r="1636" spans="3:6">
      <c r="C1636" s="11" t="e">
        <f>IF(1*('Production Matrix'!A:A="تكلفة انتاج الوحدة")*ROW('Production Matrix'!#REF!)=0,1/0,1*('Production Matrix'!A:A="تكلفة انتاج الوحدة")*ROW('Production Matrix'!#REF!))</f>
        <v>#REF!</v>
      </c>
      <c r="D1636" s="11" t="str">
        <f>IFERROR(_xlfn.AGGREGATE(15,6,$C$3:$C$53,ROW('Production Matrix'!#REF!)),"")</f>
        <v/>
      </c>
      <c r="E1636" s="11" t="str">
        <f t="shared" si="34"/>
        <v/>
      </c>
      <c r="F1636" s="12">
        <f>IFERROR(INDEX('Production Matrix'!$B:$B,E1636,0),0)</f>
        <v>0</v>
      </c>
    </row>
    <row r="1637" spans="3:6">
      <c r="C1637" s="11" t="e">
        <f>IF(1*('Production Matrix'!A:A="تكلفة انتاج الوحدة")*ROW('Production Matrix'!#REF!)=0,1/0,1*('Production Matrix'!A:A="تكلفة انتاج الوحدة")*ROW('Production Matrix'!#REF!))</f>
        <v>#REF!</v>
      </c>
      <c r="D1637" s="11" t="str">
        <f>IFERROR(_xlfn.AGGREGATE(15,6,$C$3:$C$53,ROW('Production Matrix'!#REF!)),"")</f>
        <v/>
      </c>
      <c r="E1637" s="11" t="str">
        <f t="shared" si="34"/>
        <v/>
      </c>
      <c r="F1637" s="12">
        <f>IFERROR(INDEX('Production Matrix'!$B:$B,E1637,0),0)</f>
        <v>0</v>
      </c>
    </row>
    <row r="1638" spans="3:6">
      <c r="C1638" s="11" t="e">
        <f>IF(1*('Production Matrix'!A:A="تكلفة انتاج الوحدة")*ROW('Production Matrix'!#REF!)=0,1/0,1*('Production Matrix'!A:A="تكلفة انتاج الوحدة")*ROW('Production Matrix'!#REF!))</f>
        <v>#REF!</v>
      </c>
      <c r="D1638" s="11" t="str">
        <f>IFERROR(_xlfn.AGGREGATE(15,6,$C$3:$C$53,ROW('Production Matrix'!#REF!)),"")</f>
        <v/>
      </c>
      <c r="E1638" s="11" t="str">
        <f t="shared" si="34"/>
        <v/>
      </c>
      <c r="F1638" s="12">
        <f>IFERROR(INDEX('Production Matrix'!$B:$B,E1638,0),0)</f>
        <v>0</v>
      </c>
    </row>
    <row r="1639" spans="3:6">
      <c r="C1639" s="11" t="e">
        <f>IF(1*('Production Matrix'!A:A="تكلفة انتاج الوحدة")*ROW('Production Matrix'!#REF!)=0,1/0,1*('Production Matrix'!A:A="تكلفة انتاج الوحدة")*ROW('Production Matrix'!#REF!))</f>
        <v>#REF!</v>
      </c>
      <c r="D1639" s="11" t="str">
        <f>IFERROR(_xlfn.AGGREGATE(15,6,$C$3:$C$53,ROW('Production Matrix'!#REF!)),"")</f>
        <v/>
      </c>
      <c r="E1639" s="11" t="str">
        <f t="shared" si="34"/>
        <v/>
      </c>
      <c r="F1639" s="12">
        <f>IFERROR(INDEX('Production Matrix'!$B:$B,E1639,0),0)</f>
        <v>0</v>
      </c>
    </row>
    <row r="1640" spans="3:6">
      <c r="C1640" s="11" t="e">
        <f>IF(1*('Production Matrix'!A:A="تكلفة انتاج الوحدة")*ROW('Production Matrix'!#REF!)=0,1/0,1*('Production Matrix'!A:A="تكلفة انتاج الوحدة")*ROW('Production Matrix'!#REF!))</f>
        <v>#REF!</v>
      </c>
      <c r="D1640" s="11" t="str">
        <f>IFERROR(_xlfn.AGGREGATE(15,6,$C$3:$C$53,ROW('Production Matrix'!#REF!)),"")</f>
        <v/>
      </c>
      <c r="E1640" s="11" t="str">
        <f t="shared" si="34"/>
        <v/>
      </c>
      <c r="F1640" s="12">
        <f>IFERROR(INDEX('Production Matrix'!$B:$B,E1640,0),0)</f>
        <v>0</v>
      </c>
    </row>
    <row r="1641" spans="3:6">
      <c r="C1641" s="11" t="e">
        <f>IF(1*('Production Matrix'!A:A="تكلفة انتاج الوحدة")*ROW('Production Matrix'!#REF!)=0,1/0,1*('Production Matrix'!A:A="تكلفة انتاج الوحدة")*ROW('Production Matrix'!#REF!))</f>
        <v>#REF!</v>
      </c>
      <c r="D1641" s="11" t="str">
        <f>IFERROR(_xlfn.AGGREGATE(15,6,$C$3:$C$53,ROW('Production Matrix'!#REF!)),"")</f>
        <v/>
      </c>
      <c r="E1641" s="11" t="str">
        <f t="shared" si="34"/>
        <v/>
      </c>
      <c r="F1641" s="12">
        <f>IFERROR(INDEX('Production Matrix'!$B:$B,E1641,0),0)</f>
        <v>0</v>
      </c>
    </row>
    <row r="1642" spans="3:6">
      <c r="C1642" s="11" t="e">
        <f>IF(1*('Production Matrix'!A:A="تكلفة انتاج الوحدة")*ROW('Production Matrix'!#REF!)=0,1/0,1*('Production Matrix'!A:A="تكلفة انتاج الوحدة")*ROW('Production Matrix'!#REF!))</f>
        <v>#REF!</v>
      </c>
      <c r="D1642" s="11" t="str">
        <f>IFERROR(_xlfn.AGGREGATE(15,6,$C$3:$C$53,ROW('Production Matrix'!#REF!)),"")</f>
        <v/>
      </c>
      <c r="E1642" s="11" t="str">
        <f t="shared" si="34"/>
        <v/>
      </c>
      <c r="F1642" s="12">
        <f>IFERROR(INDEX('Production Matrix'!$B:$B,E1642,0),0)</f>
        <v>0</v>
      </c>
    </row>
    <row r="1643" spans="3:6">
      <c r="C1643" s="11" t="e">
        <f>IF(1*('Production Matrix'!A:A="تكلفة انتاج الوحدة")*ROW('Production Matrix'!#REF!)=0,1/0,1*('Production Matrix'!A:A="تكلفة انتاج الوحدة")*ROW('Production Matrix'!#REF!))</f>
        <v>#REF!</v>
      </c>
      <c r="D1643" s="11" t="str">
        <f>IFERROR(_xlfn.AGGREGATE(15,6,$C$3:$C$53,ROW('Production Matrix'!#REF!)),"")</f>
        <v/>
      </c>
      <c r="E1643" s="11" t="str">
        <f t="shared" si="34"/>
        <v/>
      </c>
      <c r="F1643" s="12">
        <f>IFERROR(INDEX('Production Matrix'!$B:$B,E1643,0),0)</f>
        <v>0</v>
      </c>
    </row>
    <row r="1644" spans="3:6">
      <c r="C1644" s="11" t="e">
        <f>IF(1*('Production Matrix'!A:A="تكلفة انتاج الوحدة")*ROW('Production Matrix'!#REF!)=0,1/0,1*('Production Matrix'!A:A="تكلفة انتاج الوحدة")*ROW('Production Matrix'!#REF!))</f>
        <v>#REF!</v>
      </c>
      <c r="D1644" s="11" t="str">
        <f>IFERROR(_xlfn.AGGREGATE(15,6,$C$3:$C$53,ROW('Production Matrix'!#REF!)),"")</f>
        <v/>
      </c>
      <c r="E1644" s="11" t="str">
        <f t="shared" si="34"/>
        <v/>
      </c>
      <c r="F1644" s="12">
        <f>IFERROR(INDEX('Production Matrix'!$B:$B,E1644,0),0)</f>
        <v>0</v>
      </c>
    </row>
    <row r="1645" spans="3:6">
      <c r="C1645" s="11" t="e">
        <f>IF(1*('Production Matrix'!A:A="تكلفة انتاج الوحدة")*ROW('Production Matrix'!#REF!)=0,1/0,1*('Production Matrix'!A:A="تكلفة انتاج الوحدة")*ROW('Production Matrix'!#REF!))</f>
        <v>#REF!</v>
      </c>
      <c r="D1645" s="11" t="str">
        <f>IFERROR(_xlfn.AGGREGATE(15,6,$C$3:$C$53,ROW('Production Matrix'!#REF!)),"")</f>
        <v/>
      </c>
      <c r="E1645" s="11" t="str">
        <f t="shared" si="34"/>
        <v/>
      </c>
      <c r="F1645" s="12">
        <f>IFERROR(INDEX('Production Matrix'!$B:$B,E1645,0),0)</f>
        <v>0</v>
      </c>
    </row>
    <row r="1646" spans="3:6">
      <c r="C1646" s="11" t="e">
        <f>IF(1*('Production Matrix'!A:A="تكلفة انتاج الوحدة")*ROW('Production Matrix'!#REF!)=0,1/0,1*('Production Matrix'!A:A="تكلفة انتاج الوحدة")*ROW('Production Matrix'!#REF!))</f>
        <v>#REF!</v>
      </c>
      <c r="D1646" s="11" t="str">
        <f>IFERROR(_xlfn.AGGREGATE(15,6,$C$3:$C$53,ROW('Production Matrix'!#REF!)),"")</f>
        <v/>
      </c>
      <c r="E1646" s="11" t="str">
        <f t="shared" si="34"/>
        <v/>
      </c>
      <c r="F1646" s="12">
        <f>IFERROR(INDEX('Production Matrix'!$B:$B,E1646,0),0)</f>
        <v>0</v>
      </c>
    </row>
    <row r="1647" spans="3:6">
      <c r="C1647" s="11" t="e">
        <f>IF(1*('Production Matrix'!A:A="تكلفة انتاج الوحدة")*ROW('Production Matrix'!#REF!)=0,1/0,1*('Production Matrix'!A:A="تكلفة انتاج الوحدة")*ROW('Production Matrix'!#REF!))</f>
        <v>#REF!</v>
      </c>
      <c r="D1647" s="11" t="str">
        <f>IFERROR(_xlfn.AGGREGATE(15,6,$C$3:$C$53,ROW('Production Matrix'!#REF!)),"")</f>
        <v/>
      </c>
      <c r="E1647" s="11" t="str">
        <f t="shared" si="34"/>
        <v/>
      </c>
      <c r="F1647" s="12">
        <f>IFERROR(INDEX('Production Matrix'!$B:$B,E1647,0),0)</f>
        <v>0</v>
      </c>
    </row>
    <row r="1648" spans="3:6">
      <c r="C1648" s="11" t="e">
        <f>IF(1*('Production Matrix'!A:A="تكلفة انتاج الوحدة")*ROW('Production Matrix'!#REF!)=0,1/0,1*('Production Matrix'!A:A="تكلفة انتاج الوحدة")*ROW('Production Matrix'!#REF!))</f>
        <v>#REF!</v>
      </c>
      <c r="D1648" s="11" t="str">
        <f>IFERROR(_xlfn.AGGREGATE(15,6,$C$3:$C$53,ROW('Production Matrix'!#REF!)),"")</f>
        <v/>
      </c>
      <c r="E1648" s="11" t="str">
        <f t="shared" si="34"/>
        <v/>
      </c>
      <c r="F1648" s="12">
        <f>IFERROR(INDEX('Production Matrix'!$B:$B,E1648,0),0)</f>
        <v>0</v>
      </c>
    </row>
    <row r="1649" spans="3:6">
      <c r="C1649" s="11" t="e">
        <f>IF(1*('Production Matrix'!A:A="تكلفة انتاج الوحدة")*ROW('Production Matrix'!#REF!)=0,1/0,1*('Production Matrix'!A:A="تكلفة انتاج الوحدة")*ROW('Production Matrix'!#REF!))</f>
        <v>#REF!</v>
      </c>
      <c r="D1649" s="11" t="str">
        <f>IFERROR(_xlfn.AGGREGATE(15,6,$C$3:$C$53,ROW('Production Matrix'!#REF!)),"")</f>
        <v/>
      </c>
      <c r="E1649" s="11" t="str">
        <f t="shared" si="34"/>
        <v/>
      </c>
      <c r="F1649" s="12">
        <f>IFERROR(INDEX('Production Matrix'!$B:$B,E1649,0),0)</f>
        <v>0</v>
      </c>
    </row>
    <row r="1650" spans="3:6">
      <c r="C1650" s="11" t="e">
        <f>IF(1*('Production Matrix'!A:A="تكلفة انتاج الوحدة")*ROW('Production Matrix'!#REF!)=0,1/0,1*('Production Matrix'!A:A="تكلفة انتاج الوحدة")*ROW('Production Matrix'!#REF!))</f>
        <v>#REF!</v>
      </c>
      <c r="D1650" s="11" t="str">
        <f>IFERROR(_xlfn.AGGREGATE(15,6,$C$3:$C$53,ROW('Production Matrix'!#REF!)),"")</f>
        <v/>
      </c>
      <c r="E1650" s="11" t="str">
        <f t="shared" si="34"/>
        <v/>
      </c>
      <c r="F1650" s="12">
        <f>IFERROR(INDEX('Production Matrix'!$B:$B,E1650,0),0)</f>
        <v>0</v>
      </c>
    </row>
    <row r="1651" spans="3:6">
      <c r="C1651" s="11" t="e">
        <f>IF(1*('Production Matrix'!A:A="تكلفة انتاج الوحدة")*ROW('Production Matrix'!#REF!)=0,1/0,1*('Production Matrix'!A:A="تكلفة انتاج الوحدة")*ROW('Production Matrix'!#REF!))</f>
        <v>#REF!</v>
      </c>
      <c r="D1651" s="11" t="str">
        <f>IFERROR(_xlfn.AGGREGATE(15,6,$C$3:$C$53,ROW('Production Matrix'!#REF!)),"")</f>
        <v/>
      </c>
      <c r="E1651" s="11" t="str">
        <f t="shared" si="34"/>
        <v/>
      </c>
      <c r="F1651" s="12">
        <f>IFERROR(INDEX('Production Matrix'!$B:$B,E1651,0),0)</f>
        <v>0</v>
      </c>
    </row>
    <row r="1652" spans="3:6">
      <c r="C1652" s="11" t="e">
        <f>IF(1*('Production Matrix'!A:A="تكلفة انتاج الوحدة")*ROW('Production Matrix'!#REF!)=0,1/0,1*('Production Matrix'!A:A="تكلفة انتاج الوحدة")*ROW('Production Matrix'!#REF!))</f>
        <v>#REF!</v>
      </c>
      <c r="D1652" s="11" t="str">
        <f>IFERROR(_xlfn.AGGREGATE(15,6,$C$3:$C$53,ROW('Production Matrix'!#REF!)),"")</f>
        <v/>
      </c>
      <c r="E1652" s="11" t="str">
        <f t="shared" si="34"/>
        <v/>
      </c>
      <c r="F1652" s="12">
        <f>IFERROR(INDEX('Production Matrix'!$B:$B,E1652,0),0)</f>
        <v>0</v>
      </c>
    </row>
    <row r="1653" spans="3:6">
      <c r="C1653" s="11" t="e">
        <f>IF(1*('Production Matrix'!A:A="تكلفة انتاج الوحدة")*ROW('Production Matrix'!#REF!)=0,1/0,1*('Production Matrix'!A:A="تكلفة انتاج الوحدة")*ROW('Production Matrix'!#REF!))</f>
        <v>#REF!</v>
      </c>
      <c r="D1653" s="11" t="str">
        <f>IFERROR(_xlfn.AGGREGATE(15,6,$C$3:$C$53,ROW('Production Matrix'!#REF!)),"")</f>
        <v/>
      </c>
      <c r="E1653" s="11" t="str">
        <f t="shared" si="34"/>
        <v/>
      </c>
      <c r="F1653" s="12">
        <f>IFERROR(INDEX('Production Matrix'!$B:$B,E1653,0),0)</f>
        <v>0</v>
      </c>
    </row>
    <row r="1654" spans="3:6">
      <c r="C1654" s="11" t="e">
        <f>IF(1*('Production Matrix'!A:A="تكلفة انتاج الوحدة")*ROW('Production Matrix'!#REF!)=0,1/0,1*('Production Matrix'!A:A="تكلفة انتاج الوحدة")*ROW('Production Matrix'!#REF!))</f>
        <v>#REF!</v>
      </c>
      <c r="D1654" s="11" t="str">
        <f>IFERROR(_xlfn.AGGREGATE(15,6,$C$3:$C$53,ROW('Production Matrix'!#REF!)),"")</f>
        <v/>
      </c>
      <c r="E1654" s="11" t="str">
        <f t="shared" si="34"/>
        <v/>
      </c>
      <c r="F1654" s="12">
        <f>IFERROR(INDEX('Production Matrix'!$B:$B,E1654,0),0)</f>
        <v>0</v>
      </c>
    </row>
    <row r="1655" spans="3:6">
      <c r="C1655" s="11" t="e">
        <f>IF(1*('Production Matrix'!A:A="تكلفة انتاج الوحدة")*ROW('Production Matrix'!#REF!)=0,1/0,1*('Production Matrix'!A:A="تكلفة انتاج الوحدة")*ROW('Production Matrix'!#REF!))</f>
        <v>#REF!</v>
      </c>
      <c r="D1655" s="11" t="str">
        <f>IFERROR(_xlfn.AGGREGATE(15,6,$C$3:$C$53,ROW('Production Matrix'!#REF!)),"")</f>
        <v/>
      </c>
      <c r="E1655" s="11" t="str">
        <f t="shared" si="34"/>
        <v/>
      </c>
      <c r="F1655" s="12">
        <f>IFERROR(INDEX('Production Matrix'!$B:$B,E1655,0),0)</f>
        <v>0</v>
      </c>
    </row>
    <row r="1656" spans="3:6">
      <c r="C1656" s="11" t="e">
        <f>IF(1*('Production Matrix'!A:A="تكلفة انتاج الوحدة")*ROW('Production Matrix'!#REF!)=0,1/0,1*('Production Matrix'!A:A="تكلفة انتاج الوحدة")*ROW('Production Matrix'!#REF!))</f>
        <v>#REF!</v>
      </c>
      <c r="D1656" s="11" t="str">
        <f>IFERROR(_xlfn.AGGREGATE(15,6,$C$3:$C$53,ROW('Production Matrix'!#REF!)),"")</f>
        <v/>
      </c>
      <c r="E1656" s="11" t="str">
        <f t="shared" si="34"/>
        <v/>
      </c>
      <c r="F1656" s="12">
        <f>IFERROR(INDEX('Production Matrix'!$B:$B,E1656,0),0)</f>
        <v>0</v>
      </c>
    </row>
    <row r="1657" spans="3:6">
      <c r="C1657" s="11" t="e">
        <f>IF(1*('Production Matrix'!A:A="تكلفة انتاج الوحدة")*ROW('Production Matrix'!#REF!)=0,1/0,1*('Production Matrix'!A:A="تكلفة انتاج الوحدة")*ROW('Production Matrix'!#REF!))</f>
        <v>#REF!</v>
      </c>
      <c r="D1657" s="11" t="str">
        <f>IFERROR(_xlfn.AGGREGATE(15,6,$C$3:$C$53,ROW('Production Matrix'!#REF!)),"")</f>
        <v/>
      </c>
      <c r="E1657" s="11" t="str">
        <f t="shared" si="34"/>
        <v/>
      </c>
      <c r="F1657" s="12">
        <f>IFERROR(INDEX('Production Matrix'!$B:$B,E1657,0),0)</f>
        <v>0</v>
      </c>
    </row>
    <row r="1658" spans="3:6">
      <c r="C1658" s="11" t="e">
        <f>IF(1*('Production Matrix'!A:A="تكلفة انتاج الوحدة")*ROW('Production Matrix'!#REF!)=0,1/0,1*('Production Matrix'!A:A="تكلفة انتاج الوحدة")*ROW('Production Matrix'!#REF!))</f>
        <v>#REF!</v>
      </c>
      <c r="D1658" s="11" t="str">
        <f>IFERROR(_xlfn.AGGREGATE(15,6,$C$3:$C$53,ROW('Production Matrix'!#REF!)),"")</f>
        <v/>
      </c>
      <c r="E1658" s="11" t="str">
        <f t="shared" si="34"/>
        <v/>
      </c>
      <c r="F1658" s="12">
        <f>IFERROR(INDEX('Production Matrix'!$B:$B,E1658,0),0)</f>
        <v>0</v>
      </c>
    </row>
    <row r="1659" spans="3:6">
      <c r="C1659" s="11" t="e">
        <f>IF(1*('Production Matrix'!A:A="تكلفة انتاج الوحدة")*ROW('Production Matrix'!#REF!)=0,1/0,1*('Production Matrix'!A:A="تكلفة انتاج الوحدة")*ROW('Production Matrix'!#REF!))</f>
        <v>#REF!</v>
      </c>
      <c r="D1659" s="11" t="str">
        <f>IFERROR(_xlfn.AGGREGATE(15,6,$C$3:$C$53,ROW('Production Matrix'!#REF!)),"")</f>
        <v/>
      </c>
      <c r="E1659" s="11" t="str">
        <f t="shared" si="34"/>
        <v/>
      </c>
      <c r="F1659" s="12">
        <f>IFERROR(INDEX('Production Matrix'!$B:$B,E1659,0),0)</f>
        <v>0</v>
      </c>
    </row>
    <row r="1660" spans="3:6">
      <c r="C1660" s="11" t="e">
        <f>IF(1*('Production Matrix'!A:A="تكلفة انتاج الوحدة")*ROW('Production Matrix'!#REF!)=0,1/0,1*('Production Matrix'!A:A="تكلفة انتاج الوحدة")*ROW('Production Matrix'!#REF!))</f>
        <v>#REF!</v>
      </c>
      <c r="D1660" s="11" t="str">
        <f>IFERROR(_xlfn.AGGREGATE(15,6,$C$3:$C$53,ROW('Production Matrix'!#REF!)),"")</f>
        <v/>
      </c>
      <c r="E1660" s="11" t="str">
        <f t="shared" si="34"/>
        <v/>
      </c>
      <c r="F1660" s="12">
        <f>IFERROR(INDEX('Production Matrix'!$B:$B,E1660,0),0)</f>
        <v>0</v>
      </c>
    </row>
    <row r="1661" spans="3:6">
      <c r="C1661" s="11" t="e">
        <f>IF(1*('Production Matrix'!A:A="تكلفة انتاج الوحدة")*ROW('Production Matrix'!#REF!)=0,1/0,1*('Production Matrix'!A:A="تكلفة انتاج الوحدة")*ROW('Production Matrix'!#REF!))</f>
        <v>#REF!</v>
      </c>
      <c r="D1661" s="11" t="str">
        <f>IFERROR(_xlfn.AGGREGATE(15,6,$C$3:$C$53,ROW('Production Matrix'!#REF!)),"")</f>
        <v/>
      </c>
      <c r="E1661" s="11" t="str">
        <f t="shared" si="34"/>
        <v/>
      </c>
      <c r="F1661" s="12">
        <f>IFERROR(INDEX('Production Matrix'!$B:$B,E1661,0),0)</f>
        <v>0</v>
      </c>
    </row>
    <row r="1662" spans="3:6">
      <c r="C1662" s="11" t="e">
        <f>IF(1*('Production Matrix'!A:A="تكلفة انتاج الوحدة")*ROW('Production Matrix'!#REF!)=0,1/0,1*('Production Matrix'!A:A="تكلفة انتاج الوحدة")*ROW('Production Matrix'!#REF!))</f>
        <v>#REF!</v>
      </c>
      <c r="D1662" s="11" t="str">
        <f>IFERROR(_xlfn.AGGREGATE(15,6,$C$3:$C$53,ROW('Production Matrix'!#REF!)),"")</f>
        <v/>
      </c>
      <c r="E1662" s="11" t="str">
        <f t="shared" si="34"/>
        <v/>
      </c>
      <c r="F1662" s="12">
        <f>IFERROR(INDEX('Production Matrix'!$B:$B,E1662,0),0)</f>
        <v>0</v>
      </c>
    </row>
    <row r="1663" spans="3:6">
      <c r="C1663" s="11" t="e">
        <f>IF(1*('Production Matrix'!A:A="تكلفة انتاج الوحدة")*ROW('Production Matrix'!#REF!)=0,1/0,1*('Production Matrix'!A:A="تكلفة انتاج الوحدة")*ROW('Production Matrix'!#REF!))</f>
        <v>#REF!</v>
      </c>
      <c r="D1663" s="11" t="str">
        <f>IFERROR(_xlfn.AGGREGATE(15,6,$C$3:$C$53,ROW('Production Matrix'!#REF!)),"")</f>
        <v/>
      </c>
      <c r="E1663" s="11" t="str">
        <f t="shared" si="34"/>
        <v/>
      </c>
      <c r="F1663" s="12">
        <f>IFERROR(INDEX('Production Matrix'!$B:$B,E1663,0),0)</f>
        <v>0</v>
      </c>
    </row>
    <row r="1664" spans="3:6">
      <c r="C1664" s="11" t="e">
        <f>IF(1*('Production Matrix'!A:A="تكلفة انتاج الوحدة")*ROW('Production Matrix'!#REF!)=0,1/0,1*('Production Matrix'!A:A="تكلفة انتاج الوحدة")*ROW('Production Matrix'!#REF!))</f>
        <v>#REF!</v>
      </c>
      <c r="D1664" s="11" t="str">
        <f>IFERROR(_xlfn.AGGREGATE(15,6,$C$3:$C$53,ROW('Production Matrix'!#REF!)),"")</f>
        <v/>
      </c>
      <c r="E1664" s="11" t="str">
        <f t="shared" si="34"/>
        <v/>
      </c>
      <c r="F1664" s="12">
        <f>IFERROR(INDEX('Production Matrix'!$B:$B,E1664,0),0)</f>
        <v>0</v>
      </c>
    </row>
    <row r="1665" spans="3:6">
      <c r="C1665" s="11" t="e">
        <f>IF(1*('Production Matrix'!A:A="تكلفة انتاج الوحدة")*ROW('Production Matrix'!#REF!)=0,1/0,1*('Production Matrix'!A:A="تكلفة انتاج الوحدة")*ROW('Production Matrix'!#REF!))</f>
        <v>#REF!</v>
      </c>
      <c r="D1665" s="11" t="str">
        <f>IFERROR(_xlfn.AGGREGATE(15,6,$C$3:$C$53,ROW('Production Matrix'!#REF!)),"")</f>
        <v/>
      </c>
      <c r="E1665" s="11" t="str">
        <f t="shared" si="34"/>
        <v/>
      </c>
      <c r="F1665" s="12">
        <f>IFERROR(INDEX('Production Matrix'!$B:$B,E1665,0),0)</f>
        <v>0</v>
      </c>
    </row>
    <row r="1666" spans="3:6">
      <c r="C1666" s="11" t="e">
        <f>IF(1*('Production Matrix'!A:A="تكلفة انتاج الوحدة")*ROW('Production Matrix'!#REF!)=0,1/0,1*('Production Matrix'!A:A="تكلفة انتاج الوحدة")*ROW('Production Matrix'!#REF!))</f>
        <v>#REF!</v>
      </c>
      <c r="D1666" s="11" t="str">
        <f>IFERROR(_xlfn.AGGREGATE(15,6,$C$3:$C$53,ROW('Production Matrix'!#REF!)),"")</f>
        <v/>
      </c>
      <c r="E1666" s="11" t="str">
        <f t="shared" si="34"/>
        <v/>
      </c>
      <c r="F1666" s="12">
        <f>IFERROR(INDEX('Production Matrix'!$B:$B,E1666,0),0)</f>
        <v>0</v>
      </c>
    </row>
    <row r="1667" spans="3:6">
      <c r="C1667" s="11" t="e">
        <f>IF(1*('Production Matrix'!A:A="تكلفة انتاج الوحدة")*ROW('Production Matrix'!#REF!)=0,1/0,1*('Production Matrix'!A:A="تكلفة انتاج الوحدة")*ROW('Production Matrix'!#REF!))</f>
        <v>#REF!</v>
      </c>
      <c r="D1667" s="11" t="str">
        <f>IFERROR(_xlfn.AGGREGATE(15,6,$C$3:$C$53,ROW('Production Matrix'!#REF!)),"")</f>
        <v/>
      </c>
      <c r="E1667" s="11" t="str">
        <f t="shared" si="34"/>
        <v/>
      </c>
      <c r="F1667" s="12">
        <f>IFERROR(INDEX('Production Matrix'!$B:$B,E1667,0),0)</f>
        <v>0</v>
      </c>
    </row>
    <row r="1668" spans="3:6">
      <c r="C1668" s="11" t="e">
        <f>IF(1*('Production Matrix'!A:A="تكلفة انتاج الوحدة")*ROW('Production Matrix'!#REF!)=0,1/0,1*('Production Matrix'!A:A="تكلفة انتاج الوحدة")*ROW('Production Matrix'!#REF!))</f>
        <v>#REF!</v>
      </c>
      <c r="D1668" s="11" t="str">
        <f>IFERROR(_xlfn.AGGREGATE(15,6,$C$3:$C$53,ROW('Production Matrix'!#REF!)),"")</f>
        <v/>
      </c>
      <c r="E1668" s="11" t="str">
        <f t="shared" si="34"/>
        <v/>
      </c>
      <c r="F1668" s="12">
        <f>IFERROR(INDEX('Production Matrix'!$B:$B,E1668,0),0)</f>
        <v>0</v>
      </c>
    </row>
    <row r="1669" spans="3:6">
      <c r="C1669" s="11" t="e">
        <f>IF(1*('Production Matrix'!A:A="تكلفة انتاج الوحدة")*ROW('Production Matrix'!#REF!)=0,1/0,1*('Production Matrix'!A:A="تكلفة انتاج الوحدة")*ROW('Production Matrix'!#REF!))</f>
        <v>#REF!</v>
      </c>
      <c r="D1669" s="11" t="str">
        <f>IFERROR(_xlfn.AGGREGATE(15,6,$C$3:$C$53,ROW('Production Matrix'!#REF!)),"")</f>
        <v/>
      </c>
      <c r="E1669" s="11" t="str">
        <f t="shared" si="34"/>
        <v/>
      </c>
      <c r="F1669" s="12">
        <f>IFERROR(INDEX('Production Matrix'!$B:$B,E1669,0),0)</f>
        <v>0</v>
      </c>
    </row>
    <row r="1670" spans="3:6">
      <c r="C1670" s="11" t="e">
        <f>IF(1*('Production Matrix'!A:A="تكلفة انتاج الوحدة")*ROW('Production Matrix'!#REF!)=0,1/0,1*('Production Matrix'!A:A="تكلفة انتاج الوحدة")*ROW('Production Matrix'!#REF!))</f>
        <v>#REF!</v>
      </c>
      <c r="D1670" s="11" t="str">
        <f>IFERROR(_xlfn.AGGREGATE(15,6,$C$3:$C$53,ROW('Production Matrix'!#REF!)),"")</f>
        <v/>
      </c>
      <c r="E1670" s="11" t="str">
        <f t="shared" si="34"/>
        <v/>
      </c>
      <c r="F1670" s="12">
        <f>IFERROR(INDEX('Production Matrix'!$B:$B,E1670,0),0)</f>
        <v>0</v>
      </c>
    </row>
    <row r="1671" spans="3:6">
      <c r="C1671" s="11" t="e">
        <f>IF(1*('Production Matrix'!A:A="تكلفة انتاج الوحدة")*ROW('Production Matrix'!#REF!)=0,1/0,1*('Production Matrix'!A:A="تكلفة انتاج الوحدة")*ROW('Production Matrix'!#REF!))</f>
        <v>#REF!</v>
      </c>
      <c r="D1671" s="11" t="str">
        <f>IFERROR(_xlfn.AGGREGATE(15,6,$C$3:$C$53,ROW('Production Matrix'!#REF!)),"")</f>
        <v/>
      </c>
      <c r="E1671" s="11" t="str">
        <f t="shared" ref="E1671:E1734" si="35">IFERROR(D1671+3,"")</f>
        <v/>
      </c>
      <c r="F1671" s="12">
        <f>IFERROR(INDEX('Production Matrix'!$B:$B,E1671,0),0)</f>
        <v>0</v>
      </c>
    </row>
    <row r="1672" spans="3:6">
      <c r="C1672" s="11" t="e">
        <f>IF(1*('Production Matrix'!A:A="تكلفة انتاج الوحدة")*ROW('Production Matrix'!#REF!)=0,1/0,1*('Production Matrix'!A:A="تكلفة انتاج الوحدة")*ROW('Production Matrix'!#REF!))</f>
        <v>#REF!</v>
      </c>
      <c r="D1672" s="11" t="str">
        <f>IFERROR(_xlfn.AGGREGATE(15,6,$C$3:$C$53,ROW('Production Matrix'!#REF!)),"")</f>
        <v/>
      </c>
      <c r="E1672" s="11" t="str">
        <f t="shared" si="35"/>
        <v/>
      </c>
      <c r="F1672" s="12">
        <f>IFERROR(INDEX('Production Matrix'!$B:$B,E1672,0),0)</f>
        <v>0</v>
      </c>
    </row>
    <row r="1673" spans="3:6">
      <c r="C1673" s="11" t="e">
        <f>IF(1*('Production Matrix'!A:A="تكلفة انتاج الوحدة")*ROW('Production Matrix'!#REF!)=0,1/0,1*('Production Matrix'!A:A="تكلفة انتاج الوحدة")*ROW('Production Matrix'!#REF!))</f>
        <v>#REF!</v>
      </c>
      <c r="D1673" s="11" t="str">
        <f>IFERROR(_xlfn.AGGREGATE(15,6,$C$3:$C$53,ROW('Production Matrix'!#REF!)),"")</f>
        <v/>
      </c>
      <c r="E1673" s="11" t="str">
        <f t="shared" si="35"/>
        <v/>
      </c>
      <c r="F1673" s="12">
        <f>IFERROR(INDEX('Production Matrix'!$B:$B,E1673,0),0)</f>
        <v>0</v>
      </c>
    </row>
    <row r="1674" spans="3:6">
      <c r="C1674" s="11" t="e">
        <f>IF(1*('Production Matrix'!A:A="تكلفة انتاج الوحدة")*ROW('Production Matrix'!#REF!)=0,1/0,1*('Production Matrix'!A:A="تكلفة انتاج الوحدة")*ROW('Production Matrix'!#REF!))</f>
        <v>#REF!</v>
      </c>
      <c r="D1674" s="11" t="str">
        <f>IFERROR(_xlfn.AGGREGATE(15,6,$C$3:$C$53,ROW('Production Matrix'!#REF!)),"")</f>
        <v/>
      </c>
      <c r="E1674" s="11" t="str">
        <f t="shared" si="35"/>
        <v/>
      </c>
      <c r="F1674" s="12">
        <f>IFERROR(INDEX('Production Matrix'!$B:$B,E1674,0),0)</f>
        <v>0</v>
      </c>
    </row>
    <row r="1675" spans="3:6">
      <c r="C1675" s="11" t="e">
        <f>IF(1*('Production Matrix'!A:A="تكلفة انتاج الوحدة")*ROW('Production Matrix'!#REF!)=0,1/0,1*('Production Matrix'!A:A="تكلفة انتاج الوحدة")*ROW('Production Matrix'!#REF!))</f>
        <v>#REF!</v>
      </c>
      <c r="D1675" s="11" t="str">
        <f>IFERROR(_xlfn.AGGREGATE(15,6,$C$3:$C$53,ROW('Production Matrix'!#REF!)),"")</f>
        <v/>
      </c>
      <c r="E1675" s="11" t="str">
        <f t="shared" si="35"/>
        <v/>
      </c>
      <c r="F1675" s="12">
        <f>IFERROR(INDEX('Production Matrix'!$B:$B,E1675,0),0)</f>
        <v>0</v>
      </c>
    </row>
    <row r="1676" spans="3:6">
      <c r="C1676" s="11" t="e">
        <f>IF(1*('Production Matrix'!A:A="تكلفة انتاج الوحدة")*ROW('Production Matrix'!#REF!)=0,1/0,1*('Production Matrix'!A:A="تكلفة انتاج الوحدة")*ROW('Production Matrix'!#REF!))</f>
        <v>#REF!</v>
      </c>
      <c r="D1676" s="11" t="str">
        <f>IFERROR(_xlfn.AGGREGATE(15,6,$C$3:$C$53,ROW('Production Matrix'!#REF!)),"")</f>
        <v/>
      </c>
      <c r="E1676" s="11" t="str">
        <f t="shared" si="35"/>
        <v/>
      </c>
      <c r="F1676" s="12">
        <f>IFERROR(INDEX('Production Matrix'!$B:$B,E1676,0),0)</f>
        <v>0</v>
      </c>
    </row>
    <row r="1677" spans="3:6">
      <c r="C1677" s="11" t="e">
        <f>IF(1*('Production Matrix'!A:A="تكلفة انتاج الوحدة")*ROW('Production Matrix'!#REF!)=0,1/0,1*('Production Matrix'!A:A="تكلفة انتاج الوحدة")*ROW('Production Matrix'!#REF!))</f>
        <v>#REF!</v>
      </c>
      <c r="D1677" s="11" t="str">
        <f>IFERROR(_xlfn.AGGREGATE(15,6,$C$3:$C$53,ROW('Production Matrix'!#REF!)),"")</f>
        <v/>
      </c>
      <c r="E1677" s="11" t="str">
        <f t="shared" si="35"/>
        <v/>
      </c>
      <c r="F1677" s="12">
        <f>IFERROR(INDEX('Production Matrix'!$B:$B,E1677,0),0)</f>
        <v>0</v>
      </c>
    </row>
    <row r="1678" spans="3:6">
      <c r="C1678" s="11" t="e">
        <f>IF(1*('Production Matrix'!A:A="تكلفة انتاج الوحدة")*ROW('Production Matrix'!#REF!)=0,1/0,1*('Production Matrix'!A:A="تكلفة انتاج الوحدة")*ROW('Production Matrix'!#REF!))</f>
        <v>#REF!</v>
      </c>
      <c r="D1678" s="11" t="str">
        <f>IFERROR(_xlfn.AGGREGATE(15,6,$C$3:$C$53,ROW('Production Matrix'!#REF!)),"")</f>
        <v/>
      </c>
      <c r="E1678" s="11" t="str">
        <f t="shared" si="35"/>
        <v/>
      </c>
      <c r="F1678" s="12">
        <f>IFERROR(INDEX('Production Matrix'!$B:$B,E1678,0),0)</f>
        <v>0</v>
      </c>
    </row>
    <row r="1679" spans="3:6">
      <c r="C1679" s="11" t="e">
        <f>IF(1*('Production Matrix'!A:A="تكلفة انتاج الوحدة")*ROW('Production Matrix'!#REF!)=0,1/0,1*('Production Matrix'!A:A="تكلفة انتاج الوحدة")*ROW('Production Matrix'!#REF!))</f>
        <v>#REF!</v>
      </c>
      <c r="D1679" s="11" t="str">
        <f>IFERROR(_xlfn.AGGREGATE(15,6,$C$3:$C$53,ROW('Production Matrix'!#REF!)),"")</f>
        <v/>
      </c>
      <c r="E1679" s="11" t="str">
        <f t="shared" si="35"/>
        <v/>
      </c>
      <c r="F1679" s="12">
        <f>IFERROR(INDEX('Production Matrix'!$B:$B,E1679,0),0)</f>
        <v>0</v>
      </c>
    </row>
    <row r="1680" spans="3:6">
      <c r="C1680" s="11" t="e">
        <f>IF(1*('Production Matrix'!A:A="تكلفة انتاج الوحدة")*ROW('Production Matrix'!#REF!)=0,1/0,1*('Production Matrix'!A:A="تكلفة انتاج الوحدة")*ROW('Production Matrix'!#REF!))</f>
        <v>#REF!</v>
      </c>
      <c r="D1680" s="11" t="str">
        <f>IFERROR(_xlfn.AGGREGATE(15,6,$C$3:$C$53,ROW('Production Matrix'!#REF!)),"")</f>
        <v/>
      </c>
      <c r="E1680" s="11" t="str">
        <f t="shared" si="35"/>
        <v/>
      </c>
      <c r="F1680" s="12">
        <f>IFERROR(INDEX('Production Matrix'!$B:$B,E1680,0),0)</f>
        <v>0</v>
      </c>
    </row>
    <row r="1681" spans="3:6">
      <c r="C1681" s="11" t="e">
        <f>IF(1*('Production Matrix'!A:A="تكلفة انتاج الوحدة")*ROW('Production Matrix'!#REF!)=0,1/0,1*('Production Matrix'!A:A="تكلفة انتاج الوحدة")*ROW('Production Matrix'!#REF!))</f>
        <v>#REF!</v>
      </c>
      <c r="D1681" s="11" t="str">
        <f>IFERROR(_xlfn.AGGREGATE(15,6,$C$3:$C$53,ROW('Production Matrix'!#REF!)),"")</f>
        <v/>
      </c>
      <c r="E1681" s="11" t="str">
        <f t="shared" si="35"/>
        <v/>
      </c>
      <c r="F1681" s="12">
        <f>IFERROR(INDEX('Production Matrix'!$B:$B,E1681,0),0)</f>
        <v>0</v>
      </c>
    </row>
    <row r="1682" spans="3:6">
      <c r="C1682" s="11" t="e">
        <f>IF(1*('Production Matrix'!A:A="تكلفة انتاج الوحدة")*ROW('Production Matrix'!#REF!)=0,1/0,1*('Production Matrix'!A:A="تكلفة انتاج الوحدة")*ROW('Production Matrix'!#REF!))</f>
        <v>#REF!</v>
      </c>
      <c r="D1682" s="11" t="str">
        <f>IFERROR(_xlfn.AGGREGATE(15,6,$C$3:$C$53,ROW('Production Matrix'!#REF!)),"")</f>
        <v/>
      </c>
      <c r="E1682" s="11" t="str">
        <f t="shared" si="35"/>
        <v/>
      </c>
      <c r="F1682" s="12">
        <f>IFERROR(INDEX('Production Matrix'!$B:$B,E1682,0),0)</f>
        <v>0</v>
      </c>
    </row>
    <row r="1683" spans="3:6">
      <c r="C1683" s="11" t="e">
        <f>IF(1*('Production Matrix'!A:A="تكلفة انتاج الوحدة")*ROW('Production Matrix'!#REF!)=0,1/0,1*('Production Matrix'!A:A="تكلفة انتاج الوحدة")*ROW('Production Matrix'!#REF!))</f>
        <v>#REF!</v>
      </c>
      <c r="D1683" s="11" t="str">
        <f>IFERROR(_xlfn.AGGREGATE(15,6,$C$3:$C$53,ROW('Production Matrix'!#REF!)),"")</f>
        <v/>
      </c>
      <c r="E1683" s="11" t="str">
        <f t="shared" si="35"/>
        <v/>
      </c>
      <c r="F1683" s="12">
        <f>IFERROR(INDEX('Production Matrix'!$B:$B,E1683,0),0)</f>
        <v>0</v>
      </c>
    </row>
    <row r="1684" spans="3:6">
      <c r="C1684" s="11" t="e">
        <f>IF(1*('Production Matrix'!A:A="تكلفة انتاج الوحدة")*ROW('Production Matrix'!#REF!)=0,1/0,1*('Production Matrix'!A:A="تكلفة انتاج الوحدة")*ROW('Production Matrix'!#REF!))</f>
        <v>#REF!</v>
      </c>
      <c r="D1684" s="11" t="str">
        <f>IFERROR(_xlfn.AGGREGATE(15,6,$C$3:$C$53,ROW('Production Matrix'!#REF!)),"")</f>
        <v/>
      </c>
      <c r="E1684" s="11" t="str">
        <f t="shared" si="35"/>
        <v/>
      </c>
      <c r="F1684" s="12">
        <f>IFERROR(INDEX('Production Matrix'!$B:$B,E1684,0),0)</f>
        <v>0</v>
      </c>
    </row>
    <row r="1685" spans="3:6">
      <c r="C1685" s="11" t="e">
        <f>IF(1*('Production Matrix'!A:A="تكلفة انتاج الوحدة")*ROW('Production Matrix'!#REF!)=0,1/0,1*('Production Matrix'!A:A="تكلفة انتاج الوحدة")*ROW('Production Matrix'!#REF!))</f>
        <v>#REF!</v>
      </c>
      <c r="D1685" s="11" t="str">
        <f>IFERROR(_xlfn.AGGREGATE(15,6,$C$3:$C$53,ROW('Production Matrix'!#REF!)),"")</f>
        <v/>
      </c>
      <c r="E1685" s="11" t="str">
        <f t="shared" si="35"/>
        <v/>
      </c>
      <c r="F1685" s="12">
        <f>IFERROR(INDEX('Production Matrix'!$B:$B,E1685,0),0)</f>
        <v>0</v>
      </c>
    </row>
    <row r="1686" spans="3:6">
      <c r="C1686" s="11" t="e">
        <f>IF(1*('Production Matrix'!A:A="تكلفة انتاج الوحدة")*ROW('Production Matrix'!#REF!)=0,1/0,1*('Production Matrix'!A:A="تكلفة انتاج الوحدة")*ROW('Production Matrix'!#REF!))</f>
        <v>#REF!</v>
      </c>
      <c r="D1686" s="11" t="str">
        <f>IFERROR(_xlfn.AGGREGATE(15,6,$C$3:$C$53,ROW('Production Matrix'!#REF!)),"")</f>
        <v/>
      </c>
      <c r="E1686" s="11" t="str">
        <f t="shared" si="35"/>
        <v/>
      </c>
      <c r="F1686" s="12">
        <f>IFERROR(INDEX('Production Matrix'!$B:$B,E1686,0),0)</f>
        <v>0</v>
      </c>
    </row>
    <row r="1687" spans="3:6">
      <c r="C1687" s="11" t="e">
        <f>IF(1*('Production Matrix'!A:A="تكلفة انتاج الوحدة")*ROW('Production Matrix'!#REF!)=0,1/0,1*('Production Matrix'!A:A="تكلفة انتاج الوحدة")*ROW('Production Matrix'!#REF!))</f>
        <v>#REF!</v>
      </c>
      <c r="D1687" s="11" t="str">
        <f>IFERROR(_xlfn.AGGREGATE(15,6,$C$3:$C$53,ROW('Production Matrix'!#REF!)),"")</f>
        <v/>
      </c>
      <c r="E1687" s="11" t="str">
        <f t="shared" si="35"/>
        <v/>
      </c>
      <c r="F1687" s="12">
        <f>IFERROR(INDEX('Production Matrix'!$B:$B,E1687,0),0)</f>
        <v>0</v>
      </c>
    </row>
    <row r="1688" spans="3:6">
      <c r="C1688" s="11" t="e">
        <f>IF(1*('Production Matrix'!A:A="تكلفة انتاج الوحدة")*ROW('Production Matrix'!#REF!)=0,1/0,1*('Production Matrix'!A:A="تكلفة انتاج الوحدة")*ROW('Production Matrix'!#REF!))</f>
        <v>#REF!</v>
      </c>
      <c r="D1688" s="11" t="str">
        <f>IFERROR(_xlfn.AGGREGATE(15,6,$C$3:$C$53,ROW('Production Matrix'!#REF!)),"")</f>
        <v/>
      </c>
      <c r="E1688" s="11" t="str">
        <f t="shared" si="35"/>
        <v/>
      </c>
      <c r="F1688" s="12">
        <f>IFERROR(INDEX('Production Matrix'!$B:$B,E1688,0),0)</f>
        <v>0</v>
      </c>
    </row>
    <row r="1689" spans="3:6">
      <c r="C1689" s="11" t="e">
        <f>IF(1*('Production Matrix'!A:A="تكلفة انتاج الوحدة")*ROW('Production Matrix'!#REF!)=0,1/0,1*('Production Matrix'!A:A="تكلفة انتاج الوحدة")*ROW('Production Matrix'!#REF!))</f>
        <v>#REF!</v>
      </c>
      <c r="D1689" s="11" t="str">
        <f>IFERROR(_xlfn.AGGREGATE(15,6,$C$3:$C$53,ROW('Production Matrix'!#REF!)),"")</f>
        <v/>
      </c>
      <c r="E1689" s="11" t="str">
        <f t="shared" si="35"/>
        <v/>
      </c>
      <c r="F1689" s="12">
        <f>IFERROR(INDEX('Production Matrix'!$B:$B,E1689,0),0)</f>
        <v>0</v>
      </c>
    </row>
    <row r="1690" spans="3:6">
      <c r="C1690" s="11" t="e">
        <f>IF(1*('Production Matrix'!A:A="تكلفة انتاج الوحدة")*ROW('Production Matrix'!#REF!)=0,1/0,1*('Production Matrix'!A:A="تكلفة انتاج الوحدة")*ROW('Production Matrix'!#REF!))</f>
        <v>#REF!</v>
      </c>
      <c r="D1690" s="11" t="str">
        <f>IFERROR(_xlfn.AGGREGATE(15,6,$C$3:$C$53,ROW('Production Matrix'!#REF!)),"")</f>
        <v/>
      </c>
      <c r="E1690" s="11" t="str">
        <f t="shared" si="35"/>
        <v/>
      </c>
      <c r="F1690" s="12">
        <f>IFERROR(INDEX('Production Matrix'!$B:$B,E1690,0),0)</f>
        <v>0</v>
      </c>
    </row>
    <row r="1691" spans="3:6">
      <c r="C1691" s="11" t="e">
        <f>IF(1*('Production Matrix'!A:A="تكلفة انتاج الوحدة")*ROW('Production Matrix'!#REF!)=0,1/0,1*('Production Matrix'!A:A="تكلفة انتاج الوحدة")*ROW('Production Matrix'!#REF!))</f>
        <v>#REF!</v>
      </c>
      <c r="D1691" s="11" t="str">
        <f>IFERROR(_xlfn.AGGREGATE(15,6,$C$3:$C$53,ROW('Production Matrix'!#REF!)),"")</f>
        <v/>
      </c>
      <c r="E1691" s="11" t="str">
        <f t="shared" si="35"/>
        <v/>
      </c>
      <c r="F1691" s="12">
        <f>IFERROR(INDEX('Production Matrix'!$B:$B,E1691,0),0)</f>
        <v>0</v>
      </c>
    </row>
    <row r="1692" spans="3:6">
      <c r="C1692" s="11" t="e">
        <f>IF(1*('Production Matrix'!A:A="تكلفة انتاج الوحدة")*ROW('Production Matrix'!#REF!)=0,1/0,1*('Production Matrix'!A:A="تكلفة انتاج الوحدة")*ROW('Production Matrix'!#REF!))</f>
        <v>#REF!</v>
      </c>
      <c r="D1692" s="11" t="str">
        <f>IFERROR(_xlfn.AGGREGATE(15,6,$C$3:$C$53,ROW('Production Matrix'!#REF!)),"")</f>
        <v/>
      </c>
      <c r="E1692" s="11" t="str">
        <f t="shared" si="35"/>
        <v/>
      </c>
      <c r="F1692" s="12">
        <f>IFERROR(INDEX('Production Matrix'!$B:$B,E1692,0),0)</f>
        <v>0</v>
      </c>
    </row>
    <row r="1693" spans="3:6">
      <c r="C1693" s="11" t="e">
        <f>IF(1*('Production Matrix'!A:A="تكلفة انتاج الوحدة")*ROW('Production Matrix'!#REF!)=0,1/0,1*('Production Matrix'!A:A="تكلفة انتاج الوحدة")*ROW('Production Matrix'!#REF!))</f>
        <v>#REF!</v>
      </c>
      <c r="D1693" s="11" t="str">
        <f>IFERROR(_xlfn.AGGREGATE(15,6,$C$3:$C$53,ROW('Production Matrix'!#REF!)),"")</f>
        <v/>
      </c>
      <c r="E1693" s="11" t="str">
        <f t="shared" si="35"/>
        <v/>
      </c>
      <c r="F1693" s="12">
        <f>IFERROR(INDEX('Production Matrix'!$B:$B,E1693,0),0)</f>
        <v>0</v>
      </c>
    </row>
    <row r="1694" spans="3:6">
      <c r="C1694" s="11" t="e">
        <f>IF(1*('Production Matrix'!A:A="تكلفة انتاج الوحدة")*ROW('Production Matrix'!#REF!)=0,1/0,1*('Production Matrix'!A:A="تكلفة انتاج الوحدة")*ROW('Production Matrix'!#REF!))</f>
        <v>#REF!</v>
      </c>
      <c r="D1694" s="11" t="str">
        <f>IFERROR(_xlfn.AGGREGATE(15,6,$C$3:$C$53,ROW('Production Matrix'!#REF!)),"")</f>
        <v/>
      </c>
      <c r="E1694" s="11" t="str">
        <f t="shared" si="35"/>
        <v/>
      </c>
      <c r="F1694" s="12">
        <f>IFERROR(INDEX('Production Matrix'!$B:$B,E1694,0),0)</f>
        <v>0</v>
      </c>
    </row>
    <row r="1695" spans="3:6">
      <c r="C1695" s="11" t="e">
        <f>IF(1*('Production Matrix'!A:A="تكلفة انتاج الوحدة")*ROW('Production Matrix'!#REF!)=0,1/0,1*('Production Matrix'!A:A="تكلفة انتاج الوحدة")*ROW('Production Matrix'!#REF!))</f>
        <v>#REF!</v>
      </c>
      <c r="D1695" s="11" t="str">
        <f>IFERROR(_xlfn.AGGREGATE(15,6,$C$3:$C$53,ROW('Production Matrix'!#REF!)),"")</f>
        <v/>
      </c>
      <c r="E1695" s="11" t="str">
        <f t="shared" si="35"/>
        <v/>
      </c>
      <c r="F1695" s="12">
        <f>IFERROR(INDEX('Production Matrix'!$B:$B,E1695,0),0)</f>
        <v>0</v>
      </c>
    </row>
    <row r="1696" spans="3:6">
      <c r="C1696" s="11" t="e">
        <f>IF(1*('Production Matrix'!A:A="تكلفة انتاج الوحدة")*ROW('Production Matrix'!#REF!)=0,1/0,1*('Production Matrix'!A:A="تكلفة انتاج الوحدة")*ROW('Production Matrix'!#REF!))</f>
        <v>#REF!</v>
      </c>
      <c r="D1696" s="11" t="str">
        <f>IFERROR(_xlfn.AGGREGATE(15,6,$C$3:$C$53,ROW('Production Matrix'!#REF!)),"")</f>
        <v/>
      </c>
      <c r="E1696" s="11" t="str">
        <f t="shared" si="35"/>
        <v/>
      </c>
      <c r="F1696" s="12">
        <f>IFERROR(INDEX('Production Matrix'!$B:$B,E1696,0),0)</f>
        <v>0</v>
      </c>
    </row>
    <row r="1697" spans="3:6">
      <c r="C1697" s="11" t="e">
        <f>IF(1*('Production Matrix'!A:A="تكلفة انتاج الوحدة")*ROW('Production Matrix'!#REF!)=0,1/0,1*('Production Matrix'!A:A="تكلفة انتاج الوحدة")*ROW('Production Matrix'!#REF!))</f>
        <v>#REF!</v>
      </c>
      <c r="D1697" s="11" t="str">
        <f>IFERROR(_xlfn.AGGREGATE(15,6,$C$3:$C$53,ROW('Production Matrix'!#REF!)),"")</f>
        <v/>
      </c>
      <c r="E1697" s="11" t="str">
        <f t="shared" si="35"/>
        <v/>
      </c>
      <c r="F1697" s="12">
        <f>IFERROR(INDEX('Production Matrix'!$B:$B,E1697,0),0)</f>
        <v>0</v>
      </c>
    </row>
    <row r="1698" spans="3:6">
      <c r="C1698" s="11" t="e">
        <f>IF(1*('Production Matrix'!A:A="تكلفة انتاج الوحدة")*ROW('Production Matrix'!#REF!)=0,1/0,1*('Production Matrix'!A:A="تكلفة انتاج الوحدة")*ROW('Production Matrix'!#REF!))</f>
        <v>#REF!</v>
      </c>
      <c r="D1698" s="11" t="str">
        <f>IFERROR(_xlfn.AGGREGATE(15,6,$C$3:$C$53,ROW('Production Matrix'!#REF!)),"")</f>
        <v/>
      </c>
      <c r="E1698" s="11" t="str">
        <f t="shared" si="35"/>
        <v/>
      </c>
      <c r="F1698" s="12">
        <f>IFERROR(INDEX('Production Matrix'!$B:$B,E1698,0),0)</f>
        <v>0</v>
      </c>
    </row>
    <row r="1699" spans="3:6">
      <c r="C1699" s="11" t="e">
        <f>IF(1*('Production Matrix'!A:A="تكلفة انتاج الوحدة")*ROW('Production Matrix'!#REF!)=0,1/0,1*('Production Matrix'!A:A="تكلفة انتاج الوحدة")*ROW('Production Matrix'!#REF!))</f>
        <v>#REF!</v>
      </c>
      <c r="D1699" s="11" t="str">
        <f>IFERROR(_xlfn.AGGREGATE(15,6,$C$3:$C$53,ROW('Production Matrix'!#REF!)),"")</f>
        <v/>
      </c>
      <c r="E1699" s="11" t="str">
        <f t="shared" si="35"/>
        <v/>
      </c>
      <c r="F1699" s="12">
        <f>IFERROR(INDEX('Production Matrix'!$B:$B,E1699,0),0)</f>
        <v>0</v>
      </c>
    </row>
    <row r="1700" spans="3:6">
      <c r="C1700" s="11" t="e">
        <f>IF(1*('Production Matrix'!A:A="تكلفة انتاج الوحدة")*ROW('Production Matrix'!#REF!)=0,1/0,1*('Production Matrix'!A:A="تكلفة انتاج الوحدة")*ROW('Production Matrix'!#REF!))</f>
        <v>#REF!</v>
      </c>
      <c r="D1700" s="11" t="str">
        <f>IFERROR(_xlfn.AGGREGATE(15,6,$C$3:$C$53,ROW('Production Matrix'!#REF!)),"")</f>
        <v/>
      </c>
      <c r="E1700" s="11" t="str">
        <f t="shared" si="35"/>
        <v/>
      </c>
      <c r="F1700" s="12">
        <f>IFERROR(INDEX('Production Matrix'!$B:$B,E1700,0),0)</f>
        <v>0</v>
      </c>
    </row>
    <row r="1701" spans="3:6">
      <c r="C1701" s="11" t="e">
        <f>IF(1*('Production Matrix'!A:A="تكلفة انتاج الوحدة")*ROW('Production Matrix'!#REF!)=0,1/0,1*('Production Matrix'!A:A="تكلفة انتاج الوحدة")*ROW('Production Matrix'!#REF!))</f>
        <v>#REF!</v>
      </c>
      <c r="D1701" s="11" t="str">
        <f>IFERROR(_xlfn.AGGREGATE(15,6,$C$3:$C$53,ROW('Production Matrix'!#REF!)),"")</f>
        <v/>
      </c>
      <c r="E1701" s="11" t="str">
        <f t="shared" si="35"/>
        <v/>
      </c>
      <c r="F1701" s="12">
        <f>IFERROR(INDEX('Production Matrix'!$B:$B,E1701,0),0)</f>
        <v>0</v>
      </c>
    </row>
    <row r="1702" spans="3:6">
      <c r="C1702" s="11" t="e">
        <f>IF(1*('Production Matrix'!A:A="تكلفة انتاج الوحدة")*ROW('Production Matrix'!#REF!)=0,1/0,1*('Production Matrix'!A:A="تكلفة انتاج الوحدة")*ROW('Production Matrix'!#REF!))</f>
        <v>#REF!</v>
      </c>
      <c r="D1702" s="11" t="str">
        <f>IFERROR(_xlfn.AGGREGATE(15,6,$C$3:$C$53,ROW('Production Matrix'!#REF!)),"")</f>
        <v/>
      </c>
      <c r="E1702" s="11" t="str">
        <f t="shared" si="35"/>
        <v/>
      </c>
      <c r="F1702" s="12">
        <f>IFERROR(INDEX('Production Matrix'!$B:$B,E1702,0),0)</f>
        <v>0</v>
      </c>
    </row>
    <row r="1703" spans="3:6">
      <c r="C1703" s="11" t="e">
        <f>IF(1*('Production Matrix'!A:A="تكلفة انتاج الوحدة")*ROW('Production Matrix'!#REF!)=0,1/0,1*('Production Matrix'!A:A="تكلفة انتاج الوحدة")*ROW('Production Matrix'!#REF!))</f>
        <v>#REF!</v>
      </c>
      <c r="D1703" s="11" t="str">
        <f>IFERROR(_xlfn.AGGREGATE(15,6,$C$3:$C$53,ROW('Production Matrix'!#REF!)),"")</f>
        <v/>
      </c>
      <c r="E1703" s="11" t="str">
        <f t="shared" si="35"/>
        <v/>
      </c>
      <c r="F1703" s="12">
        <f>IFERROR(INDEX('Production Matrix'!$B:$B,E1703,0),0)</f>
        <v>0</v>
      </c>
    </row>
    <row r="1704" spans="3:6">
      <c r="C1704" s="11" t="e">
        <f>IF(1*('Production Matrix'!A:A="تكلفة انتاج الوحدة")*ROW('Production Matrix'!#REF!)=0,1/0,1*('Production Matrix'!A:A="تكلفة انتاج الوحدة")*ROW('Production Matrix'!#REF!))</f>
        <v>#REF!</v>
      </c>
      <c r="D1704" s="11" t="str">
        <f>IFERROR(_xlfn.AGGREGATE(15,6,$C$3:$C$53,ROW('Production Matrix'!#REF!)),"")</f>
        <v/>
      </c>
      <c r="E1704" s="11" t="str">
        <f t="shared" si="35"/>
        <v/>
      </c>
      <c r="F1704" s="12">
        <f>IFERROR(INDEX('Production Matrix'!$B:$B,E1704,0),0)</f>
        <v>0</v>
      </c>
    </row>
    <row r="1705" spans="3:6">
      <c r="C1705" s="11" t="e">
        <f>IF(1*('Production Matrix'!A:A="تكلفة انتاج الوحدة")*ROW('Production Matrix'!#REF!)=0,1/0,1*('Production Matrix'!A:A="تكلفة انتاج الوحدة")*ROW('Production Matrix'!#REF!))</f>
        <v>#REF!</v>
      </c>
      <c r="D1705" s="11" t="str">
        <f>IFERROR(_xlfn.AGGREGATE(15,6,$C$3:$C$53,ROW('Production Matrix'!#REF!)),"")</f>
        <v/>
      </c>
      <c r="E1705" s="11" t="str">
        <f t="shared" si="35"/>
        <v/>
      </c>
      <c r="F1705" s="12">
        <f>IFERROR(INDEX('Production Matrix'!$B:$B,E1705,0),0)</f>
        <v>0</v>
      </c>
    </row>
    <row r="1706" spans="3:6">
      <c r="C1706" s="11" t="e">
        <f>IF(1*('Production Matrix'!A:A="تكلفة انتاج الوحدة")*ROW('Production Matrix'!#REF!)=0,1/0,1*('Production Matrix'!A:A="تكلفة انتاج الوحدة")*ROW('Production Matrix'!#REF!))</f>
        <v>#REF!</v>
      </c>
      <c r="D1706" s="11" t="str">
        <f>IFERROR(_xlfn.AGGREGATE(15,6,$C$3:$C$53,ROW('Production Matrix'!#REF!)),"")</f>
        <v/>
      </c>
      <c r="E1706" s="11" t="str">
        <f t="shared" si="35"/>
        <v/>
      </c>
      <c r="F1706" s="12">
        <f>IFERROR(INDEX('Production Matrix'!$B:$B,E1706,0),0)</f>
        <v>0</v>
      </c>
    </row>
    <row r="1707" spans="3:6">
      <c r="C1707" s="11" t="e">
        <f>IF(1*('Production Matrix'!A:A="تكلفة انتاج الوحدة")*ROW('Production Matrix'!#REF!)=0,1/0,1*('Production Matrix'!A:A="تكلفة انتاج الوحدة")*ROW('Production Matrix'!#REF!))</f>
        <v>#REF!</v>
      </c>
      <c r="D1707" s="11" t="str">
        <f>IFERROR(_xlfn.AGGREGATE(15,6,$C$3:$C$53,ROW('Production Matrix'!#REF!)),"")</f>
        <v/>
      </c>
      <c r="E1707" s="11" t="str">
        <f t="shared" si="35"/>
        <v/>
      </c>
      <c r="F1707" s="12">
        <f>IFERROR(INDEX('Production Matrix'!$B:$B,E1707,0),0)</f>
        <v>0</v>
      </c>
    </row>
    <row r="1708" spans="3:6">
      <c r="C1708" s="11" t="e">
        <f>IF(1*('Production Matrix'!A:A="تكلفة انتاج الوحدة")*ROW('Production Matrix'!#REF!)=0,1/0,1*('Production Matrix'!A:A="تكلفة انتاج الوحدة")*ROW('Production Matrix'!#REF!))</f>
        <v>#REF!</v>
      </c>
      <c r="D1708" s="11" t="str">
        <f>IFERROR(_xlfn.AGGREGATE(15,6,$C$3:$C$53,ROW('Production Matrix'!#REF!)),"")</f>
        <v/>
      </c>
      <c r="E1708" s="11" t="str">
        <f t="shared" si="35"/>
        <v/>
      </c>
      <c r="F1708" s="12">
        <f>IFERROR(INDEX('Production Matrix'!$B:$B,E1708,0),0)</f>
        <v>0</v>
      </c>
    </row>
    <row r="1709" spans="3:6">
      <c r="C1709" s="11" t="e">
        <f>IF(1*('Production Matrix'!A:A="تكلفة انتاج الوحدة")*ROW('Production Matrix'!#REF!)=0,1/0,1*('Production Matrix'!A:A="تكلفة انتاج الوحدة")*ROW('Production Matrix'!#REF!))</f>
        <v>#REF!</v>
      </c>
      <c r="D1709" s="11" t="str">
        <f>IFERROR(_xlfn.AGGREGATE(15,6,$C$3:$C$53,ROW('Production Matrix'!#REF!)),"")</f>
        <v/>
      </c>
      <c r="E1709" s="11" t="str">
        <f t="shared" si="35"/>
        <v/>
      </c>
      <c r="F1709" s="12">
        <f>IFERROR(INDEX('Production Matrix'!$B:$B,E1709,0),0)</f>
        <v>0</v>
      </c>
    </row>
    <row r="1710" spans="3:6">
      <c r="C1710" s="11" t="e">
        <f>IF(1*('Production Matrix'!A:A="تكلفة انتاج الوحدة")*ROW('Production Matrix'!#REF!)=0,1/0,1*('Production Matrix'!A:A="تكلفة انتاج الوحدة")*ROW('Production Matrix'!#REF!))</f>
        <v>#REF!</v>
      </c>
      <c r="D1710" s="11" t="str">
        <f>IFERROR(_xlfn.AGGREGATE(15,6,$C$3:$C$53,ROW('Production Matrix'!#REF!)),"")</f>
        <v/>
      </c>
      <c r="E1710" s="11" t="str">
        <f t="shared" si="35"/>
        <v/>
      </c>
      <c r="F1710" s="12">
        <f>IFERROR(INDEX('Production Matrix'!$B:$B,E1710,0),0)</f>
        <v>0</v>
      </c>
    </row>
    <row r="1711" spans="3:6">
      <c r="C1711" s="11" t="e">
        <f>IF(1*('Production Matrix'!A:A="تكلفة انتاج الوحدة")*ROW('Production Matrix'!#REF!)=0,1/0,1*('Production Matrix'!A:A="تكلفة انتاج الوحدة")*ROW('Production Matrix'!#REF!))</f>
        <v>#REF!</v>
      </c>
      <c r="D1711" s="11" t="str">
        <f>IFERROR(_xlfn.AGGREGATE(15,6,$C$3:$C$53,ROW('Production Matrix'!#REF!)),"")</f>
        <v/>
      </c>
      <c r="E1711" s="11" t="str">
        <f t="shared" si="35"/>
        <v/>
      </c>
      <c r="F1711" s="12">
        <f>IFERROR(INDEX('Production Matrix'!$B:$B,E1711,0),0)</f>
        <v>0</v>
      </c>
    </row>
    <row r="1712" spans="3:6">
      <c r="C1712" s="11" t="e">
        <f>IF(1*('Production Matrix'!A:A="تكلفة انتاج الوحدة")*ROW('Production Matrix'!#REF!)=0,1/0,1*('Production Matrix'!A:A="تكلفة انتاج الوحدة")*ROW('Production Matrix'!#REF!))</f>
        <v>#REF!</v>
      </c>
      <c r="D1712" s="11" t="str">
        <f>IFERROR(_xlfn.AGGREGATE(15,6,$C$3:$C$53,ROW('Production Matrix'!#REF!)),"")</f>
        <v/>
      </c>
      <c r="E1712" s="11" t="str">
        <f t="shared" si="35"/>
        <v/>
      </c>
      <c r="F1712" s="12">
        <f>IFERROR(INDEX('Production Matrix'!$B:$B,E1712,0),0)</f>
        <v>0</v>
      </c>
    </row>
    <row r="1713" spans="3:6">
      <c r="C1713" s="11" t="e">
        <f>IF(1*('Production Matrix'!A:A="تكلفة انتاج الوحدة")*ROW('Production Matrix'!#REF!)=0,1/0,1*('Production Matrix'!A:A="تكلفة انتاج الوحدة")*ROW('Production Matrix'!#REF!))</f>
        <v>#REF!</v>
      </c>
      <c r="D1713" s="11" t="str">
        <f>IFERROR(_xlfn.AGGREGATE(15,6,$C$3:$C$53,ROW('Production Matrix'!#REF!)),"")</f>
        <v/>
      </c>
      <c r="E1713" s="11" t="str">
        <f t="shared" si="35"/>
        <v/>
      </c>
      <c r="F1713" s="12">
        <f>IFERROR(INDEX('Production Matrix'!$B:$B,E1713,0),0)</f>
        <v>0</v>
      </c>
    </row>
    <row r="1714" spans="3:6">
      <c r="C1714" s="11" t="e">
        <f>IF(1*('Production Matrix'!A:A="تكلفة انتاج الوحدة")*ROW('Production Matrix'!#REF!)=0,1/0,1*('Production Matrix'!A:A="تكلفة انتاج الوحدة")*ROW('Production Matrix'!#REF!))</f>
        <v>#REF!</v>
      </c>
      <c r="D1714" s="11" t="str">
        <f>IFERROR(_xlfn.AGGREGATE(15,6,$C$3:$C$53,ROW('Production Matrix'!#REF!)),"")</f>
        <v/>
      </c>
      <c r="E1714" s="11" t="str">
        <f t="shared" si="35"/>
        <v/>
      </c>
      <c r="F1714" s="12">
        <f>IFERROR(INDEX('Production Matrix'!$B:$B,E1714,0),0)</f>
        <v>0</v>
      </c>
    </row>
    <row r="1715" spans="3:6">
      <c r="C1715" s="11" t="e">
        <f>IF(1*('Production Matrix'!A:A="تكلفة انتاج الوحدة")*ROW('Production Matrix'!#REF!)=0,1/0,1*('Production Matrix'!A:A="تكلفة انتاج الوحدة")*ROW('Production Matrix'!#REF!))</f>
        <v>#REF!</v>
      </c>
      <c r="D1715" s="11" t="str">
        <f>IFERROR(_xlfn.AGGREGATE(15,6,$C$3:$C$53,ROW('Production Matrix'!#REF!)),"")</f>
        <v/>
      </c>
      <c r="E1715" s="11" t="str">
        <f t="shared" si="35"/>
        <v/>
      </c>
      <c r="F1715" s="12">
        <f>IFERROR(INDEX('Production Matrix'!$B:$B,E1715,0),0)</f>
        <v>0</v>
      </c>
    </row>
    <row r="1716" spans="3:6">
      <c r="C1716" s="11" t="e">
        <f>IF(1*('Production Matrix'!A:A="تكلفة انتاج الوحدة")*ROW('Production Matrix'!#REF!)=0,1/0,1*('Production Matrix'!A:A="تكلفة انتاج الوحدة")*ROW('Production Matrix'!#REF!))</f>
        <v>#REF!</v>
      </c>
      <c r="D1716" s="11" t="str">
        <f>IFERROR(_xlfn.AGGREGATE(15,6,$C$3:$C$53,ROW('Production Matrix'!#REF!)),"")</f>
        <v/>
      </c>
      <c r="E1716" s="11" t="str">
        <f t="shared" si="35"/>
        <v/>
      </c>
      <c r="F1716" s="12">
        <f>IFERROR(INDEX('Production Matrix'!$B:$B,E1716,0),0)</f>
        <v>0</v>
      </c>
    </row>
    <row r="1717" spans="3:6">
      <c r="C1717" s="11" t="e">
        <f>IF(1*('Production Matrix'!A:A="تكلفة انتاج الوحدة")*ROW('Production Matrix'!#REF!)=0,1/0,1*('Production Matrix'!A:A="تكلفة انتاج الوحدة")*ROW('Production Matrix'!#REF!))</f>
        <v>#REF!</v>
      </c>
      <c r="D1717" s="11" t="str">
        <f>IFERROR(_xlfn.AGGREGATE(15,6,$C$3:$C$53,ROW('Production Matrix'!#REF!)),"")</f>
        <v/>
      </c>
      <c r="E1717" s="11" t="str">
        <f t="shared" si="35"/>
        <v/>
      </c>
      <c r="F1717" s="12">
        <f>IFERROR(INDEX('Production Matrix'!$B:$B,E1717,0),0)</f>
        <v>0</v>
      </c>
    </row>
    <row r="1718" spans="3:6">
      <c r="C1718" s="11" t="e">
        <f>IF(1*('Production Matrix'!A:A="تكلفة انتاج الوحدة")*ROW('Production Matrix'!#REF!)=0,1/0,1*('Production Matrix'!A:A="تكلفة انتاج الوحدة")*ROW('Production Matrix'!#REF!))</f>
        <v>#REF!</v>
      </c>
      <c r="D1718" s="11" t="str">
        <f>IFERROR(_xlfn.AGGREGATE(15,6,$C$3:$C$53,ROW('Production Matrix'!#REF!)),"")</f>
        <v/>
      </c>
      <c r="E1718" s="11" t="str">
        <f t="shared" si="35"/>
        <v/>
      </c>
      <c r="F1718" s="12">
        <f>IFERROR(INDEX('Production Matrix'!$B:$B,E1718,0),0)</f>
        <v>0</v>
      </c>
    </row>
    <row r="1719" spans="3:6">
      <c r="C1719" s="11" t="e">
        <f>IF(1*('Production Matrix'!A:A="تكلفة انتاج الوحدة")*ROW('Production Matrix'!#REF!)=0,1/0,1*('Production Matrix'!A:A="تكلفة انتاج الوحدة")*ROW('Production Matrix'!#REF!))</f>
        <v>#REF!</v>
      </c>
      <c r="D1719" s="11" t="str">
        <f>IFERROR(_xlfn.AGGREGATE(15,6,$C$3:$C$53,ROW('Production Matrix'!#REF!)),"")</f>
        <v/>
      </c>
      <c r="E1719" s="11" t="str">
        <f t="shared" si="35"/>
        <v/>
      </c>
      <c r="F1719" s="12">
        <f>IFERROR(INDEX('Production Matrix'!$B:$B,E1719,0),0)</f>
        <v>0</v>
      </c>
    </row>
    <row r="1720" spans="3:6">
      <c r="C1720" s="11" t="e">
        <f>IF(1*('Production Matrix'!A:A="تكلفة انتاج الوحدة")*ROW('Production Matrix'!#REF!)=0,1/0,1*('Production Matrix'!A:A="تكلفة انتاج الوحدة")*ROW('Production Matrix'!#REF!))</f>
        <v>#REF!</v>
      </c>
      <c r="D1720" s="11" t="str">
        <f>IFERROR(_xlfn.AGGREGATE(15,6,$C$3:$C$53,ROW('Production Matrix'!#REF!)),"")</f>
        <v/>
      </c>
      <c r="E1720" s="11" t="str">
        <f t="shared" si="35"/>
        <v/>
      </c>
      <c r="F1720" s="12">
        <f>IFERROR(INDEX('Production Matrix'!$B:$B,E1720,0),0)</f>
        <v>0</v>
      </c>
    </row>
    <row r="1721" spans="3:6">
      <c r="C1721" s="11" t="e">
        <f>IF(1*('Production Matrix'!A:A="تكلفة انتاج الوحدة")*ROW('Production Matrix'!#REF!)=0,1/0,1*('Production Matrix'!A:A="تكلفة انتاج الوحدة")*ROW('Production Matrix'!#REF!))</f>
        <v>#REF!</v>
      </c>
      <c r="D1721" s="11" t="str">
        <f>IFERROR(_xlfn.AGGREGATE(15,6,$C$3:$C$53,ROW('Production Matrix'!#REF!)),"")</f>
        <v/>
      </c>
      <c r="E1721" s="11" t="str">
        <f t="shared" si="35"/>
        <v/>
      </c>
      <c r="F1721" s="12">
        <f>IFERROR(INDEX('Production Matrix'!$B:$B,E1721,0),0)</f>
        <v>0</v>
      </c>
    </row>
    <row r="1722" spans="3:6">
      <c r="C1722" s="11" t="e">
        <f>IF(1*('Production Matrix'!A:A="تكلفة انتاج الوحدة")*ROW('Production Matrix'!#REF!)=0,1/0,1*('Production Matrix'!A:A="تكلفة انتاج الوحدة")*ROW('Production Matrix'!#REF!))</f>
        <v>#REF!</v>
      </c>
      <c r="D1722" s="11" t="str">
        <f>IFERROR(_xlfn.AGGREGATE(15,6,$C$3:$C$53,ROW('Production Matrix'!#REF!)),"")</f>
        <v/>
      </c>
      <c r="E1722" s="11" t="str">
        <f t="shared" si="35"/>
        <v/>
      </c>
      <c r="F1722" s="12">
        <f>IFERROR(INDEX('Production Matrix'!$B:$B,E1722,0),0)</f>
        <v>0</v>
      </c>
    </row>
    <row r="1723" spans="3:6">
      <c r="C1723" s="11" t="e">
        <f>IF(1*('Production Matrix'!A:A="تكلفة انتاج الوحدة")*ROW('Production Matrix'!#REF!)=0,1/0,1*('Production Matrix'!A:A="تكلفة انتاج الوحدة")*ROW('Production Matrix'!#REF!))</f>
        <v>#REF!</v>
      </c>
      <c r="D1723" s="11" t="str">
        <f>IFERROR(_xlfn.AGGREGATE(15,6,$C$3:$C$53,ROW('Production Matrix'!#REF!)),"")</f>
        <v/>
      </c>
      <c r="E1723" s="11" t="str">
        <f t="shared" si="35"/>
        <v/>
      </c>
      <c r="F1723" s="12">
        <f>IFERROR(INDEX('Production Matrix'!$B:$B,E1723,0),0)</f>
        <v>0</v>
      </c>
    </row>
    <row r="1724" spans="3:6">
      <c r="C1724" s="11" t="e">
        <f>IF(1*('Production Matrix'!A:A="تكلفة انتاج الوحدة")*ROW('Production Matrix'!#REF!)=0,1/0,1*('Production Matrix'!A:A="تكلفة انتاج الوحدة")*ROW('Production Matrix'!#REF!))</f>
        <v>#REF!</v>
      </c>
      <c r="D1724" s="11" t="str">
        <f>IFERROR(_xlfn.AGGREGATE(15,6,$C$3:$C$53,ROW('Production Matrix'!#REF!)),"")</f>
        <v/>
      </c>
      <c r="E1724" s="11" t="str">
        <f t="shared" si="35"/>
        <v/>
      </c>
      <c r="F1724" s="12">
        <f>IFERROR(INDEX('Production Matrix'!$B:$B,E1724,0),0)</f>
        <v>0</v>
      </c>
    </row>
    <row r="1725" spans="3:6">
      <c r="C1725" s="11" t="e">
        <f>IF(1*('Production Matrix'!A:A="تكلفة انتاج الوحدة")*ROW('Production Matrix'!#REF!)=0,1/0,1*('Production Matrix'!A:A="تكلفة انتاج الوحدة")*ROW('Production Matrix'!#REF!))</f>
        <v>#REF!</v>
      </c>
      <c r="D1725" s="11" t="str">
        <f>IFERROR(_xlfn.AGGREGATE(15,6,$C$3:$C$53,ROW('Production Matrix'!#REF!)),"")</f>
        <v/>
      </c>
      <c r="E1725" s="11" t="str">
        <f t="shared" si="35"/>
        <v/>
      </c>
      <c r="F1725" s="12">
        <f>IFERROR(INDEX('Production Matrix'!$B:$B,E1725,0),0)</f>
        <v>0</v>
      </c>
    </row>
    <row r="1726" spans="3:6">
      <c r="C1726" s="11" t="e">
        <f>IF(1*('Production Matrix'!A:A="تكلفة انتاج الوحدة")*ROW('Production Matrix'!#REF!)=0,1/0,1*('Production Matrix'!A:A="تكلفة انتاج الوحدة")*ROW('Production Matrix'!#REF!))</f>
        <v>#REF!</v>
      </c>
      <c r="D1726" s="11" t="str">
        <f>IFERROR(_xlfn.AGGREGATE(15,6,$C$3:$C$53,ROW('Production Matrix'!#REF!)),"")</f>
        <v/>
      </c>
      <c r="E1726" s="11" t="str">
        <f t="shared" si="35"/>
        <v/>
      </c>
      <c r="F1726" s="12">
        <f>IFERROR(INDEX('Production Matrix'!$B:$B,E1726,0),0)</f>
        <v>0</v>
      </c>
    </row>
    <row r="1727" spans="3:6">
      <c r="C1727" s="11" t="e">
        <f>IF(1*('Production Matrix'!A:A="تكلفة انتاج الوحدة")*ROW('Production Matrix'!#REF!)=0,1/0,1*('Production Matrix'!A:A="تكلفة انتاج الوحدة")*ROW('Production Matrix'!#REF!))</f>
        <v>#REF!</v>
      </c>
      <c r="D1727" s="11" t="str">
        <f>IFERROR(_xlfn.AGGREGATE(15,6,$C$3:$C$53,ROW('Production Matrix'!#REF!)),"")</f>
        <v/>
      </c>
      <c r="E1727" s="11" t="str">
        <f t="shared" si="35"/>
        <v/>
      </c>
      <c r="F1727" s="12">
        <f>IFERROR(INDEX('Production Matrix'!$B:$B,E1727,0),0)</f>
        <v>0</v>
      </c>
    </row>
    <row r="1728" spans="3:6">
      <c r="C1728" s="11" t="e">
        <f>IF(1*('Production Matrix'!A:A="تكلفة انتاج الوحدة")*ROW('Production Matrix'!#REF!)=0,1/0,1*('Production Matrix'!A:A="تكلفة انتاج الوحدة")*ROW('Production Matrix'!#REF!))</f>
        <v>#REF!</v>
      </c>
      <c r="D1728" s="11" t="str">
        <f>IFERROR(_xlfn.AGGREGATE(15,6,$C$3:$C$53,ROW('Production Matrix'!#REF!)),"")</f>
        <v/>
      </c>
      <c r="E1728" s="11" t="str">
        <f t="shared" si="35"/>
        <v/>
      </c>
      <c r="F1728" s="12">
        <f>IFERROR(INDEX('Production Matrix'!$B:$B,E1728,0),0)</f>
        <v>0</v>
      </c>
    </row>
    <row r="1729" spans="3:6">
      <c r="C1729" s="11" t="e">
        <f>IF(1*('Production Matrix'!A:A="تكلفة انتاج الوحدة")*ROW('Production Matrix'!#REF!)=0,1/0,1*('Production Matrix'!A:A="تكلفة انتاج الوحدة")*ROW('Production Matrix'!#REF!))</f>
        <v>#REF!</v>
      </c>
      <c r="D1729" s="11" t="str">
        <f>IFERROR(_xlfn.AGGREGATE(15,6,$C$3:$C$53,ROW('Production Matrix'!#REF!)),"")</f>
        <v/>
      </c>
      <c r="E1729" s="11" t="str">
        <f t="shared" si="35"/>
        <v/>
      </c>
      <c r="F1729" s="12">
        <f>IFERROR(INDEX('Production Matrix'!$B:$B,E1729,0),0)</f>
        <v>0</v>
      </c>
    </row>
    <row r="1730" spans="3:6">
      <c r="C1730" s="11" t="e">
        <f>IF(1*('Production Matrix'!A:A="تكلفة انتاج الوحدة")*ROW('Production Matrix'!#REF!)=0,1/0,1*('Production Matrix'!A:A="تكلفة انتاج الوحدة")*ROW('Production Matrix'!#REF!))</f>
        <v>#REF!</v>
      </c>
      <c r="D1730" s="11" t="str">
        <f>IFERROR(_xlfn.AGGREGATE(15,6,$C$3:$C$53,ROW('Production Matrix'!#REF!)),"")</f>
        <v/>
      </c>
      <c r="E1730" s="11" t="str">
        <f t="shared" si="35"/>
        <v/>
      </c>
      <c r="F1730" s="12">
        <f>IFERROR(INDEX('Production Matrix'!$B:$B,E1730,0),0)</f>
        <v>0</v>
      </c>
    </row>
    <row r="1731" spans="3:6">
      <c r="C1731" s="11" t="e">
        <f>IF(1*('Production Matrix'!A:A="تكلفة انتاج الوحدة")*ROW('Production Matrix'!#REF!)=0,1/0,1*('Production Matrix'!A:A="تكلفة انتاج الوحدة")*ROW('Production Matrix'!#REF!))</f>
        <v>#REF!</v>
      </c>
      <c r="D1731" s="11" t="str">
        <f>IFERROR(_xlfn.AGGREGATE(15,6,$C$3:$C$53,ROW('Production Matrix'!#REF!)),"")</f>
        <v/>
      </c>
      <c r="E1731" s="11" t="str">
        <f t="shared" si="35"/>
        <v/>
      </c>
      <c r="F1731" s="12">
        <f>IFERROR(INDEX('Production Matrix'!$B:$B,E1731,0),0)</f>
        <v>0</v>
      </c>
    </row>
    <row r="1732" spans="3:6">
      <c r="C1732" s="11" t="e">
        <f>IF(1*('Production Matrix'!A:A="تكلفة انتاج الوحدة")*ROW('Production Matrix'!#REF!)=0,1/0,1*('Production Matrix'!A:A="تكلفة انتاج الوحدة")*ROW('Production Matrix'!#REF!))</f>
        <v>#REF!</v>
      </c>
      <c r="D1732" s="11" t="str">
        <f>IFERROR(_xlfn.AGGREGATE(15,6,$C$3:$C$53,ROW('Production Matrix'!#REF!)),"")</f>
        <v/>
      </c>
      <c r="E1732" s="11" t="str">
        <f t="shared" si="35"/>
        <v/>
      </c>
      <c r="F1732" s="12">
        <f>IFERROR(INDEX('Production Matrix'!$B:$B,E1732,0),0)</f>
        <v>0</v>
      </c>
    </row>
    <row r="1733" spans="3:6">
      <c r="C1733" s="11" t="e">
        <f>IF(1*('Production Matrix'!A:A="تكلفة انتاج الوحدة")*ROW('Production Matrix'!#REF!)=0,1/0,1*('Production Matrix'!A:A="تكلفة انتاج الوحدة")*ROW('Production Matrix'!#REF!))</f>
        <v>#REF!</v>
      </c>
      <c r="D1733" s="11" t="str">
        <f>IFERROR(_xlfn.AGGREGATE(15,6,$C$3:$C$53,ROW('Production Matrix'!#REF!)),"")</f>
        <v/>
      </c>
      <c r="E1733" s="11" t="str">
        <f t="shared" si="35"/>
        <v/>
      </c>
      <c r="F1733" s="12">
        <f>IFERROR(INDEX('Production Matrix'!$B:$B,E1733,0),0)</f>
        <v>0</v>
      </c>
    </row>
    <row r="1734" spans="3:6">
      <c r="C1734" s="11" t="e">
        <f>IF(1*('Production Matrix'!A:A="تكلفة انتاج الوحدة")*ROW('Production Matrix'!#REF!)=0,1/0,1*('Production Matrix'!A:A="تكلفة انتاج الوحدة")*ROW('Production Matrix'!#REF!))</f>
        <v>#REF!</v>
      </c>
      <c r="D1734" s="11" t="str">
        <f>IFERROR(_xlfn.AGGREGATE(15,6,$C$3:$C$53,ROW('Production Matrix'!#REF!)),"")</f>
        <v/>
      </c>
      <c r="E1734" s="11" t="str">
        <f t="shared" si="35"/>
        <v/>
      </c>
      <c r="F1734" s="12">
        <f>IFERROR(INDEX('Production Matrix'!$B:$B,E1734,0),0)</f>
        <v>0</v>
      </c>
    </row>
    <row r="1735" spans="3:6">
      <c r="C1735" s="11" t="e">
        <f>IF(1*('Production Matrix'!A:A="تكلفة انتاج الوحدة")*ROW('Production Matrix'!#REF!)=0,1/0,1*('Production Matrix'!A:A="تكلفة انتاج الوحدة")*ROW('Production Matrix'!#REF!))</f>
        <v>#REF!</v>
      </c>
      <c r="D1735" s="11" t="str">
        <f>IFERROR(_xlfn.AGGREGATE(15,6,$C$3:$C$53,ROW('Production Matrix'!#REF!)),"")</f>
        <v/>
      </c>
      <c r="E1735" s="11" t="str">
        <f t="shared" ref="E1735:E1798" si="36">IFERROR(D1735+3,"")</f>
        <v/>
      </c>
      <c r="F1735" s="12">
        <f>IFERROR(INDEX('Production Matrix'!$B:$B,E1735,0),0)</f>
        <v>0</v>
      </c>
    </row>
    <row r="1736" spans="3:6">
      <c r="C1736" s="11" t="e">
        <f>IF(1*('Production Matrix'!A:A="تكلفة انتاج الوحدة")*ROW('Production Matrix'!#REF!)=0,1/0,1*('Production Matrix'!A:A="تكلفة انتاج الوحدة")*ROW('Production Matrix'!#REF!))</f>
        <v>#REF!</v>
      </c>
      <c r="D1736" s="11" t="str">
        <f>IFERROR(_xlfn.AGGREGATE(15,6,$C$3:$C$53,ROW('Production Matrix'!#REF!)),"")</f>
        <v/>
      </c>
      <c r="E1736" s="11" t="str">
        <f t="shared" si="36"/>
        <v/>
      </c>
      <c r="F1736" s="12">
        <f>IFERROR(INDEX('Production Matrix'!$B:$B,E1736,0),0)</f>
        <v>0</v>
      </c>
    </row>
    <row r="1737" spans="3:6">
      <c r="C1737" s="11" t="e">
        <f>IF(1*('Production Matrix'!A:A="تكلفة انتاج الوحدة")*ROW('Production Matrix'!#REF!)=0,1/0,1*('Production Matrix'!A:A="تكلفة انتاج الوحدة")*ROW('Production Matrix'!#REF!))</f>
        <v>#REF!</v>
      </c>
      <c r="D1737" s="11" t="str">
        <f>IFERROR(_xlfn.AGGREGATE(15,6,$C$3:$C$53,ROW('Production Matrix'!#REF!)),"")</f>
        <v/>
      </c>
      <c r="E1737" s="11" t="str">
        <f t="shared" si="36"/>
        <v/>
      </c>
      <c r="F1737" s="12">
        <f>IFERROR(INDEX('Production Matrix'!$B:$B,E1737,0),0)</f>
        <v>0</v>
      </c>
    </row>
    <row r="1738" spans="3:6">
      <c r="C1738" s="11" t="e">
        <f>IF(1*('Production Matrix'!A:A="تكلفة انتاج الوحدة")*ROW('Production Matrix'!#REF!)=0,1/0,1*('Production Matrix'!A:A="تكلفة انتاج الوحدة")*ROW('Production Matrix'!#REF!))</f>
        <v>#REF!</v>
      </c>
      <c r="D1738" s="11" t="str">
        <f>IFERROR(_xlfn.AGGREGATE(15,6,$C$3:$C$53,ROW('Production Matrix'!#REF!)),"")</f>
        <v/>
      </c>
      <c r="E1738" s="11" t="str">
        <f t="shared" si="36"/>
        <v/>
      </c>
      <c r="F1738" s="12">
        <f>IFERROR(INDEX('Production Matrix'!$B:$B,E1738,0),0)</f>
        <v>0</v>
      </c>
    </row>
    <row r="1739" spans="3:6">
      <c r="C1739" s="11" t="e">
        <f>IF(1*('Production Matrix'!A:A="تكلفة انتاج الوحدة")*ROW('Production Matrix'!#REF!)=0,1/0,1*('Production Matrix'!A:A="تكلفة انتاج الوحدة")*ROW('Production Matrix'!#REF!))</f>
        <v>#REF!</v>
      </c>
      <c r="D1739" s="11" t="str">
        <f>IFERROR(_xlfn.AGGREGATE(15,6,$C$3:$C$53,ROW('Production Matrix'!#REF!)),"")</f>
        <v/>
      </c>
      <c r="E1739" s="11" t="str">
        <f t="shared" si="36"/>
        <v/>
      </c>
      <c r="F1739" s="12">
        <f>IFERROR(INDEX('Production Matrix'!$B:$B,E1739,0),0)</f>
        <v>0</v>
      </c>
    </row>
    <row r="1740" spans="3:6">
      <c r="C1740" s="11" t="e">
        <f>IF(1*('Production Matrix'!A:A="تكلفة انتاج الوحدة")*ROW('Production Matrix'!#REF!)=0,1/0,1*('Production Matrix'!A:A="تكلفة انتاج الوحدة")*ROW('Production Matrix'!#REF!))</f>
        <v>#REF!</v>
      </c>
      <c r="D1740" s="11" t="str">
        <f>IFERROR(_xlfn.AGGREGATE(15,6,$C$3:$C$53,ROW('Production Matrix'!#REF!)),"")</f>
        <v/>
      </c>
      <c r="E1740" s="11" t="str">
        <f t="shared" si="36"/>
        <v/>
      </c>
      <c r="F1740" s="12">
        <f>IFERROR(INDEX('Production Matrix'!$B:$B,E1740,0),0)</f>
        <v>0</v>
      </c>
    </row>
    <row r="1741" spans="3:6">
      <c r="C1741" s="11" t="e">
        <f>IF(1*('Production Matrix'!A:A="تكلفة انتاج الوحدة")*ROW('Production Matrix'!#REF!)=0,1/0,1*('Production Matrix'!A:A="تكلفة انتاج الوحدة")*ROW('Production Matrix'!#REF!))</f>
        <v>#REF!</v>
      </c>
      <c r="D1741" s="11" t="str">
        <f>IFERROR(_xlfn.AGGREGATE(15,6,$C$3:$C$53,ROW('Production Matrix'!#REF!)),"")</f>
        <v/>
      </c>
      <c r="E1741" s="11" t="str">
        <f t="shared" si="36"/>
        <v/>
      </c>
      <c r="F1741" s="12">
        <f>IFERROR(INDEX('Production Matrix'!$B:$B,E1741,0),0)</f>
        <v>0</v>
      </c>
    </row>
    <row r="1742" spans="3:6">
      <c r="C1742" s="11" t="e">
        <f>IF(1*('Production Matrix'!A:A="تكلفة انتاج الوحدة")*ROW('Production Matrix'!#REF!)=0,1/0,1*('Production Matrix'!A:A="تكلفة انتاج الوحدة")*ROW('Production Matrix'!#REF!))</f>
        <v>#REF!</v>
      </c>
      <c r="D1742" s="11" t="str">
        <f>IFERROR(_xlfn.AGGREGATE(15,6,$C$3:$C$53,ROW('Production Matrix'!#REF!)),"")</f>
        <v/>
      </c>
      <c r="E1742" s="11" t="str">
        <f t="shared" si="36"/>
        <v/>
      </c>
      <c r="F1742" s="12">
        <f>IFERROR(INDEX('Production Matrix'!$B:$B,E1742,0),0)</f>
        <v>0</v>
      </c>
    </row>
    <row r="1743" spans="3:6">
      <c r="C1743" s="11" t="e">
        <f>IF(1*('Production Matrix'!A:A="تكلفة انتاج الوحدة")*ROW('Production Matrix'!#REF!)=0,1/0,1*('Production Matrix'!A:A="تكلفة انتاج الوحدة")*ROW('Production Matrix'!#REF!))</f>
        <v>#REF!</v>
      </c>
      <c r="D1743" s="11" t="str">
        <f>IFERROR(_xlfn.AGGREGATE(15,6,$C$3:$C$53,ROW('Production Matrix'!#REF!)),"")</f>
        <v/>
      </c>
      <c r="E1743" s="11" t="str">
        <f t="shared" si="36"/>
        <v/>
      </c>
      <c r="F1743" s="12">
        <f>IFERROR(INDEX('Production Matrix'!$B:$B,E1743,0),0)</f>
        <v>0</v>
      </c>
    </row>
    <row r="1744" spans="3:6">
      <c r="C1744" s="11" t="e">
        <f>IF(1*('Production Matrix'!A:A="تكلفة انتاج الوحدة")*ROW('Production Matrix'!#REF!)=0,1/0,1*('Production Matrix'!A:A="تكلفة انتاج الوحدة")*ROW('Production Matrix'!#REF!))</f>
        <v>#REF!</v>
      </c>
      <c r="D1744" s="11" t="str">
        <f>IFERROR(_xlfn.AGGREGATE(15,6,$C$3:$C$53,ROW('Production Matrix'!#REF!)),"")</f>
        <v/>
      </c>
      <c r="E1744" s="11" t="str">
        <f t="shared" si="36"/>
        <v/>
      </c>
      <c r="F1744" s="12">
        <f>IFERROR(INDEX('Production Matrix'!$B:$B,E1744,0),0)</f>
        <v>0</v>
      </c>
    </row>
    <row r="1745" spans="3:6">
      <c r="C1745" s="11" t="e">
        <f>IF(1*('Production Matrix'!A:A="تكلفة انتاج الوحدة")*ROW('Production Matrix'!#REF!)=0,1/0,1*('Production Matrix'!A:A="تكلفة انتاج الوحدة")*ROW('Production Matrix'!#REF!))</f>
        <v>#REF!</v>
      </c>
      <c r="D1745" s="11" t="str">
        <f>IFERROR(_xlfn.AGGREGATE(15,6,$C$3:$C$53,ROW('Production Matrix'!#REF!)),"")</f>
        <v/>
      </c>
      <c r="E1745" s="11" t="str">
        <f t="shared" si="36"/>
        <v/>
      </c>
      <c r="F1745" s="12">
        <f>IFERROR(INDEX('Production Matrix'!$B:$B,E1745,0),0)</f>
        <v>0</v>
      </c>
    </row>
    <row r="1746" spans="3:6">
      <c r="C1746" s="11" t="e">
        <f>IF(1*('Production Matrix'!A:A="تكلفة انتاج الوحدة")*ROW('Production Matrix'!#REF!)=0,1/0,1*('Production Matrix'!A:A="تكلفة انتاج الوحدة")*ROW('Production Matrix'!#REF!))</f>
        <v>#REF!</v>
      </c>
      <c r="D1746" s="11" t="str">
        <f>IFERROR(_xlfn.AGGREGATE(15,6,$C$3:$C$53,ROW('Production Matrix'!#REF!)),"")</f>
        <v/>
      </c>
      <c r="E1746" s="11" t="str">
        <f t="shared" si="36"/>
        <v/>
      </c>
      <c r="F1746" s="12">
        <f>IFERROR(INDEX('Production Matrix'!$B:$B,E1746,0),0)</f>
        <v>0</v>
      </c>
    </row>
    <row r="1747" spans="3:6">
      <c r="C1747" s="11" t="e">
        <f>IF(1*('Production Matrix'!A:A="تكلفة انتاج الوحدة")*ROW('Production Matrix'!#REF!)=0,1/0,1*('Production Matrix'!A:A="تكلفة انتاج الوحدة")*ROW('Production Matrix'!#REF!))</f>
        <v>#REF!</v>
      </c>
      <c r="D1747" s="11" t="str">
        <f>IFERROR(_xlfn.AGGREGATE(15,6,$C$3:$C$53,ROW('Production Matrix'!#REF!)),"")</f>
        <v/>
      </c>
      <c r="E1747" s="11" t="str">
        <f t="shared" si="36"/>
        <v/>
      </c>
      <c r="F1747" s="12">
        <f>IFERROR(INDEX('Production Matrix'!$B:$B,E1747,0),0)</f>
        <v>0</v>
      </c>
    </row>
    <row r="1748" spans="3:6">
      <c r="C1748" s="11" t="e">
        <f>IF(1*('Production Matrix'!A:A="تكلفة انتاج الوحدة")*ROW('Production Matrix'!#REF!)=0,1/0,1*('Production Matrix'!A:A="تكلفة انتاج الوحدة")*ROW('Production Matrix'!#REF!))</f>
        <v>#REF!</v>
      </c>
      <c r="D1748" s="11" t="str">
        <f>IFERROR(_xlfn.AGGREGATE(15,6,$C$3:$C$53,ROW('Production Matrix'!#REF!)),"")</f>
        <v/>
      </c>
      <c r="E1748" s="11" t="str">
        <f t="shared" si="36"/>
        <v/>
      </c>
      <c r="F1748" s="12">
        <f>IFERROR(INDEX('Production Matrix'!$B:$B,E1748,0),0)</f>
        <v>0</v>
      </c>
    </row>
    <row r="1749" spans="3:6">
      <c r="C1749" s="11" t="e">
        <f>IF(1*('Production Matrix'!A:A="تكلفة انتاج الوحدة")*ROW('Production Matrix'!#REF!)=0,1/0,1*('Production Matrix'!A:A="تكلفة انتاج الوحدة")*ROW('Production Matrix'!#REF!))</f>
        <v>#REF!</v>
      </c>
      <c r="D1749" s="11" t="str">
        <f>IFERROR(_xlfn.AGGREGATE(15,6,$C$3:$C$53,ROW('Production Matrix'!#REF!)),"")</f>
        <v/>
      </c>
      <c r="E1749" s="11" t="str">
        <f t="shared" si="36"/>
        <v/>
      </c>
      <c r="F1749" s="12">
        <f>IFERROR(INDEX('Production Matrix'!$B:$B,E1749,0),0)</f>
        <v>0</v>
      </c>
    </row>
    <row r="1750" spans="3:6">
      <c r="C1750" s="11" t="e">
        <f>IF(1*('Production Matrix'!A:A="تكلفة انتاج الوحدة")*ROW('Production Matrix'!#REF!)=0,1/0,1*('Production Matrix'!A:A="تكلفة انتاج الوحدة")*ROW('Production Matrix'!#REF!))</f>
        <v>#REF!</v>
      </c>
      <c r="D1750" s="11" t="str">
        <f>IFERROR(_xlfn.AGGREGATE(15,6,$C$3:$C$53,ROW('Production Matrix'!#REF!)),"")</f>
        <v/>
      </c>
      <c r="E1750" s="11" t="str">
        <f t="shared" si="36"/>
        <v/>
      </c>
      <c r="F1750" s="12">
        <f>IFERROR(INDEX('Production Matrix'!$B:$B,E1750,0),0)</f>
        <v>0</v>
      </c>
    </row>
    <row r="1751" spans="3:6">
      <c r="C1751" s="11" t="e">
        <f>IF(1*('Production Matrix'!A:A="تكلفة انتاج الوحدة")*ROW('Production Matrix'!#REF!)=0,1/0,1*('Production Matrix'!A:A="تكلفة انتاج الوحدة")*ROW('Production Matrix'!#REF!))</f>
        <v>#REF!</v>
      </c>
      <c r="D1751" s="11" t="str">
        <f>IFERROR(_xlfn.AGGREGATE(15,6,$C$3:$C$53,ROW('Production Matrix'!#REF!)),"")</f>
        <v/>
      </c>
      <c r="E1751" s="11" t="str">
        <f t="shared" si="36"/>
        <v/>
      </c>
      <c r="F1751" s="12">
        <f>IFERROR(INDEX('Production Matrix'!$B:$B,E1751,0),0)</f>
        <v>0</v>
      </c>
    </row>
    <row r="1752" spans="3:6">
      <c r="C1752" s="11" t="e">
        <f>IF(1*('Production Matrix'!A:A="تكلفة انتاج الوحدة")*ROW('Production Matrix'!#REF!)=0,1/0,1*('Production Matrix'!A:A="تكلفة انتاج الوحدة")*ROW('Production Matrix'!#REF!))</f>
        <v>#REF!</v>
      </c>
      <c r="D1752" s="11" t="str">
        <f>IFERROR(_xlfn.AGGREGATE(15,6,$C$3:$C$53,ROW('Production Matrix'!#REF!)),"")</f>
        <v/>
      </c>
      <c r="E1752" s="11" t="str">
        <f t="shared" si="36"/>
        <v/>
      </c>
      <c r="F1752" s="12">
        <f>IFERROR(INDEX('Production Matrix'!$B:$B,E1752,0),0)</f>
        <v>0</v>
      </c>
    </row>
    <row r="1753" spans="3:6">
      <c r="C1753" s="11" t="e">
        <f>IF(1*('Production Matrix'!A:A="تكلفة انتاج الوحدة")*ROW('Production Matrix'!#REF!)=0,1/0,1*('Production Matrix'!A:A="تكلفة انتاج الوحدة")*ROW('Production Matrix'!#REF!))</f>
        <v>#REF!</v>
      </c>
      <c r="D1753" s="11" t="str">
        <f>IFERROR(_xlfn.AGGREGATE(15,6,$C$3:$C$53,ROW('Production Matrix'!#REF!)),"")</f>
        <v/>
      </c>
      <c r="E1753" s="11" t="str">
        <f t="shared" si="36"/>
        <v/>
      </c>
      <c r="F1753" s="12">
        <f>IFERROR(INDEX('Production Matrix'!$B:$B,E1753,0),0)</f>
        <v>0</v>
      </c>
    </row>
    <row r="1754" spans="3:6">
      <c r="C1754" s="11" t="e">
        <f>IF(1*('Production Matrix'!A:A="تكلفة انتاج الوحدة")*ROW('Production Matrix'!#REF!)=0,1/0,1*('Production Matrix'!A:A="تكلفة انتاج الوحدة")*ROW('Production Matrix'!#REF!))</f>
        <v>#REF!</v>
      </c>
      <c r="D1754" s="11" t="str">
        <f>IFERROR(_xlfn.AGGREGATE(15,6,$C$3:$C$53,ROW('Production Matrix'!#REF!)),"")</f>
        <v/>
      </c>
      <c r="E1754" s="11" t="str">
        <f t="shared" si="36"/>
        <v/>
      </c>
      <c r="F1754" s="12">
        <f>IFERROR(INDEX('Production Matrix'!$B:$B,E1754,0),0)</f>
        <v>0</v>
      </c>
    </row>
    <row r="1755" spans="3:6">
      <c r="C1755" s="11" t="e">
        <f>IF(1*('Production Matrix'!A:A="تكلفة انتاج الوحدة")*ROW('Production Matrix'!#REF!)=0,1/0,1*('Production Matrix'!A:A="تكلفة انتاج الوحدة")*ROW('Production Matrix'!#REF!))</f>
        <v>#REF!</v>
      </c>
      <c r="D1755" s="11" t="str">
        <f>IFERROR(_xlfn.AGGREGATE(15,6,$C$3:$C$53,ROW('Production Matrix'!#REF!)),"")</f>
        <v/>
      </c>
      <c r="E1755" s="11" t="str">
        <f t="shared" si="36"/>
        <v/>
      </c>
      <c r="F1755" s="12">
        <f>IFERROR(INDEX('Production Matrix'!$B:$B,E1755,0),0)</f>
        <v>0</v>
      </c>
    </row>
    <row r="1756" spans="3:6">
      <c r="C1756" s="11" t="e">
        <f>IF(1*('Production Matrix'!A:A="تكلفة انتاج الوحدة")*ROW('Production Matrix'!#REF!)=0,1/0,1*('Production Matrix'!A:A="تكلفة انتاج الوحدة")*ROW('Production Matrix'!#REF!))</f>
        <v>#REF!</v>
      </c>
      <c r="D1756" s="11" t="str">
        <f>IFERROR(_xlfn.AGGREGATE(15,6,$C$3:$C$53,ROW('Production Matrix'!#REF!)),"")</f>
        <v/>
      </c>
      <c r="E1756" s="11" t="str">
        <f t="shared" si="36"/>
        <v/>
      </c>
      <c r="F1756" s="12">
        <f>IFERROR(INDEX('Production Matrix'!$B:$B,E1756,0),0)</f>
        <v>0</v>
      </c>
    </row>
    <row r="1757" spans="3:6">
      <c r="C1757" s="11" t="e">
        <f>IF(1*('Production Matrix'!A:A="تكلفة انتاج الوحدة")*ROW('Production Matrix'!#REF!)=0,1/0,1*('Production Matrix'!A:A="تكلفة انتاج الوحدة")*ROW('Production Matrix'!#REF!))</f>
        <v>#REF!</v>
      </c>
      <c r="D1757" s="11" t="str">
        <f>IFERROR(_xlfn.AGGREGATE(15,6,$C$3:$C$53,ROW('Production Matrix'!#REF!)),"")</f>
        <v/>
      </c>
      <c r="E1757" s="11" t="str">
        <f t="shared" si="36"/>
        <v/>
      </c>
      <c r="F1757" s="12">
        <f>IFERROR(INDEX('Production Matrix'!$B:$B,E1757,0),0)</f>
        <v>0</v>
      </c>
    </row>
    <row r="1758" spans="3:6">
      <c r="C1758" s="11" t="e">
        <f>IF(1*('Production Matrix'!A:A="تكلفة انتاج الوحدة")*ROW('Production Matrix'!#REF!)=0,1/0,1*('Production Matrix'!A:A="تكلفة انتاج الوحدة")*ROW('Production Matrix'!#REF!))</f>
        <v>#REF!</v>
      </c>
      <c r="D1758" s="11" t="str">
        <f>IFERROR(_xlfn.AGGREGATE(15,6,$C$3:$C$53,ROW('Production Matrix'!#REF!)),"")</f>
        <v/>
      </c>
      <c r="E1758" s="11" t="str">
        <f t="shared" si="36"/>
        <v/>
      </c>
      <c r="F1758" s="12">
        <f>IFERROR(INDEX('Production Matrix'!$B:$B,E1758,0),0)</f>
        <v>0</v>
      </c>
    </row>
    <row r="1759" spans="3:6">
      <c r="C1759" s="11" t="e">
        <f>IF(1*('Production Matrix'!A:A="تكلفة انتاج الوحدة")*ROW('Production Matrix'!#REF!)=0,1/0,1*('Production Matrix'!A:A="تكلفة انتاج الوحدة")*ROW('Production Matrix'!#REF!))</f>
        <v>#REF!</v>
      </c>
      <c r="D1759" s="11" t="str">
        <f>IFERROR(_xlfn.AGGREGATE(15,6,$C$3:$C$53,ROW('Production Matrix'!#REF!)),"")</f>
        <v/>
      </c>
      <c r="E1759" s="11" t="str">
        <f t="shared" si="36"/>
        <v/>
      </c>
      <c r="F1759" s="12">
        <f>IFERROR(INDEX('Production Matrix'!$B:$B,E1759,0),0)</f>
        <v>0</v>
      </c>
    </row>
    <row r="1760" spans="3:6">
      <c r="C1760" s="11" t="e">
        <f>IF(1*('Production Matrix'!A:A="تكلفة انتاج الوحدة")*ROW('Production Matrix'!#REF!)=0,1/0,1*('Production Matrix'!A:A="تكلفة انتاج الوحدة")*ROW('Production Matrix'!#REF!))</f>
        <v>#REF!</v>
      </c>
      <c r="D1760" s="11" t="str">
        <f>IFERROR(_xlfn.AGGREGATE(15,6,$C$3:$C$53,ROW('Production Matrix'!#REF!)),"")</f>
        <v/>
      </c>
      <c r="E1760" s="11" t="str">
        <f t="shared" si="36"/>
        <v/>
      </c>
      <c r="F1760" s="12">
        <f>IFERROR(INDEX('Production Matrix'!$B:$B,E1760,0),0)</f>
        <v>0</v>
      </c>
    </row>
    <row r="1761" spans="3:6">
      <c r="C1761" s="11" t="e">
        <f>IF(1*('Production Matrix'!A:A="تكلفة انتاج الوحدة")*ROW('Production Matrix'!#REF!)=0,1/0,1*('Production Matrix'!A:A="تكلفة انتاج الوحدة")*ROW('Production Matrix'!#REF!))</f>
        <v>#REF!</v>
      </c>
      <c r="D1761" s="11" t="str">
        <f>IFERROR(_xlfn.AGGREGATE(15,6,$C$3:$C$53,ROW('Production Matrix'!#REF!)),"")</f>
        <v/>
      </c>
      <c r="E1761" s="11" t="str">
        <f t="shared" si="36"/>
        <v/>
      </c>
      <c r="F1761" s="12">
        <f>IFERROR(INDEX('Production Matrix'!$B:$B,E1761,0),0)</f>
        <v>0</v>
      </c>
    </row>
    <row r="1762" spans="3:6">
      <c r="C1762" s="11" t="e">
        <f>IF(1*('Production Matrix'!A:A="تكلفة انتاج الوحدة")*ROW('Production Matrix'!#REF!)=0,1/0,1*('Production Matrix'!A:A="تكلفة انتاج الوحدة")*ROW('Production Matrix'!#REF!))</f>
        <v>#REF!</v>
      </c>
      <c r="D1762" s="11" t="str">
        <f>IFERROR(_xlfn.AGGREGATE(15,6,$C$3:$C$53,ROW('Production Matrix'!#REF!)),"")</f>
        <v/>
      </c>
      <c r="E1762" s="11" t="str">
        <f t="shared" si="36"/>
        <v/>
      </c>
      <c r="F1762" s="12">
        <f>IFERROR(INDEX('Production Matrix'!$B:$B,E1762,0),0)</f>
        <v>0</v>
      </c>
    </row>
    <row r="1763" spans="3:6">
      <c r="C1763" s="11" t="e">
        <f>IF(1*('Production Matrix'!A:A="تكلفة انتاج الوحدة")*ROW('Production Matrix'!#REF!)=0,1/0,1*('Production Matrix'!A:A="تكلفة انتاج الوحدة")*ROW('Production Matrix'!#REF!))</f>
        <v>#REF!</v>
      </c>
      <c r="D1763" s="11" t="str">
        <f>IFERROR(_xlfn.AGGREGATE(15,6,$C$3:$C$53,ROW('Production Matrix'!#REF!)),"")</f>
        <v/>
      </c>
      <c r="E1763" s="11" t="str">
        <f t="shared" si="36"/>
        <v/>
      </c>
      <c r="F1763" s="12">
        <f>IFERROR(INDEX('Production Matrix'!$B:$B,E1763,0),0)</f>
        <v>0</v>
      </c>
    </row>
    <row r="1764" spans="3:6">
      <c r="C1764" s="11" t="e">
        <f>IF(1*('Production Matrix'!A:A="تكلفة انتاج الوحدة")*ROW('Production Matrix'!#REF!)=0,1/0,1*('Production Matrix'!A:A="تكلفة انتاج الوحدة")*ROW('Production Matrix'!#REF!))</f>
        <v>#REF!</v>
      </c>
      <c r="D1764" s="11" t="str">
        <f>IFERROR(_xlfn.AGGREGATE(15,6,$C$3:$C$53,ROW('Production Matrix'!#REF!)),"")</f>
        <v/>
      </c>
      <c r="E1764" s="11" t="str">
        <f t="shared" si="36"/>
        <v/>
      </c>
      <c r="F1764" s="12">
        <f>IFERROR(INDEX('Production Matrix'!$B:$B,E1764,0),0)</f>
        <v>0</v>
      </c>
    </row>
    <row r="1765" spans="3:6">
      <c r="C1765" s="11" t="e">
        <f>IF(1*('Production Matrix'!A:A="تكلفة انتاج الوحدة")*ROW('Production Matrix'!#REF!)=0,1/0,1*('Production Matrix'!A:A="تكلفة انتاج الوحدة")*ROW('Production Matrix'!#REF!))</f>
        <v>#REF!</v>
      </c>
      <c r="D1765" s="11" t="str">
        <f>IFERROR(_xlfn.AGGREGATE(15,6,$C$3:$C$53,ROW('Production Matrix'!#REF!)),"")</f>
        <v/>
      </c>
      <c r="E1765" s="11" t="str">
        <f t="shared" si="36"/>
        <v/>
      </c>
      <c r="F1765" s="12">
        <f>IFERROR(INDEX('Production Matrix'!$B:$B,E1765,0),0)</f>
        <v>0</v>
      </c>
    </row>
    <row r="1766" spans="3:6">
      <c r="C1766" s="11" t="e">
        <f>IF(1*('Production Matrix'!A:A="تكلفة انتاج الوحدة")*ROW('Production Matrix'!#REF!)=0,1/0,1*('Production Matrix'!A:A="تكلفة انتاج الوحدة")*ROW('Production Matrix'!#REF!))</f>
        <v>#REF!</v>
      </c>
      <c r="D1766" s="11" t="str">
        <f>IFERROR(_xlfn.AGGREGATE(15,6,$C$3:$C$53,ROW('Production Matrix'!#REF!)),"")</f>
        <v/>
      </c>
      <c r="E1766" s="11" t="str">
        <f t="shared" si="36"/>
        <v/>
      </c>
      <c r="F1766" s="12">
        <f>IFERROR(INDEX('Production Matrix'!$B:$B,E1766,0),0)</f>
        <v>0</v>
      </c>
    </row>
    <row r="1767" spans="3:6">
      <c r="C1767" s="11" t="e">
        <f>IF(1*('Production Matrix'!A:A="تكلفة انتاج الوحدة")*ROW('Production Matrix'!#REF!)=0,1/0,1*('Production Matrix'!A:A="تكلفة انتاج الوحدة")*ROW('Production Matrix'!#REF!))</f>
        <v>#REF!</v>
      </c>
      <c r="D1767" s="11" t="str">
        <f>IFERROR(_xlfn.AGGREGATE(15,6,$C$3:$C$53,ROW('Production Matrix'!#REF!)),"")</f>
        <v/>
      </c>
      <c r="E1767" s="11" t="str">
        <f t="shared" si="36"/>
        <v/>
      </c>
      <c r="F1767" s="12">
        <f>IFERROR(INDEX('Production Matrix'!$B:$B,E1767,0),0)</f>
        <v>0</v>
      </c>
    </row>
    <row r="1768" spans="3:6">
      <c r="C1768" s="11" t="e">
        <f>IF(1*('Production Matrix'!A:A="تكلفة انتاج الوحدة")*ROW('Production Matrix'!#REF!)=0,1/0,1*('Production Matrix'!A:A="تكلفة انتاج الوحدة")*ROW('Production Matrix'!#REF!))</f>
        <v>#REF!</v>
      </c>
      <c r="D1768" s="11" t="str">
        <f>IFERROR(_xlfn.AGGREGATE(15,6,$C$3:$C$53,ROW('Production Matrix'!#REF!)),"")</f>
        <v/>
      </c>
      <c r="E1768" s="11" t="str">
        <f t="shared" si="36"/>
        <v/>
      </c>
      <c r="F1768" s="12">
        <f>IFERROR(INDEX('Production Matrix'!$B:$B,E1768,0),0)</f>
        <v>0</v>
      </c>
    </row>
    <row r="1769" spans="3:6">
      <c r="C1769" s="11" t="e">
        <f>IF(1*('Production Matrix'!A:A="تكلفة انتاج الوحدة")*ROW('Production Matrix'!#REF!)=0,1/0,1*('Production Matrix'!A:A="تكلفة انتاج الوحدة")*ROW('Production Matrix'!#REF!))</f>
        <v>#REF!</v>
      </c>
      <c r="D1769" s="11" t="str">
        <f>IFERROR(_xlfn.AGGREGATE(15,6,$C$3:$C$53,ROW('Production Matrix'!#REF!)),"")</f>
        <v/>
      </c>
      <c r="E1769" s="11" t="str">
        <f t="shared" si="36"/>
        <v/>
      </c>
      <c r="F1769" s="12">
        <f>IFERROR(INDEX('Production Matrix'!$B:$B,E1769,0),0)</f>
        <v>0</v>
      </c>
    </row>
    <row r="1770" spans="3:6">
      <c r="C1770" s="11" t="e">
        <f>IF(1*('Production Matrix'!A:A="تكلفة انتاج الوحدة")*ROW('Production Matrix'!#REF!)=0,1/0,1*('Production Matrix'!A:A="تكلفة انتاج الوحدة")*ROW('Production Matrix'!#REF!))</f>
        <v>#REF!</v>
      </c>
      <c r="D1770" s="11" t="str">
        <f>IFERROR(_xlfn.AGGREGATE(15,6,$C$3:$C$53,ROW('Production Matrix'!#REF!)),"")</f>
        <v/>
      </c>
      <c r="E1770" s="11" t="str">
        <f t="shared" si="36"/>
        <v/>
      </c>
      <c r="F1770" s="12">
        <f>IFERROR(INDEX('Production Matrix'!$B:$B,E1770,0),0)</f>
        <v>0</v>
      </c>
    </row>
    <row r="1771" spans="3:6">
      <c r="C1771" s="11" t="e">
        <f>IF(1*('Production Matrix'!A:A="تكلفة انتاج الوحدة")*ROW('Production Matrix'!#REF!)=0,1/0,1*('Production Matrix'!A:A="تكلفة انتاج الوحدة")*ROW('Production Matrix'!#REF!))</f>
        <v>#REF!</v>
      </c>
      <c r="D1771" s="11" t="str">
        <f>IFERROR(_xlfn.AGGREGATE(15,6,$C$3:$C$53,ROW('Production Matrix'!#REF!)),"")</f>
        <v/>
      </c>
      <c r="E1771" s="11" t="str">
        <f t="shared" si="36"/>
        <v/>
      </c>
      <c r="F1771" s="12">
        <f>IFERROR(INDEX('Production Matrix'!$B:$B,E1771,0),0)</f>
        <v>0</v>
      </c>
    </row>
    <row r="1772" spans="3:6">
      <c r="C1772" s="11" t="e">
        <f>IF(1*('Production Matrix'!A:A="تكلفة انتاج الوحدة")*ROW('Production Matrix'!#REF!)=0,1/0,1*('Production Matrix'!A:A="تكلفة انتاج الوحدة")*ROW('Production Matrix'!#REF!))</f>
        <v>#REF!</v>
      </c>
      <c r="D1772" s="11" t="str">
        <f>IFERROR(_xlfn.AGGREGATE(15,6,$C$3:$C$53,ROW('Production Matrix'!#REF!)),"")</f>
        <v/>
      </c>
      <c r="E1772" s="11" t="str">
        <f t="shared" si="36"/>
        <v/>
      </c>
      <c r="F1772" s="12">
        <f>IFERROR(INDEX('Production Matrix'!$B:$B,E1772,0),0)</f>
        <v>0</v>
      </c>
    </row>
    <row r="1773" spans="3:6">
      <c r="C1773" s="11" t="e">
        <f>IF(1*('Production Matrix'!A:A="تكلفة انتاج الوحدة")*ROW('Production Matrix'!#REF!)=0,1/0,1*('Production Matrix'!A:A="تكلفة انتاج الوحدة")*ROW('Production Matrix'!#REF!))</f>
        <v>#REF!</v>
      </c>
      <c r="D1773" s="11" t="str">
        <f>IFERROR(_xlfn.AGGREGATE(15,6,$C$3:$C$53,ROW('Production Matrix'!#REF!)),"")</f>
        <v/>
      </c>
      <c r="E1773" s="11" t="str">
        <f t="shared" si="36"/>
        <v/>
      </c>
      <c r="F1773" s="12">
        <f>IFERROR(INDEX('Production Matrix'!$B:$B,E1773,0),0)</f>
        <v>0</v>
      </c>
    </row>
    <row r="1774" spans="3:6">
      <c r="C1774" s="11" t="e">
        <f>IF(1*('Production Matrix'!A:A="تكلفة انتاج الوحدة")*ROW('Production Matrix'!#REF!)=0,1/0,1*('Production Matrix'!A:A="تكلفة انتاج الوحدة")*ROW('Production Matrix'!#REF!))</f>
        <v>#REF!</v>
      </c>
      <c r="D1774" s="11" t="str">
        <f>IFERROR(_xlfn.AGGREGATE(15,6,$C$3:$C$53,ROW('Production Matrix'!#REF!)),"")</f>
        <v/>
      </c>
      <c r="E1774" s="11" t="str">
        <f t="shared" si="36"/>
        <v/>
      </c>
      <c r="F1774" s="12">
        <f>IFERROR(INDEX('Production Matrix'!$B:$B,E1774,0),0)</f>
        <v>0</v>
      </c>
    </row>
    <row r="1775" spans="3:6">
      <c r="C1775" s="11" t="e">
        <f>IF(1*('Production Matrix'!A:A="تكلفة انتاج الوحدة")*ROW('Production Matrix'!#REF!)=0,1/0,1*('Production Matrix'!A:A="تكلفة انتاج الوحدة")*ROW('Production Matrix'!#REF!))</f>
        <v>#REF!</v>
      </c>
      <c r="D1775" s="11" t="str">
        <f>IFERROR(_xlfn.AGGREGATE(15,6,$C$3:$C$53,ROW('Production Matrix'!#REF!)),"")</f>
        <v/>
      </c>
      <c r="E1775" s="11" t="str">
        <f t="shared" si="36"/>
        <v/>
      </c>
      <c r="F1775" s="12">
        <f>IFERROR(INDEX('Production Matrix'!$B:$B,E1775,0),0)</f>
        <v>0</v>
      </c>
    </row>
    <row r="1776" spans="3:6">
      <c r="C1776" s="11" t="e">
        <f>IF(1*('Production Matrix'!A:A="تكلفة انتاج الوحدة")*ROW('Production Matrix'!#REF!)=0,1/0,1*('Production Matrix'!A:A="تكلفة انتاج الوحدة")*ROW('Production Matrix'!#REF!))</f>
        <v>#REF!</v>
      </c>
      <c r="D1776" s="11" t="str">
        <f>IFERROR(_xlfn.AGGREGATE(15,6,$C$3:$C$53,ROW('Production Matrix'!#REF!)),"")</f>
        <v/>
      </c>
      <c r="E1776" s="11" t="str">
        <f t="shared" si="36"/>
        <v/>
      </c>
      <c r="F1776" s="12">
        <f>IFERROR(INDEX('Production Matrix'!$B:$B,E1776,0),0)</f>
        <v>0</v>
      </c>
    </row>
    <row r="1777" spans="3:6">
      <c r="C1777" s="11" t="e">
        <f>IF(1*('Production Matrix'!A:A="تكلفة انتاج الوحدة")*ROW('Production Matrix'!#REF!)=0,1/0,1*('Production Matrix'!A:A="تكلفة انتاج الوحدة")*ROW('Production Matrix'!#REF!))</f>
        <v>#REF!</v>
      </c>
      <c r="D1777" s="11" t="str">
        <f>IFERROR(_xlfn.AGGREGATE(15,6,$C$3:$C$53,ROW('Production Matrix'!#REF!)),"")</f>
        <v/>
      </c>
      <c r="E1777" s="11" t="str">
        <f t="shared" si="36"/>
        <v/>
      </c>
      <c r="F1777" s="12">
        <f>IFERROR(INDEX('Production Matrix'!$B:$B,E1777,0),0)</f>
        <v>0</v>
      </c>
    </row>
    <row r="1778" spans="3:6">
      <c r="C1778" s="11" t="e">
        <f>IF(1*('Production Matrix'!A:A="تكلفة انتاج الوحدة")*ROW('Production Matrix'!#REF!)=0,1/0,1*('Production Matrix'!A:A="تكلفة انتاج الوحدة")*ROW('Production Matrix'!#REF!))</f>
        <v>#REF!</v>
      </c>
      <c r="D1778" s="11" t="str">
        <f>IFERROR(_xlfn.AGGREGATE(15,6,$C$3:$C$53,ROW('Production Matrix'!#REF!)),"")</f>
        <v/>
      </c>
      <c r="E1778" s="11" t="str">
        <f t="shared" si="36"/>
        <v/>
      </c>
      <c r="F1778" s="12">
        <f>IFERROR(INDEX('Production Matrix'!$B:$B,E1778,0),0)</f>
        <v>0</v>
      </c>
    </row>
    <row r="1779" spans="3:6">
      <c r="C1779" s="11" t="e">
        <f>IF(1*('Production Matrix'!A:A="تكلفة انتاج الوحدة")*ROW('Production Matrix'!#REF!)=0,1/0,1*('Production Matrix'!A:A="تكلفة انتاج الوحدة")*ROW('Production Matrix'!#REF!))</f>
        <v>#REF!</v>
      </c>
      <c r="D1779" s="11" t="str">
        <f>IFERROR(_xlfn.AGGREGATE(15,6,$C$3:$C$53,ROW('Production Matrix'!#REF!)),"")</f>
        <v/>
      </c>
      <c r="E1779" s="11" t="str">
        <f t="shared" si="36"/>
        <v/>
      </c>
      <c r="F1779" s="12">
        <f>IFERROR(INDEX('Production Matrix'!$B:$B,E1779,0),0)</f>
        <v>0</v>
      </c>
    </row>
    <row r="1780" spans="3:6">
      <c r="C1780" s="11" t="e">
        <f>IF(1*('Production Matrix'!A:A="تكلفة انتاج الوحدة")*ROW('Production Matrix'!#REF!)=0,1/0,1*('Production Matrix'!A:A="تكلفة انتاج الوحدة")*ROW('Production Matrix'!#REF!))</f>
        <v>#REF!</v>
      </c>
      <c r="D1780" s="11" t="str">
        <f>IFERROR(_xlfn.AGGREGATE(15,6,$C$3:$C$53,ROW('Production Matrix'!#REF!)),"")</f>
        <v/>
      </c>
      <c r="E1780" s="11" t="str">
        <f t="shared" si="36"/>
        <v/>
      </c>
      <c r="F1780" s="12">
        <f>IFERROR(INDEX('Production Matrix'!$B:$B,E1780,0),0)</f>
        <v>0</v>
      </c>
    </row>
    <row r="1781" spans="3:6">
      <c r="C1781" s="11" t="e">
        <f>IF(1*('Production Matrix'!A:A="تكلفة انتاج الوحدة")*ROW('Production Matrix'!#REF!)=0,1/0,1*('Production Matrix'!A:A="تكلفة انتاج الوحدة")*ROW('Production Matrix'!#REF!))</f>
        <v>#REF!</v>
      </c>
      <c r="D1781" s="11" t="str">
        <f>IFERROR(_xlfn.AGGREGATE(15,6,$C$3:$C$53,ROW('Production Matrix'!#REF!)),"")</f>
        <v/>
      </c>
      <c r="E1781" s="11" t="str">
        <f t="shared" si="36"/>
        <v/>
      </c>
      <c r="F1781" s="12">
        <f>IFERROR(INDEX('Production Matrix'!$B:$B,E1781,0),0)</f>
        <v>0</v>
      </c>
    </row>
    <row r="1782" spans="3:6">
      <c r="C1782" s="11" t="e">
        <f>IF(1*('Production Matrix'!A:A="تكلفة انتاج الوحدة")*ROW('Production Matrix'!#REF!)=0,1/0,1*('Production Matrix'!A:A="تكلفة انتاج الوحدة")*ROW('Production Matrix'!#REF!))</f>
        <v>#REF!</v>
      </c>
      <c r="D1782" s="11" t="str">
        <f>IFERROR(_xlfn.AGGREGATE(15,6,$C$3:$C$53,ROW('Production Matrix'!#REF!)),"")</f>
        <v/>
      </c>
      <c r="E1782" s="11" t="str">
        <f t="shared" si="36"/>
        <v/>
      </c>
      <c r="F1782" s="12">
        <f>IFERROR(INDEX('Production Matrix'!$B:$B,E1782,0),0)</f>
        <v>0</v>
      </c>
    </row>
    <row r="1783" spans="3:6">
      <c r="C1783" s="11" t="e">
        <f>IF(1*('Production Matrix'!A:A="تكلفة انتاج الوحدة")*ROW('Production Matrix'!#REF!)=0,1/0,1*('Production Matrix'!A:A="تكلفة انتاج الوحدة")*ROW('Production Matrix'!#REF!))</f>
        <v>#REF!</v>
      </c>
      <c r="D1783" s="11" t="str">
        <f>IFERROR(_xlfn.AGGREGATE(15,6,$C$3:$C$53,ROW('Production Matrix'!#REF!)),"")</f>
        <v/>
      </c>
      <c r="E1783" s="11" t="str">
        <f t="shared" si="36"/>
        <v/>
      </c>
      <c r="F1783" s="12">
        <f>IFERROR(INDEX('Production Matrix'!$B:$B,E1783,0),0)</f>
        <v>0</v>
      </c>
    </row>
    <row r="1784" spans="3:6">
      <c r="C1784" s="11" t="e">
        <f>IF(1*('Production Matrix'!A:A="تكلفة انتاج الوحدة")*ROW('Production Matrix'!#REF!)=0,1/0,1*('Production Matrix'!A:A="تكلفة انتاج الوحدة")*ROW('Production Matrix'!#REF!))</f>
        <v>#REF!</v>
      </c>
      <c r="D1784" s="11" t="str">
        <f>IFERROR(_xlfn.AGGREGATE(15,6,$C$3:$C$53,ROW('Production Matrix'!#REF!)),"")</f>
        <v/>
      </c>
      <c r="E1784" s="11" t="str">
        <f t="shared" si="36"/>
        <v/>
      </c>
      <c r="F1784" s="12">
        <f>IFERROR(INDEX('Production Matrix'!$B:$B,E1784,0),0)</f>
        <v>0</v>
      </c>
    </row>
    <row r="1785" spans="3:6">
      <c r="C1785" s="11" t="e">
        <f>IF(1*('Production Matrix'!A:A="تكلفة انتاج الوحدة")*ROW('Production Matrix'!#REF!)=0,1/0,1*('Production Matrix'!A:A="تكلفة انتاج الوحدة")*ROW('Production Matrix'!#REF!))</f>
        <v>#REF!</v>
      </c>
      <c r="D1785" s="11" t="str">
        <f>IFERROR(_xlfn.AGGREGATE(15,6,$C$3:$C$53,ROW('Production Matrix'!#REF!)),"")</f>
        <v/>
      </c>
      <c r="E1785" s="11" t="str">
        <f t="shared" si="36"/>
        <v/>
      </c>
      <c r="F1785" s="12">
        <f>IFERROR(INDEX('Production Matrix'!$B:$B,E1785,0),0)</f>
        <v>0</v>
      </c>
    </row>
    <row r="1786" spans="3:6">
      <c r="C1786" s="11" t="e">
        <f>IF(1*('Production Matrix'!A:A="تكلفة انتاج الوحدة")*ROW('Production Matrix'!#REF!)=0,1/0,1*('Production Matrix'!A:A="تكلفة انتاج الوحدة")*ROW('Production Matrix'!#REF!))</f>
        <v>#REF!</v>
      </c>
      <c r="D1786" s="11" t="str">
        <f>IFERROR(_xlfn.AGGREGATE(15,6,$C$3:$C$53,ROW('Production Matrix'!#REF!)),"")</f>
        <v/>
      </c>
      <c r="E1786" s="11" t="str">
        <f t="shared" si="36"/>
        <v/>
      </c>
      <c r="F1786" s="12">
        <f>IFERROR(INDEX('Production Matrix'!$B:$B,E1786,0),0)</f>
        <v>0</v>
      </c>
    </row>
    <row r="1787" spans="3:6">
      <c r="C1787" s="11" t="e">
        <f>IF(1*('Production Matrix'!A:A="تكلفة انتاج الوحدة")*ROW('Production Matrix'!#REF!)=0,1/0,1*('Production Matrix'!A:A="تكلفة انتاج الوحدة")*ROW('Production Matrix'!#REF!))</f>
        <v>#REF!</v>
      </c>
      <c r="D1787" s="11" t="str">
        <f>IFERROR(_xlfn.AGGREGATE(15,6,$C$3:$C$53,ROW('Production Matrix'!#REF!)),"")</f>
        <v/>
      </c>
      <c r="E1787" s="11" t="str">
        <f t="shared" si="36"/>
        <v/>
      </c>
      <c r="F1787" s="12">
        <f>IFERROR(INDEX('Production Matrix'!$B:$B,E1787,0),0)</f>
        <v>0</v>
      </c>
    </row>
    <row r="1788" spans="3:6">
      <c r="C1788" s="11" t="e">
        <f>IF(1*('Production Matrix'!A:A="تكلفة انتاج الوحدة")*ROW('Production Matrix'!#REF!)=0,1/0,1*('Production Matrix'!A:A="تكلفة انتاج الوحدة")*ROW('Production Matrix'!#REF!))</f>
        <v>#REF!</v>
      </c>
      <c r="D1788" s="11" t="str">
        <f>IFERROR(_xlfn.AGGREGATE(15,6,$C$3:$C$53,ROW('Production Matrix'!#REF!)),"")</f>
        <v/>
      </c>
      <c r="E1788" s="11" t="str">
        <f t="shared" si="36"/>
        <v/>
      </c>
      <c r="F1788" s="12">
        <f>IFERROR(INDEX('Production Matrix'!$B:$B,E1788,0),0)</f>
        <v>0</v>
      </c>
    </row>
    <row r="1789" spans="3:6">
      <c r="C1789" s="11" t="e">
        <f>IF(1*('Production Matrix'!A:A="تكلفة انتاج الوحدة")*ROW('Production Matrix'!#REF!)=0,1/0,1*('Production Matrix'!A:A="تكلفة انتاج الوحدة")*ROW('Production Matrix'!#REF!))</f>
        <v>#REF!</v>
      </c>
      <c r="D1789" s="11" t="str">
        <f>IFERROR(_xlfn.AGGREGATE(15,6,$C$3:$C$53,ROW('Production Matrix'!#REF!)),"")</f>
        <v/>
      </c>
      <c r="E1789" s="11" t="str">
        <f t="shared" si="36"/>
        <v/>
      </c>
      <c r="F1789" s="12">
        <f>IFERROR(INDEX('Production Matrix'!$B:$B,E1789,0),0)</f>
        <v>0</v>
      </c>
    </row>
    <row r="1790" spans="3:6">
      <c r="C1790" s="11" t="e">
        <f>IF(1*('Production Matrix'!A:A="تكلفة انتاج الوحدة")*ROW('Production Matrix'!#REF!)=0,1/0,1*('Production Matrix'!A:A="تكلفة انتاج الوحدة")*ROW('Production Matrix'!#REF!))</f>
        <v>#REF!</v>
      </c>
      <c r="D1790" s="11" t="str">
        <f>IFERROR(_xlfn.AGGREGATE(15,6,$C$3:$C$53,ROW('Production Matrix'!#REF!)),"")</f>
        <v/>
      </c>
      <c r="E1790" s="11" t="str">
        <f t="shared" si="36"/>
        <v/>
      </c>
      <c r="F1790" s="12">
        <f>IFERROR(INDEX('Production Matrix'!$B:$B,E1790,0),0)</f>
        <v>0</v>
      </c>
    </row>
    <row r="1791" spans="3:6">
      <c r="C1791" s="11" t="e">
        <f>IF(1*('Production Matrix'!A:A="تكلفة انتاج الوحدة")*ROW('Production Matrix'!#REF!)=0,1/0,1*('Production Matrix'!A:A="تكلفة انتاج الوحدة")*ROW('Production Matrix'!#REF!))</f>
        <v>#REF!</v>
      </c>
      <c r="D1791" s="11" t="str">
        <f>IFERROR(_xlfn.AGGREGATE(15,6,$C$3:$C$53,ROW('Production Matrix'!#REF!)),"")</f>
        <v/>
      </c>
      <c r="E1791" s="11" t="str">
        <f t="shared" si="36"/>
        <v/>
      </c>
      <c r="F1791" s="12">
        <f>IFERROR(INDEX('Production Matrix'!$B:$B,E1791,0),0)</f>
        <v>0</v>
      </c>
    </row>
    <row r="1792" spans="3:6">
      <c r="C1792" s="11" t="e">
        <f>IF(1*('Production Matrix'!A:A="تكلفة انتاج الوحدة")*ROW('Production Matrix'!#REF!)=0,1/0,1*('Production Matrix'!A:A="تكلفة انتاج الوحدة")*ROW('Production Matrix'!#REF!))</f>
        <v>#REF!</v>
      </c>
      <c r="D1792" s="11" t="str">
        <f>IFERROR(_xlfn.AGGREGATE(15,6,$C$3:$C$53,ROW('Production Matrix'!#REF!)),"")</f>
        <v/>
      </c>
      <c r="E1792" s="11" t="str">
        <f t="shared" si="36"/>
        <v/>
      </c>
      <c r="F1792" s="12">
        <f>IFERROR(INDEX('Production Matrix'!$B:$B,E1792,0),0)</f>
        <v>0</v>
      </c>
    </row>
    <row r="1793" spans="3:6">
      <c r="C1793" s="11" t="e">
        <f>IF(1*('Production Matrix'!A:A="تكلفة انتاج الوحدة")*ROW('Production Matrix'!#REF!)=0,1/0,1*('Production Matrix'!A:A="تكلفة انتاج الوحدة")*ROW('Production Matrix'!#REF!))</f>
        <v>#REF!</v>
      </c>
      <c r="D1793" s="11" t="str">
        <f>IFERROR(_xlfn.AGGREGATE(15,6,$C$3:$C$53,ROW('Production Matrix'!#REF!)),"")</f>
        <v/>
      </c>
      <c r="E1793" s="11" t="str">
        <f t="shared" si="36"/>
        <v/>
      </c>
      <c r="F1793" s="12">
        <f>IFERROR(INDEX('Production Matrix'!$B:$B,E1793,0),0)</f>
        <v>0</v>
      </c>
    </row>
    <row r="1794" spans="3:6">
      <c r="C1794" s="11" t="e">
        <f>IF(1*('Production Matrix'!A:A="تكلفة انتاج الوحدة")*ROW('Production Matrix'!#REF!)=0,1/0,1*('Production Matrix'!A:A="تكلفة انتاج الوحدة")*ROW('Production Matrix'!#REF!))</f>
        <v>#REF!</v>
      </c>
      <c r="D1794" s="11" t="str">
        <f>IFERROR(_xlfn.AGGREGATE(15,6,$C$3:$C$53,ROW('Production Matrix'!#REF!)),"")</f>
        <v/>
      </c>
      <c r="E1794" s="11" t="str">
        <f t="shared" si="36"/>
        <v/>
      </c>
      <c r="F1794" s="12">
        <f>IFERROR(INDEX('Production Matrix'!$B:$B,E1794,0),0)</f>
        <v>0</v>
      </c>
    </row>
    <row r="1795" spans="3:6">
      <c r="C1795" s="11" t="e">
        <f>IF(1*('Production Matrix'!A:A="تكلفة انتاج الوحدة")*ROW('Production Matrix'!#REF!)=0,1/0,1*('Production Matrix'!A:A="تكلفة انتاج الوحدة")*ROW('Production Matrix'!#REF!))</f>
        <v>#REF!</v>
      </c>
      <c r="D1795" s="11" t="str">
        <f>IFERROR(_xlfn.AGGREGATE(15,6,$C$3:$C$53,ROW('Production Matrix'!#REF!)),"")</f>
        <v/>
      </c>
      <c r="E1795" s="11" t="str">
        <f t="shared" si="36"/>
        <v/>
      </c>
      <c r="F1795" s="12">
        <f>IFERROR(INDEX('Production Matrix'!$B:$B,E1795,0),0)</f>
        <v>0</v>
      </c>
    </row>
    <row r="1796" spans="3:6">
      <c r="C1796" s="11" t="e">
        <f>IF(1*('Production Matrix'!A:A="تكلفة انتاج الوحدة")*ROW('Production Matrix'!#REF!)=0,1/0,1*('Production Matrix'!A:A="تكلفة انتاج الوحدة")*ROW('Production Matrix'!#REF!))</f>
        <v>#REF!</v>
      </c>
      <c r="D1796" s="11" t="str">
        <f>IFERROR(_xlfn.AGGREGATE(15,6,$C$3:$C$53,ROW('Production Matrix'!#REF!)),"")</f>
        <v/>
      </c>
      <c r="E1796" s="11" t="str">
        <f t="shared" si="36"/>
        <v/>
      </c>
      <c r="F1796" s="12">
        <f>IFERROR(INDEX('Production Matrix'!$B:$B,E1796,0),0)</f>
        <v>0</v>
      </c>
    </row>
    <row r="1797" spans="3:6">
      <c r="C1797" s="11" t="e">
        <f>IF(1*('Production Matrix'!A:A="تكلفة انتاج الوحدة")*ROW('Production Matrix'!#REF!)=0,1/0,1*('Production Matrix'!A:A="تكلفة انتاج الوحدة")*ROW('Production Matrix'!#REF!))</f>
        <v>#REF!</v>
      </c>
      <c r="D1797" s="11" t="str">
        <f>IFERROR(_xlfn.AGGREGATE(15,6,$C$3:$C$53,ROW('Production Matrix'!#REF!)),"")</f>
        <v/>
      </c>
      <c r="E1797" s="11" t="str">
        <f t="shared" si="36"/>
        <v/>
      </c>
      <c r="F1797" s="12">
        <f>IFERROR(INDEX('Production Matrix'!$B:$B,E1797,0),0)</f>
        <v>0</v>
      </c>
    </row>
    <row r="1798" spans="3:6">
      <c r="C1798" s="11" t="e">
        <f>IF(1*('Production Matrix'!A:A="تكلفة انتاج الوحدة")*ROW('Production Matrix'!#REF!)=0,1/0,1*('Production Matrix'!A:A="تكلفة انتاج الوحدة")*ROW('Production Matrix'!#REF!))</f>
        <v>#REF!</v>
      </c>
      <c r="D1798" s="11" t="str">
        <f>IFERROR(_xlfn.AGGREGATE(15,6,$C$3:$C$53,ROW('Production Matrix'!#REF!)),"")</f>
        <v/>
      </c>
      <c r="E1798" s="11" t="str">
        <f t="shared" si="36"/>
        <v/>
      </c>
      <c r="F1798" s="12">
        <f>IFERROR(INDEX('Production Matrix'!$B:$B,E1798,0),0)</f>
        <v>0</v>
      </c>
    </row>
    <row r="1799" spans="3:6">
      <c r="C1799" s="11" t="e">
        <f>IF(1*('Production Matrix'!A:A="تكلفة انتاج الوحدة")*ROW('Production Matrix'!#REF!)=0,1/0,1*('Production Matrix'!A:A="تكلفة انتاج الوحدة")*ROW('Production Matrix'!#REF!))</f>
        <v>#REF!</v>
      </c>
      <c r="D1799" s="11" t="str">
        <f>IFERROR(_xlfn.AGGREGATE(15,6,$C$3:$C$53,ROW('Production Matrix'!#REF!)),"")</f>
        <v/>
      </c>
      <c r="E1799" s="11" t="str">
        <f t="shared" ref="E1799:E1862" si="37">IFERROR(D1799+3,"")</f>
        <v/>
      </c>
      <c r="F1799" s="12">
        <f>IFERROR(INDEX('Production Matrix'!$B:$B,E1799,0),0)</f>
        <v>0</v>
      </c>
    </row>
    <row r="1800" spans="3:6">
      <c r="C1800" s="11" t="e">
        <f>IF(1*('Production Matrix'!A:A="تكلفة انتاج الوحدة")*ROW('Production Matrix'!#REF!)=0,1/0,1*('Production Matrix'!A:A="تكلفة انتاج الوحدة")*ROW('Production Matrix'!#REF!))</f>
        <v>#REF!</v>
      </c>
      <c r="D1800" s="11" t="str">
        <f>IFERROR(_xlfn.AGGREGATE(15,6,$C$3:$C$53,ROW('Production Matrix'!#REF!)),"")</f>
        <v/>
      </c>
      <c r="E1800" s="11" t="str">
        <f t="shared" si="37"/>
        <v/>
      </c>
      <c r="F1800" s="12">
        <f>IFERROR(INDEX('Production Matrix'!$B:$B,E1800,0),0)</f>
        <v>0</v>
      </c>
    </row>
    <row r="1801" spans="3:6">
      <c r="C1801" s="11" t="e">
        <f>IF(1*('Production Matrix'!A:A="تكلفة انتاج الوحدة")*ROW('Production Matrix'!#REF!)=0,1/0,1*('Production Matrix'!A:A="تكلفة انتاج الوحدة")*ROW('Production Matrix'!#REF!))</f>
        <v>#REF!</v>
      </c>
      <c r="D1801" s="11" t="str">
        <f>IFERROR(_xlfn.AGGREGATE(15,6,$C$3:$C$53,ROW('Production Matrix'!#REF!)),"")</f>
        <v/>
      </c>
      <c r="E1801" s="11" t="str">
        <f t="shared" si="37"/>
        <v/>
      </c>
      <c r="F1801" s="12">
        <f>IFERROR(INDEX('Production Matrix'!$B:$B,E1801,0),0)</f>
        <v>0</v>
      </c>
    </row>
    <row r="1802" spans="3:6">
      <c r="C1802" s="11" t="e">
        <f>IF(1*('Production Matrix'!A:A="تكلفة انتاج الوحدة")*ROW('Production Matrix'!#REF!)=0,1/0,1*('Production Matrix'!A:A="تكلفة انتاج الوحدة")*ROW('Production Matrix'!#REF!))</f>
        <v>#REF!</v>
      </c>
      <c r="D1802" s="11" t="str">
        <f>IFERROR(_xlfn.AGGREGATE(15,6,$C$3:$C$53,ROW('Production Matrix'!#REF!)),"")</f>
        <v/>
      </c>
      <c r="E1802" s="11" t="str">
        <f t="shared" si="37"/>
        <v/>
      </c>
      <c r="F1802" s="12">
        <f>IFERROR(INDEX('Production Matrix'!$B:$B,E1802,0),0)</f>
        <v>0</v>
      </c>
    </row>
    <row r="1803" spans="3:6">
      <c r="C1803" s="11" t="e">
        <f>IF(1*('Production Matrix'!A:A="تكلفة انتاج الوحدة")*ROW('Production Matrix'!#REF!)=0,1/0,1*('Production Matrix'!A:A="تكلفة انتاج الوحدة")*ROW('Production Matrix'!#REF!))</f>
        <v>#REF!</v>
      </c>
      <c r="D1803" s="11" t="str">
        <f>IFERROR(_xlfn.AGGREGATE(15,6,$C$3:$C$53,ROW('Production Matrix'!#REF!)),"")</f>
        <v/>
      </c>
      <c r="E1803" s="11" t="str">
        <f t="shared" si="37"/>
        <v/>
      </c>
      <c r="F1803" s="12">
        <f>IFERROR(INDEX('Production Matrix'!$B:$B,E1803,0),0)</f>
        <v>0</v>
      </c>
    </row>
    <row r="1804" spans="3:6">
      <c r="C1804" s="11" t="e">
        <f>IF(1*('Production Matrix'!A:A="تكلفة انتاج الوحدة")*ROW('Production Matrix'!#REF!)=0,1/0,1*('Production Matrix'!A:A="تكلفة انتاج الوحدة")*ROW('Production Matrix'!#REF!))</f>
        <v>#REF!</v>
      </c>
      <c r="D1804" s="11" t="str">
        <f>IFERROR(_xlfn.AGGREGATE(15,6,$C$3:$C$53,ROW('Production Matrix'!#REF!)),"")</f>
        <v/>
      </c>
      <c r="E1804" s="11" t="str">
        <f t="shared" si="37"/>
        <v/>
      </c>
      <c r="F1804" s="12">
        <f>IFERROR(INDEX('Production Matrix'!$B:$B,E1804,0),0)</f>
        <v>0</v>
      </c>
    </row>
    <row r="1805" spans="3:6">
      <c r="C1805" s="11" t="e">
        <f>IF(1*('Production Matrix'!A:A="تكلفة انتاج الوحدة")*ROW('Production Matrix'!#REF!)=0,1/0,1*('Production Matrix'!A:A="تكلفة انتاج الوحدة")*ROW('Production Matrix'!#REF!))</f>
        <v>#REF!</v>
      </c>
      <c r="D1805" s="11" t="str">
        <f>IFERROR(_xlfn.AGGREGATE(15,6,$C$3:$C$53,ROW('Production Matrix'!#REF!)),"")</f>
        <v/>
      </c>
      <c r="E1805" s="11" t="str">
        <f t="shared" si="37"/>
        <v/>
      </c>
      <c r="F1805" s="12">
        <f>IFERROR(INDEX('Production Matrix'!$B:$B,E1805,0),0)</f>
        <v>0</v>
      </c>
    </row>
    <row r="1806" spans="3:6">
      <c r="C1806" s="11" t="e">
        <f>IF(1*('Production Matrix'!A:A="تكلفة انتاج الوحدة")*ROW('Production Matrix'!#REF!)=0,1/0,1*('Production Matrix'!A:A="تكلفة انتاج الوحدة")*ROW('Production Matrix'!#REF!))</f>
        <v>#REF!</v>
      </c>
      <c r="D1806" s="11" t="str">
        <f>IFERROR(_xlfn.AGGREGATE(15,6,$C$3:$C$53,ROW('Production Matrix'!#REF!)),"")</f>
        <v/>
      </c>
      <c r="E1806" s="11" t="str">
        <f t="shared" si="37"/>
        <v/>
      </c>
      <c r="F1806" s="12">
        <f>IFERROR(INDEX('Production Matrix'!$B:$B,E1806,0),0)</f>
        <v>0</v>
      </c>
    </row>
    <row r="1807" spans="3:6">
      <c r="C1807" s="11" t="e">
        <f>IF(1*('Production Matrix'!A:A="تكلفة انتاج الوحدة")*ROW('Production Matrix'!#REF!)=0,1/0,1*('Production Matrix'!A:A="تكلفة انتاج الوحدة")*ROW('Production Matrix'!#REF!))</f>
        <v>#REF!</v>
      </c>
      <c r="D1807" s="11" t="str">
        <f>IFERROR(_xlfn.AGGREGATE(15,6,$C$3:$C$53,ROW('Production Matrix'!#REF!)),"")</f>
        <v/>
      </c>
      <c r="E1807" s="11" t="str">
        <f t="shared" si="37"/>
        <v/>
      </c>
      <c r="F1807" s="12">
        <f>IFERROR(INDEX('Production Matrix'!$B:$B,E1807,0),0)</f>
        <v>0</v>
      </c>
    </row>
    <row r="1808" spans="3:6">
      <c r="C1808" s="11" t="e">
        <f>IF(1*('Production Matrix'!A:A="تكلفة انتاج الوحدة")*ROW('Production Matrix'!#REF!)=0,1/0,1*('Production Matrix'!A:A="تكلفة انتاج الوحدة")*ROW('Production Matrix'!#REF!))</f>
        <v>#REF!</v>
      </c>
      <c r="D1808" s="11" t="str">
        <f>IFERROR(_xlfn.AGGREGATE(15,6,$C$3:$C$53,ROW('Production Matrix'!#REF!)),"")</f>
        <v/>
      </c>
      <c r="E1808" s="11" t="str">
        <f t="shared" si="37"/>
        <v/>
      </c>
      <c r="F1808" s="12">
        <f>IFERROR(INDEX('Production Matrix'!$B:$B,E1808,0),0)</f>
        <v>0</v>
      </c>
    </row>
    <row r="1809" spans="3:6">
      <c r="C1809" s="11" t="e">
        <f>IF(1*('Production Matrix'!A:A="تكلفة انتاج الوحدة")*ROW('Production Matrix'!#REF!)=0,1/0,1*('Production Matrix'!A:A="تكلفة انتاج الوحدة")*ROW('Production Matrix'!#REF!))</f>
        <v>#REF!</v>
      </c>
      <c r="D1809" s="11" t="str">
        <f>IFERROR(_xlfn.AGGREGATE(15,6,$C$3:$C$53,ROW('Production Matrix'!#REF!)),"")</f>
        <v/>
      </c>
      <c r="E1809" s="11" t="str">
        <f t="shared" si="37"/>
        <v/>
      </c>
      <c r="F1809" s="12">
        <f>IFERROR(INDEX('Production Matrix'!$B:$B,E1809,0),0)</f>
        <v>0</v>
      </c>
    </row>
    <row r="1810" spans="3:6">
      <c r="C1810" s="11" t="e">
        <f>IF(1*('Production Matrix'!A:A="تكلفة انتاج الوحدة")*ROW('Production Matrix'!#REF!)=0,1/0,1*('Production Matrix'!A:A="تكلفة انتاج الوحدة")*ROW('Production Matrix'!#REF!))</f>
        <v>#REF!</v>
      </c>
      <c r="D1810" s="11" t="str">
        <f>IFERROR(_xlfn.AGGREGATE(15,6,$C$3:$C$53,ROW('Production Matrix'!#REF!)),"")</f>
        <v/>
      </c>
      <c r="E1810" s="11" t="str">
        <f t="shared" si="37"/>
        <v/>
      </c>
      <c r="F1810" s="12">
        <f>IFERROR(INDEX('Production Matrix'!$B:$B,E1810,0),0)</f>
        <v>0</v>
      </c>
    </row>
    <row r="1811" spans="3:6">
      <c r="C1811" s="11" t="e">
        <f>IF(1*('Production Matrix'!A:A="تكلفة انتاج الوحدة")*ROW('Production Matrix'!#REF!)=0,1/0,1*('Production Matrix'!A:A="تكلفة انتاج الوحدة")*ROW('Production Matrix'!#REF!))</f>
        <v>#REF!</v>
      </c>
      <c r="D1811" s="11" t="str">
        <f>IFERROR(_xlfn.AGGREGATE(15,6,$C$3:$C$53,ROW('Production Matrix'!#REF!)),"")</f>
        <v/>
      </c>
      <c r="E1811" s="11" t="str">
        <f t="shared" si="37"/>
        <v/>
      </c>
      <c r="F1811" s="12">
        <f>IFERROR(INDEX('Production Matrix'!$B:$B,E1811,0),0)</f>
        <v>0</v>
      </c>
    </row>
    <row r="1812" spans="3:6">
      <c r="C1812" s="11" t="e">
        <f>IF(1*('Production Matrix'!A:A="تكلفة انتاج الوحدة")*ROW('Production Matrix'!#REF!)=0,1/0,1*('Production Matrix'!A:A="تكلفة انتاج الوحدة")*ROW('Production Matrix'!#REF!))</f>
        <v>#REF!</v>
      </c>
      <c r="D1812" s="11" t="str">
        <f>IFERROR(_xlfn.AGGREGATE(15,6,$C$3:$C$53,ROW('Production Matrix'!#REF!)),"")</f>
        <v/>
      </c>
      <c r="E1812" s="11" t="str">
        <f t="shared" si="37"/>
        <v/>
      </c>
      <c r="F1812" s="12">
        <f>IFERROR(INDEX('Production Matrix'!$B:$B,E1812,0),0)</f>
        <v>0</v>
      </c>
    </row>
    <row r="1813" spans="3:6">
      <c r="C1813" s="11" t="e">
        <f>IF(1*('Production Matrix'!A:A="تكلفة انتاج الوحدة")*ROW('Production Matrix'!#REF!)=0,1/0,1*('Production Matrix'!A:A="تكلفة انتاج الوحدة")*ROW('Production Matrix'!#REF!))</f>
        <v>#REF!</v>
      </c>
      <c r="D1813" s="11" t="str">
        <f>IFERROR(_xlfn.AGGREGATE(15,6,$C$3:$C$53,ROW('Production Matrix'!#REF!)),"")</f>
        <v/>
      </c>
      <c r="E1813" s="11" t="str">
        <f t="shared" si="37"/>
        <v/>
      </c>
      <c r="F1813" s="12">
        <f>IFERROR(INDEX('Production Matrix'!$B:$B,E1813,0),0)</f>
        <v>0</v>
      </c>
    </row>
    <row r="1814" spans="3:6">
      <c r="C1814" s="11" t="e">
        <f>IF(1*('Production Matrix'!A:A="تكلفة انتاج الوحدة")*ROW('Production Matrix'!#REF!)=0,1/0,1*('Production Matrix'!A:A="تكلفة انتاج الوحدة")*ROW('Production Matrix'!#REF!))</f>
        <v>#REF!</v>
      </c>
      <c r="D1814" s="11" t="str">
        <f>IFERROR(_xlfn.AGGREGATE(15,6,$C$3:$C$53,ROW('Production Matrix'!#REF!)),"")</f>
        <v/>
      </c>
      <c r="E1814" s="11" t="str">
        <f t="shared" si="37"/>
        <v/>
      </c>
      <c r="F1814" s="12">
        <f>IFERROR(INDEX('Production Matrix'!$B:$B,E1814,0),0)</f>
        <v>0</v>
      </c>
    </row>
    <row r="1815" spans="3:6">
      <c r="C1815" s="11" t="e">
        <f>IF(1*('Production Matrix'!A:A="تكلفة انتاج الوحدة")*ROW('Production Matrix'!#REF!)=0,1/0,1*('Production Matrix'!A:A="تكلفة انتاج الوحدة")*ROW('Production Matrix'!#REF!))</f>
        <v>#REF!</v>
      </c>
      <c r="D1815" s="11" t="str">
        <f>IFERROR(_xlfn.AGGREGATE(15,6,$C$3:$C$53,ROW('Production Matrix'!#REF!)),"")</f>
        <v/>
      </c>
      <c r="E1815" s="11" t="str">
        <f t="shared" si="37"/>
        <v/>
      </c>
      <c r="F1815" s="12">
        <f>IFERROR(INDEX('Production Matrix'!$B:$B,E1815,0),0)</f>
        <v>0</v>
      </c>
    </row>
    <row r="1816" spans="3:6">
      <c r="C1816" s="11" t="e">
        <f>IF(1*('Production Matrix'!A:A="تكلفة انتاج الوحدة")*ROW('Production Matrix'!#REF!)=0,1/0,1*('Production Matrix'!A:A="تكلفة انتاج الوحدة")*ROW('Production Matrix'!#REF!))</f>
        <v>#REF!</v>
      </c>
      <c r="D1816" s="11" t="str">
        <f>IFERROR(_xlfn.AGGREGATE(15,6,$C$3:$C$53,ROW('Production Matrix'!#REF!)),"")</f>
        <v/>
      </c>
      <c r="E1816" s="11" t="str">
        <f t="shared" si="37"/>
        <v/>
      </c>
      <c r="F1816" s="12">
        <f>IFERROR(INDEX('Production Matrix'!$B:$B,E1816,0),0)</f>
        <v>0</v>
      </c>
    </row>
    <row r="1817" spans="3:6">
      <c r="C1817" s="11" t="e">
        <f>IF(1*('Production Matrix'!A:A="تكلفة انتاج الوحدة")*ROW('Production Matrix'!#REF!)=0,1/0,1*('Production Matrix'!A:A="تكلفة انتاج الوحدة")*ROW('Production Matrix'!#REF!))</f>
        <v>#REF!</v>
      </c>
      <c r="D1817" s="11" t="str">
        <f>IFERROR(_xlfn.AGGREGATE(15,6,$C$3:$C$53,ROW('Production Matrix'!#REF!)),"")</f>
        <v/>
      </c>
      <c r="E1817" s="11" t="str">
        <f t="shared" si="37"/>
        <v/>
      </c>
      <c r="F1817" s="12">
        <f>IFERROR(INDEX('Production Matrix'!$B:$B,E1817,0),0)</f>
        <v>0</v>
      </c>
    </row>
    <row r="1818" spans="3:6">
      <c r="C1818" s="11" t="e">
        <f>IF(1*('Production Matrix'!A:A="تكلفة انتاج الوحدة")*ROW('Production Matrix'!#REF!)=0,1/0,1*('Production Matrix'!A:A="تكلفة انتاج الوحدة")*ROW('Production Matrix'!#REF!))</f>
        <v>#REF!</v>
      </c>
      <c r="D1818" s="11" t="str">
        <f>IFERROR(_xlfn.AGGREGATE(15,6,$C$3:$C$53,ROW('Production Matrix'!#REF!)),"")</f>
        <v/>
      </c>
      <c r="E1818" s="11" t="str">
        <f t="shared" si="37"/>
        <v/>
      </c>
      <c r="F1818" s="12">
        <f>IFERROR(INDEX('Production Matrix'!$B:$B,E1818,0),0)</f>
        <v>0</v>
      </c>
    </row>
    <row r="1819" spans="3:6">
      <c r="C1819" s="11" t="e">
        <f>IF(1*('Production Matrix'!A:A="تكلفة انتاج الوحدة")*ROW('Production Matrix'!#REF!)=0,1/0,1*('Production Matrix'!A:A="تكلفة انتاج الوحدة")*ROW('Production Matrix'!#REF!))</f>
        <v>#REF!</v>
      </c>
      <c r="D1819" s="11" t="str">
        <f>IFERROR(_xlfn.AGGREGATE(15,6,$C$3:$C$53,ROW('Production Matrix'!#REF!)),"")</f>
        <v/>
      </c>
      <c r="E1819" s="11" t="str">
        <f t="shared" si="37"/>
        <v/>
      </c>
      <c r="F1819" s="12">
        <f>IFERROR(INDEX('Production Matrix'!$B:$B,E1819,0),0)</f>
        <v>0</v>
      </c>
    </row>
    <row r="1820" spans="3:6">
      <c r="C1820" s="11" t="e">
        <f>IF(1*('Production Matrix'!A:A="تكلفة انتاج الوحدة")*ROW('Production Matrix'!#REF!)=0,1/0,1*('Production Matrix'!A:A="تكلفة انتاج الوحدة")*ROW('Production Matrix'!#REF!))</f>
        <v>#REF!</v>
      </c>
      <c r="D1820" s="11" t="str">
        <f>IFERROR(_xlfn.AGGREGATE(15,6,$C$3:$C$53,ROW('Production Matrix'!#REF!)),"")</f>
        <v/>
      </c>
      <c r="E1820" s="11" t="str">
        <f t="shared" si="37"/>
        <v/>
      </c>
      <c r="F1820" s="12">
        <f>IFERROR(INDEX('Production Matrix'!$B:$B,E1820,0),0)</f>
        <v>0</v>
      </c>
    </row>
    <row r="1821" spans="3:6">
      <c r="C1821" s="11" t="e">
        <f>IF(1*('Production Matrix'!A:A="تكلفة انتاج الوحدة")*ROW('Production Matrix'!#REF!)=0,1/0,1*('Production Matrix'!A:A="تكلفة انتاج الوحدة")*ROW('Production Matrix'!#REF!))</f>
        <v>#REF!</v>
      </c>
      <c r="D1821" s="11" t="str">
        <f>IFERROR(_xlfn.AGGREGATE(15,6,$C$3:$C$53,ROW('Production Matrix'!#REF!)),"")</f>
        <v/>
      </c>
      <c r="E1821" s="11" t="str">
        <f t="shared" si="37"/>
        <v/>
      </c>
      <c r="F1821" s="12">
        <f>IFERROR(INDEX('Production Matrix'!$B:$B,E1821,0),0)</f>
        <v>0</v>
      </c>
    </row>
    <row r="1822" spans="3:6">
      <c r="C1822" s="11" t="e">
        <f>IF(1*('Production Matrix'!A:A="تكلفة انتاج الوحدة")*ROW('Production Matrix'!#REF!)=0,1/0,1*('Production Matrix'!A:A="تكلفة انتاج الوحدة")*ROW('Production Matrix'!#REF!))</f>
        <v>#REF!</v>
      </c>
      <c r="D1822" s="11" t="str">
        <f>IFERROR(_xlfn.AGGREGATE(15,6,$C$3:$C$53,ROW('Production Matrix'!#REF!)),"")</f>
        <v/>
      </c>
      <c r="E1822" s="11" t="str">
        <f t="shared" si="37"/>
        <v/>
      </c>
      <c r="F1822" s="12">
        <f>IFERROR(INDEX('Production Matrix'!$B:$B,E1822,0),0)</f>
        <v>0</v>
      </c>
    </row>
    <row r="1823" spans="3:6">
      <c r="C1823" s="11" t="e">
        <f>IF(1*('Production Matrix'!A:A="تكلفة انتاج الوحدة")*ROW('Production Matrix'!#REF!)=0,1/0,1*('Production Matrix'!A:A="تكلفة انتاج الوحدة")*ROW('Production Matrix'!#REF!))</f>
        <v>#REF!</v>
      </c>
      <c r="D1823" s="11" t="str">
        <f>IFERROR(_xlfn.AGGREGATE(15,6,$C$3:$C$53,ROW('Production Matrix'!#REF!)),"")</f>
        <v/>
      </c>
      <c r="E1823" s="11" t="str">
        <f t="shared" si="37"/>
        <v/>
      </c>
      <c r="F1823" s="12">
        <f>IFERROR(INDEX('Production Matrix'!$B:$B,E1823,0),0)</f>
        <v>0</v>
      </c>
    </row>
    <row r="1824" spans="3:6">
      <c r="C1824" s="11" t="e">
        <f>IF(1*('Production Matrix'!A:A="تكلفة انتاج الوحدة")*ROW('Production Matrix'!#REF!)=0,1/0,1*('Production Matrix'!A:A="تكلفة انتاج الوحدة")*ROW('Production Matrix'!#REF!))</f>
        <v>#REF!</v>
      </c>
      <c r="D1824" s="11" t="str">
        <f>IFERROR(_xlfn.AGGREGATE(15,6,$C$3:$C$53,ROW('Production Matrix'!#REF!)),"")</f>
        <v/>
      </c>
      <c r="E1824" s="11" t="str">
        <f t="shared" si="37"/>
        <v/>
      </c>
      <c r="F1824" s="12">
        <f>IFERROR(INDEX('Production Matrix'!$B:$B,E1824,0),0)</f>
        <v>0</v>
      </c>
    </row>
    <row r="1825" spans="3:6">
      <c r="C1825" s="11" t="e">
        <f>IF(1*('Production Matrix'!A:A="تكلفة انتاج الوحدة")*ROW('Production Matrix'!#REF!)=0,1/0,1*('Production Matrix'!A:A="تكلفة انتاج الوحدة")*ROW('Production Matrix'!#REF!))</f>
        <v>#REF!</v>
      </c>
      <c r="D1825" s="11" t="str">
        <f>IFERROR(_xlfn.AGGREGATE(15,6,$C$3:$C$53,ROW('Production Matrix'!#REF!)),"")</f>
        <v/>
      </c>
      <c r="E1825" s="11" t="str">
        <f t="shared" si="37"/>
        <v/>
      </c>
      <c r="F1825" s="12">
        <f>IFERROR(INDEX('Production Matrix'!$B:$B,E1825,0),0)</f>
        <v>0</v>
      </c>
    </row>
    <row r="1826" spans="3:6">
      <c r="C1826" s="11" t="e">
        <f>IF(1*('Production Matrix'!A:A="تكلفة انتاج الوحدة")*ROW('Production Matrix'!#REF!)=0,1/0,1*('Production Matrix'!A:A="تكلفة انتاج الوحدة")*ROW('Production Matrix'!#REF!))</f>
        <v>#REF!</v>
      </c>
      <c r="D1826" s="11" t="str">
        <f>IFERROR(_xlfn.AGGREGATE(15,6,$C$3:$C$53,ROW('Production Matrix'!#REF!)),"")</f>
        <v/>
      </c>
      <c r="E1826" s="11" t="str">
        <f t="shared" si="37"/>
        <v/>
      </c>
      <c r="F1826" s="12">
        <f>IFERROR(INDEX('Production Matrix'!$B:$B,E1826,0),0)</f>
        <v>0</v>
      </c>
    </row>
    <row r="1827" spans="3:6">
      <c r="C1827" s="11" t="e">
        <f>IF(1*('Production Matrix'!A:A="تكلفة انتاج الوحدة")*ROW('Production Matrix'!#REF!)=0,1/0,1*('Production Matrix'!A:A="تكلفة انتاج الوحدة")*ROW('Production Matrix'!#REF!))</f>
        <v>#REF!</v>
      </c>
      <c r="D1827" s="11" t="str">
        <f>IFERROR(_xlfn.AGGREGATE(15,6,$C$3:$C$53,ROW('Production Matrix'!#REF!)),"")</f>
        <v/>
      </c>
      <c r="E1827" s="11" t="str">
        <f t="shared" si="37"/>
        <v/>
      </c>
      <c r="F1827" s="12">
        <f>IFERROR(INDEX('Production Matrix'!$B:$B,E1827,0),0)</f>
        <v>0</v>
      </c>
    </row>
    <row r="1828" spans="3:6">
      <c r="C1828" s="11" t="e">
        <f>IF(1*('Production Matrix'!A:A="تكلفة انتاج الوحدة")*ROW('Production Matrix'!#REF!)=0,1/0,1*('Production Matrix'!A:A="تكلفة انتاج الوحدة")*ROW('Production Matrix'!#REF!))</f>
        <v>#REF!</v>
      </c>
      <c r="D1828" s="11" t="str">
        <f>IFERROR(_xlfn.AGGREGATE(15,6,$C$3:$C$53,ROW('Production Matrix'!#REF!)),"")</f>
        <v/>
      </c>
      <c r="E1828" s="11" t="str">
        <f t="shared" si="37"/>
        <v/>
      </c>
      <c r="F1828" s="12">
        <f>IFERROR(INDEX('Production Matrix'!$B:$B,E1828,0),0)</f>
        <v>0</v>
      </c>
    </row>
    <row r="1829" spans="3:6">
      <c r="C1829" s="11" t="e">
        <f>IF(1*('Production Matrix'!A:A="تكلفة انتاج الوحدة")*ROW('Production Matrix'!#REF!)=0,1/0,1*('Production Matrix'!A:A="تكلفة انتاج الوحدة")*ROW('Production Matrix'!#REF!))</f>
        <v>#REF!</v>
      </c>
      <c r="D1829" s="11" t="str">
        <f>IFERROR(_xlfn.AGGREGATE(15,6,$C$3:$C$53,ROW('Production Matrix'!#REF!)),"")</f>
        <v/>
      </c>
      <c r="E1829" s="11" t="str">
        <f t="shared" si="37"/>
        <v/>
      </c>
      <c r="F1829" s="12">
        <f>IFERROR(INDEX('Production Matrix'!$B:$B,E1829,0),0)</f>
        <v>0</v>
      </c>
    </row>
    <row r="1830" spans="3:6">
      <c r="C1830" s="11" t="e">
        <f>IF(1*('Production Matrix'!A:A="تكلفة انتاج الوحدة")*ROW('Production Matrix'!#REF!)=0,1/0,1*('Production Matrix'!A:A="تكلفة انتاج الوحدة")*ROW('Production Matrix'!#REF!))</f>
        <v>#REF!</v>
      </c>
      <c r="D1830" s="11" t="str">
        <f>IFERROR(_xlfn.AGGREGATE(15,6,$C$3:$C$53,ROW('Production Matrix'!#REF!)),"")</f>
        <v/>
      </c>
      <c r="E1830" s="11" t="str">
        <f t="shared" si="37"/>
        <v/>
      </c>
      <c r="F1830" s="12">
        <f>IFERROR(INDEX('Production Matrix'!$B:$B,E1830,0),0)</f>
        <v>0</v>
      </c>
    </row>
    <row r="1831" spans="3:6">
      <c r="C1831" s="11" t="e">
        <f>IF(1*('Production Matrix'!A:A="تكلفة انتاج الوحدة")*ROW('Production Matrix'!#REF!)=0,1/0,1*('Production Matrix'!A:A="تكلفة انتاج الوحدة")*ROW('Production Matrix'!#REF!))</f>
        <v>#REF!</v>
      </c>
      <c r="D1831" s="11" t="str">
        <f>IFERROR(_xlfn.AGGREGATE(15,6,$C$3:$C$53,ROW('Production Matrix'!#REF!)),"")</f>
        <v/>
      </c>
      <c r="E1831" s="11" t="str">
        <f t="shared" si="37"/>
        <v/>
      </c>
      <c r="F1831" s="12">
        <f>IFERROR(INDEX('Production Matrix'!$B:$B,E1831,0),0)</f>
        <v>0</v>
      </c>
    </row>
    <row r="1832" spans="3:6">
      <c r="C1832" s="11" t="e">
        <f>IF(1*('Production Matrix'!A:A="تكلفة انتاج الوحدة")*ROW('Production Matrix'!#REF!)=0,1/0,1*('Production Matrix'!A:A="تكلفة انتاج الوحدة")*ROW('Production Matrix'!#REF!))</f>
        <v>#REF!</v>
      </c>
      <c r="D1832" s="11" t="str">
        <f>IFERROR(_xlfn.AGGREGATE(15,6,$C$3:$C$53,ROW('Production Matrix'!#REF!)),"")</f>
        <v/>
      </c>
      <c r="E1832" s="11" t="str">
        <f t="shared" si="37"/>
        <v/>
      </c>
      <c r="F1832" s="12">
        <f>IFERROR(INDEX('Production Matrix'!$B:$B,E1832,0),0)</f>
        <v>0</v>
      </c>
    </row>
    <row r="1833" spans="3:6">
      <c r="C1833" s="11" t="e">
        <f>IF(1*('Production Matrix'!A:A="تكلفة انتاج الوحدة")*ROW('Production Matrix'!#REF!)=0,1/0,1*('Production Matrix'!A:A="تكلفة انتاج الوحدة")*ROW('Production Matrix'!#REF!))</f>
        <v>#REF!</v>
      </c>
      <c r="D1833" s="11" t="str">
        <f>IFERROR(_xlfn.AGGREGATE(15,6,$C$3:$C$53,ROW('Production Matrix'!#REF!)),"")</f>
        <v/>
      </c>
      <c r="E1833" s="11" t="str">
        <f t="shared" si="37"/>
        <v/>
      </c>
      <c r="F1833" s="12">
        <f>IFERROR(INDEX('Production Matrix'!$B:$B,E1833,0),0)</f>
        <v>0</v>
      </c>
    </row>
    <row r="1834" spans="3:6">
      <c r="C1834" s="11" t="e">
        <f>IF(1*('Production Matrix'!A:A="تكلفة انتاج الوحدة")*ROW('Production Matrix'!#REF!)=0,1/0,1*('Production Matrix'!A:A="تكلفة انتاج الوحدة")*ROW('Production Matrix'!#REF!))</f>
        <v>#REF!</v>
      </c>
      <c r="D1834" s="11" t="str">
        <f>IFERROR(_xlfn.AGGREGATE(15,6,$C$3:$C$53,ROW('Production Matrix'!#REF!)),"")</f>
        <v/>
      </c>
      <c r="E1834" s="11" t="str">
        <f t="shared" si="37"/>
        <v/>
      </c>
      <c r="F1834" s="12">
        <f>IFERROR(INDEX('Production Matrix'!$B:$B,E1834,0),0)</f>
        <v>0</v>
      </c>
    </row>
    <row r="1835" spans="3:6">
      <c r="C1835" s="11" t="e">
        <f>IF(1*('Production Matrix'!A:A="تكلفة انتاج الوحدة")*ROW('Production Matrix'!#REF!)=0,1/0,1*('Production Matrix'!A:A="تكلفة انتاج الوحدة")*ROW('Production Matrix'!#REF!))</f>
        <v>#REF!</v>
      </c>
      <c r="D1835" s="11" t="str">
        <f>IFERROR(_xlfn.AGGREGATE(15,6,$C$3:$C$53,ROW('Production Matrix'!#REF!)),"")</f>
        <v/>
      </c>
      <c r="E1835" s="11" t="str">
        <f t="shared" si="37"/>
        <v/>
      </c>
      <c r="F1835" s="12">
        <f>IFERROR(INDEX('Production Matrix'!$B:$B,E1835,0),0)</f>
        <v>0</v>
      </c>
    </row>
    <row r="1836" spans="3:6">
      <c r="C1836" s="11" t="e">
        <f>IF(1*('Production Matrix'!A:A="تكلفة انتاج الوحدة")*ROW('Production Matrix'!#REF!)=0,1/0,1*('Production Matrix'!A:A="تكلفة انتاج الوحدة")*ROW('Production Matrix'!#REF!))</f>
        <v>#REF!</v>
      </c>
      <c r="D1836" s="11" t="str">
        <f>IFERROR(_xlfn.AGGREGATE(15,6,$C$3:$C$53,ROW('Production Matrix'!#REF!)),"")</f>
        <v/>
      </c>
      <c r="E1836" s="11" t="str">
        <f t="shared" si="37"/>
        <v/>
      </c>
      <c r="F1836" s="12">
        <f>IFERROR(INDEX('Production Matrix'!$B:$B,E1836,0),0)</f>
        <v>0</v>
      </c>
    </row>
    <row r="1837" spans="3:6">
      <c r="C1837" s="11" t="e">
        <f>IF(1*('Production Matrix'!A:A="تكلفة انتاج الوحدة")*ROW('Production Matrix'!#REF!)=0,1/0,1*('Production Matrix'!A:A="تكلفة انتاج الوحدة")*ROW('Production Matrix'!#REF!))</f>
        <v>#REF!</v>
      </c>
      <c r="D1837" s="11" t="str">
        <f>IFERROR(_xlfn.AGGREGATE(15,6,$C$3:$C$53,ROW('Production Matrix'!#REF!)),"")</f>
        <v/>
      </c>
      <c r="E1837" s="11" t="str">
        <f t="shared" si="37"/>
        <v/>
      </c>
      <c r="F1837" s="12">
        <f>IFERROR(INDEX('Production Matrix'!$B:$B,E1837,0),0)</f>
        <v>0</v>
      </c>
    </row>
    <row r="1838" spans="3:6">
      <c r="C1838" s="11" t="e">
        <f>IF(1*('Production Matrix'!A:A="تكلفة انتاج الوحدة")*ROW('Production Matrix'!#REF!)=0,1/0,1*('Production Matrix'!A:A="تكلفة انتاج الوحدة")*ROW('Production Matrix'!#REF!))</f>
        <v>#REF!</v>
      </c>
      <c r="D1838" s="11" t="str">
        <f>IFERROR(_xlfn.AGGREGATE(15,6,$C$3:$C$53,ROW('Production Matrix'!#REF!)),"")</f>
        <v/>
      </c>
      <c r="E1838" s="11" t="str">
        <f t="shared" si="37"/>
        <v/>
      </c>
      <c r="F1838" s="12">
        <f>IFERROR(INDEX('Production Matrix'!$B:$B,E1838,0),0)</f>
        <v>0</v>
      </c>
    </row>
    <row r="1839" spans="3:6">
      <c r="C1839" s="11" t="e">
        <f>IF(1*('Production Matrix'!A:A="تكلفة انتاج الوحدة")*ROW('Production Matrix'!#REF!)=0,1/0,1*('Production Matrix'!A:A="تكلفة انتاج الوحدة")*ROW('Production Matrix'!#REF!))</f>
        <v>#REF!</v>
      </c>
      <c r="D1839" s="11" t="str">
        <f>IFERROR(_xlfn.AGGREGATE(15,6,$C$3:$C$53,ROW('Production Matrix'!#REF!)),"")</f>
        <v/>
      </c>
      <c r="E1839" s="11" t="str">
        <f t="shared" si="37"/>
        <v/>
      </c>
      <c r="F1839" s="12">
        <f>IFERROR(INDEX('Production Matrix'!$B:$B,E1839,0),0)</f>
        <v>0</v>
      </c>
    </row>
    <row r="1840" spans="3:6">
      <c r="C1840" s="11" t="e">
        <f>IF(1*('Production Matrix'!A:A="تكلفة انتاج الوحدة")*ROW('Production Matrix'!#REF!)=0,1/0,1*('Production Matrix'!A:A="تكلفة انتاج الوحدة")*ROW('Production Matrix'!#REF!))</f>
        <v>#REF!</v>
      </c>
      <c r="D1840" s="11" t="str">
        <f>IFERROR(_xlfn.AGGREGATE(15,6,$C$3:$C$53,ROW('Production Matrix'!#REF!)),"")</f>
        <v/>
      </c>
      <c r="E1840" s="11" t="str">
        <f t="shared" si="37"/>
        <v/>
      </c>
      <c r="F1840" s="12">
        <f>IFERROR(INDEX('Production Matrix'!$B:$B,E1840,0),0)</f>
        <v>0</v>
      </c>
    </row>
    <row r="1841" spans="3:6">
      <c r="C1841" s="11" t="e">
        <f>IF(1*('Production Matrix'!A:A="تكلفة انتاج الوحدة")*ROW('Production Matrix'!#REF!)=0,1/0,1*('Production Matrix'!A:A="تكلفة انتاج الوحدة")*ROW('Production Matrix'!#REF!))</f>
        <v>#REF!</v>
      </c>
      <c r="D1841" s="11" t="str">
        <f>IFERROR(_xlfn.AGGREGATE(15,6,$C$3:$C$53,ROW('Production Matrix'!#REF!)),"")</f>
        <v/>
      </c>
      <c r="E1841" s="11" t="str">
        <f t="shared" si="37"/>
        <v/>
      </c>
      <c r="F1841" s="12">
        <f>IFERROR(INDEX('Production Matrix'!$B:$B,E1841,0),0)</f>
        <v>0</v>
      </c>
    </row>
    <row r="1842" spans="3:6">
      <c r="C1842" s="11" t="e">
        <f>IF(1*('Production Matrix'!A:A="تكلفة انتاج الوحدة")*ROW('Production Matrix'!#REF!)=0,1/0,1*('Production Matrix'!A:A="تكلفة انتاج الوحدة")*ROW('Production Matrix'!#REF!))</f>
        <v>#REF!</v>
      </c>
      <c r="D1842" s="11" t="str">
        <f>IFERROR(_xlfn.AGGREGATE(15,6,$C$3:$C$53,ROW('Production Matrix'!#REF!)),"")</f>
        <v/>
      </c>
      <c r="E1842" s="11" t="str">
        <f t="shared" si="37"/>
        <v/>
      </c>
      <c r="F1842" s="12">
        <f>IFERROR(INDEX('Production Matrix'!$B:$B,E1842,0),0)</f>
        <v>0</v>
      </c>
    </row>
    <row r="1843" spans="3:6">
      <c r="C1843" s="11" t="e">
        <f>IF(1*('Production Matrix'!A:A="تكلفة انتاج الوحدة")*ROW('Production Matrix'!#REF!)=0,1/0,1*('Production Matrix'!A:A="تكلفة انتاج الوحدة")*ROW('Production Matrix'!#REF!))</f>
        <v>#REF!</v>
      </c>
      <c r="D1843" s="11" t="str">
        <f>IFERROR(_xlfn.AGGREGATE(15,6,$C$3:$C$53,ROW('Production Matrix'!#REF!)),"")</f>
        <v/>
      </c>
      <c r="E1843" s="11" t="str">
        <f t="shared" si="37"/>
        <v/>
      </c>
      <c r="F1843" s="12">
        <f>IFERROR(INDEX('Production Matrix'!$B:$B,E1843,0),0)</f>
        <v>0</v>
      </c>
    </row>
    <row r="1844" spans="3:6">
      <c r="C1844" s="11" t="e">
        <f>IF(1*('Production Matrix'!A:A="تكلفة انتاج الوحدة")*ROW('Production Matrix'!#REF!)=0,1/0,1*('Production Matrix'!A:A="تكلفة انتاج الوحدة")*ROW('Production Matrix'!#REF!))</f>
        <v>#REF!</v>
      </c>
      <c r="D1844" s="11" t="str">
        <f>IFERROR(_xlfn.AGGREGATE(15,6,$C$3:$C$53,ROW('Production Matrix'!#REF!)),"")</f>
        <v/>
      </c>
      <c r="E1844" s="11" t="str">
        <f t="shared" si="37"/>
        <v/>
      </c>
      <c r="F1844" s="12">
        <f>IFERROR(INDEX('Production Matrix'!$B:$B,E1844,0),0)</f>
        <v>0</v>
      </c>
    </row>
    <row r="1845" spans="3:6">
      <c r="C1845" s="11" t="e">
        <f>IF(1*('Production Matrix'!A:A="تكلفة انتاج الوحدة")*ROW('Production Matrix'!#REF!)=0,1/0,1*('Production Matrix'!A:A="تكلفة انتاج الوحدة")*ROW('Production Matrix'!#REF!))</f>
        <v>#REF!</v>
      </c>
      <c r="D1845" s="11" t="str">
        <f>IFERROR(_xlfn.AGGREGATE(15,6,$C$3:$C$53,ROW('Production Matrix'!#REF!)),"")</f>
        <v/>
      </c>
      <c r="E1845" s="11" t="str">
        <f t="shared" si="37"/>
        <v/>
      </c>
      <c r="F1845" s="12">
        <f>IFERROR(INDEX('Production Matrix'!$B:$B,E1845,0),0)</f>
        <v>0</v>
      </c>
    </row>
    <row r="1846" spans="3:6">
      <c r="C1846" s="11" t="e">
        <f>IF(1*('Production Matrix'!A:A="تكلفة انتاج الوحدة")*ROW('Production Matrix'!#REF!)=0,1/0,1*('Production Matrix'!A:A="تكلفة انتاج الوحدة")*ROW('Production Matrix'!#REF!))</f>
        <v>#REF!</v>
      </c>
      <c r="D1846" s="11" t="str">
        <f>IFERROR(_xlfn.AGGREGATE(15,6,$C$3:$C$53,ROW('Production Matrix'!#REF!)),"")</f>
        <v/>
      </c>
      <c r="E1846" s="11" t="str">
        <f t="shared" si="37"/>
        <v/>
      </c>
      <c r="F1846" s="12">
        <f>IFERROR(INDEX('Production Matrix'!$B:$B,E1846,0),0)</f>
        <v>0</v>
      </c>
    </row>
    <row r="1847" spans="3:6">
      <c r="C1847" s="11" t="e">
        <f>IF(1*('Production Matrix'!A:A="تكلفة انتاج الوحدة")*ROW('Production Matrix'!#REF!)=0,1/0,1*('Production Matrix'!A:A="تكلفة انتاج الوحدة")*ROW('Production Matrix'!#REF!))</f>
        <v>#REF!</v>
      </c>
      <c r="D1847" s="11" t="str">
        <f>IFERROR(_xlfn.AGGREGATE(15,6,$C$3:$C$53,ROW('Production Matrix'!#REF!)),"")</f>
        <v/>
      </c>
      <c r="E1847" s="11" t="str">
        <f t="shared" si="37"/>
        <v/>
      </c>
      <c r="F1847" s="12">
        <f>IFERROR(INDEX('Production Matrix'!$B:$B,E1847,0),0)</f>
        <v>0</v>
      </c>
    </row>
    <row r="1848" spans="3:6">
      <c r="C1848" s="11" t="e">
        <f>IF(1*('Production Matrix'!A:A="تكلفة انتاج الوحدة")*ROW('Production Matrix'!#REF!)=0,1/0,1*('Production Matrix'!A:A="تكلفة انتاج الوحدة")*ROW('Production Matrix'!#REF!))</f>
        <v>#REF!</v>
      </c>
      <c r="D1848" s="11" t="str">
        <f>IFERROR(_xlfn.AGGREGATE(15,6,$C$3:$C$53,ROW('Production Matrix'!#REF!)),"")</f>
        <v/>
      </c>
      <c r="E1848" s="11" t="str">
        <f t="shared" si="37"/>
        <v/>
      </c>
      <c r="F1848" s="12">
        <f>IFERROR(INDEX('Production Matrix'!$B:$B,E1848,0),0)</f>
        <v>0</v>
      </c>
    </row>
    <row r="1849" spans="3:6">
      <c r="C1849" s="11" t="e">
        <f>IF(1*('Production Matrix'!A:A="تكلفة انتاج الوحدة")*ROW('Production Matrix'!#REF!)=0,1/0,1*('Production Matrix'!A:A="تكلفة انتاج الوحدة")*ROW('Production Matrix'!#REF!))</f>
        <v>#REF!</v>
      </c>
      <c r="D1849" s="11" t="str">
        <f>IFERROR(_xlfn.AGGREGATE(15,6,$C$3:$C$53,ROW('Production Matrix'!#REF!)),"")</f>
        <v/>
      </c>
      <c r="E1849" s="11" t="str">
        <f t="shared" si="37"/>
        <v/>
      </c>
      <c r="F1849" s="12">
        <f>IFERROR(INDEX('Production Matrix'!$B:$B,E1849,0),0)</f>
        <v>0</v>
      </c>
    </row>
    <row r="1850" spans="3:6">
      <c r="C1850" s="11" t="e">
        <f>IF(1*('Production Matrix'!A:A="تكلفة انتاج الوحدة")*ROW('Production Matrix'!#REF!)=0,1/0,1*('Production Matrix'!A:A="تكلفة انتاج الوحدة")*ROW('Production Matrix'!#REF!))</f>
        <v>#REF!</v>
      </c>
      <c r="D1850" s="11" t="str">
        <f>IFERROR(_xlfn.AGGREGATE(15,6,$C$3:$C$53,ROW('Production Matrix'!#REF!)),"")</f>
        <v/>
      </c>
      <c r="E1850" s="11" t="str">
        <f t="shared" si="37"/>
        <v/>
      </c>
      <c r="F1850" s="12">
        <f>IFERROR(INDEX('Production Matrix'!$B:$B,E1850,0),0)</f>
        <v>0</v>
      </c>
    </row>
    <row r="1851" spans="3:6">
      <c r="C1851" s="11" t="e">
        <f>IF(1*('Production Matrix'!A:A="تكلفة انتاج الوحدة")*ROW('Production Matrix'!#REF!)=0,1/0,1*('Production Matrix'!A:A="تكلفة انتاج الوحدة")*ROW('Production Matrix'!#REF!))</f>
        <v>#REF!</v>
      </c>
      <c r="D1851" s="11" t="str">
        <f>IFERROR(_xlfn.AGGREGATE(15,6,$C$3:$C$53,ROW('Production Matrix'!#REF!)),"")</f>
        <v/>
      </c>
      <c r="E1851" s="11" t="str">
        <f t="shared" si="37"/>
        <v/>
      </c>
      <c r="F1851" s="12">
        <f>IFERROR(INDEX('Production Matrix'!$B:$B,E1851,0),0)</f>
        <v>0</v>
      </c>
    </row>
    <row r="1852" spans="3:6">
      <c r="C1852" s="11" t="e">
        <f>IF(1*('Production Matrix'!A:A="تكلفة انتاج الوحدة")*ROW('Production Matrix'!#REF!)=0,1/0,1*('Production Matrix'!A:A="تكلفة انتاج الوحدة")*ROW('Production Matrix'!#REF!))</f>
        <v>#REF!</v>
      </c>
      <c r="D1852" s="11" t="str">
        <f>IFERROR(_xlfn.AGGREGATE(15,6,$C$3:$C$53,ROW('Production Matrix'!#REF!)),"")</f>
        <v/>
      </c>
      <c r="E1852" s="11" t="str">
        <f t="shared" si="37"/>
        <v/>
      </c>
      <c r="F1852" s="12">
        <f>IFERROR(INDEX('Production Matrix'!$B:$B,E1852,0),0)</f>
        <v>0</v>
      </c>
    </row>
    <row r="1853" spans="3:6">
      <c r="C1853" s="11" t="e">
        <f>IF(1*('Production Matrix'!A:A="تكلفة انتاج الوحدة")*ROW('Production Matrix'!#REF!)=0,1/0,1*('Production Matrix'!A:A="تكلفة انتاج الوحدة")*ROW('Production Matrix'!#REF!))</f>
        <v>#REF!</v>
      </c>
      <c r="D1853" s="11" t="str">
        <f>IFERROR(_xlfn.AGGREGATE(15,6,$C$3:$C$53,ROW('Production Matrix'!#REF!)),"")</f>
        <v/>
      </c>
      <c r="E1853" s="11" t="str">
        <f t="shared" si="37"/>
        <v/>
      </c>
      <c r="F1853" s="12">
        <f>IFERROR(INDEX('Production Matrix'!$B:$B,E1853,0),0)</f>
        <v>0</v>
      </c>
    </row>
    <row r="1854" spans="3:6">
      <c r="C1854" s="11" t="e">
        <f>IF(1*('Production Matrix'!A:A="تكلفة انتاج الوحدة")*ROW('Production Matrix'!#REF!)=0,1/0,1*('Production Matrix'!A:A="تكلفة انتاج الوحدة")*ROW('Production Matrix'!#REF!))</f>
        <v>#REF!</v>
      </c>
      <c r="D1854" s="11" t="str">
        <f>IFERROR(_xlfn.AGGREGATE(15,6,$C$3:$C$53,ROW('Production Matrix'!#REF!)),"")</f>
        <v/>
      </c>
      <c r="E1854" s="11" t="str">
        <f t="shared" si="37"/>
        <v/>
      </c>
      <c r="F1854" s="12">
        <f>IFERROR(INDEX('Production Matrix'!$B:$B,E1854,0),0)</f>
        <v>0</v>
      </c>
    </row>
    <row r="1855" spans="3:6">
      <c r="C1855" s="11" t="e">
        <f>IF(1*('Production Matrix'!A:A="تكلفة انتاج الوحدة")*ROW('Production Matrix'!#REF!)=0,1/0,1*('Production Matrix'!A:A="تكلفة انتاج الوحدة")*ROW('Production Matrix'!#REF!))</f>
        <v>#REF!</v>
      </c>
      <c r="D1855" s="11" t="str">
        <f>IFERROR(_xlfn.AGGREGATE(15,6,$C$3:$C$53,ROW('Production Matrix'!#REF!)),"")</f>
        <v/>
      </c>
      <c r="E1855" s="11" t="str">
        <f t="shared" si="37"/>
        <v/>
      </c>
      <c r="F1855" s="12">
        <f>IFERROR(INDEX('Production Matrix'!$B:$B,E1855,0),0)</f>
        <v>0</v>
      </c>
    </row>
    <row r="1856" spans="3:6">
      <c r="C1856" s="11" t="e">
        <f>IF(1*('Production Matrix'!A:A="تكلفة انتاج الوحدة")*ROW('Production Matrix'!#REF!)=0,1/0,1*('Production Matrix'!A:A="تكلفة انتاج الوحدة")*ROW('Production Matrix'!#REF!))</f>
        <v>#REF!</v>
      </c>
      <c r="D1856" s="11" t="str">
        <f>IFERROR(_xlfn.AGGREGATE(15,6,$C$3:$C$53,ROW('Production Matrix'!#REF!)),"")</f>
        <v/>
      </c>
      <c r="E1856" s="11" t="str">
        <f t="shared" si="37"/>
        <v/>
      </c>
      <c r="F1856" s="12">
        <f>IFERROR(INDEX('Production Matrix'!$B:$B,E1856,0),0)</f>
        <v>0</v>
      </c>
    </row>
    <row r="1857" spans="3:6">
      <c r="C1857" s="11" t="e">
        <f>IF(1*('Production Matrix'!A:A="تكلفة انتاج الوحدة")*ROW('Production Matrix'!#REF!)=0,1/0,1*('Production Matrix'!A:A="تكلفة انتاج الوحدة")*ROW('Production Matrix'!#REF!))</f>
        <v>#REF!</v>
      </c>
      <c r="D1857" s="11" t="str">
        <f>IFERROR(_xlfn.AGGREGATE(15,6,$C$3:$C$53,ROW('Production Matrix'!#REF!)),"")</f>
        <v/>
      </c>
      <c r="E1857" s="11" t="str">
        <f t="shared" si="37"/>
        <v/>
      </c>
      <c r="F1857" s="12">
        <f>IFERROR(INDEX('Production Matrix'!$B:$B,E1857,0),0)</f>
        <v>0</v>
      </c>
    </row>
    <row r="1858" spans="3:6">
      <c r="C1858" s="11" t="e">
        <f>IF(1*('Production Matrix'!A:A="تكلفة انتاج الوحدة")*ROW('Production Matrix'!#REF!)=0,1/0,1*('Production Matrix'!A:A="تكلفة انتاج الوحدة")*ROW('Production Matrix'!#REF!))</f>
        <v>#REF!</v>
      </c>
      <c r="D1858" s="11" t="str">
        <f>IFERROR(_xlfn.AGGREGATE(15,6,$C$3:$C$53,ROW('Production Matrix'!#REF!)),"")</f>
        <v/>
      </c>
      <c r="E1858" s="11" t="str">
        <f t="shared" si="37"/>
        <v/>
      </c>
      <c r="F1858" s="12">
        <f>IFERROR(INDEX('Production Matrix'!$B:$B,E1858,0),0)</f>
        <v>0</v>
      </c>
    </row>
    <row r="1859" spans="3:6">
      <c r="C1859" s="11" t="e">
        <f>IF(1*('Production Matrix'!A:A="تكلفة انتاج الوحدة")*ROW('Production Matrix'!#REF!)=0,1/0,1*('Production Matrix'!A:A="تكلفة انتاج الوحدة")*ROW('Production Matrix'!#REF!))</f>
        <v>#REF!</v>
      </c>
      <c r="D1859" s="11" t="str">
        <f>IFERROR(_xlfn.AGGREGATE(15,6,$C$3:$C$53,ROW('Production Matrix'!#REF!)),"")</f>
        <v/>
      </c>
      <c r="E1859" s="11" t="str">
        <f t="shared" si="37"/>
        <v/>
      </c>
      <c r="F1859" s="12">
        <f>IFERROR(INDEX('Production Matrix'!$B:$B,E1859,0),0)</f>
        <v>0</v>
      </c>
    </row>
    <row r="1860" spans="3:6">
      <c r="C1860" s="11" t="e">
        <f>IF(1*('Production Matrix'!A:A="تكلفة انتاج الوحدة")*ROW('Production Matrix'!#REF!)=0,1/0,1*('Production Matrix'!A:A="تكلفة انتاج الوحدة")*ROW('Production Matrix'!#REF!))</f>
        <v>#REF!</v>
      </c>
      <c r="D1860" s="11" t="str">
        <f>IFERROR(_xlfn.AGGREGATE(15,6,$C$3:$C$53,ROW('Production Matrix'!#REF!)),"")</f>
        <v/>
      </c>
      <c r="E1860" s="11" t="str">
        <f t="shared" si="37"/>
        <v/>
      </c>
      <c r="F1860" s="12">
        <f>IFERROR(INDEX('Production Matrix'!$B:$B,E1860,0),0)</f>
        <v>0</v>
      </c>
    </row>
    <row r="1861" spans="3:6">
      <c r="C1861" s="11" t="e">
        <f>IF(1*('Production Matrix'!A:A="تكلفة انتاج الوحدة")*ROW('Production Matrix'!#REF!)=0,1/0,1*('Production Matrix'!A:A="تكلفة انتاج الوحدة")*ROW('Production Matrix'!#REF!))</f>
        <v>#REF!</v>
      </c>
      <c r="D1861" s="11" t="str">
        <f>IFERROR(_xlfn.AGGREGATE(15,6,$C$3:$C$53,ROW('Production Matrix'!#REF!)),"")</f>
        <v/>
      </c>
      <c r="E1861" s="11" t="str">
        <f t="shared" si="37"/>
        <v/>
      </c>
      <c r="F1861" s="12">
        <f>IFERROR(INDEX('Production Matrix'!$B:$B,E1861,0),0)</f>
        <v>0</v>
      </c>
    </row>
    <row r="1862" spans="3:6">
      <c r="C1862" s="11" t="e">
        <f>IF(1*('Production Matrix'!A:A="تكلفة انتاج الوحدة")*ROW('Production Matrix'!#REF!)=0,1/0,1*('Production Matrix'!A:A="تكلفة انتاج الوحدة")*ROW('Production Matrix'!#REF!))</f>
        <v>#REF!</v>
      </c>
      <c r="D1862" s="11" t="str">
        <f>IFERROR(_xlfn.AGGREGATE(15,6,$C$3:$C$53,ROW('Production Matrix'!#REF!)),"")</f>
        <v/>
      </c>
      <c r="E1862" s="11" t="str">
        <f t="shared" si="37"/>
        <v/>
      </c>
      <c r="F1862" s="12">
        <f>IFERROR(INDEX('Production Matrix'!$B:$B,E1862,0),0)</f>
        <v>0</v>
      </c>
    </row>
    <row r="1863" spans="3:6">
      <c r="C1863" s="11" t="e">
        <f>IF(1*('Production Matrix'!A:A="تكلفة انتاج الوحدة")*ROW('Production Matrix'!#REF!)=0,1/0,1*('Production Matrix'!A:A="تكلفة انتاج الوحدة")*ROW('Production Matrix'!#REF!))</f>
        <v>#REF!</v>
      </c>
      <c r="D1863" s="11" t="str">
        <f>IFERROR(_xlfn.AGGREGATE(15,6,$C$3:$C$53,ROW('Production Matrix'!#REF!)),"")</f>
        <v/>
      </c>
      <c r="E1863" s="11" t="str">
        <f t="shared" ref="E1863:E1926" si="38">IFERROR(D1863+3,"")</f>
        <v/>
      </c>
      <c r="F1863" s="12">
        <f>IFERROR(INDEX('Production Matrix'!$B:$B,E1863,0),0)</f>
        <v>0</v>
      </c>
    </row>
    <row r="1864" spans="3:6">
      <c r="C1864" s="11" t="e">
        <f>IF(1*('Production Matrix'!A:A="تكلفة انتاج الوحدة")*ROW('Production Matrix'!#REF!)=0,1/0,1*('Production Matrix'!A:A="تكلفة انتاج الوحدة")*ROW('Production Matrix'!#REF!))</f>
        <v>#REF!</v>
      </c>
      <c r="D1864" s="11" t="str">
        <f>IFERROR(_xlfn.AGGREGATE(15,6,$C$3:$C$53,ROW('Production Matrix'!#REF!)),"")</f>
        <v/>
      </c>
      <c r="E1864" s="11" t="str">
        <f t="shared" si="38"/>
        <v/>
      </c>
      <c r="F1864" s="12">
        <f>IFERROR(INDEX('Production Matrix'!$B:$B,E1864,0),0)</f>
        <v>0</v>
      </c>
    </row>
    <row r="1865" spans="3:6">
      <c r="C1865" s="11" t="e">
        <f>IF(1*('Production Matrix'!A:A="تكلفة انتاج الوحدة")*ROW('Production Matrix'!#REF!)=0,1/0,1*('Production Matrix'!A:A="تكلفة انتاج الوحدة")*ROW('Production Matrix'!#REF!))</f>
        <v>#REF!</v>
      </c>
      <c r="D1865" s="11" t="str">
        <f>IFERROR(_xlfn.AGGREGATE(15,6,$C$3:$C$53,ROW('Production Matrix'!#REF!)),"")</f>
        <v/>
      </c>
      <c r="E1865" s="11" t="str">
        <f t="shared" si="38"/>
        <v/>
      </c>
      <c r="F1865" s="12">
        <f>IFERROR(INDEX('Production Matrix'!$B:$B,E1865,0),0)</f>
        <v>0</v>
      </c>
    </row>
    <row r="1866" spans="3:6">
      <c r="C1866" s="11" t="e">
        <f>IF(1*('Production Matrix'!A:A="تكلفة انتاج الوحدة")*ROW('Production Matrix'!#REF!)=0,1/0,1*('Production Matrix'!A:A="تكلفة انتاج الوحدة")*ROW('Production Matrix'!#REF!))</f>
        <v>#REF!</v>
      </c>
      <c r="D1866" s="11" t="str">
        <f>IFERROR(_xlfn.AGGREGATE(15,6,$C$3:$C$53,ROW('Production Matrix'!#REF!)),"")</f>
        <v/>
      </c>
      <c r="E1866" s="11" t="str">
        <f t="shared" si="38"/>
        <v/>
      </c>
      <c r="F1866" s="12">
        <f>IFERROR(INDEX('Production Matrix'!$B:$B,E1866,0),0)</f>
        <v>0</v>
      </c>
    </row>
    <row r="1867" spans="3:6">
      <c r="C1867" s="11" t="e">
        <f>IF(1*('Production Matrix'!A:A="تكلفة انتاج الوحدة")*ROW('Production Matrix'!#REF!)=0,1/0,1*('Production Matrix'!A:A="تكلفة انتاج الوحدة")*ROW('Production Matrix'!#REF!))</f>
        <v>#REF!</v>
      </c>
      <c r="D1867" s="11" t="str">
        <f>IFERROR(_xlfn.AGGREGATE(15,6,$C$3:$C$53,ROW('Production Matrix'!#REF!)),"")</f>
        <v/>
      </c>
      <c r="E1867" s="11" t="str">
        <f t="shared" si="38"/>
        <v/>
      </c>
      <c r="F1867" s="12">
        <f>IFERROR(INDEX('Production Matrix'!$B:$B,E1867,0),0)</f>
        <v>0</v>
      </c>
    </row>
    <row r="1868" spans="3:6">
      <c r="C1868" s="11" t="e">
        <f>IF(1*('Production Matrix'!A:A="تكلفة انتاج الوحدة")*ROW('Production Matrix'!#REF!)=0,1/0,1*('Production Matrix'!A:A="تكلفة انتاج الوحدة")*ROW('Production Matrix'!#REF!))</f>
        <v>#REF!</v>
      </c>
      <c r="D1868" s="11" t="str">
        <f>IFERROR(_xlfn.AGGREGATE(15,6,$C$3:$C$53,ROW('Production Matrix'!#REF!)),"")</f>
        <v/>
      </c>
      <c r="E1868" s="11" t="str">
        <f t="shared" si="38"/>
        <v/>
      </c>
      <c r="F1868" s="12">
        <f>IFERROR(INDEX('Production Matrix'!$B:$B,E1868,0),0)</f>
        <v>0</v>
      </c>
    </row>
    <row r="1869" spans="3:6">
      <c r="C1869" s="11" t="e">
        <f>IF(1*('Production Matrix'!A:A="تكلفة انتاج الوحدة")*ROW('Production Matrix'!#REF!)=0,1/0,1*('Production Matrix'!A:A="تكلفة انتاج الوحدة")*ROW('Production Matrix'!#REF!))</f>
        <v>#REF!</v>
      </c>
      <c r="D1869" s="11" t="str">
        <f>IFERROR(_xlfn.AGGREGATE(15,6,$C$3:$C$53,ROW('Production Matrix'!#REF!)),"")</f>
        <v/>
      </c>
      <c r="E1869" s="11" t="str">
        <f t="shared" si="38"/>
        <v/>
      </c>
      <c r="F1869" s="12">
        <f>IFERROR(INDEX('Production Matrix'!$B:$B,E1869,0),0)</f>
        <v>0</v>
      </c>
    </row>
    <row r="1870" spans="3:6">
      <c r="C1870" s="11" t="e">
        <f>IF(1*('Production Matrix'!A:A="تكلفة انتاج الوحدة")*ROW('Production Matrix'!#REF!)=0,1/0,1*('Production Matrix'!A:A="تكلفة انتاج الوحدة")*ROW('Production Matrix'!#REF!))</f>
        <v>#REF!</v>
      </c>
      <c r="D1870" s="11" t="str">
        <f>IFERROR(_xlfn.AGGREGATE(15,6,$C$3:$C$53,ROW('Production Matrix'!#REF!)),"")</f>
        <v/>
      </c>
      <c r="E1870" s="11" t="str">
        <f t="shared" si="38"/>
        <v/>
      </c>
      <c r="F1870" s="12">
        <f>IFERROR(INDEX('Production Matrix'!$B:$B,E1870,0),0)</f>
        <v>0</v>
      </c>
    </row>
    <row r="1871" spans="3:6">
      <c r="C1871" s="11" t="e">
        <f>IF(1*('Production Matrix'!A:A="تكلفة انتاج الوحدة")*ROW('Production Matrix'!#REF!)=0,1/0,1*('Production Matrix'!A:A="تكلفة انتاج الوحدة")*ROW('Production Matrix'!#REF!))</f>
        <v>#REF!</v>
      </c>
      <c r="D1871" s="11" t="str">
        <f>IFERROR(_xlfn.AGGREGATE(15,6,$C$3:$C$53,ROW('Production Matrix'!#REF!)),"")</f>
        <v/>
      </c>
      <c r="E1871" s="11" t="str">
        <f t="shared" si="38"/>
        <v/>
      </c>
      <c r="F1871" s="12">
        <f>IFERROR(INDEX('Production Matrix'!$B:$B,E1871,0),0)</f>
        <v>0</v>
      </c>
    </row>
    <row r="1872" spans="3:6">
      <c r="C1872" s="11" t="e">
        <f>IF(1*('Production Matrix'!A:A="تكلفة انتاج الوحدة")*ROW('Production Matrix'!#REF!)=0,1/0,1*('Production Matrix'!A:A="تكلفة انتاج الوحدة")*ROW('Production Matrix'!#REF!))</f>
        <v>#REF!</v>
      </c>
      <c r="D1872" s="11" t="str">
        <f>IFERROR(_xlfn.AGGREGATE(15,6,$C$3:$C$53,ROW('Production Matrix'!#REF!)),"")</f>
        <v/>
      </c>
      <c r="E1872" s="11" t="str">
        <f t="shared" si="38"/>
        <v/>
      </c>
      <c r="F1872" s="12">
        <f>IFERROR(INDEX('Production Matrix'!$B:$B,E1872,0),0)</f>
        <v>0</v>
      </c>
    </row>
    <row r="1873" spans="3:6">
      <c r="C1873" s="11" t="e">
        <f>IF(1*('Production Matrix'!A:A="تكلفة انتاج الوحدة")*ROW('Production Matrix'!#REF!)=0,1/0,1*('Production Matrix'!A:A="تكلفة انتاج الوحدة")*ROW('Production Matrix'!#REF!))</f>
        <v>#REF!</v>
      </c>
      <c r="D1873" s="11" t="str">
        <f>IFERROR(_xlfn.AGGREGATE(15,6,$C$3:$C$53,ROW('Production Matrix'!#REF!)),"")</f>
        <v/>
      </c>
      <c r="E1873" s="11" t="str">
        <f t="shared" si="38"/>
        <v/>
      </c>
      <c r="F1873" s="12">
        <f>IFERROR(INDEX('Production Matrix'!$B:$B,E1873,0),0)</f>
        <v>0</v>
      </c>
    </row>
    <row r="1874" spans="3:6">
      <c r="C1874" s="11" t="e">
        <f>IF(1*('Production Matrix'!A:A="تكلفة انتاج الوحدة")*ROW('Production Matrix'!#REF!)=0,1/0,1*('Production Matrix'!A:A="تكلفة انتاج الوحدة")*ROW('Production Matrix'!#REF!))</f>
        <v>#REF!</v>
      </c>
      <c r="D1874" s="11" t="str">
        <f>IFERROR(_xlfn.AGGREGATE(15,6,$C$3:$C$53,ROW('Production Matrix'!#REF!)),"")</f>
        <v/>
      </c>
      <c r="E1874" s="11" t="str">
        <f t="shared" si="38"/>
        <v/>
      </c>
      <c r="F1874" s="12">
        <f>IFERROR(INDEX('Production Matrix'!$B:$B,E1874,0),0)</f>
        <v>0</v>
      </c>
    </row>
    <row r="1875" spans="3:6">
      <c r="C1875" s="11" t="e">
        <f>IF(1*('Production Matrix'!A:A="تكلفة انتاج الوحدة")*ROW('Production Matrix'!#REF!)=0,1/0,1*('Production Matrix'!A:A="تكلفة انتاج الوحدة")*ROW('Production Matrix'!#REF!))</f>
        <v>#REF!</v>
      </c>
      <c r="D1875" s="11" t="str">
        <f>IFERROR(_xlfn.AGGREGATE(15,6,$C$3:$C$53,ROW('Production Matrix'!#REF!)),"")</f>
        <v/>
      </c>
      <c r="E1875" s="11" t="str">
        <f t="shared" si="38"/>
        <v/>
      </c>
      <c r="F1875" s="12">
        <f>IFERROR(INDEX('Production Matrix'!$B:$B,E1875,0),0)</f>
        <v>0</v>
      </c>
    </row>
    <row r="1876" spans="3:6">
      <c r="C1876" s="11" t="e">
        <f>IF(1*('Production Matrix'!A:A="تكلفة انتاج الوحدة")*ROW('Production Matrix'!#REF!)=0,1/0,1*('Production Matrix'!A:A="تكلفة انتاج الوحدة")*ROW('Production Matrix'!#REF!))</f>
        <v>#REF!</v>
      </c>
      <c r="D1876" s="11" t="str">
        <f>IFERROR(_xlfn.AGGREGATE(15,6,$C$3:$C$53,ROW('Production Matrix'!#REF!)),"")</f>
        <v/>
      </c>
      <c r="E1876" s="11" t="str">
        <f t="shared" si="38"/>
        <v/>
      </c>
      <c r="F1876" s="12">
        <f>IFERROR(INDEX('Production Matrix'!$B:$B,E1876,0),0)</f>
        <v>0</v>
      </c>
    </row>
    <row r="1877" spans="3:6">
      <c r="C1877" s="11" t="e">
        <f>IF(1*('Production Matrix'!A:A="تكلفة انتاج الوحدة")*ROW('Production Matrix'!#REF!)=0,1/0,1*('Production Matrix'!A:A="تكلفة انتاج الوحدة")*ROW('Production Matrix'!#REF!))</f>
        <v>#REF!</v>
      </c>
      <c r="D1877" s="11" t="str">
        <f>IFERROR(_xlfn.AGGREGATE(15,6,$C$3:$C$53,ROW('Production Matrix'!#REF!)),"")</f>
        <v/>
      </c>
      <c r="E1877" s="11" t="str">
        <f t="shared" si="38"/>
        <v/>
      </c>
      <c r="F1877" s="12">
        <f>IFERROR(INDEX('Production Matrix'!$B:$B,E1877,0),0)</f>
        <v>0</v>
      </c>
    </row>
    <row r="1878" spans="3:6">
      <c r="C1878" s="11" t="e">
        <f>IF(1*('Production Matrix'!A:A="تكلفة انتاج الوحدة")*ROW('Production Matrix'!#REF!)=0,1/0,1*('Production Matrix'!A:A="تكلفة انتاج الوحدة")*ROW('Production Matrix'!#REF!))</f>
        <v>#REF!</v>
      </c>
      <c r="D1878" s="11" t="str">
        <f>IFERROR(_xlfn.AGGREGATE(15,6,$C$3:$C$53,ROW('Production Matrix'!#REF!)),"")</f>
        <v/>
      </c>
      <c r="E1878" s="11" t="str">
        <f t="shared" si="38"/>
        <v/>
      </c>
      <c r="F1878" s="12">
        <f>IFERROR(INDEX('Production Matrix'!$B:$B,E1878,0),0)</f>
        <v>0</v>
      </c>
    </row>
    <row r="1879" spans="3:6">
      <c r="C1879" s="11" t="e">
        <f>IF(1*('Production Matrix'!A:A="تكلفة انتاج الوحدة")*ROW('Production Matrix'!#REF!)=0,1/0,1*('Production Matrix'!A:A="تكلفة انتاج الوحدة")*ROW('Production Matrix'!#REF!))</f>
        <v>#REF!</v>
      </c>
      <c r="D1879" s="11" t="str">
        <f>IFERROR(_xlfn.AGGREGATE(15,6,$C$3:$C$53,ROW('Production Matrix'!#REF!)),"")</f>
        <v/>
      </c>
      <c r="E1879" s="11" t="str">
        <f t="shared" si="38"/>
        <v/>
      </c>
      <c r="F1879" s="12">
        <f>IFERROR(INDEX('Production Matrix'!$B:$B,E1879,0),0)</f>
        <v>0</v>
      </c>
    </row>
    <row r="1880" spans="3:6">
      <c r="C1880" s="11" t="e">
        <f>IF(1*('Production Matrix'!A:A="تكلفة انتاج الوحدة")*ROW('Production Matrix'!#REF!)=0,1/0,1*('Production Matrix'!A:A="تكلفة انتاج الوحدة")*ROW('Production Matrix'!#REF!))</f>
        <v>#REF!</v>
      </c>
      <c r="D1880" s="11" t="str">
        <f>IFERROR(_xlfn.AGGREGATE(15,6,$C$3:$C$53,ROW('Production Matrix'!#REF!)),"")</f>
        <v/>
      </c>
      <c r="E1880" s="11" t="str">
        <f t="shared" si="38"/>
        <v/>
      </c>
      <c r="F1880" s="12">
        <f>IFERROR(INDEX('Production Matrix'!$B:$B,E1880,0),0)</f>
        <v>0</v>
      </c>
    </row>
    <row r="1881" spans="3:6">
      <c r="C1881" s="11" t="e">
        <f>IF(1*('Production Matrix'!A:A="تكلفة انتاج الوحدة")*ROW('Production Matrix'!#REF!)=0,1/0,1*('Production Matrix'!A:A="تكلفة انتاج الوحدة")*ROW('Production Matrix'!#REF!))</f>
        <v>#REF!</v>
      </c>
      <c r="D1881" s="11" t="str">
        <f>IFERROR(_xlfn.AGGREGATE(15,6,$C$3:$C$53,ROW('Production Matrix'!#REF!)),"")</f>
        <v/>
      </c>
      <c r="E1881" s="11" t="str">
        <f t="shared" si="38"/>
        <v/>
      </c>
      <c r="F1881" s="12">
        <f>IFERROR(INDEX('Production Matrix'!$B:$B,E1881,0),0)</f>
        <v>0</v>
      </c>
    </row>
    <row r="1882" spans="3:6">
      <c r="C1882" s="11" t="e">
        <f>IF(1*('Production Matrix'!A:A="تكلفة انتاج الوحدة")*ROW('Production Matrix'!#REF!)=0,1/0,1*('Production Matrix'!A:A="تكلفة انتاج الوحدة")*ROW('Production Matrix'!#REF!))</f>
        <v>#REF!</v>
      </c>
      <c r="D1882" s="11" t="str">
        <f>IFERROR(_xlfn.AGGREGATE(15,6,$C$3:$C$53,ROW('Production Matrix'!#REF!)),"")</f>
        <v/>
      </c>
      <c r="E1882" s="11" t="str">
        <f t="shared" si="38"/>
        <v/>
      </c>
      <c r="F1882" s="12">
        <f>IFERROR(INDEX('Production Matrix'!$B:$B,E1882,0),0)</f>
        <v>0</v>
      </c>
    </row>
    <row r="1883" spans="3:6">
      <c r="C1883" s="11" t="e">
        <f>IF(1*('Production Matrix'!A:A="تكلفة انتاج الوحدة")*ROW('Production Matrix'!#REF!)=0,1/0,1*('Production Matrix'!A:A="تكلفة انتاج الوحدة")*ROW('Production Matrix'!#REF!))</f>
        <v>#REF!</v>
      </c>
      <c r="D1883" s="11" t="str">
        <f>IFERROR(_xlfn.AGGREGATE(15,6,$C$3:$C$53,ROW('Production Matrix'!#REF!)),"")</f>
        <v/>
      </c>
      <c r="E1883" s="11" t="str">
        <f t="shared" si="38"/>
        <v/>
      </c>
      <c r="F1883" s="12">
        <f>IFERROR(INDEX('Production Matrix'!$B:$B,E1883,0),0)</f>
        <v>0</v>
      </c>
    </row>
    <row r="1884" spans="3:6">
      <c r="C1884" s="11" t="e">
        <f>IF(1*('Production Matrix'!A:A="تكلفة انتاج الوحدة")*ROW('Production Matrix'!#REF!)=0,1/0,1*('Production Matrix'!A:A="تكلفة انتاج الوحدة")*ROW('Production Matrix'!#REF!))</f>
        <v>#REF!</v>
      </c>
      <c r="D1884" s="11" t="str">
        <f>IFERROR(_xlfn.AGGREGATE(15,6,$C$3:$C$53,ROW('Production Matrix'!#REF!)),"")</f>
        <v/>
      </c>
      <c r="E1884" s="11" t="str">
        <f t="shared" si="38"/>
        <v/>
      </c>
      <c r="F1884" s="12">
        <f>IFERROR(INDEX('Production Matrix'!$B:$B,E1884,0),0)</f>
        <v>0</v>
      </c>
    </row>
    <row r="1885" spans="3:6">
      <c r="C1885" s="11" t="e">
        <f>IF(1*('Production Matrix'!A:A="تكلفة انتاج الوحدة")*ROW('Production Matrix'!#REF!)=0,1/0,1*('Production Matrix'!A:A="تكلفة انتاج الوحدة")*ROW('Production Matrix'!#REF!))</f>
        <v>#REF!</v>
      </c>
      <c r="D1885" s="11" t="str">
        <f>IFERROR(_xlfn.AGGREGATE(15,6,$C$3:$C$53,ROW('Production Matrix'!#REF!)),"")</f>
        <v/>
      </c>
      <c r="E1885" s="11" t="str">
        <f t="shared" si="38"/>
        <v/>
      </c>
      <c r="F1885" s="12">
        <f>IFERROR(INDEX('Production Matrix'!$B:$B,E1885,0),0)</f>
        <v>0</v>
      </c>
    </row>
    <row r="1886" spans="3:6">
      <c r="C1886" s="11" t="e">
        <f>IF(1*('Production Matrix'!A:A="تكلفة انتاج الوحدة")*ROW('Production Matrix'!#REF!)=0,1/0,1*('Production Matrix'!A:A="تكلفة انتاج الوحدة")*ROW('Production Matrix'!#REF!))</f>
        <v>#REF!</v>
      </c>
      <c r="D1886" s="11" t="str">
        <f>IFERROR(_xlfn.AGGREGATE(15,6,$C$3:$C$53,ROW('Production Matrix'!#REF!)),"")</f>
        <v/>
      </c>
      <c r="E1886" s="11" t="str">
        <f t="shared" si="38"/>
        <v/>
      </c>
      <c r="F1886" s="12">
        <f>IFERROR(INDEX('Production Matrix'!$B:$B,E1886,0),0)</f>
        <v>0</v>
      </c>
    </row>
    <row r="1887" spans="3:6">
      <c r="C1887" s="11" t="e">
        <f>IF(1*('Production Matrix'!A:A="تكلفة انتاج الوحدة")*ROW('Production Matrix'!#REF!)=0,1/0,1*('Production Matrix'!A:A="تكلفة انتاج الوحدة")*ROW('Production Matrix'!#REF!))</f>
        <v>#REF!</v>
      </c>
      <c r="D1887" s="11" t="str">
        <f>IFERROR(_xlfn.AGGREGATE(15,6,$C$3:$C$53,ROW('Production Matrix'!#REF!)),"")</f>
        <v/>
      </c>
      <c r="E1887" s="11" t="str">
        <f t="shared" si="38"/>
        <v/>
      </c>
      <c r="F1887" s="12">
        <f>IFERROR(INDEX('Production Matrix'!$B:$B,E1887,0),0)</f>
        <v>0</v>
      </c>
    </row>
    <row r="1888" spans="3:6">
      <c r="C1888" s="11" t="e">
        <f>IF(1*('Production Matrix'!A:A="تكلفة انتاج الوحدة")*ROW('Production Matrix'!#REF!)=0,1/0,1*('Production Matrix'!A:A="تكلفة انتاج الوحدة")*ROW('Production Matrix'!#REF!))</f>
        <v>#REF!</v>
      </c>
      <c r="D1888" s="11" t="str">
        <f>IFERROR(_xlfn.AGGREGATE(15,6,$C$3:$C$53,ROW('Production Matrix'!#REF!)),"")</f>
        <v/>
      </c>
      <c r="E1888" s="11" t="str">
        <f t="shared" si="38"/>
        <v/>
      </c>
      <c r="F1888" s="12">
        <f>IFERROR(INDEX('Production Matrix'!$B:$B,E1888,0),0)</f>
        <v>0</v>
      </c>
    </row>
    <row r="1889" spans="3:6">
      <c r="C1889" s="11" t="e">
        <f>IF(1*('Production Matrix'!A:A="تكلفة انتاج الوحدة")*ROW('Production Matrix'!#REF!)=0,1/0,1*('Production Matrix'!A:A="تكلفة انتاج الوحدة")*ROW('Production Matrix'!#REF!))</f>
        <v>#REF!</v>
      </c>
      <c r="D1889" s="11" t="str">
        <f>IFERROR(_xlfn.AGGREGATE(15,6,$C$3:$C$53,ROW('Production Matrix'!#REF!)),"")</f>
        <v/>
      </c>
      <c r="E1889" s="11" t="str">
        <f t="shared" si="38"/>
        <v/>
      </c>
      <c r="F1889" s="12">
        <f>IFERROR(INDEX('Production Matrix'!$B:$B,E1889,0),0)</f>
        <v>0</v>
      </c>
    </row>
    <row r="1890" spans="3:6">
      <c r="C1890" s="11" t="e">
        <f>IF(1*('Production Matrix'!A:A="تكلفة انتاج الوحدة")*ROW('Production Matrix'!#REF!)=0,1/0,1*('Production Matrix'!A:A="تكلفة انتاج الوحدة")*ROW('Production Matrix'!#REF!))</f>
        <v>#REF!</v>
      </c>
      <c r="D1890" s="11" t="str">
        <f>IFERROR(_xlfn.AGGREGATE(15,6,$C$3:$C$53,ROW('Production Matrix'!#REF!)),"")</f>
        <v/>
      </c>
      <c r="E1890" s="11" t="str">
        <f t="shared" si="38"/>
        <v/>
      </c>
      <c r="F1890" s="12">
        <f>IFERROR(INDEX('Production Matrix'!$B:$B,E1890,0),0)</f>
        <v>0</v>
      </c>
    </row>
    <row r="1891" spans="3:6">
      <c r="C1891" s="11" t="e">
        <f>IF(1*('Production Matrix'!A:A="تكلفة انتاج الوحدة")*ROW('Production Matrix'!#REF!)=0,1/0,1*('Production Matrix'!A:A="تكلفة انتاج الوحدة")*ROW('Production Matrix'!#REF!))</f>
        <v>#REF!</v>
      </c>
      <c r="D1891" s="11" t="str">
        <f>IFERROR(_xlfn.AGGREGATE(15,6,$C$3:$C$53,ROW('Production Matrix'!#REF!)),"")</f>
        <v/>
      </c>
      <c r="E1891" s="11" t="str">
        <f t="shared" si="38"/>
        <v/>
      </c>
      <c r="F1891" s="12">
        <f>IFERROR(INDEX('Production Matrix'!$B:$B,E1891,0),0)</f>
        <v>0</v>
      </c>
    </row>
    <row r="1892" spans="3:6">
      <c r="C1892" s="11" t="e">
        <f>IF(1*('Production Matrix'!A:A="تكلفة انتاج الوحدة")*ROW('Production Matrix'!#REF!)=0,1/0,1*('Production Matrix'!A:A="تكلفة انتاج الوحدة")*ROW('Production Matrix'!#REF!))</f>
        <v>#REF!</v>
      </c>
      <c r="D1892" s="11" t="str">
        <f>IFERROR(_xlfn.AGGREGATE(15,6,$C$3:$C$53,ROW('Production Matrix'!#REF!)),"")</f>
        <v/>
      </c>
      <c r="E1892" s="11" t="str">
        <f t="shared" si="38"/>
        <v/>
      </c>
      <c r="F1892" s="12">
        <f>IFERROR(INDEX('Production Matrix'!$B:$B,E1892,0),0)</f>
        <v>0</v>
      </c>
    </row>
    <row r="1893" spans="3:6">
      <c r="C1893" s="11" t="e">
        <f>IF(1*('Production Matrix'!A:A="تكلفة انتاج الوحدة")*ROW('Production Matrix'!#REF!)=0,1/0,1*('Production Matrix'!A:A="تكلفة انتاج الوحدة")*ROW('Production Matrix'!#REF!))</f>
        <v>#REF!</v>
      </c>
      <c r="D1893" s="11" t="str">
        <f>IFERROR(_xlfn.AGGREGATE(15,6,$C$3:$C$53,ROW('Production Matrix'!#REF!)),"")</f>
        <v/>
      </c>
      <c r="E1893" s="11" t="str">
        <f t="shared" si="38"/>
        <v/>
      </c>
      <c r="F1893" s="12">
        <f>IFERROR(INDEX('Production Matrix'!$B:$B,E1893,0),0)</f>
        <v>0</v>
      </c>
    </row>
    <row r="1894" spans="3:6">
      <c r="C1894" s="11" t="e">
        <f>IF(1*('Production Matrix'!A:A="تكلفة انتاج الوحدة")*ROW('Production Matrix'!#REF!)=0,1/0,1*('Production Matrix'!A:A="تكلفة انتاج الوحدة")*ROW('Production Matrix'!#REF!))</f>
        <v>#REF!</v>
      </c>
      <c r="D1894" s="11" t="str">
        <f>IFERROR(_xlfn.AGGREGATE(15,6,$C$3:$C$53,ROW('Production Matrix'!#REF!)),"")</f>
        <v/>
      </c>
      <c r="E1894" s="11" t="str">
        <f t="shared" si="38"/>
        <v/>
      </c>
      <c r="F1894" s="12">
        <f>IFERROR(INDEX('Production Matrix'!$B:$B,E1894,0),0)</f>
        <v>0</v>
      </c>
    </row>
    <row r="1895" spans="3:6">
      <c r="C1895" s="11" t="e">
        <f>IF(1*('Production Matrix'!A:A="تكلفة انتاج الوحدة")*ROW('Production Matrix'!#REF!)=0,1/0,1*('Production Matrix'!A:A="تكلفة انتاج الوحدة")*ROW('Production Matrix'!#REF!))</f>
        <v>#REF!</v>
      </c>
      <c r="D1895" s="11" t="str">
        <f>IFERROR(_xlfn.AGGREGATE(15,6,$C$3:$C$53,ROW('Production Matrix'!#REF!)),"")</f>
        <v/>
      </c>
      <c r="E1895" s="11" t="str">
        <f t="shared" si="38"/>
        <v/>
      </c>
      <c r="F1895" s="12">
        <f>IFERROR(INDEX('Production Matrix'!$B:$B,E1895,0),0)</f>
        <v>0</v>
      </c>
    </row>
    <row r="1896" spans="3:6">
      <c r="C1896" s="11" t="e">
        <f>IF(1*('Production Matrix'!A:A="تكلفة انتاج الوحدة")*ROW('Production Matrix'!#REF!)=0,1/0,1*('Production Matrix'!A:A="تكلفة انتاج الوحدة")*ROW('Production Matrix'!#REF!))</f>
        <v>#REF!</v>
      </c>
      <c r="D1896" s="11" t="str">
        <f>IFERROR(_xlfn.AGGREGATE(15,6,$C$3:$C$53,ROW('Production Matrix'!#REF!)),"")</f>
        <v/>
      </c>
      <c r="E1896" s="11" t="str">
        <f t="shared" si="38"/>
        <v/>
      </c>
      <c r="F1896" s="12">
        <f>IFERROR(INDEX('Production Matrix'!$B:$B,E1896,0),0)</f>
        <v>0</v>
      </c>
    </row>
    <row r="1897" spans="3:6">
      <c r="C1897" s="11" t="e">
        <f>IF(1*('Production Matrix'!A:A="تكلفة انتاج الوحدة")*ROW('Production Matrix'!#REF!)=0,1/0,1*('Production Matrix'!A:A="تكلفة انتاج الوحدة")*ROW('Production Matrix'!#REF!))</f>
        <v>#REF!</v>
      </c>
      <c r="D1897" s="11" t="str">
        <f>IFERROR(_xlfn.AGGREGATE(15,6,$C$3:$C$53,ROW('Production Matrix'!#REF!)),"")</f>
        <v/>
      </c>
      <c r="E1897" s="11" t="str">
        <f t="shared" si="38"/>
        <v/>
      </c>
      <c r="F1897" s="12">
        <f>IFERROR(INDEX('Production Matrix'!$B:$B,E1897,0),0)</f>
        <v>0</v>
      </c>
    </row>
    <row r="1898" spans="3:6">
      <c r="C1898" s="11" t="e">
        <f>IF(1*('Production Matrix'!A:A="تكلفة انتاج الوحدة")*ROW('Production Matrix'!#REF!)=0,1/0,1*('Production Matrix'!A:A="تكلفة انتاج الوحدة")*ROW('Production Matrix'!#REF!))</f>
        <v>#REF!</v>
      </c>
      <c r="D1898" s="11" t="str">
        <f>IFERROR(_xlfn.AGGREGATE(15,6,$C$3:$C$53,ROW('Production Matrix'!#REF!)),"")</f>
        <v/>
      </c>
      <c r="E1898" s="11" t="str">
        <f t="shared" si="38"/>
        <v/>
      </c>
      <c r="F1898" s="12">
        <f>IFERROR(INDEX('Production Matrix'!$B:$B,E1898,0),0)</f>
        <v>0</v>
      </c>
    </row>
    <row r="1899" spans="3:6">
      <c r="C1899" s="11" t="e">
        <f>IF(1*('Production Matrix'!A:A="تكلفة انتاج الوحدة")*ROW('Production Matrix'!#REF!)=0,1/0,1*('Production Matrix'!A:A="تكلفة انتاج الوحدة")*ROW('Production Matrix'!#REF!))</f>
        <v>#REF!</v>
      </c>
      <c r="D1899" s="11" t="str">
        <f>IFERROR(_xlfn.AGGREGATE(15,6,$C$3:$C$53,ROW('Production Matrix'!#REF!)),"")</f>
        <v/>
      </c>
      <c r="E1899" s="11" t="str">
        <f t="shared" si="38"/>
        <v/>
      </c>
      <c r="F1899" s="12">
        <f>IFERROR(INDEX('Production Matrix'!$B:$B,E1899,0),0)</f>
        <v>0</v>
      </c>
    </row>
    <row r="1900" spans="3:6">
      <c r="C1900" s="11" t="e">
        <f>IF(1*('Production Matrix'!A:A="تكلفة انتاج الوحدة")*ROW('Production Matrix'!#REF!)=0,1/0,1*('Production Matrix'!A:A="تكلفة انتاج الوحدة")*ROW('Production Matrix'!#REF!))</f>
        <v>#REF!</v>
      </c>
      <c r="D1900" s="11" t="str">
        <f>IFERROR(_xlfn.AGGREGATE(15,6,$C$3:$C$53,ROW('Production Matrix'!#REF!)),"")</f>
        <v/>
      </c>
      <c r="E1900" s="11" t="str">
        <f t="shared" si="38"/>
        <v/>
      </c>
      <c r="F1900" s="12">
        <f>IFERROR(INDEX('Production Matrix'!$B:$B,E1900,0),0)</f>
        <v>0</v>
      </c>
    </row>
    <row r="1901" spans="3:6">
      <c r="C1901" s="11" t="e">
        <f>IF(1*('Production Matrix'!A:A="تكلفة انتاج الوحدة")*ROW('Production Matrix'!#REF!)=0,1/0,1*('Production Matrix'!A:A="تكلفة انتاج الوحدة")*ROW('Production Matrix'!#REF!))</f>
        <v>#REF!</v>
      </c>
      <c r="D1901" s="11" t="str">
        <f>IFERROR(_xlfn.AGGREGATE(15,6,$C$3:$C$53,ROW('Production Matrix'!#REF!)),"")</f>
        <v/>
      </c>
      <c r="E1901" s="11" t="str">
        <f t="shared" si="38"/>
        <v/>
      </c>
      <c r="F1901" s="12">
        <f>IFERROR(INDEX('Production Matrix'!$B:$B,E1901,0),0)</f>
        <v>0</v>
      </c>
    </row>
    <row r="1902" spans="3:6">
      <c r="C1902" s="11" t="e">
        <f>IF(1*('Production Matrix'!A:A="تكلفة انتاج الوحدة")*ROW('Production Matrix'!#REF!)=0,1/0,1*('Production Matrix'!A:A="تكلفة انتاج الوحدة")*ROW('Production Matrix'!#REF!))</f>
        <v>#REF!</v>
      </c>
      <c r="D1902" s="11" t="str">
        <f>IFERROR(_xlfn.AGGREGATE(15,6,$C$3:$C$53,ROW('Production Matrix'!#REF!)),"")</f>
        <v/>
      </c>
      <c r="E1902" s="11" t="str">
        <f t="shared" si="38"/>
        <v/>
      </c>
      <c r="F1902" s="12">
        <f>IFERROR(INDEX('Production Matrix'!$B:$B,E1902,0),0)</f>
        <v>0</v>
      </c>
    </row>
    <row r="1903" spans="3:6">
      <c r="C1903" s="11" t="e">
        <f>IF(1*('Production Matrix'!A:A="تكلفة انتاج الوحدة")*ROW('Production Matrix'!#REF!)=0,1/0,1*('Production Matrix'!A:A="تكلفة انتاج الوحدة")*ROW('Production Matrix'!#REF!))</f>
        <v>#REF!</v>
      </c>
      <c r="D1903" s="11" t="str">
        <f>IFERROR(_xlfn.AGGREGATE(15,6,$C$3:$C$53,ROW('Production Matrix'!#REF!)),"")</f>
        <v/>
      </c>
      <c r="E1903" s="11" t="str">
        <f t="shared" si="38"/>
        <v/>
      </c>
      <c r="F1903" s="12">
        <f>IFERROR(INDEX('Production Matrix'!$B:$B,E1903,0),0)</f>
        <v>0</v>
      </c>
    </row>
    <row r="1904" spans="3:6">
      <c r="C1904" s="11" t="e">
        <f>IF(1*('Production Matrix'!A:A="تكلفة انتاج الوحدة")*ROW('Production Matrix'!#REF!)=0,1/0,1*('Production Matrix'!A:A="تكلفة انتاج الوحدة")*ROW('Production Matrix'!#REF!))</f>
        <v>#REF!</v>
      </c>
      <c r="D1904" s="11" t="str">
        <f>IFERROR(_xlfn.AGGREGATE(15,6,$C$3:$C$53,ROW('Production Matrix'!#REF!)),"")</f>
        <v/>
      </c>
      <c r="E1904" s="11" t="str">
        <f t="shared" si="38"/>
        <v/>
      </c>
      <c r="F1904" s="12">
        <f>IFERROR(INDEX('Production Matrix'!$B:$B,E1904,0),0)</f>
        <v>0</v>
      </c>
    </row>
    <row r="1905" spans="3:6">
      <c r="C1905" s="11" t="e">
        <f>IF(1*('Production Matrix'!A:A="تكلفة انتاج الوحدة")*ROW('Production Matrix'!#REF!)=0,1/0,1*('Production Matrix'!A:A="تكلفة انتاج الوحدة")*ROW('Production Matrix'!#REF!))</f>
        <v>#REF!</v>
      </c>
      <c r="D1905" s="11" t="str">
        <f>IFERROR(_xlfn.AGGREGATE(15,6,$C$3:$C$53,ROW('Production Matrix'!#REF!)),"")</f>
        <v/>
      </c>
      <c r="E1905" s="11" t="str">
        <f t="shared" si="38"/>
        <v/>
      </c>
      <c r="F1905" s="12">
        <f>IFERROR(INDEX('Production Matrix'!$B:$B,E1905,0),0)</f>
        <v>0</v>
      </c>
    </row>
    <row r="1906" spans="3:6">
      <c r="C1906" s="11" t="e">
        <f>IF(1*('Production Matrix'!A:A="تكلفة انتاج الوحدة")*ROW('Production Matrix'!#REF!)=0,1/0,1*('Production Matrix'!A:A="تكلفة انتاج الوحدة")*ROW('Production Matrix'!#REF!))</f>
        <v>#REF!</v>
      </c>
      <c r="D1906" s="11" t="str">
        <f>IFERROR(_xlfn.AGGREGATE(15,6,$C$3:$C$53,ROW('Production Matrix'!#REF!)),"")</f>
        <v/>
      </c>
      <c r="E1906" s="11" t="str">
        <f t="shared" si="38"/>
        <v/>
      </c>
      <c r="F1906" s="12">
        <f>IFERROR(INDEX('Production Matrix'!$B:$B,E1906,0),0)</f>
        <v>0</v>
      </c>
    </row>
    <row r="1907" spans="3:6">
      <c r="C1907" s="11" t="e">
        <f>IF(1*('Production Matrix'!A:A="تكلفة انتاج الوحدة")*ROW('Production Matrix'!#REF!)=0,1/0,1*('Production Matrix'!A:A="تكلفة انتاج الوحدة")*ROW('Production Matrix'!#REF!))</f>
        <v>#REF!</v>
      </c>
      <c r="D1907" s="11" t="str">
        <f>IFERROR(_xlfn.AGGREGATE(15,6,$C$3:$C$53,ROW('Production Matrix'!#REF!)),"")</f>
        <v/>
      </c>
      <c r="E1907" s="11" t="str">
        <f t="shared" si="38"/>
        <v/>
      </c>
      <c r="F1907" s="12">
        <f>IFERROR(INDEX('Production Matrix'!$B:$B,E1907,0),0)</f>
        <v>0</v>
      </c>
    </row>
    <row r="1908" spans="3:6">
      <c r="C1908" s="11" t="e">
        <f>IF(1*('Production Matrix'!A:A="تكلفة انتاج الوحدة")*ROW('Production Matrix'!#REF!)=0,1/0,1*('Production Matrix'!A:A="تكلفة انتاج الوحدة")*ROW('Production Matrix'!#REF!))</f>
        <v>#REF!</v>
      </c>
      <c r="D1908" s="11" t="str">
        <f>IFERROR(_xlfn.AGGREGATE(15,6,$C$3:$C$53,ROW('Production Matrix'!#REF!)),"")</f>
        <v/>
      </c>
      <c r="E1908" s="11" t="str">
        <f t="shared" si="38"/>
        <v/>
      </c>
      <c r="F1908" s="12">
        <f>IFERROR(INDEX('Production Matrix'!$B:$B,E1908,0),0)</f>
        <v>0</v>
      </c>
    </row>
    <row r="1909" spans="3:6">
      <c r="C1909" s="11" t="e">
        <f>IF(1*('Production Matrix'!A:A="تكلفة انتاج الوحدة")*ROW('Production Matrix'!#REF!)=0,1/0,1*('Production Matrix'!A:A="تكلفة انتاج الوحدة")*ROW('Production Matrix'!#REF!))</f>
        <v>#REF!</v>
      </c>
      <c r="D1909" s="11" t="str">
        <f>IFERROR(_xlfn.AGGREGATE(15,6,$C$3:$C$53,ROW('Production Matrix'!#REF!)),"")</f>
        <v/>
      </c>
      <c r="E1909" s="11" t="str">
        <f t="shared" si="38"/>
        <v/>
      </c>
      <c r="F1909" s="12">
        <f>IFERROR(INDEX('Production Matrix'!$B:$B,E1909,0),0)</f>
        <v>0</v>
      </c>
    </row>
    <row r="1910" spans="3:6">
      <c r="C1910" s="11" t="e">
        <f>IF(1*('Production Matrix'!A:A="تكلفة انتاج الوحدة")*ROW('Production Matrix'!#REF!)=0,1/0,1*('Production Matrix'!A:A="تكلفة انتاج الوحدة")*ROW('Production Matrix'!#REF!))</f>
        <v>#REF!</v>
      </c>
      <c r="D1910" s="11" t="str">
        <f>IFERROR(_xlfn.AGGREGATE(15,6,$C$3:$C$53,ROW('Production Matrix'!#REF!)),"")</f>
        <v/>
      </c>
      <c r="E1910" s="11" t="str">
        <f t="shared" si="38"/>
        <v/>
      </c>
      <c r="F1910" s="12">
        <f>IFERROR(INDEX('Production Matrix'!$B:$B,E1910,0),0)</f>
        <v>0</v>
      </c>
    </row>
    <row r="1911" spans="3:6">
      <c r="C1911" s="11" t="e">
        <f>IF(1*('Production Matrix'!A:A="تكلفة انتاج الوحدة")*ROW('Production Matrix'!#REF!)=0,1/0,1*('Production Matrix'!A:A="تكلفة انتاج الوحدة")*ROW('Production Matrix'!#REF!))</f>
        <v>#REF!</v>
      </c>
      <c r="D1911" s="11" t="str">
        <f>IFERROR(_xlfn.AGGREGATE(15,6,$C$3:$C$53,ROW('Production Matrix'!#REF!)),"")</f>
        <v/>
      </c>
      <c r="E1911" s="11" t="str">
        <f t="shared" si="38"/>
        <v/>
      </c>
      <c r="F1911" s="12">
        <f>IFERROR(INDEX('Production Matrix'!$B:$B,E1911,0),0)</f>
        <v>0</v>
      </c>
    </row>
    <row r="1912" spans="3:6">
      <c r="C1912" s="11" t="e">
        <f>IF(1*('Production Matrix'!A:A="تكلفة انتاج الوحدة")*ROW('Production Matrix'!#REF!)=0,1/0,1*('Production Matrix'!A:A="تكلفة انتاج الوحدة")*ROW('Production Matrix'!#REF!))</f>
        <v>#REF!</v>
      </c>
      <c r="D1912" s="11" t="str">
        <f>IFERROR(_xlfn.AGGREGATE(15,6,$C$3:$C$53,ROW('Production Matrix'!#REF!)),"")</f>
        <v/>
      </c>
      <c r="E1912" s="11" t="str">
        <f t="shared" si="38"/>
        <v/>
      </c>
      <c r="F1912" s="12">
        <f>IFERROR(INDEX('Production Matrix'!$B:$B,E1912,0),0)</f>
        <v>0</v>
      </c>
    </row>
    <row r="1913" spans="3:6">
      <c r="C1913" s="11" t="e">
        <f>IF(1*('Production Matrix'!A:A="تكلفة انتاج الوحدة")*ROW('Production Matrix'!#REF!)=0,1/0,1*('Production Matrix'!A:A="تكلفة انتاج الوحدة")*ROW('Production Matrix'!#REF!))</f>
        <v>#REF!</v>
      </c>
      <c r="D1913" s="11" t="str">
        <f>IFERROR(_xlfn.AGGREGATE(15,6,$C$3:$C$53,ROW('Production Matrix'!#REF!)),"")</f>
        <v/>
      </c>
      <c r="E1913" s="11" t="str">
        <f t="shared" si="38"/>
        <v/>
      </c>
      <c r="F1913" s="12">
        <f>IFERROR(INDEX('Production Matrix'!$B:$B,E1913,0),0)</f>
        <v>0</v>
      </c>
    </row>
    <row r="1914" spans="3:6">
      <c r="C1914" s="11" t="e">
        <f>IF(1*('Production Matrix'!A:A="تكلفة انتاج الوحدة")*ROW('Production Matrix'!#REF!)=0,1/0,1*('Production Matrix'!A:A="تكلفة انتاج الوحدة")*ROW('Production Matrix'!#REF!))</f>
        <v>#REF!</v>
      </c>
      <c r="D1914" s="11" t="str">
        <f>IFERROR(_xlfn.AGGREGATE(15,6,$C$3:$C$53,ROW('Production Matrix'!#REF!)),"")</f>
        <v/>
      </c>
      <c r="E1914" s="11" t="str">
        <f t="shared" si="38"/>
        <v/>
      </c>
      <c r="F1914" s="12">
        <f>IFERROR(INDEX('Production Matrix'!$B:$B,E1914,0),0)</f>
        <v>0</v>
      </c>
    </row>
    <row r="1915" spans="3:6">
      <c r="C1915" s="11" t="e">
        <f>IF(1*('Production Matrix'!A:A="تكلفة انتاج الوحدة")*ROW('Production Matrix'!#REF!)=0,1/0,1*('Production Matrix'!A:A="تكلفة انتاج الوحدة")*ROW('Production Matrix'!#REF!))</f>
        <v>#REF!</v>
      </c>
      <c r="D1915" s="11" t="str">
        <f>IFERROR(_xlfn.AGGREGATE(15,6,$C$3:$C$53,ROW('Production Matrix'!#REF!)),"")</f>
        <v/>
      </c>
      <c r="E1915" s="11" t="str">
        <f t="shared" si="38"/>
        <v/>
      </c>
      <c r="F1915" s="12">
        <f>IFERROR(INDEX('Production Matrix'!$B:$B,E1915,0),0)</f>
        <v>0</v>
      </c>
    </row>
    <row r="1916" spans="3:6">
      <c r="C1916" s="11" t="e">
        <f>IF(1*('Production Matrix'!A:A="تكلفة انتاج الوحدة")*ROW('Production Matrix'!#REF!)=0,1/0,1*('Production Matrix'!A:A="تكلفة انتاج الوحدة")*ROW('Production Matrix'!#REF!))</f>
        <v>#REF!</v>
      </c>
      <c r="D1916" s="11" t="str">
        <f>IFERROR(_xlfn.AGGREGATE(15,6,$C$3:$C$53,ROW('Production Matrix'!#REF!)),"")</f>
        <v/>
      </c>
      <c r="E1916" s="11" t="str">
        <f t="shared" si="38"/>
        <v/>
      </c>
      <c r="F1916" s="12">
        <f>IFERROR(INDEX('Production Matrix'!$B:$B,E1916,0),0)</f>
        <v>0</v>
      </c>
    </row>
    <row r="1917" spans="3:6">
      <c r="C1917" s="11" t="e">
        <f>IF(1*('Production Matrix'!A:A="تكلفة انتاج الوحدة")*ROW('Production Matrix'!#REF!)=0,1/0,1*('Production Matrix'!A:A="تكلفة انتاج الوحدة")*ROW('Production Matrix'!#REF!))</f>
        <v>#REF!</v>
      </c>
      <c r="D1917" s="11" t="str">
        <f>IFERROR(_xlfn.AGGREGATE(15,6,$C$3:$C$53,ROW('Production Matrix'!#REF!)),"")</f>
        <v/>
      </c>
      <c r="E1917" s="11" t="str">
        <f t="shared" si="38"/>
        <v/>
      </c>
      <c r="F1917" s="12">
        <f>IFERROR(INDEX('Production Matrix'!$B:$B,E1917,0),0)</f>
        <v>0</v>
      </c>
    </row>
    <row r="1918" spans="3:6">
      <c r="C1918" s="11" t="e">
        <f>IF(1*('Production Matrix'!A:A="تكلفة انتاج الوحدة")*ROW('Production Matrix'!#REF!)=0,1/0,1*('Production Matrix'!A:A="تكلفة انتاج الوحدة")*ROW('Production Matrix'!#REF!))</f>
        <v>#REF!</v>
      </c>
      <c r="D1918" s="11" t="str">
        <f>IFERROR(_xlfn.AGGREGATE(15,6,$C$3:$C$53,ROW('Production Matrix'!#REF!)),"")</f>
        <v/>
      </c>
      <c r="E1918" s="11" t="str">
        <f t="shared" si="38"/>
        <v/>
      </c>
      <c r="F1918" s="12">
        <f>IFERROR(INDEX('Production Matrix'!$B:$B,E1918,0),0)</f>
        <v>0</v>
      </c>
    </row>
    <row r="1919" spans="3:6">
      <c r="C1919" s="11" t="e">
        <f>IF(1*('Production Matrix'!A:A="تكلفة انتاج الوحدة")*ROW('Production Matrix'!#REF!)=0,1/0,1*('Production Matrix'!A:A="تكلفة انتاج الوحدة")*ROW('Production Matrix'!#REF!))</f>
        <v>#REF!</v>
      </c>
      <c r="D1919" s="11" t="str">
        <f>IFERROR(_xlfn.AGGREGATE(15,6,$C$3:$C$53,ROW('Production Matrix'!#REF!)),"")</f>
        <v/>
      </c>
      <c r="E1919" s="11" t="str">
        <f t="shared" si="38"/>
        <v/>
      </c>
      <c r="F1919" s="12">
        <f>IFERROR(INDEX('Production Matrix'!$B:$B,E1919,0),0)</f>
        <v>0</v>
      </c>
    </row>
    <row r="1920" spans="3:6">
      <c r="C1920" s="11" t="e">
        <f>IF(1*('Production Matrix'!A:A="تكلفة انتاج الوحدة")*ROW('Production Matrix'!#REF!)=0,1/0,1*('Production Matrix'!A:A="تكلفة انتاج الوحدة")*ROW('Production Matrix'!#REF!))</f>
        <v>#REF!</v>
      </c>
      <c r="D1920" s="11" t="str">
        <f>IFERROR(_xlfn.AGGREGATE(15,6,$C$3:$C$53,ROW('Production Matrix'!#REF!)),"")</f>
        <v/>
      </c>
      <c r="E1920" s="11" t="str">
        <f t="shared" si="38"/>
        <v/>
      </c>
      <c r="F1920" s="12">
        <f>IFERROR(INDEX('Production Matrix'!$B:$B,E1920,0),0)</f>
        <v>0</v>
      </c>
    </row>
    <row r="1921" spans="3:6">
      <c r="C1921" s="11" t="e">
        <f>IF(1*('Production Matrix'!A:A="تكلفة انتاج الوحدة")*ROW('Production Matrix'!#REF!)=0,1/0,1*('Production Matrix'!A:A="تكلفة انتاج الوحدة")*ROW('Production Matrix'!#REF!))</f>
        <v>#REF!</v>
      </c>
      <c r="D1921" s="11" t="str">
        <f>IFERROR(_xlfn.AGGREGATE(15,6,$C$3:$C$53,ROW('Production Matrix'!#REF!)),"")</f>
        <v/>
      </c>
      <c r="E1921" s="11" t="str">
        <f t="shared" si="38"/>
        <v/>
      </c>
      <c r="F1921" s="12">
        <f>IFERROR(INDEX('Production Matrix'!$B:$B,E1921,0),0)</f>
        <v>0</v>
      </c>
    </row>
    <row r="1922" spans="3:6">
      <c r="C1922" s="11" t="e">
        <f>IF(1*('Production Matrix'!A:A="تكلفة انتاج الوحدة")*ROW('Production Matrix'!#REF!)=0,1/0,1*('Production Matrix'!A:A="تكلفة انتاج الوحدة")*ROW('Production Matrix'!#REF!))</f>
        <v>#REF!</v>
      </c>
      <c r="D1922" s="11" t="str">
        <f>IFERROR(_xlfn.AGGREGATE(15,6,$C$3:$C$53,ROW('Production Matrix'!#REF!)),"")</f>
        <v/>
      </c>
      <c r="E1922" s="11" t="str">
        <f t="shared" si="38"/>
        <v/>
      </c>
      <c r="F1922" s="12">
        <f>IFERROR(INDEX('Production Matrix'!$B:$B,E1922,0),0)</f>
        <v>0</v>
      </c>
    </row>
    <row r="1923" spans="3:6">
      <c r="C1923" s="11" t="e">
        <f>IF(1*('Production Matrix'!A:A="تكلفة انتاج الوحدة")*ROW('Production Matrix'!#REF!)=0,1/0,1*('Production Matrix'!A:A="تكلفة انتاج الوحدة")*ROW('Production Matrix'!#REF!))</f>
        <v>#REF!</v>
      </c>
      <c r="D1923" s="11" t="str">
        <f>IFERROR(_xlfn.AGGREGATE(15,6,$C$3:$C$53,ROW('Production Matrix'!#REF!)),"")</f>
        <v/>
      </c>
      <c r="E1923" s="11" t="str">
        <f t="shared" si="38"/>
        <v/>
      </c>
      <c r="F1923" s="12">
        <f>IFERROR(INDEX('Production Matrix'!$B:$B,E1923,0),0)</f>
        <v>0</v>
      </c>
    </row>
    <row r="1924" spans="3:6">
      <c r="C1924" s="11" t="e">
        <f>IF(1*('Production Matrix'!A:A="تكلفة انتاج الوحدة")*ROW('Production Matrix'!#REF!)=0,1/0,1*('Production Matrix'!A:A="تكلفة انتاج الوحدة")*ROW('Production Matrix'!#REF!))</f>
        <v>#REF!</v>
      </c>
      <c r="D1924" s="11" t="str">
        <f>IFERROR(_xlfn.AGGREGATE(15,6,$C$3:$C$53,ROW('Production Matrix'!#REF!)),"")</f>
        <v/>
      </c>
      <c r="E1924" s="11" t="str">
        <f t="shared" si="38"/>
        <v/>
      </c>
      <c r="F1924" s="12">
        <f>IFERROR(INDEX('Production Matrix'!$B:$B,E1924,0),0)</f>
        <v>0</v>
      </c>
    </row>
    <row r="1925" spans="3:6">
      <c r="C1925" s="11" t="e">
        <f>IF(1*('Production Matrix'!A:A="تكلفة انتاج الوحدة")*ROW('Production Matrix'!#REF!)=0,1/0,1*('Production Matrix'!A:A="تكلفة انتاج الوحدة")*ROW('Production Matrix'!#REF!))</f>
        <v>#REF!</v>
      </c>
      <c r="D1925" s="11" t="str">
        <f>IFERROR(_xlfn.AGGREGATE(15,6,$C$3:$C$53,ROW('Production Matrix'!#REF!)),"")</f>
        <v/>
      </c>
      <c r="E1925" s="11" t="str">
        <f t="shared" si="38"/>
        <v/>
      </c>
      <c r="F1925" s="12">
        <f>IFERROR(INDEX('Production Matrix'!$B:$B,E1925,0),0)</f>
        <v>0</v>
      </c>
    </row>
    <row r="1926" spans="3:6">
      <c r="C1926" s="11" t="e">
        <f>IF(1*('Production Matrix'!A:A="تكلفة انتاج الوحدة")*ROW('Production Matrix'!#REF!)=0,1/0,1*('Production Matrix'!A:A="تكلفة انتاج الوحدة")*ROW('Production Matrix'!#REF!))</f>
        <v>#REF!</v>
      </c>
      <c r="D1926" s="11" t="str">
        <f>IFERROR(_xlfn.AGGREGATE(15,6,$C$3:$C$53,ROW('Production Matrix'!#REF!)),"")</f>
        <v/>
      </c>
      <c r="E1926" s="11" t="str">
        <f t="shared" si="38"/>
        <v/>
      </c>
      <c r="F1926" s="12">
        <f>IFERROR(INDEX('Production Matrix'!$B:$B,E1926,0),0)</f>
        <v>0</v>
      </c>
    </row>
    <row r="1927" spans="3:6">
      <c r="C1927" s="11" t="e">
        <f>IF(1*('Production Matrix'!A:A="تكلفة انتاج الوحدة")*ROW('Production Matrix'!#REF!)=0,1/0,1*('Production Matrix'!A:A="تكلفة انتاج الوحدة")*ROW('Production Matrix'!#REF!))</f>
        <v>#REF!</v>
      </c>
      <c r="D1927" s="11" t="str">
        <f>IFERROR(_xlfn.AGGREGATE(15,6,$C$3:$C$53,ROW('Production Matrix'!#REF!)),"")</f>
        <v/>
      </c>
      <c r="E1927" s="11" t="str">
        <f t="shared" ref="E1927:E1990" si="39">IFERROR(D1927+3,"")</f>
        <v/>
      </c>
      <c r="F1927" s="12">
        <f>IFERROR(INDEX('Production Matrix'!$B:$B,E1927,0),0)</f>
        <v>0</v>
      </c>
    </row>
    <row r="1928" spans="3:6">
      <c r="C1928" s="11" t="e">
        <f>IF(1*('Production Matrix'!A:A="تكلفة انتاج الوحدة")*ROW('Production Matrix'!#REF!)=0,1/0,1*('Production Matrix'!A:A="تكلفة انتاج الوحدة")*ROW('Production Matrix'!#REF!))</f>
        <v>#REF!</v>
      </c>
      <c r="D1928" s="11" t="str">
        <f>IFERROR(_xlfn.AGGREGATE(15,6,$C$3:$C$53,ROW('Production Matrix'!#REF!)),"")</f>
        <v/>
      </c>
      <c r="E1928" s="11" t="str">
        <f t="shared" si="39"/>
        <v/>
      </c>
      <c r="F1928" s="12">
        <f>IFERROR(INDEX('Production Matrix'!$B:$B,E1928,0),0)</f>
        <v>0</v>
      </c>
    </row>
    <row r="1929" spans="3:6">
      <c r="C1929" s="11" t="e">
        <f>IF(1*('Production Matrix'!A:A="تكلفة انتاج الوحدة")*ROW('Production Matrix'!#REF!)=0,1/0,1*('Production Matrix'!A:A="تكلفة انتاج الوحدة")*ROW('Production Matrix'!#REF!))</f>
        <v>#REF!</v>
      </c>
      <c r="D1929" s="11" t="str">
        <f>IFERROR(_xlfn.AGGREGATE(15,6,$C$3:$C$53,ROW('Production Matrix'!#REF!)),"")</f>
        <v/>
      </c>
      <c r="E1929" s="11" t="str">
        <f t="shared" si="39"/>
        <v/>
      </c>
      <c r="F1929" s="12">
        <f>IFERROR(INDEX('Production Matrix'!$B:$B,E1929,0),0)</f>
        <v>0</v>
      </c>
    </row>
    <row r="1930" spans="3:6">
      <c r="C1930" s="11" t="e">
        <f>IF(1*('Production Matrix'!A:A="تكلفة انتاج الوحدة")*ROW('Production Matrix'!#REF!)=0,1/0,1*('Production Matrix'!A:A="تكلفة انتاج الوحدة")*ROW('Production Matrix'!#REF!))</f>
        <v>#REF!</v>
      </c>
      <c r="D1930" s="11" t="str">
        <f>IFERROR(_xlfn.AGGREGATE(15,6,$C$3:$C$53,ROW('Production Matrix'!#REF!)),"")</f>
        <v/>
      </c>
      <c r="E1930" s="11" t="str">
        <f t="shared" si="39"/>
        <v/>
      </c>
      <c r="F1930" s="12">
        <f>IFERROR(INDEX('Production Matrix'!$B:$B,E1930,0),0)</f>
        <v>0</v>
      </c>
    </row>
    <row r="1931" spans="3:6">
      <c r="C1931" s="11" t="e">
        <f>IF(1*('Production Matrix'!A:A="تكلفة انتاج الوحدة")*ROW('Production Matrix'!#REF!)=0,1/0,1*('Production Matrix'!A:A="تكلفة انتاج الوحدة")*ROW('Production Matrix'!#REF!))</f>
        <v>#REF!</v>
      </c>
      <c r="D1931" s="11" t="str">
        <f>IFERROR(_xlfn.AGGREGATE(15,6,$C$3:$C$53,ROW('Production Matrix'!#REF!)),"")</f>
        <v/>
      </c>
      <c r="E1931" s="11" t="str">
        <f t="shared" si="39"/>
        <v/>
      </c>
      <c r="F1931" s="12">
        <f>IFERROR(INDEX('Production Matrix'!$B:$B,E1931,0),0)</f>
        <v>0</v>
      </c>
    </row>
    <row r="1932" spans="3:6">
      <c r="C1932" s="11" t="e">
        <f>IF(1*('Production Matrix'!A:A="تكلفة انتاج الوحدة")*ROW('Production Matrix'!#REF!)=0,1/0,1*('Production Matrix'!A:A="تكلفة انتاج الوحدة")*ROW('Production Matrix'!#REF!))</f>
        <v>#REF!</v>
      </c>
      <c r="D1932" s="11" t="str">
        <f>IFERROR(_xlfn.AGGREGATE(15,6,$C$3:$C$53,ROW('Production Matrix'!#REF!)),"")</f>
        <v/>
      </c>
      <c r="E1932" s="11" t="str">
        <f t="shared" si="39"/>
        <v/>
      </c>
      <c r="F1932" s="12">
        <f>IFERROR(INDEX('Production Matrix'!$B:$B,E1932,0),0)</f>
        <v>0</v>
      </c>
    </row>
    <row r="1933" spans="3:6">
      <c r="C1933" s="11" t="e">
        <f>IF(1*('Production Matrix'!A:A="تكلفة انتاج الوحدة")*ROW('Production Matrix'!#REF!)=0,1/0,1*('Production Matrix'!A:A="تكلفة انتاج الوحدة")*ROW('Production Matrix'!#REF!))</f>
        <v>#REF!</v>
      </c>
      <c r="D1933" s="11" t="str">
        <f>IFERROR(_xlfn.AGGREGATE(15,6,$C$3:$C$53,ROW('Production Matrix'!#REF!)),"")</f>
        <v/>
      </c>
      <c r="E1933" s="11" t="str">
        <f t="shared" si="39"/>
        <v/>
      </c>
      <c r="F1933" s="12">
        <f>IFERROR(INDEX('Production Matrix'!$B:$B,E1933,0),0)</f>
        <v>0</v>
      </c>
    </row>
    <row r="1934" spans="3:6">
      <c r="C1934" s="11" t="e">
        <f>IF(1*('Production Matrix'!A:A="تكلفة انتاج الوحدة")*ROW('Production Matrix'!#REF!)=0,1/0,1*('Production Matrix'!A:A="تكلفة انتاج الوحدة")*ROW('Production Matrix'!#REF!))</f>
        <v>#REF!</v>
      </c>
      <c r="D1934" s="11" t="str">
        <f>IFERROR(_xlfn.AGGREGATE(15,6,$C$3:$C$53,ROW('Production Matrix'!#REF!)),"")</f>
        <v/>
      </c>
      <c r="E1934" s="11" t="str">
        <f t="shared" si="39"/>
        <v/>
      </c>
      <c r="F1934" s="12">
        <f>IFERROR(INDEX('Production Matrix'!$B:$B,E1934,0),0)</f>
        <v>0</v>
      </c>
    </row>
    <row r="1935" spans="3:6">
      <c r="C1935" s="11" t="e">
        <f>IF(1*('Production Matrix'!A:A="تكلفة انتاج الوحدة")*ROW('Production Matrix'!#REF!)=0,1/0,1*('Production Matrix'!A:A="تكلفة انتاج الوحدة")*ROW('Production Matrix'!#REF!))</f>
        <v>#REF!</v>
      </c>
      <c r="D1935" s="11" t="str">
        <f>IFERROR(_xlfn.AGGREGATE(15,6,$C$3:$C$53,ROW('Production Matrix'!#REF!)),"")</f>
        <v/>
      </c>
      <c r="E1935" s="11" t="str">
        <f t="shared" si="39"/>
        <v/>
      </c>
      <c r="F1935" s="12">
        <f>IFERROR(INDEX('Production Matrix'!$B:$B,E1935,0),0)</f>
        <v>0</v>
      </c>
    </row>
    <row r="1936" spans="3:6">
      <c r="C1936" s="11" t="e">
        <f>IF(1*('Production Matrix'!A:A="تكلفة انتاج الوحدة")*ROW('Production Matrix'!#REF!)=0,1/0,1*('Production Matrix'!A:A="تكلفة انتاج الوحدة")*ROW('Production Matrix'!#REF!))</f>
        <v>#REF!</v>
      </c>
      <c r="D1936" s="11" t="str">
        <f>IFERROR(_xlfn.AGGREGATE(15,6,$C$3:$C$53,ROW('Production Matrix'!#REF!)),"")</f>
        <v/>
      </c>
      <c r="E1936" s="11" t="str">
        <f t="shared" si="39"/>
        <v/>
      </c>
      <c r="F1936" s="12">
        <f>IFERROR(INDEX('Production Matrix'!$B:$B,E1936,0),0)</f>
        <v>0</v>
      </c>
    </row>
    <row r="1937" spans="3:6">
      <c r="C1937" s="11" t="e">
        <f>IF(1*('Production Matrix'!A:A="تكلفة انتاج الوحدة")*ROW('Production Matrix'!#REF!)=0,1/0,1*('Production Matrix'!A:A="تكلفة انتاج الوحدة")*ROW('Production Matrix'!#REF!))</f>
        <v>#REF!</v>
      </c>
      <c r="D1937" s="11" t="str">
        <f>IFERROR(_xlfn.AGGREGATE(15,6,$C$3:$C$53,ROW('Production Matrix'!#REF!)),"")</f>
        <v/>
      </c>
      <c r="E1937" s="11" t="str">
        <f t="shared" si="39"/>
        <v/>
      </c>
      <c r="F1937" s="12">
        <f>IFERROR(INDEX('Production Matrix'!$B:$B,E1937,0),0)</f>
        <v>0</v>
      </c>
    </row>
    <row r="1938" spans="3:6">
      <c r="C1938" s="11" t="e">
        <f>IF(1*('Production Matrix'!A:A="تكلفة انتاج الوحدة")*ROW('Production Matrix'!#REF!)=0,1/0,1*('Production Matrix'!A:A="تكلفة انتاج الوحدة")*ROW('Production Matrix'!#REF!))</f>
        <v>#REF!</v>
      </c>
      <c r="D1938" s="11" t="str">
        <f>IFERROR(_xlfn.AGGREGATE(15,6,$C$3:$C$53,ROW('Production Matrix'!#REF!)),"")</f>
        <v/>
      </c>
      <c r="E1938" s="11" t="str">
        <f t="shared" si="39"/>
        <v/>
      </c>
      <c r="F1938" s="12">
        <f>IFERROR(INDEX('Production Matrix'!$B:$B,E1938,0),0)</f>
        <v>0</v>
      </c>
    </row>
    <row r="1939" spans="3:6">
      <c r="C1939" s="11" t="e">
        <f>IF(1*('Production Matrix'!A:A="تكلفة انتاج الوحدة")*ROW('Production Matrix'!#REF!)=0,1/0,1*('Production Matrix'!A:A="تكلفة انتاج الوحدة")*ROW('Production Matrix'!#REF!))</f>
        <v>#REF!</v>
      </c>
      <c r="D1939" s="11" t="str">
        <f>IFERROR(_xlfn.AGGREGATE(15,6,$C$3:$C$53,ROW('Production Matrix'!#REF!)),"")</f>
        <v/>
      </c>
      <c r="E1939" s="11" t="str">
        <f t="shared" si="39"/>
        <v/>
      </c>
      <c r="F1939" s="12">
        <f>IFERROR(INDEX('Production Matrix'!$B:$B,E1939,0),0)</f>
        <v>0</v>
      </c>
    </row>
    <row r="1940" spans="3:6">
      <c r="C1940" s="11" t="e">
        <f>IF(1*('Production Matrix'!A:A="تكلفة انتاج الوحدة")*ROW('Production Matrix'!#REF!)=0,1/0,1*('Production Matrix'!A:A="تكلفة انتاج الوحدة")*ROW('Production Matrix'!#REF!))</f>
        <v>#REF!</v>
      </c>
      <c r="D1940" s="11" t="str">
        <f>IFERROR(_xlfn.AGGREGATE(15,6,$C$3:$C$53,ROW('Production Matrix'!#REF!)),"")</f>
        <v/>
      </c>
      <c r="E1940" s="11" t="str">
        <f t="shared" si="39"/>
        <v/>
      </c>
      <c r="F1940" s="12">
        <f>IFERROR(INDEX('Production Matrix'!$B:$B,E1940,0),0)</f>
        <v>0</v>
      </c>
    </row>
    <row r="1941" spans="3:6">
      <c r="C1941" s="11" t="e">
        <f>IF(1*('Production Matrix'!A:A="تكلفة انتاج الوحدة")*ROW('Production Matrix'!#REF!)=0,1/0,1*('Production Matrix'!A:A="تكلفة انتاج الوحدة")*ROW('Production Matrix'!#REF!))</f>
        <v>#REF!</v>
      </c>
      <c r="D1941" s="11" t="str">
        <f>IFERROR(_xlfn.AGGREGATE(15,6,$C$3:$C$53,ROW('Production Matrix'!#REF!)),"")</f>
        <v/>
      </c>
      <c r="E1941" s="11" t="str">
        <f t="shared" si="39"/>
        <v/>
      </c>
      <c r="F1941" s="12">
        <f>IFERROR(INDEX('Production Matrix'!$B:$B,E1941,0),0)</f>
        <v>0</v>
      </c>
    </row>
    <row r="1942" spans="3:6">
      <c r="C1942" s="11" t="e">
        <f>IF(1*('Production Matrix'!A:A="تكلفة انتاج الوحدة")*ROW('Production Matrix'!#REF!)=0,1/0,1*('Production Matrix'!A:A="تكلفة انتاج الوحدة")*ROW('Production Matrix'!#REF!))</f>
        <v>#REF!</v>
      </c>
      <c r="D1942" s="11" t="str">
        <f>IFERROR(_xlfn.AGGREGATE(15,6,$C$3:$C$53,ROW('Production Matrix'!#REF!)),"")</f>
        <v/>
      </c>
      <c r="E1942" s="11" t="str">
        <f t="shared" si="39"/>
        <v/>
      </c>
      <c r="F1942" s="12">
        <f>IFERROR(INDEX('Production Matrix'!$B:$B,E1942,0),0)</f>
        <v>0</v>
      </c>
    </row>
    <row r="1943" spans="3:6">
      <c r="C1943" s="11" t="e">
        <f>IF(1*('Production Matrix'!A:A="تكلفة انتاج الوحدة")*ROW('Production Matrix'!#REF!)=0,1/0,1*('Production Matrix'!A:A="تكلفة انتاج الوحدة")*ROW('Production Matrix'!#REF!))</f>
        <v>#REF!</v>
      </c>
      <c r="D1943" s="11" t="str">
        <f>IFERROR(_xlfn.AGGREGATE(15,6,$C$3:$C$53,ROW('Production Matrix'!#REF!)),"")</f>
        <v/>
      </c>
      <c r="E1943" s="11" t="str">
        <f t="shared" si="39"/>
        <v/>
      </c>
      <c r="F1943" s="12">
        <f>IFERROR(INDEX('Production Matrix'!$B:$B,E1943,0),0)</f>
        <v>0</v>
      </c>
    </row>
    <row r="1944" spans="3:6">
      <c r="C1944" s="11" t="e">
        <f>IF(1*('Production Matrix'!A:A="تكلفة انتاج الوحدة")*ROW('Production Matrix'!#REF!)=0,1/0,1*('Production Matrix'!A:A="تكلفة انتاج الوحدة")*ROW('Production Matrix'!#REF!))</f>
        <v>#REF!</v>
      </c>
      <c r="D1944" s="11" t="str">
        <f>IFERROR(_xlfn.AGGREGATE(15,6,$C$3:$C$53,ROW('Production Matrix'!#REF!)),"")</f>
        <v/>
      </c>
      <c r="E1944" s="11" t="str">
        <f t="shared" si="39"/>
        <v/>
      </c>
      <c r="F1944" s="12">
        <f>IFERROR(INDEX('Production Matrix'!$B:$B,E1944,0),0)</f>
        <v>0</v>
      </c>
    </row>
    <row r="1945" spans="3:6">
      <c r="C1945" s="11" t="e">
        <f>IF(1*('Production Matrix'!A:A="تكلفة انتاج الوحدة")*ROW('Production Matrix'!#REF!)=0,1/0,1*('Production Matrix'!A:A="تكلفة انتاج الوحدة")*ROW('Production Matrix'!#REF!))</f>
        <v>#REF!</v>
      </c>
      <c r="D1945" s="11" t="str">
        <f>IFERROR(_xlfn.AGGREGATE(15,6,$C$3:$C$53,ROW('Production Matrix'!#REF!)),"")</f>
        <v/>
      </c>
      <c r="E1945" s="11" t="str">
        <f t="shared" si="39"/>
        <v/>
      </c>
      <c r="F1945" s="12">
        <f>IFERROR(INDEX('Production Matrix'!$B:$B,E1945,0),0)</f>
        <v>0</v>
      </c>
    </row>
    <row r="1946" spans="3:6">
      <c r="C1946" s="11" t="e">
        <f>IF(1*('Production Matrix'!A:A="تكلفة انتاج الوحدة")*ROW('Production Matrix'!#REF!)=0,1/0,1*('Production Matrix'!A:A="تكلفة انتاج الوحدة")*ROW('Production Matrix'!#REF!))</f>
        <v>#REF!</v>
      </c>
      <c r="D1946" s="11" t="str">
        <f>IFERROR(_xlfn.AGGREGATE(15,6,$C$3:$C$53,ROW('Production Matrix'!#REF!)),"")</f>
        <v/>
      </c>
      <c r="E1946" s="11" t="str">
        <f t="shared" si="39"/>
        <v/>
      </c>
      <c r="F1946" s="12">
        <f>IFERROR(INDEX('Production Matrix'!$B:$B,E1946,0),0)</f>
        <v>0</v>
      </c>
    </row>
    <row r="1947" spans="3:6">
      <c r="C1947" s="11" t="e">
        <f>IF(1*('Production Matrix'!A:A="تكلفة انتاج الوحدة")*ROW('Production Matrix'!#REF!)=0,1/0,1*('Production Matrix'!A:A="تكلفة انتاج الوحدة")*ROW('Production Matrix'!#REF!))</f>
        <v>#REF!</v>
      </c>
      <c r="D1947" s="11" t="str">
        <f>IFERROR(_xlfn.AGGREGATE(15,6,$C$3:$C$53,ROW('Production Matrix'!#REF!)),"")</f>
        <v/>
      </c>
      <c r="E1947" s="11" t="str">
        <f t="shared" si="39"/>
        <v/>
      </c>
      <c r="F1947" s="12">
        <f>IFERROR(INDEX('Production Matrix'!$B:$B,E1947,0),0)</f>
        <v>0</v>
      </c>
    </row>
    <row r="1948" spans="3:6">
      <c r="C1948" s="11" t="e">
        <f>IF(1*('Production Matrix'!A:A="تكلفة انتاج الوحدة")*ROW('Production Matrix'!#REF!)=0,1/0,1*('Production Matrix'!A:A="تكلفة انتاج الوحدة")*ROW('Production Matrix'!#REF!))</f>
        <v>#REF!</v>
      </c>
      <c r="D1948" s="11" t="str">
        <f>IFERROR(_xlfn.AGGREGATE(15,6,$C$3:$C$53,ROW('Production Matrix'!#REF!)),"")</f>
        <v/>
      </c>
      <c r="E1948" s="11" t="str">
        <f t="shared" si="39"/>
        <v/>
      </c>
      <c r="F1948" s="12">
        <f>IFERROR(INDEX('Production Matrix'!$B:$B,E1948,0),0)</f>
        <v>0</v>
      </c>
    </row>
    <row r="1949" spans="3:6">
      <c r="C1949" s="11" t="e">
        <f>IF(1*('Production Matrix'!A:A="تكلفة انتاج الوحدة")*ROW('Production Matrix'!#REF!)=0,1/0,1*('Production Matrix'!A:A="تكلفة انتاج الوحدة")*ROW('Production Matrix'!#REF!))</f>
        <v>#REF!</v>
      </c>
      <c r="D1949" s="11" t="str">
        <f>IFERROR(_xlfn.AGGREGATE(15,6,$C$3:$C$53,ROW('Production Matrix'!#REF!)),"")</f>
        <v/>
      </c>
      <c r="E1949" s="11" t="str">
        <f t="shared" si="39"/>
        <v/>
      </c>
      <c r="F1949" s="12">
        <f>IFERROR(INDEX('Production Matrix'!$B:$B,E1949,0),0)</f>
        <v>0</v>
      </c>
    </row>
    <row r="1950" spans="3:6">
      <c r="C1950" s="11" t="e">
        <f>IF(1*('Production Matrix'!A:A="تكلفة انتاج الوحدة")*ROW('Production Matrix'!#REF!)=0,1/0,1*('Production Matrix'!A:A="تكلفة انتاج الوحدة")*ROW('Production Matrix'!#REF!))</f>
        <v>#REF!</v>
      </c>
      <c r="D1950" s="11" t="str">
        <f>IFERROR(_xlfn.AGGREGATE(15,6,$C$3:$C$53,ROW('Production Matrix'!#REF!)),"")</f>
        <v/>
      </c>
      <c r="E1950" s="11" t="str">
        <f t="shared" si="39"/>
        <v/>
      </c>
      <c r="F1950" s="12">
        <f>IFERROR(INDEX('Production Matrix'!$B:$B,E1950,0),0)</f>
        <v>0</v>
      </c>
    </row>
    <row r="1951" spans="3:6">
      <c r="C1951" s="11" t="e">
        <f>IF(1*('Production Matrix'!A:A="تكلفة انتاج الوحدة")*ROW('Production Matrix'!#REF!)=0,1/0,1*('Production Matrix'!A:A="تكلفة انتاج الوحدة")*ROW('Production Matrix'!#REF!))</f>
        <v>#REF!</v>
      </c>
      <c r="D1951" s="11" t="str">
        <f>IFERROR(_xlfn.AGGREGATE(15,6,$C$3:$C$53,ROW('Production Matrix'!#REF!)),"")</f>
        <v/>
      </c>
      <c r="E1951" s="11" t="str">
        <f t="shared" si="39"/>
        <v/>
      </c>
      <c r="F1951" s="12">
        <f>IFERROR(INDEX('Production Matrix'!$B:$B,E1951,0),0)</f>
        <v>0</v>
      </c>
    </row>
    <row r="1952" spans="3:6">
      <c r="C1952" s="11" t="e">
        <f>IF(1*('Production Matrix'!A:A="تكلفة انتاج الوحدة")*ROW('Production Matrix'!#REF!)=0,1/0,1*('Production Matrix'!A:A="تكلفة انتاج الوحدة")*ROW('Production Matrix'!#REF!))</f>
        <v>#REF!</v>
      </c>
      <c r="D1952" s="11" t="str">
        <f>IFERROR(_xlfn.AGGREGATE(15,6,$C$3:$C$53,ROW('Production Matrix'!#REF!)),"")</f>
        <v/>
      </c>
      <c r="E1952" s="11" t="str">
        <f t="shared" si="39"/>
        <v/>
      </c>
      <c r="F1952" s="12">
        <f>IFERROR(INDEX('Production Matrix'!$B:$B,E1952,0),0)</f>
        <v>0</v>
      </c>
    </row>
    <row r="1953" spans="3:6">
      <c r="C1953" s="11" t="e">
        <f>IF(1*('Production Matrix'!A:A="تكلفة انتاج الوحدة")*ROW('Production Matrix'!#REF!)=0,1/0,1*('Production Matrix'!A:A="تكلفة انتاج الوحدة")*ROW('Production Matrix'!#REF!))</f>
        <v>#REF!</v>
      </c>
      <c r="D1953" s="11" t="str">
        <f>IFERROR(_xlfn.AGGREGATE(15,6,$C$3:$C$53,ROW('Production Matrix'!#REF!)),"")</f>
        <v/>
      </c>
      <c r="E1953" s="11" t="str">
        <f t="shared" si="39"/>
        <v/>
      </c>
      <c r="F1953" s="12">
        <f>IFERROR(INDEX('Production Matrix'!$B:$B,E1953,0),0)</f>
        <v>0</v>
      </c>
    </row>
    <row r="1954" spans="3:6">
      <c r="C1954" s="11" t="e">
        <f>IF(1*('Production Matrix'!A:A="تكلفة انتاج الوحدة")*ROW('Production Matrix'!#REF!)=0,1/0,1*('Production Matrix'!A:A="تكلفة انتاج الوحدة")*ROW('Production Matrix'!#REF!))</f>
        <v>#REF!</v>
      </c>
      <c r="D1954" s="11" t="str">
        <f>IFERROR(_xlfn.AGGREGATE(15,6,$C$3:$C$53,ROW('Production Matrix'!#REF!)),"")</f>
        <v/>
      </c>
      <c r="E1954" s="11" t="str">
        <f t="shared" si="39"/>
        <v/>
      </c>
      <c r="F1954" s="12">
        <f>IFERROR(INDEX('Production Matrix'!$B:$B,E1954,0),0)</f>
        <v>0</v>
      </c>
    </row>
    <row r="1955" spans="3:6">
      <c r="C1955" s="11" t="e">
        <f>IF(1*('Production Matrix'!A:A="تكلفة انتاج الوحدة")*ROW('Production Matrix'!#REF!)=0,1/0,1*('Production Matrix'!A:A="تكلفة انتاج الوحدة")*ROW('Production Matrix'!#REF!))</f>
        <v>#REF!</v>
      </c>
      <c r="D1955" s="11" t="str">
        <f>IFERROR(_xlfn.AGGREGATE(15,6,$C$3:$C$53,ROW('Production Matrix'!#REF!)),"")</f>
        <v/>
      </c>
      <c r="E1955" s="11" t="str">
        <f t="shared" si="39"/>
        <v/>
      </c>
      <c r="F1955" s="12">
        <f>IFERROR(INDEX('Production Matrix'!$B:$B,E1955,0),0)</f>
        <v>0</v>
      </c>
    </row>
    <row r="1956" spans="3:6">
      <c r="C1956" s="11" t="e">
        <f>IF(1*('Production Matrix'!A:A="تكلفة انتاج الوحدة")*ROW('Production Matrix'!#REF!)=0,1/0,1*('Production Matrix'!A:A="تكلفة انتاج الوحدة")*ROW('Production Matrix'!#REF!))</f>
        <v>#REF!</v>
      </c>
      <c r="D1956" s="11" t="str">
        <f>IFERROR(_xlfn.AGGREGATE(15,6,$C$3:$C$53,ROW('Production Matrix'!#REF!)),"")</f>
        <v/>
      </c>
      <c r="E1956" s="11" t="str">
        <f t="shared" si="39"/>
        <v/>
      </c>
      <c r="F1956" s="12">
        <f>IFERROR(INDEX('Production Matrix'!$B:$B,E1956,0),0)</f>
        <v>0</v>
      </c>
    </row>
    <row r="1957" spans="3:6">
      <c r="C1957" s="11" t="e">
        <f>IF(1*('Production Matrix'!A:A="تكلفة انتاج الوحدة")*ROW('Production Matrix'!#REF!)=0,1/0,1*('Production Matrix'!A:A="تكلفة انتاج الوحدة")*ROW('Production Matrix'!#REF!))</f>
        <v>#REF!</v>
      </c>
      <c r="D1957" s="11" t="str">
        <f>IFERROR(_xlfn.AGGREGATE(15,6,$C$3:$C$53,ROW('Production Matrix'!#REF!)),"")</f>
        <v/>
      </c>
      <c r="E1957" s="11" t="str">
        <f t="shared" si="39"/>
        <v/>
      </c>
      <c r="F1957" s="12">
        <f>IFERROR(INDEX('Production Matrix'!$B:$B,E1957,0),0)</f>
        <v>0</v>
      </c>
    </row>
    <row r="1958" spans="3:6">
      <c r="C1958" s="11" t="e">
        <f>IF(1*('Production Matrix'!A:A="تكلفة انتاج الوحدة")*ROW('Production Matrix'!#REF!)=0,1/0,1*('Production Matrix'!A:A="تكلفة انتاج الوحدة")*ROW('Production Matrix'!#REF!))</f>
        <v>#REF!</v>
      </c>
      <c r="D1958" s="11" t="str">
        <f>IFERROR(_xlfn.AGGREGATE(15,6,$C$3:$C$53,ROW('Production Matrix'!#REF!)),"")</f>
        <v/>
      </c>
      <c r="E1958" s="11" t="str">
        <f t="shared" si="39"/>
        <v/>
      </c>
      <c r="F1958" s="12">
        <f>IFERROR(INDEX('Production Matrix'!$B:$B,E1958,0),0)</f>
        <v>0</v>
      </c>
    </row>
    <row r="1959" spans="3:6">
      <c r="C1959" s="11" t="e">
        <f>IF(1*('Production Matrix'!A:A="تكلفة انتاج الوحدة")*ROW('Production Matrix'!#REF!)=0,1/0,1*('Production Matrix'!A:A="تكلفة انتاج الوحدة")*ROW('Production Matrix'!#REF!))</f>
        <v>#REF!</v>
      </c>
      <c r="D1959" s="11" t="str">
        <f>IFERROR(_xlfn.AGGREGATE(15,6,$C$3:$C$53,ROW('Production Matrix'!#REF!)),"")</f>
        <v/>
      </c>
      <c r="E1959" s="11" t="str">
        <f t="shared" si="39"/>
        <v/>
      </c>
      <c r="F1959" s="12">
        <f>IFERROR(INDEX('Production Matrix'!$B:$B,E1959,0),0)</f>
        <v>0</v>
      </c>
    </row>
    <row r="1960" spans="3:6">
      <c r="C1960" s="11" t="e">
        <f>IF(1*('Production Matrix'!A:A="تكلفة انتاج الوحدة")*ROW('Production Matrix'!#REF!)=0,1/0,1*('Production Matrix'!A:A="تكلفة انتاج الوحدة")*ROW('Production Matrix'!#REF!))</f>
        <v>#REF!</v>
      </c>
      <c r="D1960" s="11" t="str">
        <f>IFERROR(_xlfn.AGGREGATE(15,6,$C$3:$C$53,ROW('Production Matrix'!#REF!)),"")</f>
        <v/>
      </c>
      <c r="E1960" s="11" t="str">
        <f t="shared" si="39"/>
        <v/>
      </c>
      <c r="F1960" s="12">
        <f>IFERROR(INDEX('Production Matrix'!$B:$B,E1960,0),0)</f>
        <v>0</v>
      </c>
    </row>
    <row r="1961" spans="3:6">
      <c r="C1961" s="11" t="e">
        <f>IF(1*('Production Matrix'!A:A="تكلفة انتاج الوحدة")*ROW('Production Matrix'!#REF!)=0,1/0,1*('Production Matrix'!A:A="تكلفة انتاج الوحدة")*ROW('Production Matrix'!#REF!))</f>
        <v>#REF!</v>
      </c>
      <c r="D1961" s="11" t="str">
        <f>IFERROR(_xlfn.AGGREGATE(15,6,$C$3:$C$53,ROW('Production Matrix'!#REF!)),"")</f>
        <v/>
      </c>
      <c r="E1961" s="11" t="str">
        <f t="shared" si="39"/>
        <v/>
      </c>
      <c r="F1961" s="12">
        <f>IFERROR(INDEX('Production Matrix'!$B:$B,E1961,0),0)</f>
        <v>0</v>
      </c>
    </row>
    <row r="1962" spans="3:6">
      <c r="C1962" s="11" t="e">
        <f>IF(1*('Production Matrix'!A:A="تكلفة انتاج الوحدة")*ROW('Production Matrix'!#REF!)=0,1/0,1*('Production Matrix'!A:A="تكلفة انتاج الوحدة")*ROW('Production Matrix'!#REF!))</f>
        <v>#REF!</v>
      </c>
      <c r="D1962" s="11" t="str">
        <f>IFERROR(_xlfn.AGGREGATE(15,6,$C$3:$C$53,ROW('Production Matrix'!#REF!)),"")</f>
        <v/>
      </c>
      <c r="E1962" s="11" t="str">
        <f t="shared" si="39"/>
        <v/>
      </c>
      <c r="F1962" s="12">
        <f>IFERROR(INDEX('Production Matrix'!$B:$B,E1962,0),0)</f>
        <v>0</v>
      </c>
    </row>
    <row r="1963" spans="3:6">
      <c r="C1963" s="11" t="e">
        <f>IF(1*('Production Matrix'!A:A="تكلفة انتاج الوحدة")*ROW('Production Matrix'!#REF!)=0,1/0,1*('Production Matrix'!A:A="تكلفة انتاج الوحدة")*ROW('Production Matrix'!#REF!))</f>
        <v>#REF!</v>
      </c>
      <c r="D1963" s="11" t="str">
        <f>IFERROR(_xlfn.AGGREGATE(15,6,$C$3:$C$53,ROW('Production Matrix'!#REF!)),"")</f>
        <v/>
      </c>
      <c r="E1963" s="11" t="str">
        <f t="shared" si="39"/>
        <v/>
      </c>
      <c r="F1963" s="12">
        <f>IFERROR(INDEX('Production Matrix'!$B:$B,E1963,0),0)</f>
        <v>0</v>
      </c>
    </row>
    <row r="1964" spans="3:6">
      <c r="C1964" s="11" t="e">
        <f>IF(1*('Production Matrix'!A:A="تكلفة انتاج الوحدة")*ROW('Production Matrix'!#REF!)=0,1/0,1*('Production Matrix'!A:A="تكلفة انتاج الوحدة")*ROW('Production Matrix'!#REF!))</f>
        <v>#REF!</v>
      </c>
      <c r="D1964" s="11" t="str">
        <f>IFERROR(_xlfn.AGGREGATE(15,6,$C$3:$C$53,ROW('Production Matrix'!#REF!)),"")</f>
        <v/>
      </c>
      <c r="E1964" s="11" t="str">
        <f t="shared" si="39"/>
        <v/>
      </c>
      <c r="F1964" s="12">
        <f>IFERROR(INDEX('Production Matrix'!$B:$B,E1964,0),0)</f>
        <v>0</v>
      </c>
    </row>
    <row r="1965" spans="3:6">
      <c r="C1965" s="11" t="e">
        <f>IF(1*('Production Matrix'!A:A="تكلفة انتاج الوحدة")*ROW('Production Matrix'!#REF!)=0,1/0,1*('Production Matrix'!A:A="تكلفة انتاج الوحدة")*ROW('Production Matrix'!#REF!))</f>
        <v>#REF!</v>
      </c>
      <c r="D1965" s="11" t="str">
        <f>IFERROR(_xlfn.AGGREGATE(15,6,$C$3:$C$53,ROW('Production Matrix'!#REF!)),"")</f>
        <v/>
      </c>
      <c r="E1965" s="11" t="str">
        <f t="shared" si="39"/>
        <v/>
      </c>
      <c r="F1965" s="12">
        <f>IFERROR(INDEX('Production Matrix'!$B:$B,E1965,0),0)</f>
        <v>0</v>
      </c>
    </row>
    <row r="1966" spans="3:6">
      <c r="C1966" s="11" t="e">
        <f>IF(1*('Production Matrix'!A:A="تكلفة انتاج الوحدة")*ROW('Production Matrix'!#REF!)=0,1/0,1*('Production Matrix'!A:A="تكلفة انتاج الوحدة")*ROW('Production Matrix'!#REF!))</f>
        <v>#REF!</v>
      </c>
      <c r="D1966" s="11" t="str">
        <f>IFERROR(_xlfn.AGGREGATE(15,6,$C$3:$C$53,ROW('Production Matrix'!#REF!)),"")</f>
        <v/>
      </c>
      <c r="E1966" s="11" t="str">
        <f t="shared" si="39"/>
        <v/>
      </c>
      <c r="F1966" s="12">
        <f>IFERROR(INDEX('Production Matrix'!$B:$B,E1966,0),0)</f>
        <v>0</v>
      </c>
    </row>
    <row r="1967" spans="3:6">
      <c r="C1967" s="11" t="e">
        <f>IF(1*('Production Matrix'!A:A="تكلفة انتاج الوحدة")*ROW('Production Matrix'!#REF!)=0,1/0,1*('Production Matrix'!A:A="تكلفة انتاج الوحدة")*ROW('Production Matrix'!#REF!))</f>
        <v>#REF!</v>
      </c>
      <c r="D1967" s="11" t="str">
        <f>IFERROR(_xlfn.AGGREGATE(15,6,$C$3:$C$53,ROW('Production Matrix'!#REF!)),"")</f>
        <v/>
      </c>
      <c r="E1967" s="11" t="str">
        <f t="shared" si="39"/>
        <v/>
      </c>
      <c r="F1967" s="12">
        <f>IFERROR(INDEX('Production Matrix'!$B:$B,E1967,0),0)</f>
        <v>0</v>
      </c>
    </row>
    <row r="1968" spans="3:6">
      <c r="C1968" s="11" t="e">
        <f>IF(1*('Production Matrix'!A:A="تكلفة انتاج الوحدة")*ROW('Production Matrix'!#REF!)=0,1/0,1*('Production Matrix'!A:A="تكلفة انتاج الوحدة")*ROW('Production Matrix'!#REF!))</f>
        <v>#REF!</v>
      </c>
      <c r="D1968" s="11" t="str">
        <f>IFERROR(_xlfn.AGGREGATE(15,6,$C$3:$C$53,ROW('Production Matrix'!#REF!)),"")</f>
        <v/>
      </c>
      <c r="E1968" s="11" t="str">
        <f t="shared" si="39"/>
        <v/>
      </c>
      <c r="F1968" s="12">
        <f>IFERROR(INDEX('Production Matrix'!$B:$B,E1968,0),0)</f>
        <v>0</v>
      </c>
    </row>
    <row r="1969" spans="3:6">
      <c r="C1969" s="11" t="e">
        <f>IF(1*('Production Matrix'!A:A="تكلفة انتاج الوحدة")*ROW('Production Matrix'!#REF!)=0,1/0,1*('Production Matrix'!A:A="تكلفة انتاج الوحدة")*ROW('Production Matrix'!#REF!))</f>
        <v>#REF!</v>
      </c>
      <c r="D1969" s="11" t="str">
        <f>IFERROR(_xlfn.AGGREGATE(15,6,$C$3:$C$53,ROW('Production Matrix'!#REF!)),"")</f>
        <v/>
      </c>
      <c r="E1969" s="11" t="str">
        <f t="shared" si="39"/>
        <v/>
      </c>
      <c r="F1969" s="12">
        <f>IFERROR(INDEX('Production Matrix'!$B:$B,E1969,0),0)</f>
        <v>0</v>
      </c>
    </row>
    <row r="1970" spans="3:6">
      <c r="C1970" s="11" t="e">
        <f>IF(1*('Production Matrix'!A:A="تكلفة انتاج الوحدة")*ROW('Production Matrix'!#REF!)=0,1/0,1*('Production Matrix'!A:A="تكلفة انتاج الوحدة")*ROW('Production Matrix'!#REF!))</f>
        <v>#REF!</v>
      </c>
      <c r="D1970" s="11" t="str">
        <f>IFERROR(_xlfn.AGGREGATE(15,6,$C$3:$C$53,ROW('Production Matrix'!#REF!)),"")</f>
        <v/>
      </c>
      <c r="E1970" s="11" t="str">
        <f t="shared" si="39"/>
        <v/>
      </c>
      <c r="F1970" s="12">
        <f>IFERROR(INDEX('Production Matrix'!$B:$B,E1970,0),0)</f>
        <v>0</v>
      </c>
    </row>
    <row r="1971" spans="3:6">
      <c r="C1971" s="11" t="e">
        <f>IF(1*('Production Matrix'!A:A="تكلفة انتاج الوحدة")*ROW('Production Matrix'!#REF!)=0,1/0,1*('Production Matrix'!A:A="تكلفة انتاج الوحدة")*ROW('Production Matrix'!#REF!))</f>
        <v>#REF!</v>
      </c>
      <c r="D1971" s="11" t="str">
        <f>IFERROR(_xlfn.AGGREGATE(15,6,$C$3:$C$53,ROW('Production Matrix'!#REF!)),"")</f>
        <v/>
      </c>
      <c r="E1971" s="11" t="str">
        <f t="shared" si="39"/>
        <v/>
      </c>
      <c r="F1971" s="12">
        <f>IFERROR(INDEX('Production Matrix'!$B:$B,E1971,0),0)</f>
        <v>0</v>
      </c>
    </row>
    <row r="1972" spans="3:6">
      <c r="C1972" s="11" t="e">
        <f>IF(1*('Production Matrix'!A:A="تكلفة انتاج الوحدة")*ROW('Production Matrix'!#REF!)=0,1/0,1*('Production Matrix'!A:A="تكلفة انتاج الوحدة")*ROW('Production Matrix'!#REF!))</f>
        <v>#REF!</v>
      </c>
      <c r="D1972" s="11" t="str">
        <f>IFERROR(_xlfn.AGGREGATE(15,6,$C$3:$C$53,ROW('Production Matrix'!#REF!)),"")</f>
        <v/>
      </c>
      <c r="E1972" s="11" t="str">
        <f t="shared" si="39"/>
        <v/>
      </c>
      <c r="F1972" s="12">
        <f>IFERROR(INDEX('Production Matrix'!$B:$B,E1972,0),0)</f>
        <v>0</v>
      </c>
    </row>
    <row r="1973" spans="3:6">
      <c r="C1973" s="11" t="e">
        <f>IF(1*('Production Matrix'!A:A="تكلفة انتاج الوحدة")*ROW('Production Matrix'!#REF!)=0,1/0,1*('Production Matrix'!A:A="تكلفة انتاج الوحدة")*ROW('Production Matrix'!#REF!))</f>
        <v>#REF!</v>
      </c>
      <c r="D1973" s="11" t="str">
        <f>IFERROR(_xlfn.AGGREGATE(15,6,$C$3:$C$53,ROW('Production Matrix'!#REF!)),"")</f>
        <v/>
      </c>
      <c r="E1973" s="11" t="str">
        <f t="shared" si="39"/>
        <v/>
      </c>
      <c r="F1973" s="12">
        <f>IFERROR(INDEX('Production Matrix'!$B:$B,E1973,0),0)</f>
        <v>0</v>
      </c>
    </row>
    <row r="1974" spans="3:6">
      <c r="C1974" s="11" t="e">
        <f>IF(1*('Production Matrix'!A:A="تكلفة انتاج الوحدة")*ROW('Production Matrix'!#REF!)=0,1/0,1*('Production Matrix'!A:A="تكلفة انتاج الوحدة")*ROW('Production Matrix'!#REF!))</f>
        <v>#REF!</v>
      </c>
      <c r="D1974" s="11" t="str">
        <f>IFERROR(_xlfn.AGGREGATE(15,6,$C$3:$C$53,ROW('Production Matrix'!#REF!)),"")</f>
        <v/>
      </c>
      <c r="E1974" s="11" t="str">
        <f t="shared" si="39"/>
        <v/>
      </c>
      <c r="F1974" s="12">
        <f>IFERROR(INDEX('Production Matrix'!$B:$B,E1974,0),0)</f>
        <v>0</v>
      </c>
    </row>
    <row r="1975" spans="3:6">
      <c r="C1975" s="11" t="e">
        <f>IF(1*('Production Matrix'!A:A="تكلفة انتاج الوحدة")*ROW('Production Matrix'!#REF!)=0,1/0,1*('Production Matrix'!A:A="تكلفة انتاج الوحدة")*ROW('Production Matrix'!#REF!))</f>
        <v>#REF!</v>
      </c>
      <c r="D1975" s="11" t="str">
        <f>IFERROR(_xlfn.AGGREGATE(15,6,$C$3:$C$53,ROW('Production Matrix'!#REF!)),"")</f>
        <v/>
      </c>
      <c r="E1975" s="11" t="str">
        <f t="shared" si="39"/>
        <v/>
      </c>
      <c r="F1975" s="12">
        <f>IFERROR(INDEX('Production Matrix'!$B:$B,E1975,0),0)</f>
        <v>0</v>
      </c>
    </row>
    <row r="1976" spans="3:6">
      <c r="C1976" s="11" t="e">
        <f>IF(1*('Production Matrix'!A:A="تكلفة انتاج الوحدة")*ROW('Production Matrix'!#REF!)=0,1/0,1*('Production Matrix'!A:A="تكلفة انتاج الوحدة")*ROW('Production Matrix'!#REF!))</f>
        <v>#REF!</v>
      </c>
      <c r="D1976" s="11" t="str">
        <f>IFERROR(_xlfn.AGGREGATE(15,6,$C$3:$C$53,ROW('Production Matrix'!#REF!)),"")</f>
        <v/>
      </c>
      <c r="E1976" s="11" t="str">
        <f t="shared" si="39"/>
        <v/>
      </c>
      <c r="F1976" s="12">
        <f>IFERROR(INDEX('Production Matrix'!$B:$B,E1976,0),0)</f>
        <v>0</v>
      </c>
    </row>
    <row r="1977" spans="3:6">
      <c r="C1977" s="11" t="e">
        <f>IF(1*('Production Matrix'!A:A="تكلفة انتاج الوحدة")*ROW('Production Matrix'!#REF!)=0,1/0,1*('Production Matrix'!A:A="تكلفة انتاج الوحدة")*ROW('Production Matrix'!#REF!))</f>
        <v>#REF!</v>
      </c>
      <c r="D1977" s="11" t="str">
        <f>IFERROR(_xlfn.AGGREGATE(15,6,$C$3:$C$53,ROW('Production Matrix'!#REF!)),"")</f>
        <v/>
      </c>
      <c r="E1977" s="11" t="str">
        <f t="shared" si="39"/>
        <v/>
      </c>
      <c r="F1977" s="12">
        <f>IFERROR(INDEX('Production Matrix'!$B:$B,E1977,0),0)</f>
        <v>0</v>
      </c>
    </row>
    <row r="1978" spans="3:6">
      <c r="C1978" s="11" t="e">
        <f>IF(1*('Production Matrix'!A:A="تكلفة انتاج الوحدة")*ROW('Production Matrix'!#REF!)=0,1/0,1*('Production Matrix'!A:A="تكلفة انتاج الوحدة")*ROW('Production Matrix'!#REF!))</f>
        <v>#REF!</v>
      </c>
      <c r="D1978" s="11" t="str">
        <f>IFERROR(_xlfn.AGGREGATE(15,6,$C$3:$C$53,ROW('Production Matrix'!#REF!)),"")</f>
        <v/>
      </c>
      <c r="E1978" s="11" t="str">
        <f t="shared" si="39"/>
        <v/>
      </c>
      <c r="F1978" s="12">
        <f>IFERROR(INDEX('Production Matrix'!$B:$B,E1978,0),0)</f>
        <v>0</v>
      </c>
    </row>
    <row r="1979" spans="3:6">
      <c r="C1979" s="11" t="e">
        <f>IF(1*('Production Matrix'!A:A="تكلفة انتاج الوحدة")*ROW('Production Matrix'!#REF!)=0,1/0,1*('Production Matrix'!A:A="تكلفة انتاج الوحدة")*ROW('Production Matrix'!#REF!))</f>
        <v>#REF!</v>
      </c>
      <c r="D1979" s="11" t="str">
        <f>IFERROR(_xlfn.AGGREGATE(15,6,$C$3:$C$53,ROW('Production Matrix'!#REF!)),"")</f>
        <v/>
      </c>
      <c r="E1979" s="11" t="str">
        <f t="shared" si="39"/>
        <v/>
      </c>
      <c r="F1979" s="12">
        <f>IFERROR(INDEX('Production Matrix'!$B:$B,E1979,0),0)</f>
        <v>0</v>
      </c>
    </row>
    <row r="1980" spans="3:6">
      <c r="C1980" s="11" t="e">
        <f>IF(1*('Production Matrix'!A:A="تكلفة انتاج الوحدة")*ROW('Production Matrix'!#REF!)=0,1/0,1*('Production Matrix'!A:A="تكلفة انتاج الوحدة")*ROW('Production Matrix'!#REF!))</f>
        <v>#REF!</v>
      </c>
      <c r="D1980" s="11" t="str">
        <f>IFERROR(_xlfn.AGGREGATE(15,6,$C$3:$C$53,ROW('Production Matrix'!#REF!)),"")</f>
        <v/>
      </c>
      <c r="E1980" s="11" t="str">
        <f t="shared" si="39"/>
        <v/>
      </c>
      <c r="F1980" s="12">
        <f>IFERROR(INDEX('Production Matrix'!$B:$B,E1980,0),0)</f>
        <v>0</v>
      </c>
    </row>
    <row r="1981" spans="3:6">
      <c r="C1981" s="11" t="e">
        <f>IF(1*('Production Matrix'!A:A="تكلفة انتاج الوحدة")*ROW('Production Matrix'!#REF!)=0,1/0,1*('Production Matrix'!A:A="تكلفة انتاج الوحدة")*ROW('Production Matrix'!#REF!))</f>
        <v>#REF!</v>
      </c>
      <c r="D1981" s="11" t="str">
        <f>IFERROR(_xlfn.AGGREGATE(15,6,$C$3:$C$53,ROW('Production Matrix'!#REF!)),"")</f>
        <v/>
      </c>
      <c r="E1981" s="11" t="str">
        <f t="shared" si="39"/>
        <v/>
      </c>
      <c r="F1981" s="12">
        <f>IFERROR(INDEX('Production Matrix'!$B:$B,E1981,0),0)</f>
        <v>0</v>
      </c>
    </row>
    <row r="1982" spans="3:6">
      <c r="C1982" s="11" t="e">
        <f>IF(1*('Production Matrix'!A:A="تكلفة انتاج الوحدة")*ROW('Production Matrix'!#REF!)=0,1/0,1*('Production Matrix'!A:A="تكلفة انتاج الوحدة")*ROW('Production Matrix'!#REF!))</f>
        <v>#REF!</v>
      </c>
      <c r="D1982" s="11" t="str">
        <f>IFERROR(_xlfn.AGGREGATE(15,6,$C$3:$C$53,ROW('Production Matrix'!#REF!)),"")</f>
        <v/>
      </c>
      <c r="E1982" s="11" t="str">
        <f t="shared" si="39"/>
        <v/>
      </c>
      <c r="F1982" s="12">
        <f>IFERROR(INDEX('Production Matrix'!$B:$B,E1982,0),0)</f>
        <v>0</v>
      </c>
    </row>
    <row r="1983" spans="3:6">
      <c r="C1983" s="11" t="e">
        <f>IF(1*('Production Matrix'!A:A="تكلفة انتاج الوحدة")*ROW('Production Matrix'!#REF!)=0,1/0,1*('Production Matrix'!A:A="تكلفة انتاج الوحدة")*ROW('Production Matrix'!#REF!))</f>
        <v>#REF!</v>
      </c>
      <c r="D1983" s="11" t="str">
        <f>IFERROR(_xlfn.AGGREGATE(15,6,$C$3:$C$53,ROW('Production Matrix'!#REF!)),"")</f>
        <v/>
      </c>
      <c r="E1983" s="11" t="str">
        <f t="shared" si="39"/>
        <v/>
      </c>
      <c r="F1983" s="12">
        <f>IFERROR(INDEX('Production Matrix'!$B:$B,E1983,0),0)</f>
        <v>0</v>
      </c>
    </row>
    <row r="1984" spans="3:6">
      <c r="C1984" s="11" t="e">
        <f>IF(1*('Production Matrix'!A:A="تكلفة انتاج الوحدة")*ROW('Production Matrix'!#REF!)=0,1/0,1*('Production Matrix'!A:A="تكلفة انتاج الوحدة")*ROW('Production Matrix'!#REF!))</f>
        <v>#REF!</v>
      </c>
      <c r="D1984" s="11" t="str">
        <f>IFERROR(_xlfn.AGGREGATE(15,6,$C$3:$C$53,ROW('Production Matrix'!#REF!)),"")</f>
        <v/>
      </c>
      <c r="E1984" s="11" t="str">
        <f t="shared" si="39"/>
        <v/>
      </c>
      <c r="F1984" s="12">
        <f>IFERROR(INDEX('Production Matrix'!$B:$B,E1984,0),0)</f>
        <v>0</v>
      </c>
    </row>
    <row r="1985" spans="3:6">
      <c r="C1985" s="11" t="e">
        <f>IF(1*('Production Matrix'!A:A="تكلفة انتاج الوحدة")*ROW('Production Matrix'!#REF!)=0,1/0,1*('Production Matrix'!A:A="تكلفة انتاج الوحدة")*ROW('Production Matrix'!#REF!))</f>
        <v>#REF!</v>
      </c>
      <c r="D1985" s="11" t="str">
        <f>IFERROR(_xlfn.AGGREGATE(15,6,$C$3:$C$53,ROW('Production Matrix'!#REF!)),"")</f>
        <v/>
      </c>
      <c r="E1985" s="11" t="str">
        <f t="shared" si="39"/>
        <v/>
      </c>
      <c r="F1985" s="12">
        <f>IFERROR(INDEX('Production Matrix'!$B:$B,E1985,0),0)</f>
        <v>0</v>
      </c>
    </row>
    <row r="1986" spans="3:6">
      <c r="C1986" s="11" t="e">
        <f>IF(1*('Production Matrix'!A:A="تكلفة انتاج الوحدة")*ROW('Production Matrix'!#REF!)=0,1/0,1*('Production Matrix'!A:A="تكلفة انتاج الوحدة")*ROW('Production Matrix'!#REF!))</f>
        <v>#REF!</v>
      </c>
      <c r="D1986" s="11" t="str">
        <f>IFERROR(_xlfn.AGGREGATE(15,6,$C$3:$C$53,ROW('Production Matrix'!#REF!)),"")</f>
        <v/>
      </c>
      <c r="E1986" s="11" t="str">
        <f t="shared" si="39"/>
        <v/>
      </c>
      <c r="F1986" s="12">
        <f>IFERROR(INDEX('Production Matrix'!$B:$B,E1986,0),0)</f>
        <v>0</v>
      </c>
    </row>
    <row r="1987" spans="3:6">
      <c r="C1987" s="11" t="e">
        <f>IF(1*('Production Matrix'!A:A="تكلفة انتاج الوحدة")*ROW('Production Matrix'!#REF!)=0,1/0,1*('Production Matrix'!A:A="تكلفة انتاج الوحدة")*ROW('Production Matrix'!#REF!))</f>
        <v>#REF!</v>
      </c>
      <c r="D1987" s="11" t="str">
        <f>IFERROR(_xlfn.AGGREGATE(15,6,$C$3:$C$53,ROW('Production Matrix'!#REF!)),"")</f>
        <v/>
      </c>
      <c r="E1987" s="11" t="str">
        <f t="shared" si="39"/>
        <v/>
      </c>
      <c r="F1987" s="12">
        <f>IFERROR(INDEX('Production Matrix'!$B:$B,E1987,0),0)</f>
        <v>0</v>
      </c>
    </row>
    <row r="1988" spans="3:6">
      <c r="C1988" s="11" t="e">
        <f>IF(1*('Production Matrix'!A:A="تكلفة انتاج الوحدة")*ROW('Production Matrix'!#REF!)=0,1/0,1*('Production Matrix'!A:A="تكلفة انتاج الوحدة")*ROW('Production Matrix'!#REF!))</f>
        <v>#REF!</v>
      </c>
      <c r="D1988" s="11" t="str">
        <f>IFERROR(_xlfn.AGGREGATE(15,6,$C$3:$C$53,ROW('Production Matrix'!#REF!)),"")</f>
        <v/>
      </c>
      <c r="E1988" s="11" t="str">
        <f t="shared" si="39"/>
        <v/>
      </c>
      <c r="F1988" s="12">
        <f>IFERROR(INDEX('Production Matrix'!$B:$B,E1988,0),0)</f>
        <v>0</v>
      </c>
    </row>
    <row r="1989" spans="3:6">
      <c r="C1989" s="11" t="e">
        <f>IF(1*('Production Matrix'!A:A="تكلفة انتاج الوحدة")*ROW('Production Matrix'!#REF!)=0,1/0,1*('Production Matrix'!A:A="تكلفة انتاج الوحدة")*ROW('Production Matrix'!#REF!))</f>
        <v>#REF!</v>
      </c>
      <c r="D1989" s="11" t="str">
        <f>IFERROR(_xlfn.AGGREGATE(15,6,$C$3:$C$53,ROW('Production Matrix'!#REF!)),"")</f>
        <v/>
      </c>
      <c r="E1989" s="11" t="str">
        <f t="shared" si="39"/>
        <v/>
      </c>
      <c r="F1989" s="12">
        <f>IFERROR(INDEX('Production Matrix'!$B:$B,E1989,0),0)</f>
        <v>0</v>
      </c>
    </row>
    <row r="1990" spans="3:6">
      <c r="C1990" s="11" t="e">
        <f>IF(1*('Production Matrix'!A:A="تكلفة انتاج الوحدة")*ROW('Production Matrix'!#REF!)=0,1/0,1*('Production Matrix'!A:A="تكلفة انتاج الوحدة")*ROW('Production Matrix'!#REF!))</f>
        <v>#REF!</v>
      </c>
      <c r="D1990" s="11" t="str">
        <f>IFERROR(_xlfn.AGGREGATE(15,6,$C$3:$C$53,ROW('Production Matrix'!#REF!)),"")</f>
        <v/>
      </c>
      <c r="E1990" s="11" t="str">
        <f t="shared" si="39"/>
        <v/>
      </c>
      <c r="F1990" s="12">
        <f>IFERROR(INDEX('Production Matrix'!$B:$B,E1990,0),0)</f>
        <v>0</v>
      </c>
    </row>
    <row r="1991" spans="3:6">
      <c r="C1991" s="11" t="e">
        <f>IF(1*('Production Matrix'!A:A="تكلفة انتاج الوحدة")*ROW('Production Matrix'!#REF!)=0,1/0,1*('Production Matrix'!A:A="تكلفة انتاج الوحدة")*ROW('Production Matrix'!#REF!))</f>
        <v>#REF!</v>
      </c>
      <c r="D1991" s="11" t="str">
        <f>IFERROR(_xlfn.AGGREGATE(15,6,$C$3:$C$53,ROW('Production Matrix'!#REF!)),"")</f>
        <v/>
      </c>
      <c r="E1991" s="11" t="str">
        <f t="shared" ref="E1991:E2000" si="40">IFERROR(D1991+3,"")</f>
        <v/>
      </c>
      <c r="F1991" s="12">
        <f>IFERROR(INDEX('Production Matrix'!$B:$B,E1991,0),0)</f>
        <v>0</v>
      </c>
    </row>
    <row r="1992" spans="3:6">
      <c r="C1992" s="11" t="e">
        <f>IF(1*('Production Matrix'!A:A="تكلفة انتاج الوحدة")*ROW('Production Matrix'!#REF!)=0,1/0,1*('Production Matrix'!A:A="تكلفة انتاج الوحدة")*ROW('Production Matrix'!#REF!))</f>
        <v>#REF!</v>
      </c>
      <c r="D1992" s="11" t="str">
        <f>IFERROR(_xlfn.AGGREGATE(15,6,$C$3:$C$53,ROW('Production Matrix'!#REF!)),"")</f>
        <v/>
      </c>
      <c r="E1992" s="11" t="str">
        <f t="shared" si="40"/>
        <v/>
      </c>
      <c r="F1992" s="12">
        <f>IFERROR(INDEX('Production Matrix'!$B:$B,E1992,0),0)</f>
        <v>0</v>
      </c>
    </row>
    <row r="1993" spans="3:6">
      <c r="C1993" s="11" t="e">
        <f>IF(1*('Production Matrix'!A:A="تكلفة انتاج الوحدة")*ROW('Production Matrix'!#REF!)=0,1/0,1*('Production Matrix'!A:A="تكلفة انتاج الوحدة")*ROW('Production Matrix'!#REF!))</f>
        <v>#REF!</v>
      </c>
      <c r="D1993" s="11" t="str">
        <f>IFERROR(_xlfn.AGGREGATE(15,6,$C$3:$C$53,ROW('Production Matrix'!#REF!)),"")</f>
        <v/>
      </c>
      <c r="E1993" s="11" t="str">
        <f t="shared" si="40"/>
        <v/>
      </c>
      <c r="F1993" s="12">
        <f>IFERROR(INDEX('Production Matrix'!$B:$B,E1993,0),0)</f>
        <v>0</v>
      </c>
    </row>
    <row r="1994" spans="3:6">
      <c r="C1994" s="11" t="e">
        <f>IF(1*('Production Matrix'!A:A="تكلفة انتاج الوحدة")*ROW('Production Matrix'!#REF!)=0,1/0,1*('Production Matrix'!A:A="تكلفة انتاج الوحدة")*ROW('Production Matrix'!#REF!))</f>
        <v>#REF!</v>
      </c>
      <c r="D1994" s="11" t="str">
        <f>IFERROR(_xlfn.AGGREGATE(15,6,$C$3:$C$53,ROW('Production Matrix'!#REF!)),"")</f>
        <v/>
      </c>
      <c r="E1994" s="11" t="str">
        <f t="shared" si="40"/>
        <v/>
      </c>
      <c r="F1994" s="12">
        <f>IFERROR(INDEX('Production Matrix'!$B:$B,E1994,0),0)</f>
        <v>0</v>
      </c>
    </row>
    <row r="1995" spans="3:6">
      <c r="C1995" s="11" t="e">
        <f>IF(1*('Production Matrix'!A:A="تكلفة انتاج الوحدة")*ROW('Production Matrix'!#REF!)=0,1/0,1*('Production Matrix'!A:A="تكلفة انتاج الوحدة")*ROW('Production Matrix'!#REF!))</f>
        <v>#REF!</v>
      </c>
      <c r="D1995" s="11" t="str">
        <f>IFERROR(_xlfn.AGGREGATE(15,6,$C$3:$C$53,ROW('Production Matrix'!#REF!)),"")</f>
        <v/>
      </c>
      <c r="E1995" s="11" t="str">
        <f t="shared" si="40"/>
        <v/>
      </c>
      <c r="F1995" s="12">
        <f>IFERROR(INDEX('Production Matrix'!$B:$B,E1995,0),0)</f>
        <v>0</v>
      </c>
    </row>
    <row r="1996" spans="3:6">
      <c r="C1996" s="11" t="e">
        <f>IF(1*('Production Matrix'!A:A="تكلفة انتاج الوحدة")*ROW('Production Matrix'!#REF!)=0,1/0,1*('Production Matrix'!A:A="تكلفة انتاج الوحدة")*ROW('Production Matrix'!#REF!))</f>
        <v>#REF!</v>
      </c>
      <c r="D1996" s="11" t="str">
        <f>IFERROR(_xlfn.AGGREGATE(15,6,$C$3:$C$53,ROW('Production Matrix'!#REF!)),"")</f>
        <v/>
      </c>
      <c r="E1996" s="11" t="str">
        <f t="shared" si="40"/>
        <v/>
      </c>
      <c r="F1996" s="12">
        <f>IFERROR(INDEX('Production Matrix'!$B:$B,E1996,0),0)</f>
        <v>0</v>
      </c>
    </row>
    <row r="1997" spans="3:6">
      <c r="C1997" s="11" t="e">
        <f>IF(1*('Production Matrix'!A:A="تكلفة انتاج الوحدة")*ROW('Production Matrix'!#REF!)=0,1/0,1*('Production Matrix'!A:A="تكلفة انتاج الوحدة")*ROW('Production Matrix'!#REF!))</f>
        <v>#REF!</v>
      </c>
      <c r="D1997" s="11" t="str">
        <f>IFERROR(_xlfn.AGGREGATE(15,6,$C$3:$C$53,ROW('Production Matrix'!#REF!)),"")</f>
        <v/>
      </c>
      <c r="E1997" s="11" t="str">
        <f t="shared" si="40"/>
        <v/>
      </c>
      <c r="F1997" s="12">
        <f>IFERROR(INDEX('Production Matrix'!$B:$B,E1997,0),0)</f>
        <v>0</v>
      </c>
    </row>
    <row r="1998" spans="3:6">
      <c r="C1998" s="11" t="e">
        <f>IF(1*('Production Matrix'!A:A="تكلفة انتاج الوحدة")*ROW('Production Matrix'!#REF!)=0,1/0,1*('Production Matrix'!A:A="تكلفة انتاج الوحدة")*ROW('Production Matrix'!#REF!))</f>
        <v>#REF!</v>
      </c>
      <c r="D1998" s="11" t="str">
        <f>IFERROR(_xlfn.AGGREGATE(15,6,$C$3:$C$53,ROW('Production Matrix'!#REF!)),"")</f>
        <v/>
      </c>
      <c r="E1998" s="11" t="str">
        <f t="shared" si="40"/>
        <v/>
      </c>
      <c r="F1998" s="12">
        <f>IFERROR(INDEX('Production Matrix'!$B:$B,E1998,0),0)</f>
        <v>0</v>
      </c>
    </row>
    <row r="1999" spans="3:6">
      <c r="C1999" s="11" t="e">
        <f>IF(1*('Production Matrix'!A:A="تكلفة انتاج الوحدة")*ROW('Production Matrix'!#REF!)=0,1/0,1*('Production Matrix'!A:A="تكلفة انتاج الوحدة")*ROW('Production Matrix'!#REF!))</f>
        <v>#REF!</v>
      </c>
      <c r="D1999" s="11" t="str">
        <f>IFERROR(_xlfn.AGGREGATE(15,6,$C$3:$C$53,ROW('Production Matrix'!#REF!)),"")</f>
        <v/>
      </c>
      <c r="E1999" s="11" t="str">
        <f t="shared" si="40"/>
        <v/>
      </c>
      <c r="F1999" s="12">
        <f>IFERROR(INDEX('Production Matrix'!$B:$B,E1999,0),0)</f>
        <v>0</v>
      </c>
    </row>
    <row r="2000" spans="3:6">
      <c r="C2000" s="11" t="e">
        <f>IF(1*('Production Matrix'!A:A="تكلفة انتاج الوحدة")*ROW('Production Matrix'!#REF!)=0,1/0,1*('Production Matrix'!A:A="تكلفة انتاج الوحدة")*ROW('Production Matrix'!#REF!))</f>
        <v>#REF!</v>
      </c>
      <c r="D2000" s="11" t="str">
        <f>IFERROR(_xlfn.AGGREGATE(15,6,$C$3:$C$53,ROW('Production Matrix'!#REF!)),"")</f>
        <v/>
      </c>
      <c r="E2000" s="11" t="str">
        <f t="shared" si="40"/>
        <v/>
      </c>
      <c r="F2000" s="12">
        <f>IFERROR(INDEX('Production Matrix'!$B:$B,E2000,0),0)</f>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114</vt:i4>
      </vt:variant>
    </vt:vector>
  </HeadingPairs>
  <TitlesOfParts>
    <vt:vector size="134" baseType="lpstr">
      <vt:lpstr>Contents</vt:lpstr>
      <vt:lpstr>Summary. Assumptions. Inputs</vt:lpstr>
      <vt:lpstr>Scenario Analysis</vt:lpstr>
      <vt:lpstr>Projected FS</vt:lpstr>
      <vt:lpstr>Graph</vt:lpstr>
      <vt:lpstr>Ratio Analysis</vt:lpstr>
      <vt:lpstr>Cashflow Projection &amp; Investme</vt:lpstr>
      <vt:lpstr>Sheet4</vt:lpstr>
      <vt:lpstr>Cashflow in Quarters</vt:lpstr>
      <vt:lpstr>BEP. &amp; Summary Results</vt:lpstr>
      <vt:lpstr>Sales Volume, Cost of Productio</vt:lpstr>
      <vt:lpstr>Capital Expenditures</vt:lpstr>
      <vt:lpstr>OPEREX, PAYROL</vt:lpstr>
      <vt:lpstr>Sales, Production, &amp; Other Assu</vt:lpstr>
      <vt:lpstr>Production Matrix</vt:lpstr>
      <vt:lpstr>WACC Calculation</vt:lpstr>
      <vt:lpstr>Country Risk Premium</vt:lpstr>
      <vt:lpstr>Beta</vt:lpstr>
      <vt:lpstr>Amortization Table 1</vt:lpstr>
      <vt:lpstr>Internmediate sheet</vt:lpstr>
      <vt:lpstr>'Amortization Table 2'!Beg_Bal</vt:lpstr>
      <vt:lpstr>'Amortization Table 3'!Beg_Bal</vt:lpstr>
      <vt:lpstr>'Amortization Table 4'!Beg_Bal</vt:lpstr>
      <vt:lpstr>Beg_Bal</vt:lpstr>
      <vt:lpstr>Capacity</vt:lpstr>
      <vt:lpstr>'Amortization Table 2'!Cum_Int</vt:lpstr>
      <vt:lpstr>'Amortization Table 3'!Cum_Int</vt:lpstr>
      <vt:lpstr>'Amortization Table 4'!Cum_Int</vt:lpstr>
      <vt:lpstr>Cum_Int</vt:lpstr>
      <vt:lpstr>D_Cost_Table</vt:lpstr>
      <vt:lpstr>'Amortization Table 2'!Data</vt:lpstr>
      <vt:lpstr>'Amortization Table 3'!Data</vt:lpstr>
      <vt:lpstr>'Amortization Table 4'!Data</vt:lpstr>
      <vt:lpstr>Data</vt:lpstr>
      <vt:lpstr>Debt_Financing</vt:lpstr>
      <vt:lpstr>'Amortization Table 2'!End_Bal</vt:lpstr>
      <vt:lpstr>'Amortization Table 3'!End_Bal</vt:lpstr>
      <vt:lpstr>'Amortization Table 4'!End_Bal</vt:lpstr>
      <vt:lpstr>End_Bal</vt:lpstr>
      <vt:lpstr>Equity</vt:lpstr>
      <vt:lpstr>'Amortization Table 2'!Extra_Pay</vt:lpstr>
      <vt:lpstr>'Amortization Table 3'!Extra_Pay</vt:lpstr>
      <vt:lpstr>'Amortization Table 4'!Extra_Pay</vt:lpstr>
      <vt:lpstr>Extra_Pay</vt:lpstr>
      <vt:lpstr>'Amortization Table 2'!Full_Print</vt:lpstr>
      <vt:lpstr>'Amortization Table 3'!Full_Print</vt:lpstr>
      <vt:lpstr>'Amortization Table 4'!Full_Print</vt:lpstr>
      <vt:lpstr>Full_Print</vt:lpstr>
      <vt:lpstr>FX_RATE</vt:lpstr>
      <vt:lpstr>Grant_fixed_assets</vt:lpstr>
      <vt:lpstr>Grant_opex</vt:lpstr>
      <vt:lpstr>'Amortization Table 2'!Int</vt:lpstr>
      <vt:lpstr>'Amortization Table 3'!Int</vt:lpstr>
      <vt:lpstr>'Amortization Table 4'!Int</vt:lpstr>
      <vt:lpstr>Int</vt:lpstr>
      <vt:lpstr>'Amortization Table 2'!Interest_Rate</vt:lpstr>
      <vt:lpstr>'Amortization Table 3'!Interest_Rate</vt:lpstr>
      <vt:lpstr>'Amortization Table 4'!Interest_Rate</vt:lpstr>
      <vt:lpstr>Interest_Rate</vt:lpstr>
      <vt:lpstr>'Amortization Table 2'!Loan_Amount</vt:lpstr>
      <vt:lpstr>'Amortization Table 3'!Loan_Amount</vt:lpstr>
      <vt:lpstr>'Amortization Table 4'!Loan_Amount</vt:lpstr>
      <vt:lpstr>Loan_Amount</vt:lpstr>
      <vt:lpstr>'Amortization Table 2'!Loan_Start</vt:lpstr>
      <vt:lpstr>'Amortization Table 3'!Loan_Start</vt:lpstr>
      <vt:lpstr>'Amortization Table 4'!Loan_Start</vt:lpstr>
      <vt:lpstr>Loan_Start</vt:lpstr>
      <vt:lpstr>'Amortization Table 2'!Loan_Years</vt:lpstr>
      <vt:lpstr>'Amortization Table 3'!Loan_Years</vt:lpstr>
      <vt:lpstr>'Amortization Table 4'!Loan_Years</vt:lpstr>
      <vt:lpstr>Loan_Years</vt:lpstr>
      <vt:lpstr>'Amortization Table 2'!Num_Pmt_Per_Year</vt:lpstr>
      <vt:lpstr>'Amortization Table 3'!Num_Pmt_Per_Year</vt:lpstr>
      <vt:lpstr>'Amortization Table 4'!Num_Pmt_Per_Year</vt:lpstr>
      <vt:lpstr>Num_Pmt_Per_Year</vt:lpstr>
      <vt:lpstr>'Amortization Table 2'!Pay_Date</vt:lpstr>
      <vt:lpstr>'Amortization Table 3'!Pay_Date</vt:lpstr>
      <vt:lpstr>'Amortization Table 4'!Pay_Date</vt:lpstr>
      <vt:lpstr>Pay_Date</vt:lpstr>
      <vt:lpstr>'Amortization Table 2'!Pay_Num</vt:lpstr>
      <vt:lpstr>'Amortization Table 3'!Pay_Num</vt:lpstr>
      <vt:lpstr>'Amortization Table 4'!Pay_Num</vt:lpstr>
      <vt:lpstr>Pay_Num</vt:lpstr>
      <vt:lpstr>'Amortization Table 2'!Princ</vt:lpstr>
      <vt:lpstr>'Amortization Table 3'!Princ</vt:lpstr>
      <vt:lpstr>'Amortization Table 4'!Princ</vt:lpstr>
      <vt:lpstr>Princ</vt:lpstr>
      <vt:lpstr>'Amortization Table 1'!Print_Area</vt:lpstr>
      <vt:lpstr>'Amortization Table 2'!Print_Area</vt:lpstr>
      <vt:lpstr>'Amortization Table 3'!Print_Area</vt:lpstr>
      <vt:lpstr>'Amortization Table 4'!Print_Area</vt:lpstr>
      <vt:lpstr>'BEP. &amp; Summary Results'!Print_Area</vt:lpstr>
      <vt:lpstr>'Capital Expenditures'!Print_Area</vt:lpstr>
      <vt:lpstr>'OPEREX, PAYROL'!Print_Area</vt:lpstr>
      <vt:lpstr>'Production Matrix'!Print_Area</vt:lpstr>
      <vt:lpstr>'Projected FS'!Print_Area</vt:lpstr>
      <vt:lpstr>'Ratio Analysis'!Print_Area</vt:lpstr>
      <vt:lpstr>'Sales Volume, Cost of Productio'!Print_Area</vt:lpstr>
      <vt:lpstr>'Amortization Table 1'!Print_Titles</vt:lpstr>
      <vt:lpstr>'Amortization Table 2'!Print_Titles</vt:lpstr>
      <vt:lpstr>'Amortization Table 3'!Print_Titles</vt:lpstr>
      <vt:lpstr>'Amortization Table 4'!Print_Titles</vt:lpstr>
      <vt:lpstr>'OPEREX, PAYROL'!Print_Titles</vt:lpstr>
      <vt:lpstr>'Projected FS'!Print_Titles</vt:lpstr>
      <vt:lpstr>'Amortization Table 2'!Sched_Pay</vt:lpstr>
      <vt:lpstr>'Amortization Table 3'!Sched_Pay</vt:lpstr>
      <vt:lpstr>'Amortization Table 4'!Sched_Pay</vt:lpstr>
      <vt:lpstr>Sched_Pay</vt:lpstr>
      <vt:lpstr>'Amortization Table 2'!Scheduled_Extra_Payments</vt:lpstr>
      <vt:lpstr>'Amortization Table 3'!Scheduled_Extra_Payments</vt:lpstr>
      <vt:lpstr>'Amortization Table 4'!Scheduled_Extra_Payments</vt:lpstr>
      <vt:lpstr>Scheduled_Extra_Payments</vt:lpstr>
      <vt:lpstr>'Amortization Table 2'!Scheduled_Interest_Rate</vt:lpstr>
      <vt:lpstr>'Amortization Table 3'!Scheduled_Interest_Rate</vt:lpstr>
      <vt:lpstr>'Amortization Table 4'!Scheduled_Interest_Rate</vt:lpstr>
      <vt:lpstr>Scheduled_Interest_Rate</vt:lpstr>
      <vt:lpstr>'Amortization Table 2'!Scheduled_Monthly_Payment</vt:lpstr>
      <vt:lpstr>'Amortization Table 3'!Scheduled_Monthly_Payment</vt:lpstr>
      <vt:lpstr>'Amortization Table 4'!Scheduled_Monthly_Payment</vt:lpstr>
      <vt:lpstr>Scheduled_Monthly_Payment</vt:lpstr>
      <vt:lpstr>'Amortization Table 2'!Total_Interest</vt:lpstr>
      <vt:lpstr>'Amortization Table 3'!Total_Interest</vt:lpstr>
      <vt:lpstr>'Amortization Table 4'!Total_Interest</vt:lpstr>
      <vt:lpstr>Total_Interest</vt:lpstr>
      <vt:lpstr>'Amortization Table 2'!Total_Pay</vt:lpstr>
      <vt:lpstr>'Amortization Table 3'!Total_Pay</vt:lpstr>
      <vt:lpstr>'Amortization Table 4'!Total_Pay</vt:lpstr>
      <vt:lpstr>Total_Pay</vt:lpstr>
      <vt:lpstr>USD_RATE</vt:lpstr>
      <vt:lpstr>'Amortization Table 2'!المبيعات</vt:lpstr>
      <vt:lpstr>'Amortization Table 3'!المبيعات</vt:lpstr>
      <vt:lpstr>'Amortization Table 4'!المبيعات</vt:lpstr>
      <vt:lpstr>المبيعات</vt:lpstr>
      <vt:lpstr>فرضيات_الدراسة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haniskaik@hotmail.com</dc:creator>
  <cp:keywords/>
  <dc:description/>
  <cp:lastModifiedBy>Hani O Skaik</cp:lastModifiedBy>
  <cp:revision/>
  <dcterms:created xsi:type="dcterms:W3CDTF">2019-11-02T07:55:49Z</dcterms:created>
  <dcterms:modified xsi:type="dcterms:W3CDTF">2022-02-22T07:52:22Z</dcterms:modified>
  <cp:category/>
  <cp:contentStatus/>
</cp:coreProperties>
</file>